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ahmad\Desktop\SILVER\SILVER_UC\SILVER_Data\user_inputs\"/>
    </mc:Choice>
  </mc:AlternateContent>
  <xr:revisionPtr revIDLastSave="0" documentId="13_ncr:1_{27138CDE-0A29-4514-8553-C9BA292A92C6}" xr6:coauthVersionLast="47" xr6:coauthVersionMax="47" xr10:uidLastSave="{00000000-0000-0000-0000-000000000000}"/>
  <bookViews>
    <workbookView xWindow="-120" yWindow="-120" windowWidth="20730" windowHeight="11160" tabRatio="774" firstSheet="7" activeTab="12" xr2:uid="{00000000-000D-0000-FFFF-FFFF00000000}"/>
  </bookViews>
  <sheets>
    <sheet name="non-vre plants" sheetId="48" r:id="rId1"/>
    <sheet name="existing transmission" sheetId="46" r:id="rId2"/>
    <sheet name="demand centres" sheetId="45" r:id="rId3"/>
    <sheet name="vre plants" sheetId="43" r:id="rId4"/>
    <sheet name="site independent" sheetId="1" r:id="rId5"/>
    <sheet name="modeled attributes" sheetId="49" r:id="rId6"/>
    <sheet name="scenario analysis" sheetId="38" r:id="rId7"/>
    <sheet name="storage" sheetId="25" r:id="rId8"/>
    <sheet name="EV_aggregator" sheetId="26" r:id="rId9"/>
    <sheet name="demand response" sheetId="18" r:id="rId10"/>
    <sheet name="modeled attributes _original" sheetId="36" r:id="rId11"/>
    <sheet name="excel input instructions" sheetId="24" r:id="rId12"/>
    <sheet name="lists" sheetId="39" r:id="rId13"/>
  </sheets>
  <externalReferences>
    <externalReference r:id="rId14"/>
  </externalReferences>
  <definedNames>
    <definedName name="code" localSheetId="5">#REF!</definedName>
    <definedName name="code" localSheetId="0">#REF!</definedName>
    <definedName name="code">#REF!</definedName>
    <definedName name="mono_c_Si">lists!$F$9:$F$11</definedName>
    <definedName name="mono_tech">lists!$E$9:$E$11</definedName>
    <definedName name="multi_c_Si">lists!$D$9:$D$11</definedName>
    <definedName name="multi_tech">lists!$C$9:$C$11</definedName>
    <definedName name="_xlnm.Print_Area" localSheetId="4">'site independent'!$A$1:$O$134</definedName>
    <definedName name="renumber" localSheetId="5">#REF!</definedName>
    <definedName name="renumber" localSheetId="0">#REF!</definedName>
    <definedName name="renumber">#REF!</definedName>
    <definedName name="rerank" localSheetId="0">#REF!</definedName>
    <definedName name="rerank">#REF!</definedName>
    <definedName name="Solar">lists!$C$4:$C$6</definedName>
    <definedName name="thin_film">lists!$E$9:$E$11</definedName>
    <definedName name="thin_tech">lists!$D$9:$D$11</definedName>
    <definedName name="total" localSheetId="5">#REF!</definedName>
    <definedName name="total" localSheetId="0">#REF!</definedName>
    <definedName name="total">#REF!</definedName>
    <definedName name="user" localSheetId="0">#REF!</definedName>
    <definedName name="user">#REF!</definedName>
    <definedName name="VRE" localSheetId="5">[1]lists!$B$3:$C$3</definedName>
    <definedName name="VRE">lists!$B$3:$C$3</definedName>
    <definedName name="Wind">lists!$B$4:$B$5</definedName>
    <definedName name="wind_offshore">lists!$C$9</definedName>
    <definedName name="wind_onshore">lists!$B$9:$B$11</definedName>
    <definedName name="wind_tech">lists!$B$9:$B$11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2" i="48" l="1"/>
  <c r="H63" i="48"/>
  <c r="H61" i="48"/>
  <c r="H3" i="48"/>
  <c r="H4" i="48"/>
  <c r="H5" i="48"/>
  <c r="H6" i="48"/>
  <c r="H7" i="48"/>
  <c r="H8" i="48"/>
  <c r="H9" i="48"/>
  <c r="H10" i="48"/>
  <c r="H2" i="48"/>
  <c r="E62" i="48" l="1"/>
  <c r="E63" i="48"/>
  <c r="E61" i="48"/>
  <c r="E3" i="48"/>
  <c r="E4" i="48"/>
  <c r="E5" i="48"/>
  <c r="E6" i="48"/>
  <c r="E7" i="48"/>
  <c r="E8" i="48"/>
  <c r="E9" i="48"/>
  <c r="E10" i="48"/>
  <c r="E2" i="48"/>
  <c r="I29" i="49" l="1"/>
  <c r="H29" i="49"/>
  <c r="G29" i="49"/>
  <c r="F29" i="49"/>
  <c r="E29" i="49"/>
  <c r="D29" i="49"/>
  <c r="C29" i="49"/>
  <c r="B29" i="49"/>
  <c r="I3" i="46" l="1"/>
  <c r="I4" i="46"/>
  <c r="I5" i="46"/>
  <c r="I6" i="46"/>
  <c r="I7" i="46"/>
  <c r="I8" i="46"/>
  <c r="I9" i="46"/>
  <c r="I10" i="46"/>
  <c r="I11" i="46"/>
  <c r="I12" i="46"/>
  <c r="I13" i="46"/>
  <c r="I14" i="46"/>
  <c r="I15" i="46"/>
  <c r="I16" i="46"/>
  <c r="I17" i="46"/>
  <c r="I18" i="46"/>
  <c r="I19" i="46"/>
  <c r="I20" i="46"/>
  <c r="I21" i="46"/>
  <c r="I22" i="46"/>
  <c r="I23" i="46"/>
  <c r="I24" i="46"/>
  <c r="I25" i="46"/>
  <c r="I26" i="46"/>
  <c r="I27" i="46"/>
  <c r="I28" i="46"/>
  <c r="I29" i="46"/>
  <c r="I30" i="46"/>
  <c r="I31" i="46"/>
  <c r="I32" i="46"/>
  <c r="I33" i="46"/>
  <c r="I34" i="46"/>
  <c r="I35" i="46"/>
  <c r="I36" i="46"/>
  <c r="I37" i="46"/>
  <c r="I38" i="46"/>
  <c r="I39" i="46"/>
  <c r="I40" i="46"/>
  <c r="I41" i="46"/>
  <c r="I42" i="46"/>
  <c r="I43" i="46"/>
  <c r="I44" i="46"/>
  <c r="I45" i="46"/>
  <c r="I46" i="46"/>
  <c r="I47" i="46"/>
  <c r="I48" i="46"/>
  <c r="I49" i="46"/>
  <c r="I50" i="46"/>
  <c r="I51" i="46"/>
  <c r="I52" i="46"/>
  <c r="I53" i="46"/>
  <c r="I54" i="46"/>
  <c r="I55" i="46"/>
  <c r="I56" i="46"/>
  <c r="I57" i="46"/>
  <c r="I58" i="46"/>
  <c r="I59" i="46"/>
  <c r="I60" i="46"/>
  <c r="I61" i="46"/>
  <c r="I62" i="46"/>
  <c r="I63" i="46"/>
  <c r="I64" i="46"/>
  <c r="I65" i="46"/>
  <c r="I66" i="46"/>
  <c r="I67" i="46"/>
  <c r="I68" i="46"/>
  <c r="I69" i="46"/>
  <c r="I70" i="46"/>
  <c r="I71" i="46"/>
  <c r="I72" i="46"/>
  <c r="I73" i="46"/>
  <c r="I74" i="46"/>
  <c r="I75" i="46"/>
  <c r="I76" i="46"/>
  <c r="I77" i="46"/>
  <c r="I78" i="46"/>
  <c r="I79" i="46"/>
  <c r="I80" i="46"/>
  <c r="I81" i="46"/>
  <c r="I82" i="46"/>
  <c r="I83" i="46"/>
  <c r="I84" i="46"/>
  <c r="I85" i="46"/>
  <c r="I86" i="46"/>
  <c r="I87" i="46"/>
  <c r="I88" i="46"/>
  <c r="I2" i="46"/>
  <c r="H88" i="46" l="1" a="1"/>
  <c r="H88" i="46" s="1"/>
  <c r="H87" i="46" a="1"/>
  <c r="H87" i="46" s="1"/>
  <c r="H86" i="46" a="1"/>
  <c r="H86" i="46" s="1"/>
  <c r="H85" i="46"/>
  <c r="H85" i="46" a="1"/>
  <c r="H84" i="46"/>
  <c r="H84" i="46" a="1"/>
  <c r="H83" i="46"/>
  <c r="H83" i="46" a="1"/>
  <c r="H82" i="46"/>
  <c r="H82" i="46" a="1"/>
  <c r="H81" i="46"/>
  <c r="H81" i="46" a="1"/>
  <c r="H80" i="46" a="1"/>
  <c r="H80" i="46" s="1"/>
  <c r="H79" i="46" a="1"/>
  <c r="H79" i="46" s="1"/>
  <c r="H78" i="46" a="1"/>
  <c r="H78" i="46" s="1"/>
  <c r="H77" i="46" a="1"/>
  <c r="H77" i="46" s="1"/>
  <c r="H76" i="46"/>
  <c r="H76" i="46" a="1"/>
  <c r="H75" i="46"/>
  <c r="H75" i="46" a="1"/>
  <c r="H74" i="46"/>
  <c r="H74" i="46" a="1"/>
  <c r="H73" i="46"/>
  <c r="H73" i="46" a="1"/>
  <c r="H72" i="46" a="1"/>
  <c r="H72" i="46" s="1"/>
  <c r="H71" i="46" a="1"/>
  <c r="H71" i="46" s="1"/>
  <c r="H70" i="46" a="1"/>
  <c r="H70" i="46" s="1"/>
  <c r="H69" i="46" a="1"/>
  <c r="H69" i="46" s="1"/>
  <c r="H68" i="46"/>
  <c r="H68" i="46" a="1"/>
  <c r="H67" i="46"/>
  <c r="H67" i="46" a="1"/>
  <c r="H66" i="46"/>
  <c r="H66" i="46" a="1"/>
  <c r="H65" i="46" a="1"/>
  <c r="H65" i="46" s="1"/>
  <c r="H64" i="46" a="1"/>
  <c r="H64" i="46" s="1"/>
  <c r="H63" i="46" a="1"/>
  <c r="H63" i="46" s="1"/>
  <c r="H62" i="46" a="1"/>
  <c r="H62" i="46" s="1"/>
  <c r="H61" i="46" a="1"/>
  <c r="H61" i="46" s="1"/>
  <c r="H60" i="46"/>
  <c r="H60" i="46" a="1"/>
  <c r="H59" i="46"/>
  <c r="H59" i="46" a="1"/>
  <c r="H58" i="46"/>
  <c r="H58" i="46" a="1"/>
  <c r="H57" i="46" a="1"/>
  <c r="H57" i="46" s="1"/>
  <c r="H56" i="46" a="1"/>
  <c r="H56" i="46" s="1"/>
  <c r="H55" i="46" a="1"/>
  <c r="H55" i="46" s="1"/>
  <c r="H54" i="46" a="1"/>
  <c r="H54" i="46" s="1"/>
  <c r="H53" i="46" a="1"/>
  <c r="H53" i="46" s="1"/>
  <c r="H52" i="46"/>
  <c r="H52" i="46" a="1"/>
  <c r="H51" i="46" a="1"/>
  <c r="H51" i="46" s="1"/>
  <c r="H50" i="46"/>
  <c r="H50" i="46" a="1"/>
  <c r="H49" i="46" a="1"/>
  <c r="H49" i="46" s="1"/>
  <c r="H48" i="46" a="1"/>
  <c r="H48" i="46" s="1"/>
  <c r="H47" i="46" a="1"/>
  <c r="H47" i="46" s="1"/>
  <c r="H46" i="46" a="1"/>
  <c r="H46" i="46" s="1"/>
  <c r="H45" i="46" a="1"/>
  <c r="H45" i="46" s="1"/>
  <c r="H44" i="46"/>
  <c r="H44" i="46" a="1"/>
  <c r="H43" i="46" a="1"/>
  <c r="H43" i="46" s="1"/>
  <c r="H42" i="46"/>
  <c r="H42" i="46" a="1"/>
  <c r="H41" i="46" a="1"/>
  <c r="H41" i="46" s="1"/>
  <c r="H40" i="46" a="1"/>
  <c r="H40" i="46" s="1"/>
  <c r="H39" i="46" a="1"/>
  <c r="H39" i="46" s="1"/>
  <c r="H38" i="46" a="1"/>
  <c r="H38" i="46" s="1"/>
  <c r="H37" i="46" a="1"/>
  <c r="H37" i="46" s="1"/>
  <c r="H36" i="46"/>
  <c r="H36" i="46" a="1"/>
  <c r="H35" i="46" a="1"/>
  <c r="H35" i="46" s="1"/>
  <c r="H34" i="46"/>
  <c r="H34" i="46" a="1"/>
  <c r="H33" i="46" a="1"/>
  <c r="H33" i="46" s="1"/>
  <c r="H32" i="46" a="1"/>
  <c r="H32" i="46" s="1"/>
  <c r="H31" i="46" a="1"/>
  <c r="H31" i="46" s="1"/>
  <c r="H30" i="46" a="1"/>
  <c r="H30" i="46" s="1"/>
  <c r="H29" i="46" a="1"/>
  <c r="H29" i="46" s="1"/>
  <c r="H28" i="46"/>
  <c r="H28" i="46" a="1"/>
  <c r="H27" i="46"/>
  <c r="H27" i="46" a="1"/>
  <c r="H26" i="46"/>
  <c r="H26" i="46" a="1"/>
  <c r="H25" i="46" a="1"/>
  <c r="H25" i="46" s="1"/>
  <c r="H24" i="46" a="1"/>
  <c r="H24" i="46" s="1"/>
  <c r="H23" i="46" a="1"/>
  <c r="H23" i="46" s="1"/>
  <c r="H22" i="46" a="1"/>
  <c r="H22" i="46" s="1"/>
  <c r="H21" i="46" a="1"/>
  <c r="H21" i="46" s="1"/>
  <c r="H20" i="46"/>
  <c r="H20" i="46" a="1"/>
  <c r="H19" i="46"/>
  <c r="H19" i="46" a="1"/>
  <c r="H18" i="46"/>
  <c r="H18" i="46" a="1"/>
  <c r="H17" i="46" a="1"/>
  <c r="H17" i="46" s="1"/>
  <c r="H16" i="46" a="1"/>
  <c r="H16" i="46" s="1"/>
  <c r="H15" i="46" a="1"/>
  <c r="H15" i="46" s="1"/>
  <c r="H14" i="46" a="1"/>
  <c r="H14" i="46" s="1"/>
  <c r="H13" i="46" a="1"/>
  <c r="H13" i="46" s="1"/>
  <c r="H12" i="46"/>
  <c r="H12" i="46" a="1"/>
  <c r="H11" i="46" a="1"/>
  <c r="H11" i="46" s="1"/>
  <c r="H10" i="46"/>
  <c r="H10" i="46" a="1"/>
  <c r="H9" i="46" a="1"/>
  <c r="H9" i="46" s="1"/>
  <c r="H8" i="46" a="1"/>
  <c r="H8" i="46" s="1"/>
  <c r="H7" i="46" a="1"/>
  <c r="H7" i="46" s="1"/>
  <c r="H6" i="46" a="1"/>
  <c r="H6" i="46" s="1"/>
  <c r="H5" i="46" a="1"/>
  <c r="H5" i="46" s="1"/>
  <c r="H4" i="46"/>
  <c r="H4" i="46" a="1"/>
  <c r="H3" i="46" a="1"/>
  <c r="H3" i="46" s="1"/>
  <c r="H2" i="46" a="1"/>
  <c r="H2" i="46" s="1"/>
  <c r="K4" i="43" l="1"/>
  <c r="J4" i="43"/>
  <c r="K3" i="43"/>
  <c r="J3" i="43"/>
  <c r="K2" i="43"/>
  <c r="J2" i="43"/>
  <c r="A19" i="36" l="1"/>
  <c r="A6" i="36"/>
  <c r="A7" i="36"/>
  <c r="A8" i="36"/>
  <c r="A9" i="36"/>
  <c r="A10" i="36"/>
  <c r="A11" i="36"/>
  <c r="A12" i="36"/>
  <c r="A13" i="36"/>
  <c r="A14" i="36"/>
  <c r="A15" i="36"/>
  <c r="A16" i="36"/>
  <c r="A17" i="36"/>
  <c r="A18" i="36"/>
  <c r="A6" i="38"/>
  <c r="A7" i="38"/>
  <c r="A8" i="38"/>
  <c r="A9" i="38"/>
  <c r="A10" i="38"/>
  <c r="A11" i="38"/>
  <c r="A12" i="38"/>
  <c r="A13" i="38"/>
  <c r="A14" i="38"/>
  <c r="A15" i="38"/>
  <c r="A16" i="38"/>
  <c r="A17" i="38"/>
  <c r="A18" i="38"/>
  <c r="A19" i="38"/>
  <c r="A5" i="38"/>
  <c r="C45" i="1"/>
  <c r="B45" i="1"/>
  <c r="K41" i="1"/>
  <c r="J41" i="1"/>
  <c r="C41" i="1"/>
  <c r="B41" i="1"/>
  <c r="J40" i="1"/>
  <c r="C40" i="1"/>
  <c r="B40" i="1"/>
  <c r="C39" i="1"/>
  <c r="B39" i="1"/>
  <c r="K38" i="1"/>
  <c r="J38" i="1"/>
  <c r="C38" i="1"/>
  <c r="B38" i="1"/>
  <c r="C37" i="1"/>
  <c r="B37" i="1"/>
  <c r="C36" i="1"/>
  <c r="B36" i="1"/>
  <c r="K35" i="1"/>
  <c r="J35" i="1"/>
  <c r="C35" i="1"/>
  <c r="B35" i="1"/>
  <c r="K33" i="1"/>
  <c r="J33" i="1"/>
  <c r="C33" i="1"/>
  <c r="B33" i="1"/>
  <c r="K32" i="1"/>
  <c r="J32" i="1"/>
  <c r="C32" i="1"/>
  <c r="B32" i="1"/>
  <c r="K31" i="1"/>
  <c r="J31" i="1"/>
  <c r="C31" i="1"/>
  <c r="B31" i="1"/>
  <c r="L22" i="1"/>
  <c r="G12" i="1"/>
  <c r="G11" i="1"/>
  <c r="D11" i="1"/>
  <c r="G10" i="1"/>
  <c r="P6" i="1"/>
  <c r="P7" i="1" s="1"/>
  <c r="P8" i="1" s="1"/>
  <c r="G5" i="1"/>
  <c r="P10" i="1" l="1"/>
  <c r="P11" i="1" s="1"/>
  <c r="P12" i="1" s="1"/>
  <c r="P13" i="1" s="1"/>
  <c r="P9" i="1"/>
  <c r="P14" i="1" l="1"/>
  <c r="P15" i="1" s="1"/>
  <c r="P16" i="1" s="1"/>
  <c r="P17" i="1"/>
  <c r="P18" i="1" s="1"/>
  <c r="P19" i="1" s="1"/>
  <c r="B13" i="18" l="1"/>
  <c r="J27" i="36" l="1"/>
  <c r="I27" i="36"/>
  <c r="H27" i="36"/>
  <c r="G27" i="36"/>
  <c r="F27" i="36"/>
  <c r="E27" i="36"/>
  <c r="D27" i="36"/>
  <c r="C27" i="36"/>
  <c r="B27" i="36"/>
  <c r="J14" i="36"/>
  <c r="I14" i="36"/>
  <c r="H14" i="36"/>
  <c r="F14" i="36"/>
  <c r="E14" i="36"/>
  <c r="D14" i="36"/>
  <c r="C14" i="36"/>
  <c r="J13" i="36"/>
  <c r="I13" i="36"/>
  <c r="G13" i="36"/>
  <c r="F13" i="36"/>
  <c r="E13" i="36"/>
  <c r="D13" i="36"/>
  <c r="C13" i="36"/>
  <c r="J12" i="36"/>
  <c r="I12" i="36"/>
  <c r="G12" i="36"/>
  <c r="F12" i="36"/>
  <c r="E12" i="36"/>
  <c r="D12" i="36"/>
  <c r="C12" i="36"/>
  <c r="J11" i="36"/>
  <c r="I11" i="36"/>
  <c r="H11" i="36"/>
  <c r="G11" i="36"/>
  <c r="F11" i="36"/>
  <c r="E11" i="36"/>
  <c r="D11" i="36"/>
  <c r="C11" i="36"/>
  <c r="J10" i="36"/>
  <c r="I10" i="36"/>
  <c r="H10" i="36"/>
  <c r="G10" i="36"/>
  <c r="F10" i="36"/>
  <c r="E10" i="36"/>
  <c r="D10" i="36"/>
  <c r="C10" i="36"/>
  <c r="J9" i="36"/>
  <c r="I9" i="36"/>
  <c r="H9" i="36"/>
  <c r="G9" i="36"/>
  <c r="F9" i="36"/>
  <c r="E9" i="36"/>
  <c r="D9" i="36"/>
  <c r="C9" i="36"/>
  <c r="J8" i="36"/>
  <c r="I8" i="36"/>
  <c r="H8" i="36"/>
  <c r="G8" i="36"/>
  <c r="F8" i="36"/>
  <c r="E8" i="36"/>
  <c r="D8" i="36"/>
  <c r="C8" i="36"/>
  <c r="J7" i="36"/>
  <c r="I7" i="36"/>
  <c r="H7" i="36"/>
  <c r="G7" i="36"/>
  <c r="F7" i="36"/>
  <c r="E7" i="36"/>
  <c r="D7" i="36"/>
  <c r="C7" i="36"/>
  <c r="J6" i="36"/>
  <c r="I6" i="36"/>
  <c r="H6" i="36"/>
  <c r="G6" i="36"/>
  <c r="F6" i="36"/>
  <c r="E6" i="36"/>
  <c r="D6" i="36"/>
  <c r="C6" i="36"/>
  <c r="J5" i="36"/>
  <c r="I5" i="36"/>
  <c r="H5" i="36"/>
  <c r="G5" i="36"/>
  <c r="F5" i="36"/>
  <c r="E5" i="36"/>
  <c r="D5" i="36"/>
  <c r="C5" i="36"/>
  <c r="B5" i="36"/>
  <c r="A5" i="36"/>
  <c r="B7" i="36" l="1"/>
  <c r="B6" i="36"/>
  <c r="B8" i="36" l="1"/>
  <c r="B9" i="36" l="1"/>
  <c r="B11" i="36"/>
  <c r="B10" i="36"/>
  <c r="B12" i="36" l="1"/>
  <c r="B13" i="36" l="1"/>
  <c r="B14" i="36"/>
  <c r="H61" i="1" l="1"/>
  <c r="H62" i="1"/>
  <c r="H58" i="1"/>
  <c r="H59" i="1"/>
  <c r="H57" i="1"/>
  <c r="I57" i="1" l="1"/>
  <c r="F126" i="1"/>
  <c r="F125" i="1"/>
  <c r="F124" i="1"/>
  <c r="F123" i="1"/>
  <c r="F122" i="1"/>
  <c r="F121" i="1"/>
  <c r="F120" i="1"/>
  <c r="F119" i="1"/>
  <c r="F97" i="1"/>
  <c r="F96" i="1"/>
  <c r="F95" i="1"/>
  <c r="F94" i="1"/>
  <c r="F93" i="1"/>
  <c r="F92" i="1"/>
  <c r="F91" i="1"/>
  <c r="F90" i="1"/>
  <c r="F89" i="1"/>
  <c r="F88" i="1"/>
  <c r="F87" i="1"/>
  <c r="F86" i="1"/>
  <c r="B77" i="1"/>
  <c r="B76" i="1"/>
  <c r="B75" i="1"/>
  <c r="B74" i="1"/>
  <c r="B73" i="1"/>
  <c r="B71" i="1" s="1"/>
  <c r="B72" i="1"/>
  <c r="B70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</author>
  </authors>
  <commentList>
    <comment ref="V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Note: the operating reserve coefficient is a fraction of generation in Nils' paper</t>
        </r>
      </text>
    </comment>
    <comment ref="B70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Need to get real values here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Madeleine</author>
  </authors>
  <commentList>
    <comment ref="L4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Madeleine: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<sst xmlns="http://schemas.openxmlformats.org/spreadsheetml/2006/main" count="1647" uniqueCount="802">
  <si>
    <t>technology assumptions</t>
  </si>
  <si>
    <t>nuclear</t>
  </si>
  <si>
    <t>hydro</t>
  </si>
  <si>
    <t>variable renewable energy sources</t>
  </si>
  <si>
    <t>wind</t>
  </si>
  <si>
    <t>balancing technologies</t>
  </si>
  <si>
    <t>efficiency</t>
  </si>
  <si>
    <t>GHG emissions</t>
  </si>
  <si>
    <t>storage</t>
  </si>
  <si>
    <t>geothermal</t>
  </si>
  <si>
    <t>biomass</t>
  </si>
  <si>
    <t>levelized capital cost</t>
  </si>
  <si>
    <t>fixed o&amp;m cost</t>
  </si>
  <si>
    <t>wind - offshore</t>
  </si>
  <si>
    <t>2012 $/MWh</t>
  </si>
  <si>
    <t>non-vre sources</t>
  </si>
  <si>
    <t>solar PV</t>
  </si>
  <si>
    <t>solar thermal</t>
  </si>
  <si>
    <t>backup generation</t>
  </si>
  <si>
    <t>curtailment</t>
  </si>
  <si>
    <t>coal</t>
  </si>
  <si>
    <t>hours</t>
  </si>
  <si>
    <t>kg CO2e/MWh</t>
  </si>
  <si>
    <t>given by power curves</t>
  </si>
  <si>
    <t>transmission</t>
  </si>
  <si>
    <t>[MW]</t>
  </si>
  <si>
    <t xml:space="preserve"> -- electric vehicles</t>
  </si>
  <si>
    <t>nominal pwr at STC [Wp]</t>
  </si>
  <si>
    <r>
      <t xml:space="preserve">"Levelized cost and levelized avoided cost of new generation resources in the Annual Energy Outlook 2014"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</si>
  <si>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"FAQ: What is the efficiency of different types of power plants?"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</si>
  <si>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Table 8.1. Average Operating Heat Rate for Selected Energy Sources, 2003-2013. </t>
    </r>
    <r>
      <rPr>
        <i/>
        <sz val="11"/>
        <color theme="1"/>
        <rFont val="Calibri"/>
        <family val="2"/>
        <scheme val="minor"/>
      </rPr>
      <t>US Energy Information Administration</t>
    </r>
  </si>
  <si>
    <r>
      <t xml:space="preserve">Annual Energy Review 2010. Appendix F: Alternatives for Estimating Energy Consumption. Table F1. Conversion Efficiencies of noncombustible Renewable Energy Sources. </t>
    </r>
    <r>
      <rPr>
        <i/>
        <sz val="11"/>
        <color theme="1"/>
        <rFont val="Calibri"/>
        <family val="2"/>
        <scheme val="minor"/>
      </rPr>
      <t>US Energy Information Administration.</t>
    </r>
  </si>
  <si>
    <r>
      <t xml:space="preserve">"Biomass Energy Economics" </t>
    </r>
    <r>
      <rPr>
        <i/>
        <sz val="11"/>
        <color theme="1"/>
        <rFont val="Calibri"/>
        <family val="2"/>
        <scheme val="minor"/>
      </rPr>
      <t>Pacific Energy Systems, Inc.</t>
    </r>
  </si>
  <si>
    <t>variable o&amp;m cost (inc. fuel)</t>
  </si>
  <si>
    <t>Climate Change 2014: Mitigation of Climate Change. Contribution of Working Group III to the Fifth Assessment Report of the Intergovernmental Panel on Climate Change. Annex III: Technology-specific cost and performance parameters. Table A.III.2 Emissions of selected electricity supply technologies</t>
  </si>
  <si>
    <t>references colour coded</t>
  </si>
  <si>
    <t>hot start</t>
  </si>
  <si>
    <t>warm start</t>
  </si>
  <si>
    <t>cold start</t>
  </si>
  <si>
    <t>"Technical Assessment of the Operation of Coal and Gas Fired Plants" Report to the DECC</t>
  </si>
  <si>
    <t>"the westinghouse pressurized water reactor nuclear power plant" Table 16-1 Estimated Startup Time in Hours Required by NSSS</t>
  </si>
  <si>
    <t>estimated start up times (notice to full load)</t>
  </si>
  <si>
    <t>%/min</t>
  </si>
  <si>
    <t>http://www.powerauthority.on.ca/current-electricity-contracts/sc-cc</t>
  </si>
  <si>
    <t>(max)</t>
  </si>
  <si>
    <t>spin ramp rate</t>
  </si>
  <si>
    <t xml:space="preserve"> - building new lines</t>
  </si>
  <si>
    <t xml:space="preserve"> - using existing lines</t>
  </si>
  <si>
    <t>$ / kWh</t>
  </si>
  <si>
    <t>$ / km</t>
  </si>
  <si>
    <t>AEO 2015 table 8</t>
  </si>
  <si>
    <t xml:space="preserve"> -- 230 kV single circuit</t>
  </si>
  <si>
    <t xml:space="preserve"> -- 230 kV double circuit</t>
  </si>
  <si>
    <t xml:space="preserve"> -- 500 kV single circuit</t>
  </si>
  <si>
    <t xml:space="preserve"> -- 500 kV double circuit</t>
  </si>
  <si>
    <t xml:space="preserve"> -- 500 kV HVDC Bi-pole</t>
  </si>
  <si>
    <t xml:space="preserve"> -- 600 kV HVDC Bi-pole</t>
  </si>
  <si>
    <t>assumptions: aluminum conductor steel reinforced (ACSR), Tubular (230 kV)/Lattice (345 kV - 600 kV), &gt;10 miles</t>
  </si>
  <si>
    <t>"Capital Costs for Transmission and Substations" prepared for the Western Electricity Coordinating Council</t>
  </si>
  <si>
    <t>source gives in $/mile. 1 mile = 1.60934 km</t>
  </si>
  <si>
    <t>ghg emission reductions</t>
  </si>
  <si>
    <t>petroleum displacement</t>
  </si>
  <si>
    <t>assuming 50% penetration, reduces GHG emissions by 27%</t>
  </si>
  <si>
    <t>benefits to grid</t>
  </si>
  <si>
    <t>cars can serve as distributed generators</t>
  </si>
  <si>
    <t>costs</t>
  </si>
  <si>
    <t>37% improvement in fuel economy</t>
  </si>
  <si>
    <t>88% improvement in fuel efficiency</t>
  </si>
  <si>
    <t>up to 6.5 million boe/day</t>
  </si>
  <si>
    <t>storage support - particularly for wind when generation at night corresponds with typical charge time</t>
  </si>
  <si>
    <t>assume average vehicle travels about 50 km/day - battery could easily displace fuel for such distance</t>
  </si>
  <si>
    <t>vehicle class</t>
  </si>
  <si>
    <t>compact sedan</t>
  </si>
  <si>
    <t>mid-size sedan</t>
  </si>
  <si>
    <t>mid-size SUV</t>
  </si>
  <si>
    <t>full-size SUV</t>
  </si>
  <si>
    <t>annual revenue for V2G ancillary services (grid regulation) $4000/vehicle</t>
  </si>
  <si>
    <t>HEV cost premium avg $4000</t>
  </si>
  <si>
    <t>30% ghg reduction</t>
  </si>
  <si>
    <t>O&amp;M (inc. fuel) costs 15% lower</t>
  </si>
  <si>
    <t xml:space="preserve"> -- hybrid buses</t>
  </si>
  <si>
    <t>sector integration - transportation</t>
  </si>
  <si>
    <t>"Hybrid Buses Costs and Benefits" EESI</t>
  </si>
  <si>
    <t>https://www.ttc.ca/Routes/General_Information/General_Information.jsp</t>
  </si>
  <si>
    <t>required battery size [kWh]</t>
  </si>
  <si>
    <t>"Impacts Assessment of PHEV on Electric Utilities and Regional US Power Grids Part 1: Technical Analysis" PNNL</t>
  </si>
  <si>
    <t>Sovacool, B. and Hirsh, R. "Beyond batteries: an examination of the benefits and barriers to PHEVs and a V2G transition"</t>
  </si>
  <si>
    <t>** cost savings dependent on electricity pricing - current avg 110 c/L for gas, 8.0 c/kWh off peak (CAD)</t>
  </si>
  <si>
    <t>base msrp</t>
  </si>
  <si>
    <t>est. tax credit</t>
  </si>
  <si>
    <t>body type</t>
  </si>
  <si>
    <t>seats</t>
  </si>
  <si>
    <t>charge rate</t>
  </si>
  <si>
    <t>bmw i3</t>
  </si>
  <si>
    <t>sedan</t>
  </si>
  <si>
    <t>batt size [kWh]</t>
  </si>
  <si>
    <t>charge rate [kW]</t>
  </si>
  <si>
    <t>chevrolet spark</t>
  </si>
  <si>
    <t>coupe</t>
  </si>
  <si>
    <t>fiat 500 e</t>
  </si>
  <si>
    <t>ford focus</t>
  </si>
  <si>
    <t>ford focus electric</t>
  </si>
  <si>
    <t>kia soul ev</t>
  </si>
  <si>
    <t>mercedes B-class electric</t>
  </si>
  <si>
    <t>mitsubishi i-MiEV</t>
  </si>
  <si>
    <t>nissan LEAF</t>
  </si>
  <si>
    <t>smart electric drive</t>
  </si>
  <si>
    <t>tesla model s</t>
  </si>
  <si>
    <t>volkswagen E-golf</t>
  </si>
  <si>
    <t>tesla model X</t>
  </si>
  <si>
    <t>SUV</t>
  </si>
  <si>
    <t>smart</t>
  </si>
  <si>
    <t>ghg emissions</t>
  </si>
  <si>
    <t>6.9/5.7/6.3</t>
  </si>
  <si>
    <t>130g/km</t>
  </si>
  <si>
    <t>est. tax credit (US)</t>
  </si>
  <si>
    <t>fuel consumption (city/hwy/combined) [L/100km]</t>
  </si>
  <si>
    <t>9.3/6.7/8.1</t>
  </si>
  <si>
    <t>ford explorer</t>
  </si>
  <si>
    <t>suv</t>
  </si>
  <si>
    <t>13.7/9.7</t>
  </si>
  <si>
    <t>EPA range (miles conv to km)</t>
  </si>
  <si>
    <t xml:space="preserve"> -- comparison with gas vehicles</t>
  </si>
  <si>
    <t>no tax credits</t>
  </si>
  <si>
    <t>http://www.plugincars.com/cars</t>
  </si>
  <si>
    <t>http://www.thesmart.ca/ca/en/index.html</t>
  </si>
  <si>
    <t>http://www.ford.ca/cars/focus/specifications/</t>
  </si>
  <si>
    <t>fiat 500</t>
  </si>
  <si>
    <t>8.7/6.9</t>
  </si>
  <si>
    <t>http://www.fiatcanada.com/en/2015/500/</t>
  </si>
  <si>
    <t xml:space="preserve"> --plug-in hybrid</t>
  </si>
  <si>
    <t>cadillac ELR</t>
  </si>
  <si>
    <t>epa range (elec only)</t>
  </si>
  <si>
    <t>battery size</t>
  </si>
  <si>
    <t>chevy volt</t>
  </si>
  <si>
    <t>ford c-max energi</t>
  </si>
  <si>
    <t>wagon</t>
  </si>
  <si>
    <t>ford fusion energi</t>
  </si>
  <si>
    <t>honda accord PH</t>
  </si>
  <si>
    <t>porsche panamera s e-hybrid</t>
  </si>
  <si>
    <t>porsche cayenne s e-hybrid</t>
  </si>
  <si>
    <t>toyota prius PH</t>
  </si>
  <si>
    <t>cost premium avg 200 000 (~500 000 compared to 300 000) - mostly offset by govt</t>
  </si>
  <si>
    <t>orion VII can carry average 51 passengers at peak times - vehicle displacement?</t>
  </si>
  <si>
    <t>demand response - shifting</t>
  </si>
  <si>
    <t>assume x% flexibility - user input</t>
  </si>
  <si>
    <t>assume different flexibilities during different hours</t>
  </si>
  <si>
    <t>DR capacity = load * participation rate * sheddability</t>
  </si>
  <si>
    <t>participation = min (controllability, acceptability)</t>
  </si>
  <si>
    <t>commercial</t>
  </si>
  <si>
    <t xml:space="preserve"> - cooling</t>
  </si>
  <si>
    <t xml:space="preserve"> - heating</t>
  </si>
  <si>
    <t>residential</t>
  </si>
  <si>
    <t xml:space="preserve"> - water heating</t>
  </si>
  <si>
    <t>industrial</t>
  </si>
  <si>
    <t xml:space="preserve"> - agricultural water pumping</t>
  </si>
  <si>
    <t xml:space="preserve"> - data centres</t>
  </si>
  <si>
    <t xml:space="preserve"> - regrigerated warehouses</t>
  </si>
  <si>
    <t>municipal</t>
  </si>
  <si>
    <t xml:space="preserve"> - fresh water pumping</t>
  </si>
  <si>
    <t xml:space="preserve"> - waste water pumping</t>
  </si>
  <si>
    <t>lighting and ventilation are not easily shiftable!</t>
  </si>
  <si>
    <t>41-49</t>
  </si>
  <si>
    <t>sheddability (%)</t>
  </si>
  <si>
    <t>acceptability (%)</t>
  </si>
  <si>
    <t>15-25</t>
  </si>
  <si>
    <t>3-77</t>
  </si>
  <si>
    <t>46-51</t>
  </si>
  <si>
    <t>10-25</t>
  </si>
  <si>
    <t>0-77</t>
  </si>
  <si>
    <t>20-70</t>
  </si>
  <si>
    <t>2-52</t>
  </si>
  <si>
    <t>13-39</t>
  </si>
  <si>
    <t>20-30</t>
  </si>
  <si>
    <t>2-48</t>
  </si>
  <si>
    <t>0-1.5</t>
  </si>
  <si>
    <t>25</t>
  </si>
  <si>
    <t>13-26</t>
  </si>
  <si>
    <t>participation (%)</t>
  </si>
  <si>
    <t>"Grid Integration of Aggregated Demand Response, Part 1: Load Availability Profiles and Constraints for the Western Interconnection." NREL</t>
  </si>
  <si>
    <t>divide year into heating/cooling, keep others year round</t>
  </si>
  <si>
    <t>for multiple end uses, take average of shed * participation?</t>
  </si>
  <si>
    <t>for zeros, use a small non-zero number…</t>
  </si>
  <si>
    <t>** would need demand data by sector</t>
  </si>
  <si>
    <t>controllability (%)</t>
  </si>
  <si>
    <t>average</t>
  </si>
  <si>
    <t>S*P</t>
  </si>
  <si>
    <t>for ranges, take midpoint?</t>
  </si>
  <si>
    <t>0.45*0.20=0.09</t>
  </si>
  <si>
    <t>0.45*0.26=0.117</t>
  </si>
  <si>
    <t>0.25*0.01=0.0025</t>
  </si>
  <si>
    <t>0.25*0.20=0.05</t>
  </si>
  <si>
    <t>summer = 9%</t>
  </si>
  <si>
    <t>winter = 8.6 %</t>
  </si>
  <si>
    <t>summer = 8.35%</t>
  </si>
  <si>
    <t>winter = 2.5%</t>
  </si>
  <si>
    <t>ind/mun fairly flat over day</t>
  </si>
  <si>
    <t>cooling peaks from 12-8pm</t>
  </si>
  <si>
    <t>heating peaks from 7-9 am</t>
  </si>
  <si>
    <t>peaks 7am, 6pm</t>
  </si>
  <si>
    <t>shreddability (%)</t>
  </si>
  <si>
    <t>area</t>
  </si>
  <si>
    <t>area [m^2]</t>
  </si>
  <si>
    <t>CdTe</t>
  </si>
  <si>
    <t>Trina TSM-PDG5-255</t>
  </si>
  <si>
    <t>multi c-Si</t>
  </si>
  <si>
    <t>mono c-Si</t>
  </si>
  <si>
    <t>Canadian Solar CS6V-225MM</t>
  </si>
  <si>
    <t>First Solar FS395</t>
  </si>
  <si>
    <t>diesel</t>
  </si>
  <si>
    <t>longitude</t>
  </si>
  <si>
    <t>latitude</t>
  </si>
  <si>
    <t>total system LCOE</t>
  </si>
  <si>
    <t>transmission investment</t>
  </si>
  <si>
    <t>*(likely conservative) estimate based on the fact that simple cycle is less efficient</t>
  </si>
  <si>
    <t>cycling costs</t>
  </si>
  <si>
    <r>
      <t xml:space="preserve">"Power Plant Cycling Costs" </t>
    </r>
    <r>
      <rPr>
        <i/>
        <sz val="11"/>
        <color theme="1"/>
        <rFont val="Calibri"/>
        <family val="2"/>
        <scheme val="minor"/>
      </rPr>
      <t>Prepared for the National Renewable Energy Laboratory</t>
    </r>
  </si>
  <si>
    <r>
      <t xml:space="preserve">"Cost and Performance Data for Power Generation Technologies" </t>
    </r>
    <r>
      <rPr>
        <i/>
        <sz val="11"/>
        <color theme="1"/>
        <rFont val="Calibri"/>
        <family val="2"/>
        <scheme val="minor"/>
      </rPr>
      <t>Prepared for the National Renewable Energy Laboratory</t>
    </r>
  </si>
  <si>
    <t>$/MW cap.</t>
  </si>
  <si>
    <t>depends on sources data</t>
  </si>
  <si>
    <t>output - last resort</t>
  </si>
  <si>
    <t>Trends in GHG Emissions in the Alberta Electricity Market</t>
  </si>
  <si>
    <t>length</t>
  </si>
  <si>
    <t>plant ID</t>
  </si>
  <si>
    <t>wind offshore</t>
  </si>
  <si>
    <t>PHS</t>
  </si>
  <si>
    <t>CAES</t>
  </si>
  <si>
    <t>batteries</t>
  </si>
  <si>
    <t>fuel oil</t>
  </si>
  <si>
    <t>FES</t>
  </si>
  <si>
    <t>hydrogen</t>
  </si>
  <si>
    <t>thermal</t>
  </si>
  <si>
    <t>vanadium</t>
  </si>
  <si>
    <t>SMES</t>
  </si>
  <si>
    <t>flow battery</t>
  </si>
  <si>
    <t>capacitors</t>
  </si>
  <si>
    <t>supercapacitors</t>
  </si>
  <si>
    <t>capital cost power</t>
  </si>
  <si>
    <t>capital cost capacity</t>
  </si>
  <si>
    <t>annual operating costs</t>
  </si>
  <si>
    <t>$/kWyr</t>
  </si>
  <si>
    <t>(avg) $/kW</t>
  </si>
  <si>
    <t>min</t>
  </si>
  <si>
    <t>max</t>
  </si>
  <si>
    <t>applicable grid system size (MW)</t>
  </si>
  <si>
    <t>storage capacity (kWh)</t>
  </si>
  <si>
    <t>discharge rate</t>
  </si>
  <si>
    <t>kW</t>
  </si>
  <si>
    <t>"Electricity Storage and Renewables for Island Power" IRENA 2012</t>
  </si>
  <si>
    <t>Kousksou et al. "Energy storage: Applications and challenges" Solar Energy Materials &amp; Solar Cells 2014</t>
  </si>
  <si>
    <t>(avg) $/kWh</t>
  </si>
  <si>
    <t>"Energy Technology Perspectives" IEA 2014</t>
  </si>
  <si>
    <t>"Comparison of Lifecycle Greenhouse Gas Emissions of Various Electricity Generation Sources" WNA</t>
  </si>
  <si>
    <t>diesel costs: Lazard LCOE version 8.0</t>
  </si>
  <si>
    <t>assumed fuel oil costs are ~60% of diesel costs based on  http://asian-power.com/regulation/commentary/reducing-diesel-power-plant-hfo-bill</t>
  </si>
  <si>
    <t>region</t>
  </si>
  <si>
    <t>frac pop</t>
  </si>
  <si>
    <t>voltage</t>
  </si>
  <si>
    <t>circuits</t>
  </si>
  <si>
    <t>NG combined</t>
  </si>
  <si>
    <t>NG simple</t>
  </si>
  <si>
    <t>bus</t>
  </si>
  <si>
    <t>reactance</t>
  </si>
  <si>
    <t>name</t>
  </si>
  <si>
    <t>to bus</t>
  </si>
  <si>
    <t>from bus</t>
  </si>
  <si>
    <t>wind_onshore</t>
  </si>
  <si>
    <t>wind_offshore</t>
  </si>
  <si>
    <t>latitude_MERRA</t>
  </si>
  <si>
    <t>longitude_MERRA</t>
  </si>
  <si>
    <t>V_112-3.0</t>
  </si>
  <si>
    <t>TSM-PDG5-255</t>
  </si>
  <si>
    <t>FS395</t>
  </si>
  <si>
    <t>*create dropdown list with these options</t>
  </si>
  <si>
    <t>kind</t>
  </si>
  <si>
    <t>Pb-acid</t>
  </si>
  <si>
    <t>Ni-Cd</t>
  </si>
  <si>
    <t>Na-S</t>
  </si>
  <si>
    <t>Li-ion</t>
  </si>
  <si>
    <t>pumprampmax</t>
  </si>
  <si>
    <t>storagecapacitymax</t>
  </si>
  <si>
    <t>EV</t>
  </si>
  <si>
    <t>solar PV multi c-Si</t>
  </si>
  <si>
    <t>solar PV mono c-Si</t>
  </si>
  <si>
    <t>solar PV thin film</t>
  </si>
  <si>
    <t>Generating Plant IDs</t>
  </si>
  <si>
    <t>Storage Plant IDs</t>
  </si>
  <si>
    <t>capacitor</t>
  </si>
  <si>
    <t>supercapacitor</t>
  </si>
  <si>
    <t>CS6V-225MM</t>
  </si>
  <si>
    <t>TO DO: need to change 'vre plants' sheet so that the area [m^2] and # modules gets updated according to these values, given the module type</t>
  </si>
  <si>
    <t>Col number</t>
  </si>
  <si>
    <t>ramp rate max</t>
  </si>
  <si>
    <t>start up ramp limit</t>
  </si>
  <si>
    <t>cost to commit the unit ($)</t>
  </si>
  <si>
    <t>start up cost</t>
  </si>
  <si>
    <t>cost curve equation</t>
  </si>
  <si>
    <t>0P</t>
  </si>
  <si>
    <t>spinning cost</t>
  </si>
  <si>
    <t>resevoir level</t>
  </si>
  <si>
    <t>initial power</t>
  </si>
  <si>
    <t>initial status</t>
  </si>
  <si>
    <t>hours in status</t>
  </si>
  <si>
    <t>combination of variable cost (P^1) and spinning cost (P^0)</t>
  </si>
  <si>
    <t xml:space="preserve">Notes: </t>
  </si>
  <si>
    <t>[$/ MBTU]</t>
  </si>
  <si>
    <t>shut down cost</t>
  </si>
  <si>
    <t>Non-vre  technology assumptions</t>
  </si>
  <si>
    <t xml:space="preserve">Cost - related Technology Characteristics </t>
  </si>
  <si>
    <t>Operating Characteristics</t>
  </si>
  <si>
    <t>min up time</t>
  </si>
  <si>
    <t>min down time</t>
  </si>
  <si>
    <t>minimum time for which a unit must be on (status =1) after it is committed [hours]</t>
  </si>
  <si>
    <t>[hours]</t>
  </si>
  <si>
    <t xml:space="preserve">minimum time for which a unit must be off (status = 0) after it is de-commited [hours] </t>
  </si>
  <si>
    <t>research these value and add it here</t>
  </si>
  <si>
    <t>minimum up time</t>
  </si>
  <si>
    <t>minimum down time</t>
  </si>
  <si>
    <t>[$ per hour committed]</t>
  </si>
  <si>
    <t>Ramping Characteristics</t>
  </si>
  <si>
    <t>ramp rate min</t>
  </si>
  <si>
    <t>[$ / MWcap]</t>
  </si>
  <si>
    <t>positive change in real power over 1 hour (MW/hr) for a spinning unit (with status = 1)</t>
  </si>
  <si>
    <t>negative change in real power over 1 hou (MW/hr) for a spinning unit (with status =1)</t>
  </si>
  <si>
    <t>negative change in power for spinning unit</t>
  </si>
  <si>
    <t>shut down ramp limit</t>
  </si>
  <si>
    <t>maximum positive change in real power over the first hour after startup (MW/hr)</t>
  </si>
  <si>
    <t>maximum negative change in real power over the last hor before shutdown (MW/hr)</t>
  </si>
  <si>
    <t>[MW/hr p MWcap]</t>
  </si>
  <si>
    <t>start up ramp</t>
  </si>
  <si>
    <t>shut down ramp</t>
  </si>
  <si>
    <t>battery</t>
  </si>
  <si>
    <t>0P + 0</t>
  </si>
  <si>
    <t>col.</t>
  </si>
  <si>
    <t>solar</t>
  </si>
  <si>
    <t>technology type</t>
  </si>
  <si>
    <t>unit capacity [kW]</t>
  </si>
  <si>
    <t>Nils's Paper (Submitted to Energy Economics)</t>
  </si>
  <si>
    <t>[Fraction of installed capacity]</t>
  </si>
  <si>
    <t>Scenario analysis inputs</t>
  </si>
  <si>
    <t>Installed Capacity Metric</t>
  </si>
  <si>
    <t>Flexibility Factor Metric</t>
  </si>
  <si>
    <t xml:space="preserve">Transmission network capacity metric </t>
  </si>
  <si>
    <t>Investment Cost</t>
  </si>
  <si>
    <t>[fraction on installed capacity]</t>
  </si>
  <si>
    <t>[fraction of installed capacity]</t>
  </si>
  <si>
    <t>Cost</t>
  </si>
  <si>
    <t>[$]</t>
  </si>
  <si>
    <t>bus number</t>
  </si>
  <si>
    <t>total installed capacity on bus</t>
  </si>
  <si>
    <t>total transmission capacity to/from bus</t>
  </si>
  <si>
    <t>Max capacity value</t>
  </si>
  <si>
    <t>Operating reserve coeff.</t>
  </si>
  <si>
    <t>Installed capacity by type</t>
  </si>
  <si>
    <t>fraction of load on bus</t>
  </si>
  <si>
    <t>[percentage]</t>
  </si>
  <si>
    <t xml:space="preserve"> VRE Resrouce Metric</t>
  </si>
  <si>
    <t>Proposed wind capacity</t>
  </si>
  <si>
    <t>Proposed multi c-Si solar capacity</t>
  </si>
  <si>
    <t>Proposed mono c-Si solar capacity</t>
  </si>
  <si>
    <t>Proposed thin film solar capacity</t>
  </si>
  <si>
    <t>Total overnight cost in 2014</t>
  </si>
  <si>
    <t>$/kW</t>
  </si>
  <si>
    <t xml:space="preserve">EIA AEO2015 Table 8.2" Cost and Performance characteristics of new central station electricity generating technologies </t>
  </si>
  <si>
    <t>My storage paper with Nils (YSSP report)</t>
  </si>
  <si>
    <t>[$/kW installed]</t>
  </si>
  <si>
    <t>line type</t>
  </si>
  <si>
    <t>transmission line cost</t>
  </si>
  <si>
    <t>Wind</t>
  </si>
  <si>
    <t>Solar</t>
  </si>
  <si>
    <t>USER: do not alter this sheet</t>
  </si>
  <si>
    <t>VRE generation types</t>
  </si>
  <si>
    <t>Technologies</t>
  </si>
  <si>
    <t>multi_c_Si</t>
  </si>
  <si>
    <t>mono_c_Si</t>
  </si>
  <si>
    <t>thin_film</t>
  </si>
  <si>
    <t>dr_potential</t>
  </si>
  <si>
    <t>over-production</t>
  </si>
  <si>
    <t>under-production</t>
  </si>
  <si>
    <t>maximum</t>
  </si>
  <si>
    <t>minimum</t>
  </si>
  <si>
    <t>maximum hourly dr limit (% of schedule)</t>
  </si>
  <si>
    <t>maximum daily dr (MW)</t>
  </si>
  <si>
    <t>ramping limiatations (MW)</t>
  </si>
  <si>
    <t>increasing_shed</t>
  </si>
  <si>
    <t>decreasing_shed</t>
  </si>
  <si>
    <t>minimum up/down times (hours)</t>
  </si>
  <si>
    <t>uptime</t>
  </si>
  <si>
    <t>downtime</t>
  </si>
  <si>
    <t>constraint:</t>
  </si>
  <si>
    <t>absolute hourly dr limit (MW)</t>
  </si>
  <si>
    <t>index</t>
  </si>
  <si>
    <t>initial values</t>
  </si>
  <si>
    <t>Each unique node must be listed at least once in the 'existing transmission' sheet under the 'from bus' category</t>
  </si>
  <si>
    <t xml:space="preserve"> -- 115 kV double circuit</t>
  </si>
  <si>
    <t xml:space="preserve"> -- 115 kV single circuit</t>
  </si>
  <si>
    <t>line cost</t>
  </si>
  <si>
    <t>city</t>
  </si>
  <si>
    <t>CHSM_6610P_250</t>
  </si>
  <si>
    <t>FS935</t>
  </si>
  <si>
    <t>FS4122_2</t>
  </si>
  <si>
    <t>CS6X_320P</t>
  </si>
  <si>
    <t>pmax</t>
  </si>
  <si>
    <t>storage content</t>
  </si>
  <si>
    <t>MW At Marginal Cost</t>
  </si>
  <si>
    <t xml:space="preserve">On the demand centres sheet, the dr_potential column needs to add to one. Also the dr_potential value for each city needs to be pro-rated by the percentage of load that that city consumes. The fomula in powersystems.py (Load constraints) for the second OPF is scheduled_load(time) - power(time) &gt;= dr_3 (UC dr) *dr_potential for each city. As such if the dr_3*dr_potenail is greater than the scheduled_load value for that city in that hour, then the OPF would have to have a negative power value, which is obviously impossible, and so it fails.  </t>
  </si>
  <si>
    <t>g</t>
  </si>
  <si>
    <t>pmin</t>
  </si>
  <si>
    <t>Imports</t>
  </si>
  <si>
    <t>unpluggedhours</t>
  </si>
  <si>
    <t>tripenergy</t>
  </si>
  <si>
    <t>Wind_1</t>
  </si>
  <si>
    <t>Wind_13</t>
  </si>
  <si>
    <t>Wind_19</t>
  </si>
  <si>
    <t>Des Cantons</t>
  </si>
  <si>
    <t>Laurentides</t>
  </si>
  <si>
    <t>NG_CC</t>
  </si>
  <si>
    <t>NG_CG</t>
  </si>
  <si>
    <t>hydro_daily</t>
  </si>
  <si>
    <t>hydro_monthly</t>
  </si>
  <si>
    <t>hydro_hourly</t>
  </si>
  <si>
    <t>Montagnais</t>
  </si>
  <si>
    <t>biogas</t>
  </si>
  <si>
    <t>Natural gas</t>
  </si>
  <si>
    <t>NG_CT</t>
  </si>
  <si>
    <t>Carignan</t>
  </si>
  <si>
    <t>Jacques-Cartier</t>
  </si>
  <si>
    <t>Outardes</t>
  </si>
  <si>
    <t>Nicolet</t>
  </si>
  <si>
    <t>Hertel</t>
  </si>
  <si>
    <t>Boucherville</t>
  </si>
  <si>
    <t>Manicouagan</t>
  </si>
  <si>
    <t>Bergeronnes</t>
  </si>
  <si>
    <t>Duvernay</t>
  </si>
  <si>
    <t>Saguenay</t>
  </si>
  <si>
    <t>Micoua</t>
  </si>
  <si>
    <t>Chamouchouane</t>
  </si>
  <si>
    <t>Arnaud</t>
  </si>
  <si>
    <t>Judith-Jasmin</t>
  </si>
  <si>
    <t>Le Moyne</t>
  </si>
  <si>
    <t>Tilly</t>
  </si>
  <si>
    <t>Chissibi</t>
  </si>
  <si>
    <t>Albanel</t>
  </si>
  <si>
    <t>La Grande-2</t>
  </si>
  <si>
    <t>Nemiscau</t>
  </si>
  <si>
    <t>Radisson</t>
  </si>
  <si>
    <t>La Grande-3</t>
  </si>
  <si>
    <t>La Grande-4</t>
  </si>
  <si>
    <t>Chibougamou</t>
  </si>
  <si>
    <t>Abitibi</t>
  </si>
  <si>
    <t>Appalaches</t>
  </si>
  <si>
    <t>IREQ</t>
  </si>
  <si>
    <t>Romaine-3</t>
  </si>
  <si>
    <t>Romaine-4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</si>
  <si>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</si>
  <si>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</si>
  <si>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</si>
  <si>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</si>
  <si>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</si>
  <si>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</si>
  <si>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</si>
  <si>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</si>
  <si>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</si>
  <si>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</si>
  <si>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</si>
  <si>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</si>
  <si>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</si>
  <si>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</si>
  <si>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</si>
  <si>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</si>
  <si>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</si>
  <si>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</si>
  <si>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</si>
  <si>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</si>
  <si>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</si>
  <si>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</si>
  <si>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</si>
  <si>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</si>
  <si>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</si>
  <si>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</si>
  <si>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</si>
  <si>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</si>
  <si>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</si>
  <si>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</si>
  <si>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</si>
  <si>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</si>
  <si>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</si>
  <si>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</si>
  <si>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</si>
  <si>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</si>
  <si>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</si>
  <si>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</si>
  <si>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</si>
  <si>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</si>
  <si>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</si>
  <si>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Line_47</t>
  </si>
  <si>
    <t>Line_48</t>
  </si>
  <si>
    <t>Line_49</t>
  </si>
  <si>
    <t>Line_50</t>
  </si>
  <si>
    <t>Line_51</t>
  </si>
  <si>
    <t>Line_52</t>
  </si>
  <si>
    <t>Line_53</t>
  </si>
  <si>
    <t>Line_54</t>
  </si>
  <si>
    <t>Line_55</t>
  </si>
  <si>
    <t>Line_56</t>
  </si>
  <si>
    <t>Line_57</t>
  </si>
  <si>
    <t>Line_58</t>
  </si>
  <si>
    <t>Line_59</t>
  </si>
  <si>
    <t>Line_60</t>
  </si>
  <si>
    <t>Line_61</t>
  </si>
  <si>
    <t>Line_62</t>
  </si>
  <si>
    <t>Line_63</t>
  </si>
  <si>
    <t>Line_64</t>
  </si>
  <si>
    <t>Line_65</t>
  </si>
  <si>
    <t>Line_66</t>
  </si>
  <si>
    <t>Line_67</t>
  </si>
  <si>
    <t>Line_68</t>
  </si>
  <si>
    <t>Line_69</t>
  </si>
  <si>
    <t>Line_70</t>
  </si>
  <si>
    <t>Line_71</t>
  </si>
  <si>
    <t>Line_72</t>
  </si>
  <si>
    <t>Line_73</t>
  </si>
  <si>
    <t>Line_74</t>
  </si>
  <si>
    <t>Line_75</t>
  </si>
  <si>
    <t>Line_76</t>
  </si>
  <si>
    <t>Line_77</t>
  </si>
  <si>
    <t>Line_78</t>
  </si>
  <si>
    <t>Line_79</t>
  </si>
  <si>
    <t>Line_80</t>
  </si>
  <si>
    <t>Line_81</t>
  </si>
  <si>
    <t>Line_82</t>
  </si>
  <si>
    <t>Line_83</t>
  </si>
  <si>
    <t>Line_84</t>
  </si>
  <si>
    <t>Line_85</t>
  </si>
  <si>
    <t>Line_86</t>
  </si>
  <si>
    <t>Line_87</t>
  </si>
  <si>
    <t>Line_88</t>
  </si>
  <si>
    <t>Line_89</t>
  </si>
  <si>
    <t>Line_90</t>
  </si>
  <si>
    <t>Line_91</t>
  </si>
  <si>
    <t>Line_92</t>
  </si>
  <si>
    <t>cascade group name</t>
  </si>
  <si>
    <t>number</t>
  </si>
  <si>
    <t>min storage</t>
  </si>
  <si>
    <t>max storage</t>
  </si>
  <si>
    <t>min water discharge</t>
  </si>
  <si>
    <t>max water discharge</t>
  </si>
  <si>
    <t>h factor</t>
  </si>
  <si>
    <t>biogas_1</t>
  </si>
  <si>
    <t>hydro_daily_1</t>
  </si>
  <si>
    <t>biomass_4</t>
  </si>
  <si>
    <t>biomass_6</t>
  </si>
  <si>
    <t>biomass_7</t>
  </si>
  <si>
    <t>hydro_daily_3</t>
  </si>
  <si>
    <t>hydro_daily_4</t>
  </si>
  <si>
    <t>hydro_daily_5</t>
  </si>
  <si>
    <t>hydro_daily_6</t>
  </si>
  <si>
    <t>hydro_daily_9</t>
  </si>
  <si>
    <t>hydro_daily_11</t>
  </si>
  <si>
    <t>hydro_daily_12</t>
  </si>
  <si>
    <t>hydro_monthly_1</t>
  </si>
  <si>
    <t>hydro_monthly_2</t>
  </si>
  <si>
    <t>hydro_monthly_3</t>
  </si>
  <si>
    <t>hydro_monthly_4</t>
  </si>
  <si>
    <t>hydro_monthly_6</t>
  </si>
  <si>
    <t>hydro_monthly_7</t>
  </si>
  <si>
    <t>hydro_monthly_8</t>
  </si>
  <si>
    <t>hydro_monthly_9</t>
  </si>
  <si>
    <t>hydro_monthly_10</t>
  </si>
  <si>
    <t>hydro_monthly_11</t>
  </si>
  <si>
    <t>hydro_monthly_13</t>
  </si>
  <si>
    <t>hydro_monthly_14</t>
  </si>
  <si>
    <t>hydro_monthly_15</t>
  </si>
  <si>
    <t>hydro_monthly_17</t>
  </si>
  <si>
    <t>hydro_monthly_18</t>
  </si>
  <si>
    <t>hydro_monthly_19</t>
  </si>
  <si>
    <t>hydro_monthly_20</t>
  </si>
  <si>
    <t>hydro_monthly_21</t>
  </si>
  <si>
    <t>hydro_hourly_1</t>
  </si>
  <si>
    <t>hydro_hourly_3</t>
  </si>
  <si>
    <t>hydro_hourly_13</t>
  </si>
  <si>
    <t>hydro_hourly_16</t>
  </si>
  <si>
    <t>hydro_hourly_17</t>
  </si>
  <si>
    <t>NG_CC_1</t>
  </si>
  <si>
    <t>NG_CG_1</t>
  </si>
  <si>
    <t>NG_CG_2</t>
  </si>
  <si>
    <t>reactance-old</t>
  </si>
  <si>
    <t>Load_1</t>
  </si>
  <si>
    <t>Load_2</t>
  </si>
  <si>
    <t>Load_3</t>
  </si>
  <si>
    <t>Load_4</t>
  </si>
  <si>
    <t>Load_5</t>
  </si>
  <si>
    <t>Load_6</t>
  </si>
  <si>
    <t>Load_14</t>
  </si>
  <si>
    <t>Load_15</t>
  </si>
  <si>
    <t>Load_16</t>
  </si>
  <si>
    <t>Load_17</t>
  </si>
  <si>
    <t>Load_18</t>
  </si>
  <si>
    <t>Load_19</t>
  </si>
  <si>
    <t>Load_35</t>
  </si>
  <si>
    <t>Load_36</t>
  </si>
  <si>
    <t>Load_42</t>
  </si>
  <si>
    <t>Load_43</t>
  </si>
  <si>
    <t>Load_54</t>
  </si>
  <si>
    <t>Load_55</t>
  </si>
  <si>
    <t>Load_56</t>
  </si>
  <si>
    <t>Load_65</t>
  </si>
  <si>
    <t>Load_78</t>
  </si>
  <si>
    <t>Load_89</t>
  </si>
  <si>
    <t>Load_90</t>
  </si>
  <si>
    <t>Load_91</t>
  </si>
  <si>
    <t>Load_107</t>
  </si>
  <si>
    <t>Load_108</t>
  </si>
  <si>
    <t>Load_109</t>
  </si>
  <si>
    <t>Load_110</t>
  </si>
  <si>
    <t>Load_111</t>
  </si>
  <si>
    <t>Load_121</t>
  </si>
  <si>
    <t>Load_122</t>
  </si>
  <si>
    <t>Load_123</t>
  </si>
  <si>
    <t>Load_146</t>
  </si>
  <si>
    <t>Load_147</t>
  </si>
  <si>
    <t>Load_148</t>
  </si>
  <si>
    <t>Load_155</t>
  </si>
  <si>
    <t>Load_156</t>
  </si>
  <si>
    <t>Load_162</t>
  </si>
  <si>
    <t>Load_163</t>
  </si>
  <si>
    <t>Load_164</t>
  </si>
  <si>
    <t>Load_165</t>
  </si>
  <si>
    <t>Load_166</t>
  </si>
  <si>
    <t>Load_167</t>
  </si>
  <si>
    <t>Load_168</t>
  </si>
  <si>
    <t>Load_169</t>
  </si>
  <si>
    <t>Load_7</t>
  </si>
  <si>
    <t>Load_8</t>
  </si>
  <si>
    <t>Load_9</t>
  </si>
  <si>
    <t>Load_10</t>
  </si>
  <si>
    <t>Load_11</t>
  </si>
  <si>
    <t>Load_12</t>
  </si>
  <si>
    <t>Load_13</t>
  </si>
  <si>
    <t>Load_20</t>
  </si>
  <si>
    <t>Load_21</t>
  </si>
  <si>
    <t>Load_22</t>
  </si>
  <si>
    <t>Load_23</t>
  </si>
  <si>
    <t>Load_24</t>
  </si>
  <si>
    <t>Load_25</t>
  </si>
  <si>
    <t>Load_26</t>
  </si>
  <si>
    <t>Load_27</t>
  </si>
  <si>
    <t>Load_28</t>
  </si>
  <si>
    <t>Load_29</t>
  </si>
  <si>
    <t>Load_30</t>
  </si>
  <si>
    <t>Load_31</t>
  </si>
  <si>
    <t>Load_32</t>
  </si>
  <si>
    <t>Load_33</t>
  </si>
  <si>
    <t>Load_34</t>
  </si>
  <si>
    <t>Load_37</t>
  </si>
  <si>
    <t>Load_38</t>
  </si>
  <si>
    <t>Load_39</t>
  </si>
  <si>
    <t>Chateauguay</t>
  </si>
  <si>
    <t>Load_40</t>
  </si>
  <si>
    <t>Load_41</t>
  </si>
  <si>
    <t>Chenier</t>
  </si>
  <si>
    <t>Load_44</t>
  </si>
  <si>
    <t>Load_45</t>
  </si>
  <si>
    <t>Load_46</t>
  </si>
  <si>
    <t>Load_47</t>
  </si>
  <si>
    <t>Load_48</t>
  </si>
  <si>
    <t>Load_49</t>
  </si>
  <si>
    <t>Load_50</t>
  </si>
  <si>
    <t>Load_51</t>
  </si>
  <si>
    <t>Load_52</t>
  </si>
  <si>
    <t>Load_53</t>
  </si>
  <si>
    <t>Load_57</t>
  </si>
  <si>
    <t>Load_58</t>
  </si>
  <si>
    <t>Load_59</t>
  </si>
  <si>
    <t>Load_60</t>
  </si>
  <si>
    <t>Load_61</t>
  </si>
  <si>
    <t>Load_62</t>
  </si>
  <si>
    <t>Load_63</t>
  </si>
  <si>
    <t>Load_64</t>
  </si>
  <si>
    <t>Load_66</t>
  </si>
  <si>
    <t>Load_67</t>
  </si>
  <si>
    <t>Load_68</t>
  </si>
  <si>
    <t>Load_69</t>
  </si>
  <si>
    <t>Load_70</t>
  </si>
  <si>
    <t>Load_71</t>
  </si>
  <si>
    <t>Load_72</t>
  </si>
  <si>
    <t>Load_73</t>
  </si>
  <si>
    <t>Grand Brule</t>
  </si>
  <si>
    <t>Load_74</t>
  </si>
  <si>
    <t>Load_75</t>
  </si>
  <si>
    <t>Load_76</t>
  </si>
  <si>
    <t>Load_77</t>
  </si>
  <si>
    <t>Load_79</t>
  </si>
  <si>
    <t>Load_80</t>
  </si>
  <si>
    <t>Load_81</t>
  </si>
  <si>
    <t>Load_82</t>
  </si>
  <si>
    <t>Load_83</t>
  </si>
  <si>
    <t>Load_84</t>
  </si>
  <si>
    <t>Load_85</t>
  </si>
  <si>
    <t>Load_86</t>
  </si>
  <si>
    <t>Load_87</t>
  </si>
  <si>
    <t>Load_88</t>
  </si>
  <si>
    <t>Load_92</t>
  </si>
  <si>
    <t>Load_93</t>
  </si>
  <si>
    <t>Load_94</t>
  </si>
  <si>
    <t>Load_95</t>
  </si>
  <si>
    <t>Load_96</t>
  </si>
  <si>
    <t>Load_97</t>
  </si>
  <si>
    <t>Load_98</t>
  </si>
  <si>
    <t>Load_99</t>
  </si>
  <si>
    <t>Load_100</t>
  </si>
  <si>
    <t>Load_101</t>
  </si>
  <si>
    <t>Load_102</t>
  </si>
  <si>
    <t>Load_103</t>
  </si>
  <si>
    <t>Load_104</t>
  </si>
  <si>
    <t>Load_105</t>
  </si>
  <si>
    <t>Load_106</t>
  </si>
  <si>
    <t>La Verendrye</t>
  </si>
  <si>
    <t>Load_112</t>
  </si>
  <si>
    <t>Load_113</t>
  </si>
  <si>
    <t>Load_114</t>
  </si>
  <si>
    <t>Load_115</t>
  </si>
  <si>
    <t>Load_116</t>
  </si>
  <si>
    <t>Load_117</t>
  </si>
  <si>
    <t>Load_118</t>
  </si>
  <si>
    <t>Load_119</t>
  </si>
  <si>
    <t>Load_120</t>
  </si>
  <si>
    <t>Levis</t>
  </si>
  <si>
    <t>Load_124</t>
  </si>
  <si>
    <t>Load_125</t>
  </si>
  <si>
    <t>Load_126</t>
  </si>
  <si>
    <t>Load_127</t>
  </si>
  <si>
    <t>Load_128</t>
  </si>
  <si>
    <t>Load_129</t>
  </si>
  <si>
    <t>Load_130</t>
  </si>
  <si>
    <t>Load_131</t>
  </si>
  <si>
    <t>Load_132</t>
  </si>
  <si>
    <t>Load_133</t>
  </si>
  <si>
    <t>Load_134</t>
  </si>
  <si>
    <t>Load_135</t>
  </si>
  <si>
    <t>Load_136</t>
  </si>
  <si>
    <t>Load_137</t>
  </si>
  <si>
    <t>Load_138</t>
  </si>
  <si>
    <t>Load_139</t>
  </si>
  <si>
    <t>Load_140</t>
  </si>
  <si>
    <t>Load_141</t>
  </si>
  <si>
    <t>Load_143</t>
  </si>
  <si>
    <t>Load_144</t>
  </si>
  <si>
    <t>Load_145</t>
  </si>
  <si>
    <t>Load_149</t>
  </si>
  <si>
    <t>Monteregie</t>
  </si>
  <si>
    <t>Load_150</t>
  </si>
  <si>
    <t>Load_151</t>
  </si>
  <si>
    <t>Load_152</t>
  </si>
  <si>
    <t>Load_153</t>
  </si>
  <si>
    <t>Load_154</t>
  </si>
  <si>
    <t>Load_157</t>
  </si>
  <si>
    <t>Load_158</t>
  </si>
  <si>
    <t>Load_159</t>
  </si>
  <si>
    <t>Load_160</t>
  </si>
  <si>
    <t>Load_161</t>
  </si>
  <si>
    <t>Perigny</t>
  </si>
  <si>
    <t>Load_170</t>
  </si>
  <si>
    <t>Bout-de-lile</t>
  </si>
  <si>
    <t>IPB Montagnais</t>
  </si>
  <si>
    <t>Metallurgie Magnola Inc.</t>
  </si>
  <si>
    <t>biomass_1</t>
  </si>
  <si>
    <t>biomass_2</t>
  </si>
  <si>
    <t>biomass_3</t>
  </si>
  <si>
    <t>biomass_5</t>
  </si>
  <si>
    <t>biomass_8</t>
  </si>
  <si>
    <t>hydro_daily_2</t>
  </si>
  <si>
    <t>hydro_daily_7</t>
  </si>
  <si>
    <t>hydro_daily_8</t>
  </si>
  <si>
    <t>hydro_daily_13</t>
  </si>
  <si>
    <t>hydro_daily_14</t>
  </si>
  <si>
    <t>hydro_monthly_12</t>
  </si>
  <si>
    <t>hydro_monthly_16</t>
  </si>
  <si>
    <t>hydro_hourly_2</t>
  </si>
  <si>
    <t>hydro_hourly_4</t>
  </si>
  <si>
    <t>hydro_hourly_5</t>
  </si>
  <si>
    <t>hydro_hourly_6</t>
  </si>
  <si>
    <t>hydro_hourly_7</t>
  </si>
  <si>
    <t>hydro_hourly_8</t>
  </si>
  <si>
    <t>hydro_hourly_9</t>
  </si>
  <si>
    <t>hydro_hourly_10</t>
  </si>
  <si>
    <t>hydro_hourly_11</t>
  </si>
  <si>
    <t>hydro_hourly_12</t>
  </si>
  <si>
    <t>hydro_hourly_14</t>
  </si>
  <si>
    <t>hydro_hourly_15</t>
  </si>
  <si>
    <t>importexport_1</t>
  </si>
  <si>
    <t>importexport</t>
  </si>
  <si>
    <t>importexport_2</t>
  </si>
  <si>
    <t>importexport_3</t>
  </si>
  <si>
    <t>importexport_4</t>
  </si>
  <si>
    <t>75.5P</t>
  </si>
  <si>
    <t>136.5P</t>
  </si>
  <si>
    <t>3.3P</t>
  </si>
  <si>
    <t>100P</t>
  </si>
  <si>
    <t>importexport_5</t>
  </si>
  <si>
    <t>importexport_6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</si>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</sst>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-* #,##0.00_-;\-* #,##0.00_-;_-* &quot;-&quot;??_-;_-@_-"/>
    <numFmt numFmtId="165" formatCode="0.000"/>
    <numFmt numFmtId="166" formatCode="0.0"/>
    <numFmt numFmtId="167" formatCode="_-* #,##0_-;\-* #,##0_-;_-* &quot;-&quot;??_-;_-@_-"/>
    <numFmt numFmtId="168" formatCode="#,##0.000000"/>
    <numFmt numFmtId="169" formatCode="0.000%"/>
  </numFmts>
  <fonts count="3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Liberation Sans"/>
    </font>
    <font>
      <sz val="10"/>
      <name val="Arial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4"/>
      <name val="Calibri"/>
      <family val="2"/>
      <scheme val="minor"/>
    </font>
    <font>
      <sz val="9"/>
      <color theme="5" tint="-0.249977111117893"/>
      <name val="Calibri"/>
      <family val="2"/>
      <scheme val="minor"/>
    </font>
    <font>
      <sz val="9"/>
      <color rgb="FF9999FF"/>
      <name val="Calibri"/>
      <family val="2"/>
      <scheme val="minor"/>
    </font>
    <font>
      <sz val="9"/>
      <color rgb="FF00B050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8"/>
      <color rgb="FF9999FF"/>
      <name val="Calibri"/>
      <family val="2"/>
      <scheme val="minor"/>
    </font>
    <font>
      <sz val="8"/>
      <color rgb="FF00B050"/>
      <name val="Calibri"/>
      <family val="2"/>
      <scheme val="minor"/>
    </font>
    <font>
      <sz val="11"/>
      <color rgb="FF0070C0"/>
      <name val="Calibri"/>
      <family val="2"/>
      <scheme val="minor"/>
    </font>
    <font>
      <sz val="8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name val="Calibri"/>
      <family val="2"/>
      <scheme val="minor"/>
    </font>
    <font>
      <sz val="8"/>
      <name val="Calibri"/>
      <family val="2"/>
      <scheme val="minor"/>
    </font>
    <font>
      <sz val="9"/>
      <color rgb="FF0099CC"/>
      <name val="Calibri"/>
      <family val="2"/>
      <scheme val="minor"/>
    </font>
    <font>
      <sz val="8"/>
      <color rgb="FF0099CC"/>
      <name val="Calibri"/>
      <family val="2"/>
      <scheme val="minor"/>
    </font>
    <font>
      <sz val="9"/>
      <color rgb="FF7030A0"/>
      <name val="Calibri"/>
      <family val="2"/>
      <scheme val="minor"/>
    </font>
    <font>
      <sz val="8"/>
      <color rgb="FF7030A0"/>
      <name val="Calibri"/>
      <family val="2"/>
      <scheme val="minor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sz val="14"/>
      <name val="Calibri"/>
      <family val="2"/>
    </font>
    <font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rgb="FF9999FF"/>
      <name val="Calibri"/>
      <family val="2"/>
      <scheme val="minor"/>
    </font>
  </fonts>
  <fills count="2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00FFFF"/>
        <bgColor indexed="64"/>
      </patternFill>
    </fill>
    <fill>
      <patternFill patternType="gray125">
        <fgColor theme="0" tint="-0.14996795556505021"/>
        <bgColor indexed="65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0" fontId="3" fillId="0" borderId="0"/>
    <xf numFmtId="9" fontId="6" fillId="0" borderId="0" applyFont="0" applyFill="0" applyBorder="0" applyAlignment="0" applyProtection="0"/>
    <xf numFmtId="0" fontId="7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30" fillId="0" borderId="12">
      <alignment horizontal="center" vertical="center" wrapText="1"/>
    </xf>
    <xf numFmtId="3" fontId="31" fillId="0" borderId="12">
      <alignment horizontal="right" vertical="center"/>
    </xf>
    <xf numFmtId="4" fontId="31" fillId="0" borderId="12">
      <alignment horizontal="right" vertical="center"/>
    </xf>
    <xf numFmtId="168" fontId="31" fillId="0" borderId="12">
      <alignment horizontal="right" vertical="center"/>
    </xf>
    <xf numFmtId="0" fontId="30" fillId="0" borderId="12">
      <alignment horizontal="left" vertical="center" wrapText="1"/>
    </xf>
    <xf numFmtId="1" fontId="34" fillId="28" borderId="12">
      <alignment horizontal="center" vertical="center"/>
    </xf>
  </cellStyleXfs>
  <cellXfs count="239">
    <xf numFmtId="0" fontId="0" fillId="0" borderId="0" xfId="0"/>
    <xf numFmtId="0" fontId="4" fillId="0" borderId="0" xfId="2" applyFont="1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2" fontId="0" fillId="0" borderId="0" xfId="0" applyNumberFormat="1"/>
    <xf numFmtId="0" fontId="0" fillId="10" borderId="0" xfId="0" applyFill="1"/>
    <xf numFmtId="0" fontId="0" fillId="11" borderId="0" xfId="0" applyFill="1"/>
    <xf numFmtId="2" fontId="0" fillId="12" borderId="0" xfId="0" applyNumberFormat="1" applyFill="1"/>
    <xf numFmtId="0" fontId="0" fillId="12" borderId="0" xfId="0" applyFill="1"/>
    <xf numFmtId="0" fontId="0" fillId="0" borderId="0" xfId="0" applyBorder="1"/>
    <xf numFmtId="0" fontId="7" fillId="0" borderId="0" xfId="4"/>
    <xf numFmtId="166" fontId="0" fillId="0" borderId="0" xfId="0" applyNumberFormat="1"/>
    <xf numFmtId="0" fontId="0" fillId="0" borderId="0" xfId="0" applyNumberFormat="1"/>
    <xf numFmtId="49" fontId="0" fillId="0" borderId="0" xfId="0" applyNumberFormat="1"/>
    <xf numFmtId="0" fontId="0" fillId="13" borderId="0" xfId="0" applyFill="1"/>
    <xf numFmtId="49" fontId="0" fillId="13" borderId="0" xfId="0" applyNumberFormat="1" applyFill="1"/>
    <xf numFmtId="49" fontId="0" fillId="13" borderId="2" xfId="0" applyNumberFormat="1" applyFill="1" applyBorder="1"/>
    <xf numFmtId="49" fontId="0" fillId="13" borderId="0" xfId="0" applyNumberFormat="1" applyFill="1" applyBorder="1"/>
    <xf numFmtId="49" fontId="0" fillId="13" borderId="3" xfId="0" applyNumberFormat="1" applyFill="1" applyBorder="1"/>
    <xf numFmtId="0" fontId="0" fillId="13" borderId="2" xfId="0" applyFill="1" applyBorder="1" applyAlignment="1">
      <alignment horizontal="center"/>
    </xf>
    <xf numFmtId="0" fontId="0" fillId="13" borderId="0" xfId="0" applyNumberFormat="1" applyFill="1"/>
    <xf numFmtId="9" fontId="0" fillId="13" borderId="0" xfId="3" applyFont="1" applyFill="1"/>
    <xf numFmtId="9" fontId="0" fillId="13" borderId="3" xfId="0" applyNumberFormat="1" applyFill="1" applyBorder="1" applyAlignment="1">
      <alignment horizontal="center"/>
    </xf>
    <xf numFmtId="10" fontId="0" fillId="13" borderId="1" xfId="3" applyNumberFormat="1" applyFont="1" applyFill="1" applyBorder="1"/>
    <xf numFmtId="10" fontId="0" fillId="13" borderId="0" xfId="3" applyNumberFormat="1" applyFont="1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166" fontId="0" fillId="2" borderId="0" xfId="0" applyNumberFormat="1" applyFill="1"/>
    <xf numFmtId="0" fontId="9" fillId="0" borderId="0" xfId="0" applyFont="1"/>
    <xf numFmtId="0" fontId="0" fillId="18" borderId="0" xfId="0" applyFill="1"/>
    <xf numFmtId="0" fontId="0" fillId="0" borderId="0" xfId="0" applyAlignment="1"/>
    <xf numFmtId="0" fontId="5" fillId="0" borderId="0" xfId="0" applyFont="1"/>
    <xf numFmtId="0" fontId="0" fillId="19" borderId="0" xfId="0" applyFill="1"/>
    <xf numFmtId="2" fontId="0" fillId="19" borderId="0" xfId="0" applyNumberFormat="1" applyFill="1"/>
    <xf numFmtId="0" fontId="0" fillId="20" borderId="0" xfId="0" applyFill="1"/>
    <xf numFmtId="2" fontId="0" fillId="20" borderId="0" xfId="0" applyNumberFormat="1" applyFill="1"/>
    <xf numFmtId="0" fontId="0" fillId="21" borderId="0" xfId="0" applyFill="1"/>
    <xf numFmtId="2" fontId="0" fillId="21" borderId="0" xfId="0" applyNumberFormat="1" applyFill="1"/>
    <xf numFmtId="0" fontId="0" fillId="0" borderId="0" xfId="0" applyAlignment="1">
      <alignment horizontal="left"/>
    </xf>
    <xf numFmtId="0" fontId="8" fillId="14" borderId="0" xfId="0" applyFont="1" applyFill="1" applyBorder="1" applyAlignment="1">
      <alignment horizontal="center"/>
    </xf>
    <xf numFmtId="0" fontId="8" fillId="15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11" fillId="0" borderId="0" xfId="0" applyFont="1"/>
    <xf numFmtId="0" fontId="0" fillId="2" borderId="0" xfId="0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6" borderId="0" xfId="0" applyNumberFormat="1" applyFill="1" applyAlignment="1">
      <alignment horizontal="center"/>
    </xf>
    <xf numFmtId="0" fontId="0" fillId="7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9" fillId="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8" borderId="0" xfId="0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5" xfId="0" applyBorder="1"/>
    <xf numFmtId="0" fontId="12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0" fontId="14" fillId="0" borderId="9" xfId="0" applyFont="1" applyBorder="1" applyAlignment="1">
      <alignment horizontal="center"/>
    </xf>
    <xf numFmtId="0" fontId="0" fillId="0" borderId="8" xfId="0" applyBorder="1"/>
    <xf numFmtId="0" fontId="10" fillId="0" borderId="0" xfId="0" applyFont="1" applyBorder="1" applyAlignment="1">
      <alignment horizontal="center"/>
    </xf>
    <xf numFmtId="2" fontId="0" fillId="0" borderId="0" xfId="5" applyNumberFormat="1" applyFont="1" applyBorder="1" applyAlignment="1">
      <alignment horizontal="center"/>
    </xf>
    <xf numFmtId="2" fontId="0" fillId="0" borderId="9" xfId="5" applyNumberFormat="1" applyFont="1" applyBorder="1" applyAlignment="1">
      <alignment horizontal="center"/>
    </xf>
    <xf numFmtId="0" fontId="0" fillId="0" borderId="11" xfId="0" applyBorder="1"/>
    <xf numFmtId="0" fontId="0" fillId="0" borderId="4" xfId="0" applyBorder="1" applyAlignment="1">
      <alignment horizontal="center"/>
    </xf>
    <xf numFmtId="0" fontId="15" fillId="0" borderId="4" xfId="0" applyFont="1" applyBorder="1" applyAlignment="1">
      <alignment horizontal="center"/>
    </xf>
    <xf numFmtId="0" fontId="16" fillId="0" borderId="4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4" fillId="0" borderId="0" xfId="0" applyFont="1" applyBorder="1" applyAlignment="1"/>
    <xf numFmtId="0" fontId="14" fillId="0" borderId="0" xfId="0" applyFont="1" applyBorder="1" applyAlignment="1">
      <alignment wrapText="1"/>
    </xf>
    <xf numFmtId="0" fontId="19" fillId="0" borderId="0" xfId="0" applyFont="1" applyBorder="1" applyAlignment="1">
      <alignment horizontal="center"/>
    </xf>
    <xf numFmtId="0" fontId="18" fillId="0" borderId="0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19" fillId="0" borderId="4" xfId="0" applyFont="1" applyBorder="1" applyAlignment="1">
      <alignment horizontal="center"/>
    </xf>
    <xf numFmtId="0" fontId="18" fillId="0" borderId="4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8" xfId="0" applyFont="1" applyBorder="1"/>
    <xf numFmtId="0" fontId="0" fillId="0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/>
    </xf>
    <xf numFmtId="0" fontId="0" fillId="23" borderId="0" xfId="0" applyFill="1" applyAlignment="1">
      <alignment wrapText="1"/>
    </xf>
    <xf numFmtId="0" fontId="0" fillId="24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 applyAlignment="1">
      <alignment wrapText="1"/>
    </xf>
    <xf numFmtId="9" fontId="0" fillId="24" borderId="0" xfId="0" applyNumberFormat="1" applyFill="1" applyAlignment="1">
      <alignment horizontal="center"/>
    </xf>
    <xf numFmtId="0" fontId="12" fillId="0" borderId="0" xfId="0" applyFont="1" applyBorder="1" applyAlignment="1">
      <alignment horizontal="center" wrapText="1"/>
    </xf>
    <xf numFmtId="0" fontId="13" fillId="0" borderId="0" xfId="0" applyFont="1" applyBorder="1" applyAlignment="1">
      <alignment horizontal="center" wrapText="1"/>
    </xf>
    <xf numFmtId="0" fontId="24" fillId="0" borderId="0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26" fillId="0" borderId="0" xfId="0" applyFont="1" applyBorder="1" applyAlignment="1">
      <alignment horizontal="center" wrapText="1"/>
    </xf>
    <xf numFmtId="0" fontId="26" fillId="0" borderId="9" xfId="0" applyFont="1" applyBorder="1" applyAlignment="1">
      <alignment horizontal="center" wrapText="1"/>
    </xf>
    <xf numFmtId="0" fontId="15" fillId="0" borderId="4" xfId="0" applyFont="1" applyBorder="1" applyAlignment="1">
      <alignment horizontal="center" wrapText="1"/>
    </xf>
    <xf numFmtId="0" fontId="16" fillId="0" borderId="4" xfId="0" applyFont="1" applyBorder="1" applyAlignment="1">
      <alignment horizontal="center" wrapText="1"/>
    </xf>
    <xf numFmtId="0" fontId="25" fillId="0" borderId="4" xfId="0" applyFont="1" applyBorder="1" applyAlignment="1">
      <alignment horizontal="center" wrapText="1"/>
    </xf>
    <xf numFmtId="0" fontId="17" fillId="0" borderId="4" xfId="0" applyFont="1" applyBorder="1" applyAlignment="1">
      <alignment horizontal="center" wrapText="1"/>
    </xf>
    <xf numFmtId="0" fontId="27" fillId="0" borderId="4" xfId="0" applyFont="1" applyBorder="1" applyAlignment="1">
      <alignment horizontal="center" wrapText="1"/>
    </xf>
    <xf numFmtId="0" fontId="27" fillId="0" borderId="10" xfId="0" applyFont="1" applyBorder="1" applyAlignment="1">
      <alignment horizontal="center" wrapText="1"/>
    </xf>
    <xf numFmtId="0" fontId="0" fillId="0" borderId="6" xfId="0" applyBorder="1"/>
    <xf numFmtId="0" fontId="22" fillId="0" borderId="0" xfId="0" applyFont="1" applyBorder="1" applyAlignment="1">
      <alignment horizontal="center" wrapText="1"/>
    </xf>
    <xf numFmtId="0" fontId="23" fillId="0" borderId="4" xfId="0" applyFont="1" applyBorder="1" applyAlignment="1">
      <alignment horizontal="center" wrapText="1"/>
    </xf>
    <xf numFmtId="0" fontId="0" fillId="0" borderId="8" xfId="0" applyBorder="1" applyAlignment="1">
      <alignment horizontal="left"/>
    </xf>
    <xf numFmtId="9" fontId="0" fillId="0" borderId="0" xfId="0" applyNumberFormat="1" applyFill="1"/>
    <xf numFmtId="0" fontId="24" fillId="0" borderId="8" xfId="0" applyFont="1" applyBorder="1" applyAlignment="1">
      <alignment horizontal="center" wrapText="1"/>
    </xf>
    <xf numFmtId="0" fontId="24" fillId="0" borderId="9" xfId="0" applyFont="1" applyBorder="1" applyAlignment="1">
      <alignment horizontal="center" wrapText="1"/>
    </xf>
    <xf numFmtId="0" fontId="25" fillId="0" borderId="11" xfId="0" applyFont="1" applyBorder="1" applyAlignment="1">
      <alignment horizontal="center" wrapText="1"/>
    </xf>
    <xf numFmtId="0" fontId="25" fillId="0" borderId="10" xfId="0" applyFont="1" applyBorder="1" applyAlignment="1">
      <alignment horizontal="center" wrapText="1"/>
    </xf>
    <xf numFmtId="1" fontId="0" fillId="0" borderId="0" xfId="0" applyNumberFormat="1" applyBorder="1" applyAlignment="1">
      <alignment horizontal="center"/>
    </xf>
    <xf numFmtId="1" fontId="0" fillId="0" borderId="0" xfId="5" applyNumberFormat="1" applyFont="1" applyBorder="1" applyAlignment="1">
      <alignment horizontal="center"/>
    </xf>
    <xf numFmtId="164" fontId="0" fillId="0" borderId="0" xfId="5" applyFont="1" applyFill="1"/>
    <xf numFmtId="167" fontId="0" fillId="0" borderId="0" xfId="5" applyNumberFormat="1" applyFont="1" applyFill="1" applyAlignment="1">
      <alignment horizontal="center"/>
    </xf>
    <xf numFmtId="167" fontId="4" fillId="25" borderId="0" xfId="5" applyNumberFormat="1" applyFont="1" applyFill="1" applyAlignment="1">
      <alignment horizontal="center"/>
    </xf>
    <xf numFmtId="0" fontId="0" fillId="25" borderId="0" xfId="0" applyFill="1"/>
    <xf numFmtId="164" fontId="0" fillId="19" borderId="0" xfId="5" applyFont="1" applyFill="1"/>
    <xf numFmtId="167" fontId="0" fillId="0" borderId="9" xfId="5" applyNumberFormat="1" applyFont="1" applyBorder="1" applyAlignment="1">
      <alignment horizontal="center"/>
    </xf>
    <xf numFmtId="167" fontId="0" fillId="0" borderId="0" xfId="5" applyNumberFormat="1" applyFont="1"/>
    <xf numFmtId="0" fontId="0" fillId="15" borderId="0" xfId="0" applyFill="1" applyAlignment="1">
      <alignment horizontal="left"/>
    </xf>
    <xf numFmtId="0" fontId="0" fillId="15" borderId="0" xfId="0" applyFill="1" applyBorder="1" applyAlignment="1">
      <alignment horizontal="left"/>
    </xf>
    <xf numFmtId="9" fontId="0" fillId="0" borderId="0" xfId="3" applyFont="1" applyAlignment="1">
      <alignment horizontal="center"/>
    </xf>
    <xf numFmtId="9" fontId="0" fillId="0" borderId="0" xfId="0" applyNumberFormat="1" applyAlignment="1">
      <alignment horizontal="center"/>
    </xf>
    <xf numFmtId="2" fontId="0" fillId="23" borderId="0" xfId="0" applyNumberFormat="1" applyFill="1"/>
    <xf numFmtId="0" fontId="0" fillId="0" borderId="0" xfId="0" applyBorder="1" applyAlignment="1">
      <alignment horizontal="left"/>
    </xf>
    <xf numFmtId="0" fontId="0" fillId="26" borderId="0" xfId="0" applyFill="1" applyAlignment="1">
      <alignment horizontal="center"/>
    </xf>
    <xf numFmtId="0" fontId="0" fillId="27" borderId="0" xfId="0" applyFill="1" applyAlignment="1">
      <alignment horizontal="center"/>
    </xf>
    <xf numFmtId="0" fontId="0" fillId="0" borderId="0" xfId="0" applyFill="1" applyAlignment="1">
      <alignment horizontal="left"/>
    </xf>
    <xf numFmtId="0" fontId="0" fillId="22" borderId="0" xfId="0" applyFill="1" applyBorder="1" applyAlignment="1">
      <alignment horizontal="center"/>
    </xf>
    <xf numFmtId="2" fontId="0" fillId="0" borderId="0" xfId="5" applyNumberFormat="1" applyFont="1" applyFill="1" applyBorder="1" applyAlignment="1">
      <alignment horizontal="center"/>
    </xf>
    <xf numFmtId="2" fontId="0" fillId="0" borderId="9" xfId="5" applyNumberFormat="1" applyFont="1" applyFill="1" applyBorder="1" applyAlignment="1">
      <alignment horizontal="center"/>
    </xf>
    <xf numFmtId="0" fontId="1" fillId="0" borderId="0" xfId="0" applyFont="1" applyFill="1" applyAlignment="1">
      <alignment horizontal="center" wrapText="1"/>
    </xf>
    <xf numFmtId="0" fontId="28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167" fontId="0" fillId="0" borderId="0" xfId="5" applyNumberFormat="1" applyFont="1" applyBorder="1" applyAlignment="1">
      <alignment horizontal="center"/>
    </xf>
    <xf numFmtId="43" fontId="0" fillId="0" borderId="0" xfId="0" applyNumberFormat="1" applyAlignment="1"/>
    <xf numFmtId="0" fontId="9" fillId="0" borderId="0" xfId="0" applyFont="1" applyFill="1"/>
    <xf numFmtId="165" fontId="0" fillId="0" borderId="0" xfId="0" applyNumberForma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9" fontId="0" fillId="26" borderId="0" xfId="3" applyFont="1" applyFill="1" applyAlignment="1">
      <alignment horizontal="center"/>
    </xf>
    <xf numFmtId="9" fontId="0" fillId="26" borderId="0" xfId="0" applyNumberFormat="1" applyFill="1" applyAlignment="1">
      <alignment horizontal="center"/>
    </xf>
    <xf numFmtId="0" fontId="4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quotePrefix="1" applyFont="1" applyFill="1" applyAlignment="1">
      <alignment horizontal="left"/>
    </xf>
    <xf numFmtId="166" fontId="4" fillId="0" borderId="0" xfId="0" quotePrefix="1" applyNumberFormat="1" applyFont="1" applyFill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/>
    </xf>
    <xf numFmtId="0" fontId="0" fillId="0" borderId="0" xfId="0" applyFont="1" applyFill="1"/>
    <xf numFmtId="0" fontId="0" fillId="0" borderId="0" xfId="0" applyFont="1" applyFill="1" applyAlignment="1">
      <alignment horizontal="center"/>
    </xf>
    <xf numFmtId="2" fontId="0" fillId="0" borderId="0" xfId="0" applyNumberFormat="1" applyFont="1" applyFill="1"/>
    <xf numFmtId="0" fontId="1" fillId="0" borderId="0" xfId="0" applyFont="1" applyFill="1"/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wrapText="1"/>
    </xf>
    <xf numFmtId="0" fontId="32" fillId="0" borderId="0" xfId="2" applyFont="1"/>
    <xf numFmtId="0" fontId="32" fillId="0" borderId="0" xfId="0" applyFont="1"/>
    <xf numFmtId="0" fontId="33" fillId="0" borderId="0" xfId="0" applyFont="1" applyAlignment="1">
      <alignment horizontal="center" vertical="center" wrapText="1"/>
    </xf>
    <xf numFmtId="0" fontId="33" fillId="0" borderId="0" xfId="0" applyFont="1" applyFill="1" applyBorder="1" applyAlignment="1">
      <alignment horizontal="center"/>
    </xf>
    <xf numFmtId="1" fontId="33" fillId="0" borderId="0" xfId="0" applyNumberFormat="1" applyFont="1" applyFill="1" applyBorder="1"/>
    <xf numFmtId="1" fontId="33" fillId="0" borderId="0" xfId="0" applyNumberFormat="1" applyFont="1" applyFill="1" applyBorder="1" applyAlignment="1">
      <alignment horizontal="center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0" fillId="0" borderId="0" xfId="0"/>
    <xf numFmtId="0" fontId="29" fillId="0" borderId="0" xfId="0" applyFont="1"/>
    <xf numFmtId="0" fontId="32" fillId="0" borderId="0" xfId="0" applyFont="1"/>
    <xf numFmtId="0" fontId="35" fillId="0" borderId="0" xfId="0" applyFont="1"/>
    <xf numFmtId="0" fontId="28" fillId="22" borderId="0" xfId="0" applyFont="1" applyFill="1" applyBorder="1" applyAlignment="1">
      <alignment horizontal="center"/>
    </xf>
    <xf numFmtId="0" fontId="9" fillId="0" borderId="0" xfId="0" applyFont="1" applyFill="1" applyAlignment="1">
      <alignment horizontal="center" vertical="center"/>
    </xf>
    <xf numFmtId="0" fontId="33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165" fontId="0" fillId="0" borderId="0" xfId="0" applyNumberFormat="1" applyFill="1" applyBorder="1" applyAlignment="1">
      <alignment horizontal="left"/>
    </xf>
    <xf numFmtId="0" fontId="33" fillId="0" borderId="0" xfId="0" applyFont="1" applyBorder="1"/>
    <xf numFmtId="0" fontId="33" fillId="0" borderId="0" xfId="0" applyFont="1" applyFill="1" applyBorder="1"/>
    <xf numFmtId="0" fontId="0" fillId="0" borderId="0" xfId="0" applyFill="1" applyAlignment="1">
      <alignment horizontal="center" vertical="center"/>
    </xf>
    <xf numFmtId="0" fontId="35" fillId="0" borderId="0" xfId="0" applyFont="1" applyAlignment="1">
      <alignment vertical="center"/>
    </xf>
    <xf numFmtId="9" fontId="29" fillId="0" borderId="0" xfId="3" applyFont="1" applyFill="1" applyBorder="1" applyAlignment="1">
      <alignment horizontal="center"/>
    </xf>
    <xf numFmtId="0" fontId="28" fillId="0" borderId="0" xfId="0" applyFont="1" applyAlignment="1">
      <alignment horizontal="center"/>
    </xf>
    <xf numFmtId="169" fontId="29" fillId="0" borderId="0" xfId="3" applyNumberFormat="1" applyFont="1" applyFill="1" applyBorder="1" applyAlignment="1">
      <alignment horizontal="center"/>
    </xf>
    <xf numFmtId="0" fontId="29" fillId="22" borderId="0" xfId="0" applyFont="1" applyFill="1" applyAlignment="1">
      <alignment vertical="center"/>
    </xf>
    <xf numFmtId="0" fontId="29" fillId="0" borderId="0" xfId="0" applyFont="1" applyAlignment="1">
      <alignment vertical="center"/>
    </xf>
    <xf numFmtId="0" fontId="4" fillId="2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2" borderId="0" xfId="0" applyFill="1" applyAlignment="1">
      <alignment horizontal="left"/>
    </xf>
    <xf numFmtId="0" fontId="28" fillId="22" borderId="0" xfId="0" applyFont="1" applyFill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33" fillId="0" borderId="0" xfId="0" applyFont="1" applyFill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/>
    </xf>
    <xf numFmtId="0" fontId="14" fillId="0" borderId="0" xfId="0" applyFont="1" applyAlignment="1">
      <alignment wrapText="1"/>
    </xf>
    <xf numFmtId="0" fontId="14" fillId="0" borderId="0" xfId="0" applyFont="1"/>
    <xf numFmtId="0" fontId="37" fillId="0" borderId="0" xfId="0" applyFont="1" applyAlignment="1">
      <alignment vertical="center"/>
    </xf>
    <xf numFmtId="0" fontId="38" fillId="0" borderId="0" xfId="0" applyFont="1" applyAlignment="1">
      <alignment vertical="center"/>
    </xf>
    <xf numFmtId="0" fontId="29" fillId="0" borderId="9" xfId="0" applyFont="1" applyBorder="1" applyAlignment="1">
      <alignment vertical="center"/>
    </xf>
    <xf numFmtId="0" fontId="37" fillId="0" borderId="4" xfId="0" applyFont="1" applyBorder="1" applyAlignment="1">
      <alignment vertical="center"/>
    </xf>
    <xf numFmtId="0" fontId="38" fillId="0" borderId="4" xfId="0" applyFont="1" applyBorder="1" applyAlignment="1">
      <alignment vertical="center"/>
    </xf>
    <xf numFmtId="0" fontId="29" fillId="0" borderId="4" xfId="0" applyFont="1" applyBorder="1" applyAlignment="1">
      <alignment vertical="center"/>
    </xf>
    <xf numFmtId="0" fontId="29" fillId="0" borderId="10" xfId="0" applyFont="1" applyBorder="1" applyAlignment="1">
      <alignment vertical="center"/>
    </xf>
    <xf numFmtId="0" fontId="10" fillId="0" borderId="0" xfId="0" applyFont="1" applyAlignment="1">
      <alignment horizontal="left"/>
    </xf>
    <xf numFmtId="0" fontId="1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0" fontId="37" fillId="0" borderId="6" xfId="0" applyFont="1" applyBorder="1" applyAlignment="1">
      <alignment horizontal="center" vertical="center" wrapText="1"/>
    </xf>
    <xf numFmtId="0" fontId="38" fillId="0" borderId="6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/>
    </xf>
    <xf numFmtId="0" fontId="29" fillId="0" borderId="7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4" fillId="0" borderId="6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26" fillId="0" borderId="6" xfId="0" applyFont="1" applyBorder="1" applyAlignment="1">
      <alignment horizontal="center" wrapText="1"/>
    </xf>
    <xf numFmtId="0" fontId="26" fillId="0" borderId="7" xfId="0" applyFont="1" applyBorder="1" applyAlignment="1">
      <alignment horizontal="center" wrapText="1"/>
    </xf>
    <xf numFmtId="0" fontId="14" fillId="0" borderId="0" xfId="0" applyFont="1" applyBorder="1" applyAlignment="1">
      <alignment horizontal="center" wrapText="1"/>
    </xf>
    <xf numFmtId="0" fontId="24" fillId="0" borderId="5" xfId="0" applyFont="1" applyBorder="1" applyAlignment="1">
      <alignment horizontal="center"/>
    </xf>
    <xf numFmtId="0" fontId="24" fillId="0" borderId="6" xfId="0" applyFont="1" applyBorder="1" applyAlignment="1">
      <alignment horizontal="center"/>
    </xf>
    <xf numFmtId="0" fontId="24" fillId="0" borderId="7" xfId="0" applyFont="1" applyBorder="1" applyAlignment="1">
      <alignment horizontal="center"/>
    </xf>
  </cellXfs>
  <cellStyles count="12">
    <cellStyle name="Comma" xfId="5" builtinId="3"/>
    <cellStyle name="Decimal-2" xfId="8" xr:uid="{00000000-0005-0000-0000-000001000000}"/>
    <cellStyle name="Decimal-6" xfId="9" xr:uid="{00000000-0005-0000-0000-000002000000}"/>
    <cellStyle name="Estimated" xfId="11" xr:uid="{00000000-0005-0000-0000-000003000000}"/>
    <cellStyle name="Hyperlink" xfId="4" builtinId="8"/>
    <cellStyle name="Normal" xfId="0" builtinId="0"/>
    <cellStyle name="Normal 2" xfId="1" xr:uid="{00000000-0005-0000-0000-000006000000}"/>
    <cellStyle name="Normal 3" xfId="2" xr:uid="{00000000-0005-0000-0000-000007000000}"/>
    <cellStyle name="Number" xfId="7" xr:uid="{00000000-0005-0000-0000-000008000000}"/>
    <cellStyle name="Percent" xfId="3" builtinId="5"/>
    <cellStyle name="Text Centre" xfId="6" xr:uid="{00000000-0005-0000-0000-00000A000000}"/>
    <cellStyle name="Text Left" xfId="10" xr:uid="{00000000-0005-0000-0000-00000B000000}"/>
  </cellStyles>
  <dxfs count="0"/>
  <tableStyles count="0" defaultTableStyle="TableStyleMedium2" defaultPivotStyle="PivotStyleLight16"/>
  <colors>
    <mruColors>
      <color rgb="FF00FFFF"/>
      <color rgb="FFFF99FF"/>
      <color rgb="FFCC00CC"/>
      <color rgb="FF99FF99"/>
      <color rgb="FF800000"/>
      <color rgb="FF00CC66"/>
      <color rgb="FF006666"/>
      <color rgb="FF009999"/>
      <color rgb="FF00CC00"/>
      <color rgb="FF0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hmad/DOCUME~1/MobaXterm/slash/RemoteFiles/1443830_3_14/model%20inputs%20-%20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ite independent"/>
      <sheetName val="modeled attributes"/>
      <sheetName val="modeled attributes _original"/>
      <sheetName val="scenario analysis"/>
      <sheetName val="vre plants"/>
      <sheetName val="non-vre plants"/>
      <sheetName val="storage"/>
      <sheetName val="EV_aggregator"/>
      <sheetName val="demand response"/>
      <sheetName val="demand centres"/>
      <sheetName val="existing transmission"/>
      <sheetName val="excel input instructions"/>
      <sheetName val="lists"/>
      <sheetName val="Sheet1"/>
    </sheetNames>
    <sheetDataSet>
      <sheetData sheetId="0">
        <row r="5">
          <cell r="A5" t="str">
            <v>coal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">
          <cell r="B3" t="str">
            <v>Wind</v>
          </cell>
          <cell r="C3" t="str">
            <v>Solar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ttc.ca/Routes/General_Information/General_Information.jsp" TargetMode="External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55984-4BFB-4F08-9C8E-EA85A9A3123B}">
  <dimension ref="A1:S107"/>
  <sheetViews>
    <sheetView topLeftCell="A46" zoomScale="80" zoomScaleNormal="80" workbookViewId="0">
      <selection activeCell="J60" sqref="J60"/>
    </sheetView>
  </sheetViews>
  <sheetFormatPr defaultRowHeight="15"/>
  <cols>
    <col min="1" max="1" width="35.28515625" style="169" customWidth="1"/>
    <col min="2" max="2" width="19.140625" style="169" customWidth="1"/>
    <col min="3" max="3" width="22.42578125" style="179" customWidth="1"/>
    <col min="4" max="4" width="10.7109375" style="179" customWidth="1"/>
    <col min="5" max="5" width="8" style="179" customWidth="1"/>
    <col min="6" max="6" width="18.42578125" style="179" customWidth="1"/>
    <col min="7" max="7" width="36.7109375" style="209" customWidth="1"/>
    <col min="8" max="8" width="12.28515625" style="166" bestFit="1" customWidth="1"/>
    <col min="9" max="9" width="11.85546875" style="166" bestFit="1" customWidth="1"/>
    <col min="10" max="10" width="19.42578125" style="166" customWidth="1"/>
    <col min="11" max="12" width="9.140625" style="166"/>
    <col min="13" max="15" width="26.42578125" style="166" customWidth="1"/>
    <col min="16" max="16384" width="9.140625" style="166"/>
  </cols>
  <sheetData>
    <row r="1" spans="1:19" ht="45">
      <c r="A1" s="168" t="s">
        <v>223</v>
      </c>
      <c r="B1" s="168" t="s">
        <v>263</v>
      </c>
      <c r="C1" s="179" t="s">
        <v>274</v>
      </c>
      <c r="D1" s="179" t="s">
        <v>296</v>
      </c>
      <c r="E1" s="179" t="s">
        <v>407</v>
      </c>
      <c r="F1" s="179" t="s">
        <v>25</v>
      </c>
      <c r="G1" s="209" t="s">
        <v>261</v>
      </c>
      <c r="H1" s="165" t="s">
        <v>300</v>
      </c>
      <c r="I1" s="165" t="s">
        <v>301</v>
      </c>
      <c r="J1" s="165" t="s">
        <v>302</v>
      </c>
      <c r="K1" s="159" t="s">
        <v>403</v>
      </c>
      <c r="L1" s="154" t="s">
        <v>541</v>
      </c>
      <c r="M1" s="154" t="s">
        <v>542</v>
      </c>
      <c r="N1" s="185" t="s">
        <v>543</v>
      </c>
      <c r="O1" s="185" t="s">
        <v>544</v>
      </c>
      <c r="P1" s="185" t="s">
        <v>545</v>
      </c>
      <c r="Q1" s="185" t="s">
        <v>546</v>
      </c>
      <c r="R1" s="185" t="s">
        <v>547</v>
      </c>
      <c r="S1" s="185" t="s">
        <v>6</v>
      </c>
    </row>
    <row r="2" spans="1:19">
      <c r="A2" s="167" t="s">
        <v>548</v>
      </c>
      <c r="B2" s="167" t="s">
        <v>548</v>
      </c>
      <c r="C2" s="167" t="s">
        <v>422</v>
      </c>
      <c r="D2" s="185" t="s">
        <v>798</v>
      </c>
      <c r="E2" s="179">
        <f>ROUND(F2*0.1,0)</f>
        <v>10</v>
      </c>
      <c r="F2" s="167">
        <v>101</v>
      </c>
      <c r="G2" s="148" t="s">
        <v>449</v>
      </c>
      <c r="H2" s="167">
        <f>F2*0.7</f>
        <v>70.699999999999989</v>
      </c>
      <c r="I2" s="167">
        <v>1</v>
      </c>
      <c r="J2" s="167"/>
      <c r="K2" s="167"/>
      <c r="L2" s="167"/>
      <c r="M2" s="167"/>
      <c r="N2" s="167"/>
      <c r="O2" s="167"/>
    </row>
    <row r="3" spans="1:19">
      <c r="A3" s="166" t="s">
        <v>766</v>
      </c>
      <c r="B3" s="166" t="s">
        <v>766</v>
      </c>
      <c r="C3" s="166" t="s">
        <v>10</v>
      </c>
      <c r="D3" s="185" t="s">
        <v>798</v>
      </c>
      <c r="E3" s="179">
        <f t="shared" ref="E3:E10" si="0">ROUND(F3*0.1,0)</f>
        <v>5</v>
      </c>
      <c r="F3" s="166">
        <v>48</v>
      </c>
      <c r="G3" s="148" t="s">
        <v>414</v>
      </c>
      <c r="H3" s="167">
        <f t="shared" ref="H3:H10" si="1">F3*0.7</f>
        <v>33.599999999999994</v>
      </c>
      <c r="I3" s="167">
        <v>1</v>
      </c>
      <c r="J3" s="167"/>
      <c r="K3" s="167"/>
      <c r="L3" s="167"/>
      <c r="M3" s="167"/>
      <c r="N3" s="167"/>
      <c r="O3" s="167"/>
    </row>
    <row r="4" spans="1:19">
      <c r="A4" s="166" t="s">
        <v>767</v>
      </c>
      <c r="B4" s="166" t="s">
        <v>767</v>
      </c>
      <c r="C4" s="166" t="s">
        <v>10</v>
      </c>
      <c r="D4" s="185" t="s">
        <v>798</v>
      </c>
      <c r="E4" s="179">
        <f t="shared" si="0"/>
        <v>2</v>
      </c>
      <c r="F4" s="166">
        <v>23</v>
      </c>
      <c r="G4" s="97" t="s">
        <v>436</v>
      </c>
      <c r="H4" s="167">
        <f t="shared" si="1"/>
        <v>16.099999999999998</v>
      </c>
      <c r="I4" s="167">
        <v>1</v>
      </c>
      <c r="J4" s="167"/>
      <c r="K4" s="167"/>
      <c r="L4" s="167"/>
      <c r="O4" s="167"/>
    </row>
    <row r="5" spans="1:19">
      <c r="A5" s="166" t="s">
        <v>768</v>
      </c>
      <c r="B5" s="166" t="s">
        <v>768</v>
      </c>
      <c r="C5" s="166" t="s">
        <v>10</v>
      </c>
      <c r="D5" s="185" t="s">
        <v>798</v>
      </c>
      <c r="E5" s="179">
        <f t="shared" si="0"/>
        <v>4</v>
      </c>
      <c r="F5" s="166">
        <v>36</v>
      </c>
      <c r="G5" s="148" t="s">
        <v>414</v>
      </c>
      <c r="H5" s="167">
        <f t="shared" si="1"/>
        <v>25.2</v>
      </c>
      <c r="I5" s="167">
        <v>1</v>
      </c>
      <c r="J5" s="167"/>
      <c r="K5" s="167"/>
    </row>
    <row r="6" spans="1:19">
      <c r="A6" s="166" t="s">
        <v>550</v>
      </c>
      <c r="B6" s="166" t="s">
        <v>550</v>
      </c>
      <c r="C6" s="166" t="s">
        <v>10</v>
      </c>
      <c r="D6" s="185" t="s">
        <v>798</v>
      </c>
      <c r="E6" s="179">
        <f t="shared" si="0"/>
        <v>6</v>
      </c>
      <c r="F6" s="166">
        <v>55.3</v>
      </c>
      <c r="G6" s="148" t="s">
        <v>449</v>
      </c>
      <c r="H6" s="167">
        <f t="shared" si="1"/>
        <v>38.709999999999994</v>
      </c>
      <c r="I6" s="167">
        <v>1</v>
      </c>
    </row>
    <row r="7" spans="1:19">
      <c r="A7" s="166" t="s">
        <v>769</v>
      </c>
      <c r="B7" s="166" t="s">
        <v>769</v>
      </c>
      <c r="C7" s="166" t="s">
        <v>10</v>
      </c>
      <c r="D7" s="185" t="s">
        <v>798</v>
      </c>
      <c r="E7" s="179">
        <f t="shared" si="0"/>
        <v>7</v>
      </c>
      <c r="F7" s="166">
        <v>70</v>
      </c>
      <c r="G7" s="97" t="s">
        <v>436</v>
      </c>
      <c r="H7" s="167">
        <f t="shared" si="1"/>
        <v>49</v>
      </c>
      <c r="I7" s="167">
        <v>1</v>
      </c>
      <c r="J7" s="148"/>
    </row>
    <row r="8" spans="1:19">
      <c r="A8" s="166" t="s">
        <v>551</v>
      </c>
      <c r="B8" s="166" t="s">
        <v>551</v>
      </c>
      <c r="C8" s="166" t="s">
        <v>10</v>
      </c>
      <c r="D8" s="185" t="s">
        <v>798</v>
      </c>
      <c r="E8" s="179">
        <f t="shared" si="0"/>
        <v>5</v>
      </c>
      <c r="F8" s="166">
        <v>50.8</v>
      </c>
      <c r="G8" s="148" t="s">
        <v>449</v>
      </c>
      <c r="H8" s="167">
        <f t="shared" si="1"/>
        <v>35.559999999999995</v>
      </c>
      <c r="I8" s="167">
        <v>1</v>
      </c>
      <c r="J8" s="54"/>
    </row>
    <row r="9" spans="1:19">
      <c r="A9" s="166" t="s">
        <v>552</v>
      </c>
      <c r="B9" s="166" t="s">
        <v>552</v>
      </c>
      <c r="C9" s="166" t="s">
        <v>10</v>
      </c>
      <c r="D9" s="185" t="s">
        <v>798</v>
      </c>
      <c r="E9" s="179">
        <f t="shared" si="0"/>
        <v>4</v>
      </c>
      <c r="F9" s="166">
        <v>35</v>
      </c>
      <c r="G9" s="97" t="s">
        <v>436</v>
      </c>
      <c r="H9" s="167">
        <f t="shared" si="1"/>
        <v>24.5</v>
      </c>
      <c r="I9" s="167">
        <v>1</v>
      </c>
      <c r="J9" s="148"/>
    </row>
    <row r="10" spans="1:19">
      <c r="A10" s="166" t="s">
        <v>770</v>
      </c>
      <c r="B10" s="166" t="s">
        <v>770</v>
      </c>
      <c r="C10" s="166" t="s">
        <v>10</v>
      </c>
      <c r="D10" s="185" t="s">
        <v>798</v>
      </c>
      <c r="E10" s="179">
        <f t="shared" si="0"/>
        <v>6</v>
      </c>
      <c r="F10" s="166">
        <v>58.1</v>
      </c>
      <c r="G10" s="148" t="s">
        <v>449</v>
      </c>
      <c r="H10" s="167">
        <f t="shared" si="1"/>
        <v>40.67</v>
      </c>
      <c r="I10" s="167">
        <v>1</v>
      </c>
      <c r="J10" s="148"/>
    </row>
    <row r="11" spans="1:19">
      <c r="A11" s="166" t="s">
        <v>549</v>
      </c>
      <c r="B11" s="166" t="s">
        <v>549</v>
      </c>
      <c r="C11" s="166" t="s">
        <v>418</v>
      </c>
      <c r="D11" s="185" t="s">
        <v>797</v>
      </c>
      <c r="E11" s="179">
        <v>0</v>
      </c>
      <c r="F11" s="166">
        <v>295</v>
      </c>
      <c r="G11" s="97" t="s">
        <v>727</v>
      </c>
      <c r="J11" s="148"/>
    </row>
    <row r="12" spans="1:19">
      <c r="A12" s="166" t="s">
        <v>771</v>
      </c>
      <c r="B12" s="166" t="s">
        <v>771</v>
      </c>
      <c r="C12" s="166" t="s">
        <v>418</v>
      </c>
      <c r="D12" s="185" t="s">
        <v>797</v>
      </c>
      <c r="E12" s="179">
        <v>0</v>
      </c>
      <c r="F12" s="166">
        <v>845</v>
      </c>
      <c r="G12" s="148" t="s">
        <v>431</v>
      </c>
      <c r="J12" s="148"/>
    </row>
    <row r="13" spans="1:19">
      <c r="A13" s="166" t="s">
        <v>553</v>
      </c>
      <c r="B13" s="166" t="s">
        <v>553</v>
      </c>
      <c r="C13" s="166" t="s">
        <v>418</v>
      </c>
      <c r="D13" s="185" t="s">
        <v>797</v>
      </c>
      <c r="E13" s="179">
        <v>0</v>
      </c>
      <c r="F13" s="166">
        <v>1436</v>
      </c>
      <c r="G13" s="148" t="s">
        <v>443</v>
      </c>
      <c r="J13" s="54"/>
    </row>
    <row r="14" spans="1:19">
      <c r="A14" s="166" t="s">
        <v>554</v>
      </c>
      <c r="B14" s="166" t="s">
        <v>554</v>
      </c>
      <c r="C14" s="166" t="s">
        <v>418</v>
      </c>
      <c r="D14" s="185" t="s">
        <v>797</v>
      </c>
      <c r="E14" s="179">
        <v>0</v>
      </c>
      <c r="F14" s="166">
        <v>319</v>
      </c>
      <c r="G14" s="97" t="s">
        <v>437</v>
      </c>
      <c r="J14" s="148"/>
    </row>
    <row r="15" spans="1:19">
      <c r="A15" s="166" t="s">
        <v>555</v>
      </c>
      <c r="B15" s="166" t="s">
        <v>555</v>
      </c>
      <c r="C15" s="166" t="s">
        <v>418</v>
      </c>
      <c r="D15" s="185" t="s">
        <v>797</v>
      </c>
      <c r="E15" s="179">
        <v>0</v>
      </c>
      <c r="F15" s="166">
        <v>2740</v>
      </c>
      <c r="G15" s="148" t="s">
        <v>435</v>
      </c>
      <c r="J15" s="54"/>
    </row>
    <row r="16" spans="1:19">
      <c r="A16" s="166" t="s">
        <v>556</v>
      </c>
      <c r="B16" s="166" t="s">
        <v>556</v>
      </c>
      <c r="C16" s="167" t="s">
        <v>418</v>
      </c>
      <c r="D16" s="185" t="s">
        <v>797</v>
      </c>
      <c r="E16" s="179">
        <v>0</v>
      </c>
      <c r="F16" s="167">
        <v>1550</v>
      </c>
      <c r="G16" s="148" t="s">
        <v>427</v>
      </c>
      <c r="J16" s="148"/>
    </row>
    <row r="17" spans="1:10">
      <c r="A17" s="166" t="s">
        <v>772</v>
      </c>
      <c r="B17" s="166" t="s">
        <v>772</v>
      </c>
      <c r="C17" s="167" t="s">
        <v>418</v>
      </c>
      <c r="D17" s="185" t="s">
        <v>797</v>
      </c>
      <c r="E17" s="179">
        <v>0</v>
      </c>
      <c r="F17" s="167">
        <v>226</v>
      </c>
      <c r="G17" s="148" t="s">
        <v>687</v>
      </c>
      <c r="H17" s="167"/>
      <c r="J17" s="54"/>
    </row>
    <row r="18" spans="1:10">
      <c r="A18" s="166" t="s">
        <v>773</v>
      </c>
      <c r="B18" s="166" t="s">
        <v>773</v>
      </c>
      <c r="C18" s="167" t="s">
        <v>418</v>
      </c>
      <c r="D18" s="185" t="s">
        <v>797</v>
      </c>
      <c r="E18" s="179">
        <v>0</v>
      </c>
      <c r="F18" s="167">
        <v>467</v>
      </c>
      <c r="G18" s="148" t="s">
        <v>449</v>
      </c>
      <c r="H18" s="167"/>
      <c r="J18" s="148"/>
    </row>
    <row r="19" spans="1:10">
      <c r="A19" s="166" t="s">
        <v>557</v>
      </c>
      <c r="B19" s="166" t="s">
        <v>557</v>
      </c>
      <c r="C19" s="167" t="s">
        <v>418</v>
      </c>
      <c r="D19" s="185" t="s">
        <v>797</v>
      </c>
      <c r="E19" s="179">
        <v>0</v>
      </c>
      <c r="F19" s="167">
        <v>270</v>
      </c>
      <c r="G19" s="148" t="s">
        <v>452</v>
      </c>
      <c r="H19" s="167"/>
      <c r="J19" s="148"/>
    </row>
    <row r="20" spans="1:10">
      <c r="A20" s="166" t="s">
        <v>558</v>
      </c>
      <c r="B20" s="166" t="s">
        <v>558</v>
      </c>
      <c r="C20" s="167" t="s">
        <v>418</v>
      </c>
      <c r="D20" s="185" t="s">
        <v>797</v>
      </c>
      <c r="E20" s="179">
        <v>0</v>
      </c>
      <c r="F20" s="167">
        <v>394</v>
      </c>
      <c r="G20" s="148" t="s">
        <v>426</v>
      </c>
      <c r="H20" s="167"/>
      <c r="J20" s="148"/>
    </row>
    <row r="21" spans="1:10">
      <c r="A21" s="166" t="s">
        <v>559</v>
      </c>
      <c r="B21" s="166" t="s">
        <v>559</v>
      </c>
      <c r="C21" s="167" t="s">
        <v>418</v>
      </c>
      <c r="D21" s="185" t="s">
        <v>797</v>
      </c>
      <c r="E21" s="179">
        <v>0</v>
      </c>
      <c r="F21" s="167">
        <v>302</v>
      </c>
      <c r="G21" s="97" t="s">
        <v>436</v>
      </c>
      <c r="H21" s="167"/>
      <c r="J21" s="148"/>
    </row>
    <row r="22" spans="1:10" s="167" customFormat="1">
      <c r="A22" s="166" t="s">
        <v>774</v>
      </c>
      <c r="B22" s="166" t="s">
        <v>774</v>
      </c>
      <c r="C22" s="167" t="s">
        <v>418</v>
      </c>
      <c r="D22" s="185" t="s">
        <v>797</v>
      </c>
      <c r="E22" s="179">
        <v>0</v>
      </c>
      <c r="F22" s="167">
        <v>235</v>
      </c>
      <c r="G22" s="148" t="s">
        <v>431</v>
      </c>
      <c r="J22" s="148"/>
    </row>
    <row r="23" spans="1:10" s="167" customFormat="1">
      <c r="A23" s="166" t="s">
        <v>775</v>
      </c>
      <c r="B23" s="166" t="s">
        <v>775</v>
      </c>
      <c r="C23" s="167" t="s">
        <v>418</v>
      </c>
      <c r="D23" s="185" t="s">
        <v>797</v>
      </c>
      <c r="E23" s="179">
        <v>0</v>
      </c>
      <c r="F23" s="167">
        <v>3037</v>
      </c>
      <c r="G23" s="97" t="s">
        <v>434</v>
      </c>
      <c r="J23" s="148"/>
    </row>
    <row r="24" spans="1:10" s="167" customFormat="1">
      <c r="A24" s="167" t="s">
        <v>560</v>
      </c>
      <c r="B24" s="167" t="s">
        <v>560</v>
      </c>
      <c r="C24" s="167" t="s">
        <v>419</v>
      </c>
      <c r="D24" s="185" t="s">
        <v>797</v>
      </c>
      <c r="E24" s="179">
        <v>0</v>
      </c>
      <c r="F24" s="167">
        <v>4953</v>
      </c>
      <c r="G24" s="97" t="s">
        <v>421</v>
      </c>
      <c r="J24" s="54"/>
    </row>
    <row r="25" spans="1:10" s="167" customFormat="1">
      <c r="A25" s="167" t="s">
        <v>561</v>
      </c>
      <c r="B25" s="167" t="s">
        <v>561</v>
      </c>
      <c r="C25" s="167" t="s">
        <v>419</v>
      </c>
      <c r="D25" s="185" t="s">
        <v>797</v>
      </c>
      <c r="E25" s="179">
        <v>0</v>
      </c>
      <c r="F25" s="167">
        <v>1178</v>
      </c>
      <c r="G25" s="148" t="s">
        <v>431</v>
      </c>
      <c r="J25" s="54"/>
    </row>
    <row r="26" spans="1:10" s="167" customFormat="1">
      <c r="A26" s="167" t="s">
        <v>562</v>
      </c>
      <c r="B26" s="167" t="s">
        <v>562</v>
      </c>
      <c r="C26" s="167" t="s">
        <v>419</v>
      </c>
      <c r="D26" s="185" t="s">
        <v>797</v>
      </c>
      <c r="E26" s="179">
        <v>0</v>
      </c>
      <c r="F26" s="167">
        <v>469</v>
      </c>
      <c r="G26" s="148" t="s">
        <v>440</v>
      </c>
      <c r="J26" s="148"/>
    </row>
    <row r="27" spans="1:10" s="167" customFormat="1">
      <c r="A27" s="167" t="s">
        <v>563</v>
      </c>
      <c r="B27" s="167" t="s">
        <v>563</v>
      </c>
      <c r="C27" s="167" t="s">
        <v>419</v>
      </c>
      <c r="D27" s="185" t="s">
        <v>797</v>
      </c>
      <c r="E27" s="179">
        <v>0</v>
      </c>
      <c r="F27" s="167">
        <v>1448</v>
      </c>
      <c r="G27" s="148" t="s">
        <v>449</v>
      </c>
      <c r="J27" s="148"/>
    </row>
    <row r="28" spans="1:10" s="167" customFormat="1">
      <c r="A28" s="167" t="s">
        <v>564</v>
      </c>
      <c r="B28" s="167" t="s">
        <v>564</v>
      </c>
      <c r="C28" s="167" t="s">
        <v>419</v>
      </c>
      <c r="D28" s="185" t="s">
        <v>797</v>
      </c>
      <c r="E28" s="179">
        <v>0</v>
      </c>
      <c r="F28" s="167">
        <v>2106</v>
      </c>
      <c r="G28" s="148" t="s">
        <v>443</v>
      </c>
      <c r="J28" s="148"/>
    </row>
    <row r="29" spans="1:10" s="167" customFormat="1">
      <c r="A29" s="167" t="s">
        <v>565</v>
      </c>
      <c r="B29" s="167" t="s">
        <v>565</v>
      </c>
      <c r="C29" s="167" t="s">
        <v>419</v>
      </c>
      <c r="D29" s="185" t="s">
        <v>797</v>
      </c>
      <c r="E29" s="179">
        <v>0</v>
      </c>
      <c r="F29" s="167">
        <v>2417</v>
      </c>
      <c r="G29" s="148" t="s">
        <v>446</v>
      </c>
      <c r="J29" s="54"/>
    </row>
    <row r="30" spans="1:10" s="167" customFormat="1">
      <c r="A30" s="167" t="s">
        <v>566</v>
      </c>
      <c r="B30" s="167" t="s">
        <v>566</v>
      </c>
      <c r="C30" s="167" t="s">
        <v>419</v>
      </c>
      <c r="D30" s="185" t="s">
        <v>797</v>
      </c>
      <c r="E30" s="179">
        <v>0</v>
      </c>
      <c r="F30" s="167">
        <v>2779</v>
      </c>
      <c r="G30" s="148" t="s">
        <v>447</v>
      </c>
      <c r="J30" s="148"/>
    </row>
    <row r="31" spans="1:10" s="167" customFormat="1">
      <c r="A31" s="167" t="s">
        <v>567</v>
      </c>
      <c r="B31" s="167" t="s">
        <v>567</v>
      </c>
      <c r="C31" s="167" t="s">
        <v>419</v>
      </c>
      <c r="D31" s="185" t="s">
        <v>797</v>
      </c>
      <c r="E31" s="179">
        <v>0</v>
      </c>
      <c r="F31" s="167">
        <v>878</v>
      </c>
      <c r="G31" s="97" t="s">
        <v>437</v>
      </c>
    </row>
    <row r="32" spans="1:10" s="167" customFormat="1">
      <c r="A32" s="167" t="s">
        <v>568</v>
      </c>
      <c r="B32" s="167" t="s">
        <v>568</v>
      </c>
      <c r="C32" s="167" t="s">
        <v>419</v>
      </c>
      <c r="D32" s="185" t="s">
        <v>797</v>
      </c>
      <c r="E32" s="179">
        <v>0</v>
      </c>
      <c r="F32" s="167">
        <v>1660</v>
      </c>
      <c r="G32" s="148" t="s">
        <v>435</v>
      </c>
    </row>
    <row r="33" spans="1:11" s="167" customFormat="1">
      <c r="A33" s="167" t="s">
        <v>569</v>
      </c>
      <c r="B33" s="167" t="s">
        <v>569</v>
      </c>
      <c r="C33" s="167" t="s">
        <v>419</v>
      </c>
      <c r="D33" s="185" t="s">
        <v>797</v>
      </c>
      <c r="E33" s="179">
        <v>0</v>
      </c>
      <c r="F33" s="167">
        <v>55</v>
      </c>
      <c r="G33" s="148" t="s">
        <v>657</v>
      </c>
    </row>
    <row r="34" spans="1:11" s="167" customFormat="1">
      <c r="A34" s="167" t="s">
        <v>776</v>
      </c>
      <c r="B34" s="167" t="s">
        <v>776</v>
      </c>
      <c r="C34" s="167" t="s">
        <v>419</v>
      </c>
      <c r="D34" s="185" t="s">
        <v>797</v>
      </c>
      <c r="E34" s="179">
        <v>0</v>
      </c>
      <c r="F34" s="167">
        <v>785</v>
      </c>
      <c r="G34" s="148" t="s">
        <v>427</v>
      </c>
    </row>
    <row r="35" spans="1:11" s="167" customFormat="1">
      <c r="A35" s="167" t="s">
        <v>570</v>
      </c>
      <c r="B35" s="167" t="s">
        <v>570</v>
      </c>
      <c r="C35" s="167" t="s">
        <v>419</v>
      </c>
      <c r="D35" s="185" t="s">
        <v>797</v>
      </c>
      <c r="E35" s="179">
        <v>0</v>
      </c>
      <c r="F35" s="167">
        <v>271</v>
      </c>
      <c r="G35" s="97" t="s">
        <v>436</v>
      </c>
    </row>
    <row r="36" spans="1:11" s="167" customFormat="1">
      <c r="A36" s="167" t="s">
        <v>571</v>
      </c>
      <c r="B36" s="167" t="s">
        <v>571</v>
      </c>
      <c r="C36" s="167" t="s">
        <v>419</v>
      </c>
      <c r="D36" s="185" t="s">
        <v>797</v>
      </c>
      <c r="E36" s="179">
        <v>0</v>
      </c>
      <c r="F36" s="167">
        <v>5616</v>
      </c>
      <c r="G36" s="148" t="s">
        <v>443</v>
      </c>
    </row>
    <row r="37" spans="1:11" s="167" customFormat="1">
      <c r="A37" s="167" t="s">
        <v>572</v>
      </c>
      <c r="B37" s="167" t="s">
        <v>572</v>
      </c>
      <c r="C37" s="167" t="s">
        <v>419</v>
      </c>
      <c r="D37" s="185" t="s">
        <v>797</v>
      </c>
      <c r="E37" s="179">
        <v>0</v>
      </c>
      <c r="F37" s="167">
        <v>640</v>
      </c>
      <c r="G37" s="148" t="s">
        <v>452</v>
      </c>
    </row>
    <row r="38" spans="1:11" s="167" customFormat="1">
      <c r="A38" s="167" t="s">
        <v>777</v>
      </c>
      <c r="B38" s="167" t="s">
        <v>777</v>
      </c>
      <c r="C38" s="167" t="s">
        <v>419</v>
      </c>
      <c r="D38" s="185" t="s">
        <v>797</v>
      </c>
      <c r="E38" s="179">
        <v>0</v>
      </c>
      <c r="F38" s="167">
        <v>395</v>
      </c>
      <c r="G38" s="148" t="s">
        <v>452</v>
      </c>
    </row>
    <row r="39" spans="1:11" s="167" customFormat="1">
      <c r="A39" s="167" t="s">
        <v>573</v>
      </c>
      <c r="B39" s="167" t="s">
        <v>573</v>
      </c>
      <c r="C39" s="167" t="s">
        <v>419</v>
      </c>
      <c r="D39" s="185" t="s">
        <v>797</v>
      </c>
      <c r="E39" s="179">
        <v>0</v>
      </c>
      <c r="F39" s="167">
        <v>245</v>
      </c>
      <c r="G39" s="148" t="s">
        <v>453</v>
      </c>
    </row>
    <row r="40" spans="1:11" s="167" customFormat="1">
      <c r="A40" s="167" t="s">
        <v>574</v>
      </c>
      <c r="B40" s="167" t="s">
        <v>574</v>
      </c>
      <c r="C40" s="167" t="s">
        <v>419</v>
      </c>
      <c r="D40" s="185" t="s">
        <v>797</v>
      </c>
      <c r="E40" s="179">
        <v>0</v>
      </c>
      <c r="F40" s="167">
        <v>882</v>
      </c>
      <c r="G40" s="97" t="s">
        <v>727</v>
      </c>
    </row>
    <row r="41" spans="1:11" s="167" customFormat="1">
      <c r="A41" s="167" t="s">
        <v>575</v>
      </c>
      <c r="B41" s="167" t="s">
        <v>575</v>
      </c>
      <c r="C41" s="167" t="s">
        <v>419</v>
      </c>
      <c r="D41" s="185" t="s">
        <v>797</v>
      </c>
      <c r="E41" s="179">
        <v>0</v>
      </c>
      <c r="F41" s="190">
        <v>145</v>
      </c>
      <c r="G41" s="97" t="s">
        <v>660</v>
      </c>
    </row>
    <row r="42" spans="1:11" s="167" customFormat="1">
      <c r="A42" s="167" t="s">
        <v>576</v>
      </c>
      <c r="B42" s="167" t="s">
        <v>576</v>
      </c>
      <c r="C42" s="167" t="s">
        <v>419</v>
      </c>
      <c r="D42" s="185" t="s">
        <v>797</v>
      </c>
      <c r="E42" s="179">
        <v>0</v>
      </c>
      <c r="F42" s="190">
        <v>225</v>
      </c>
      <c r="G42" s="97" t="s">
        <v>429</v>
      </c>
      <c r="J42" s="223"/>
      <c r="K42" s="185"/>
    </row>
    <row r="43" spans="1:11" s="167" customFormat="1">
      <c r="A43" s="167" t="s">
        <v>577</v>
      </c>
      <c r="B43" s="167" t="s">
        <v>577</v>
      </c>
      <c r="C43" s="167" t="s">
        <v>419</v>
      </c>
      <c r="D43" s="185" t="s">
        <v>797</v>
      </c>
      <c r="E43" s="179">
        <v>0</v>
      </c>
      <c r="F43" s="167">
        <v>526</v>
      </c>
      <c r="G43" s="148" t="s">
        <v>426</v>
      </c>
      <c r="J43" s="223"/>
      <c r="K43" s="185"/>
    </row>
    <row r="44" spans="1:11" s="167" customFormat="1">
      <c r="A44" s="167" t="s">
        <v>578</v>
      </c>
      <c r="B44" s="167" t="s">
        <v>578</v>
      </c>
      <c r="C44" s="167" t="s">
        <v>420</v>
      </c>
      <c r="D44" s="185" t="s">
        <v>797</v>
      </c>
      <c r="E44" s="179">
        <v>0</v>
      </c>
      <c r="F44" s="167">
        <v>545</v>
      </c>
      <c r="G44" s="148" t="s">
        <v>426</v>
      </c>
      <c r="J44" s="223"/>
      <c r="K44" s="185"/>
    </row>
    <row r="45" spans="1:11" s="167" customFormat="1">
      <c r="A45" s="167" t="s">
        <v>778</v>
      </c>
      <c r="B45" s="167" t="s">
        <v>778</v>
      </c>
      <c r="C45" s="167" t="s">
        <v>420</v>
      </c>
      <c r="D45" s="185" t="s">
        <v>797</v>
      </c>
      <c r="E45" s="179">
        <v>0</v>
      </c>
      <c r="F45" s="166">
        <v>9</v>
      </c>
      <c r="G45" s="148" t="s">
        <v>449</v>
      </c>
      <c r="J45" s="224"/>
      <c r="K45" s="185"/>
    </row>
    <row r="46" spans="1:11" s="167" customFormat="1">
      <c r="A46" s="167" t="s">
        <v>579</v>
      </c>
      <c r="B46" s="167" t="s">
        <v>579</v>
      </c>
      <c r="C46" s="167" t="s">
        <v>420</v>
      </c>
      <c r="D46" s="185" t="s">
        <v>797</v>
      </c>
      <c r="E46" s="179">
        <v>0</v>
      </c>
      <c r="F46" s="166">
        <v>410</v>
      </c>
      <c r="G46" s="97" t="s">
        <v>433</v>
      </c>
      <c r="J46" s="223"/>
      <c r="K46" s="185"/>
    </row>
    <row r="47" spans="1:11" s="167" customFormat="1">
      <c r="A47" s="167" t="s">
        <v>779</v>
      </c>
      <c r="B47" s="167" t="s">
        <v>779</v>
      </c>
      <c r="C47" s="167" t="s">
        <v>420</v>
      </c>
      <c r="D47" s="185" t="s">
        <v>797</v>
      </c>
      <c r="E47" s="179">
        <v>0</v>
      </c>
      <c r="F47" s="166">
        <v>85</v>
      </c>
      <c r="G47" s="97" t="s">
        <v>727</v>
      </c>
      <c r="J47" s="223"/>
      <c r="K47" s="185"/>
    </row>
    <row r="48" spans="1:11" s="167" customFormat="1">
      <c r="A48" s="167" t="s">
        <v>780</v>
      </c>
      <c r="B48" s="167" t="s">
        <v>780</v>
      </c>
      <c r="C48" s="167" t="s">
        <v>420</v>
      </c>
      <c r="D48" s="185" t="s">
        <v>797</v>
      </c>
      <c r="E48" s="179">
        <v>0</v>
      </c>
      <c r="F48" s="166">
        <v>490</v>
      </c>
      <c r="G48" s="148" t="s">
        <v>687</v>
      </c>
      <c r="J48" s="223"/>
      <c r="K48" s="185"/>
    </row>
    <row r="49" spans="1:9" s="167" customFormat="1">
      <c r="A49" s="167" t="s">
        <v>781</v>
      </c>
      <c r="B49" s="167" t="s">
        <v>781</v>
      </c>
      <c r="C49" s="167" t="s">
        <v>420</v>
      </c>
      <c r="D49" s="185" t="s">
        <v>797</v>
      </c>
      <c r="E49" s="179">
        <v>0</v>
      </c>
      <c r="F49" s="166">
        <v>130</v>
      </c>
      <c r="G49" s="97" t="s">
        <v>429</v>
      </c>
    </row>
    <row r="50" spans="1:9" s="167" customFormat="1">
      <c r="A50" s="167" t="s">
        <v>782</v>
      </c>
      <c r="B50" s="167" t="s">
        <v>782</v>
      </c>
      <c r="C50" s="167" t="s">
        <v>420</v>
      </c>
      <c r="D50" s="185" t="s">
        <v>797</v>
      </c>
      <c r="E50" s="179">
        <v>0</v>
      </c>
      <c r="F50" s="166">
        <v>520</v>
      </c>
      <c r="G50" s="97" t="s">
        <v>434</v>
      </c>
      <c r="H50" s="166"/>
    </row>
    <row r="51" spans="1:9" s="167" customFormat="1">
      <c r="A51" s="167" t="s">
        <v>783</v>
      </c>
      <c r="B51" s="167" t="s">
        <v>783</v>
      </c>
      <c r="C51" s="167" t="s">
        <v>420</v>
      </c>
      <c r="D51" s="185" t="s">
        <v>797</v>
      </c>
      <c r="E51" s="179">
        <v>0</v>
      </c>
      <c r="F51" s="166">
        <v>35</v>
      </c>
      <c r="G51" s="148" t="s">
        <v>414</v>
      </c>
      <c r="H51" s="166"/>
    </row>
    <row r="52" spans="1:9" s="167" customFormat="1">
      <c r="A52" s="167" t="s">
        <v>784</v>
      </c>
      <c r="B52" s="167" t="s">
        <v>784</v>
      </c>
      <c r="C52" s="167" t="s">
        <v>420</v>
      </c>
      <c r="D52" s="185" t="s">
        <v>797</v>
      </c>
      <c r="E52" s="179">
        <v>0</v>
      </c>
      <c r="F52" s="166">
        <v>2040</v>
      </c>
      <c r="G52" s="148" t="s">
        <v>657</v>
      </c>
      <c r="H52" s="166"/>
    </row>
    <row r="53" spans="1:9" s="167" customFormat="1">
      <c r="A53" s="167" t="s">
        <v>785</v>
      </c>
      <c r="B53" s="167" t="s">
        <v>785</v>
      </c>
      <c r="C53" s="167" t="s">
        <v>420</v>
      </c>
      <c r="D53" s="185" t="s">
        <v>797</v>
      </c>
      <c r="E53" s="179">
        <v>0</v>
      </c>
      <c r="F53" s="166">
        <v>1065</v>
      </c>
      <c r="G53" s="97" t="s">
        <v>660</v>
      </c>
      <c r="H53" s="166"/>
    </row>
    <row r="54" spans="1:9" s="167" customFormat="1">
      <c r="A54" s="167" t="s">
        <v>786</v>
      </c>
      <c r="B54" s="167" t="s">
        <v>786</v>
      </c>
      <c r="C54" s="167" t="s">
        <v>420</v>
      </c>
      <c r="D54" s="185" t="s">
        <v>797</v>
      </c>
      <c r="E54" s="179">
        <v>0</v>
      </c>
      <c r="F54" s="166">
        <v>150</v>
      </c>
      <c r="G54" s="97" t="s">
        <v>436</v>
      </c>
      <c r="H54" s="166"/>
    </row>
    <row r="55" spans="1:9">
      <c r="A55" s="167" t="s">
        <v>787</v>
      </c>
      <c r="B55" s="167" t="s">
        <v>787</v>
      </c>
      <c r="C55" s="167" t="s">
        <v>420</v>
      </c>
      <c r="D55" s="185" t="s">
        <v>797</v>
      </c>
      <c r="E55" s="179">
        <v>0</v>
      </c>
      <c r="F55" s="166">
        <v>29</v>
      </c>
      <c r="G55" s="148" t="s">
        <v>428</v>
      </c>
    </row>
    <row r="56" spans="1:9">
      <c r="A56" s="167" t="s">
        <v>580</v>
      </c>
      <c r="B56" s="167" t="s">
        <v>580</v>
      </c>
      <c r="C56" s="167" t="s">
        <v>420</v>
      </c>
      <c r="D56" s="185" t="s">
        <v>797</v>
      </c>
      <c r="E56" s="179">
        <v>0</v>
      </c>
      <c r="F56" s="166">
        <v>38</v>
      </c>
      <c r="G56" s="148" t="s">
        <v>425</v>
      </c>
    </row>
    <row r="57" spans="1:9">
      <c r="A57" s="167" t="s">
        <v>788</v>
      </c>
      <c r="B57" s="167" t="s">
        <v>788</v>
      </c>
      <c r="C57" s="167" t="s">
        <v>420</v>
      </c>
      <c r="D57" s="185" t="s">
        <v>797</v>
      </c>
      <c r="E57" s="179">
        <v>0</v>
      </c>
      <c r="F57" s="166">
        <v>65</v>
      </c>
      <c r="G57" s="97" t="s">
        <v>437</v>
      </c>
    </row>
    <row r="58" spans="1:9">
      <c r="A58" s="167" t="s">
        <v>789</v>
      </c>
      <c r="B58" s="167" t="s">
        <v>789</v>
      </c>
      <c r="C58" s="167" t="s">
        <v>420</v>
      </c>
      <c r="D58" s="185" t="s">
        <v>797</v>
      </c>
      <c r="E58" s="179">
        <v>0</v>
      </c>
      <c r="F58" s="166">
        <v>9.9</v>
      </c>
      <c r="G58" s="148" t="s">
        <v>431</v>
      </c>
    </row>
    <row r="59" spans="1:9">
      <c r="A59" s="167" t="s">
        <v>581</v>
      </c>
      <c r="B59" s="167" t="s">
        <v>581</v>
      </c>
      <c r="C59" s="167" t="s">
        <v>420</v>
      </c>
      <c r="D59" s="185" t="s">
        <v>797</v>
      </c>
      <c r="E59" s="179">
        <v>0</v>
      </c>
      <c r="F59" s="166">
        <v>25</v>
      </c>
      <c r="G59" s="148" t="s">
        <v>453</v>
      </c>
    </row>
    <row r="60" spans="1:9">
      <c r="A60" s="167" t="s">
        <v>582</v>
      </c>
      <c r="B60" s="167" t="s">
        <v>582</v>
      </c>
      <c r="C60" s="167" t="s">
        <v>420</v>
      </c>
      <c r="D60" s="185" t="s">
        <v>797</v>
      </c>
      <c r="E60" s="179">
        <v>0</v>
      </c>
      <c r="F60" s="166">
        <v>23.2</v>
      </c>
      <c r="G60" s="148" t="s">
        <v>425</v>
      </c>
    </row>
    <row r="61" spans="1:9">
      <c r="A61" s="166" t="s">
        <v>583</v>
      </c>
      <c r="B61" s="166" t="s">
        <v>583</v>
      </c>
      <c r="C61" s="166" t="s">
        <v>416</v>
      </c>
      <c r="D61" s="185" t="s">
        <v>795</v>
      </c>
      <c r="E61" s="210">
        <f>ROUND(F61*0.2,0)</f>
        <v>82</v>
      </c>
      <c r="F61" s="211">
        <v>411</v>
      </c>
      <c r="G61" s="148" t="s">
        <v>426</v>
      </c>
      <c r="H61" s="166">
        <f>F61*0.6</f>
        <v>246.6</v>
      </c>
      <c r="I61" s="166">
        <v>1</v>
      </c>
    </row>
    <row r="62" spans="1:9">
      <c r="A62" s="166" t="s">
        <v>584</v>
      </c>
      <c r="B62" s="166" t="s">
        <v>584</v>
      </c>
      <c r="C62" s="166" t="s">
        <v>417</v>
      </c>
      <c r="D62" s="185" t="s">
        <v>796</v>
      </c>
      <c r="E62" s="210">
        <f t="shared" ref="E62:E63" si="2">ROUND(F62*0.2,0)</f>
        <v>2</v>
      </c>
      <c r="F62" s="211">
        <v>7.5</v>
      </c>
      <c r="G62" s="148" t="s">
        <v>425</v>
      </c>
      <c r="H62" s="166">
        <f t="shared" ref="H62:H63" si="3">F62*0.6</f>
        <v>4.5</v>
      </c>
      <c r="I62" s="166">
        <v>1</v>
      </c>
    </row>
    <row r="63" spans="1:9">
      <c r="A63" s="166" t="s">
        <v>585</v>
      </c>
      <c r="B63" s="166" t="s">
        <v>585</v>
      </c>
      <c r="C63" s="166" t="s">
        <v>417</v>
      </c>
      <c r="D63" s="185" t="s">
        <v>796</v>
      </c>
      <c r="E63" s="210">
        <f t="shared" si="2"/>
        <v>109</v>
      </c>
      <c r="F63" s="211">
        <v>547</v>
      </c>
      <c r="G63" s="148" t="s">
        <v>426</v>
      </c>
      <c r="H63" s="166">
        <f t="shared" si="3"/>
        <v>328.2</v>
      </c>
      <c r="I63" s="166">
        <v>1</v>
      </c>
    </row>
    <row r="64" spans="1:9">
      <c r="A64" s="169" t="s">
        <v>790</v>
      </c>
      <c r="B64" s="169" t="s">
        <v>790</v>
      </c>
      <c r="C64" s="169" t="s">
        <v>791</v>
      </c>
      <c r="D64" s="179" t="s">
        <v>297</v>
      </c>
      <c r="E64" s="208">
        <v>0</v>
      </c>
      <c r="F64" s="166">
        <v>1</v>
      </c>
      <c r="G64" s="97" t="s">
        <v>429</v>
      </c>
    </row>
    <row r="65" spans="1:7">
      <c r="A65" s="169" t="s">
        <v>792</v>
      </c>
      <c r="B65" s="169" t="s">
        <v>792</v>
      </c>
      <c r="C65" s="169" t="s">
        <v>791</v>
      </c>
      <c r="D65" s="179" t="s">
        <v>297</v>
      </c>
      <c r="E65" s="208">
        <v>0</v>
      </c>
      <c r="F65" s="166">
        <v>1</v>
      </c>
      <c r="G65" s="199" t="s">
        <v>414</v>
      </c>
    </row>
    <row r="66" spans="1:7">
      <c r="A66" s="169" t="s">
        <v>793</v>
      </c>
      <c r="B66" s="169" t="s">
        <v>793</v>
      </c>
      <c r="C66" s="169" t="s">
        <v>791</v>
      </c>
      <c r="D66" s="179" t="s">
        <v>297</v>
      </c>
      <c r="E66" s="208">
        <v>0</v>
      </c>
      <c r="F66" s="166">
        <v>1</v>
      </c>
      <c r="G66" s="199" t="s">
        <v>657</v>
      </c>
    </row>
    <row r="67" spans="1:7">
      <c r="A67" s="169" t="s">
        <v>794</v>
      </c>
      <c r="B67" s="169" t="s">
        <v>794</v>
      </c>
      <c r="C67" s="169" t="s">
        <v>791</v>
      </c>
      <c r="D67" s="179" t="s">
        <v>297</v>
      </c>
      <c r="E67" s="208">
        <v>0</v>
      </c>
      <c r="F67" s="166">
        <v>1</v>
      </c>
      <c r="G67" s="54" t="s">
        <v>750</v>
      </c>
    </row>
    <row r="68" spans="1:7">
      <c r="A68" s="169" t="s">
        <v>799</v>
      </c>
      <c r="B68" s="169" t="s">
        <v>799</v>
      </c>
      <c r="C68" s="169" t="s">
        <v>791</v>
      </c>
      <c r="D68" s="179" t="s">
        <v>297</v>
      </c>
      <c r="E68" s="208">
        <v>0</v>
      </c>
      <c r="F68" s="166">
        <v>1</v>
      </c>
      <c r="G68" s="97" t="s">
        <v>660</v>
      </c>
    </row>
    <row r="69" spans="1:7">
      <c r="A69" s="169" t="s">
        <v>800</v>
      </c>
      <c r="B69" s="169" t="s">
        <v>800</v>
      </c>
      <c r="C69" s="169" t="s">
        <v>791</v>
      </c>
      <c r="D69" s="179" t="s">
        <v>297</v>
      </c>
      <c r="E69" s="208">
        <v>0</v>
      </c>
      <c r="F69" s="166">
        <v>1</v>
      </c>
      <c r="G69" s="54" t="s">
        <v>727</v>
      </c>
    </row>
    <row r="70" spans="1:7">
      <c r="C70" s="166"/>
      <c r="F70" s="166"/>
      <c r="G70" s="167"/>
    </row>
    <row r="71" spans="1:7">
      <c r="C71" s="166"/>
      <c r="F71" s="166"/>
      <c r="G71" s="167"/>
    </row>
    <row r="72" spans="1:7">
      <c r="C72" s="166"/>
      <c r="F72" s="166"/>
      <c r="G72" s="167"/>
    </row>
    <row r="73" spans="1:7">
      <c r="C73" s="166"/>
      <c r="F73" s="166"/>
      <c r="G73" s="167"/>
    </row>
    <row r="74" spans="1:7">
      <c r="C74" s="166"/>
      <c r="F74" s="166"/>
      <c r="G74" s="167"/>
    </row>
    <row r="75" spans="1:7">
      <c r="C75" s="166"/>
      <c r="F75" s="166"/>
      <c r="G75" s="167"/>
    </row>
    <row r="76" spans="1:7">
      <c r="C76" s="166"/>
      <c r="F76" s="166"/>
      <c r="G76" s="167"/>
    </row>
    <row r="77" spans="1:7">
      <c r="C77" s="166"/>
      <c r="F77" s="166"/>
      <c r="G77" s="167"/>
    </row>
    <row r="78" spans="1:7">
      <c r="C78" s="166"/>
      <c r="F78" s="166"/>
      <c r="G78" s="167"/>
    </row>
    <row r="79" spans="1:7">
      <c r="C79" s="166"/>
      <c r="F79" s="166"/>
      <c r="G79" s="167"/>
    </row>
    <row r="80" spans="1:7">
      <c r="C80" s="166"/>
      <c r="F80" s="166"/>
      <c r="G80" s="167"/>
    </row>
    <row r="81" spans="3:7">
      <c r="C81" s="166"/>
      <c r="F81" s="166"/>
      <c r="G81" s="167"/>
    </row>
    <row r="82" spans="3:7">
      <c r="C82" s="166"/>
      <c r="F82" s="166"/>
      <c r="G82" s="167"/>
    </row>
    <row r="83" spans="3:7">
      <c r="C83" s="166"/>
      <c r="F83" s="166"/>
      <c r="G83" s="167"/>
    </row>
    <row r="84" spans="3:7">
      <c r="C84" s="166"/>
      <c r="F84" s="166"/>
      <c r="G84" s="167"/>
    </row>
    <row r="85" spans="3:7">
      <c r="C85" s="166"/>
      <c r="F85" s="166"/>
      <c r="G85" s="167"/>
    </row>
    <row r="86" spans="3:7">
      <c r="C86" s="166"/>
      <c r="F86" s="166"/>
      <c r="G86" s="167"/>
    </row>
    <row r="87" spans="3:7">
      <c r="C87" s="166"/>
      <c r="F87" s="166"/>
      <c r="G87" s="167"/>
    </row>
    <row r="88" spans="3:7">
      <c r="C88" s="166"/>
      <c r="F88" s="166"/>
      <c r="G88" s="167"/>
    </row>
    <row r="89" spans="3:7">
      <c r="C89" s="166"/>
      <c r="F89" s="166"/>
      <c r="G89" s="167"/>
    </row>
    <row r="90" spans="3:7">
      <c r="C90" s="166"/>
      <c r="F90" s="166"/>
      <c r="G90" s="167"/>
    </row>
    <row r="91" spans="3:7">
      <c r="C91" s="166"/>
      <c r="F91" s="166"/>
      <c r="G91" s="167"/>
    </row>
    <row r="92" spans="3:7">
      <c r="C92" s="166"/>
      <c r="F92" s="166"/>
      <c r="G92" s="167"/>
    </row>
    <row r="93" spans="3:7">
      <c r="C93" s="166"/>
      <c r="F93" s="166"/>
      <c r="G93" s="167"/>
    </row>
    <row r="94" spans="3:7">
      <c r="C94" s="166"/>
      <c r="F94" s="166"/>
      <c r="G94" s="167"/>
    </row>
    <row r="95" spans="3:7">
      <c r="C95" s="166"/>
      <c r="F95" s="166"/>
      <c r="G95" s="167"/>
    </row>
    <row r="96" spans="3:7">
      <c r="C96" s="166"/>
      <c r="F96" s="166"/>
      <c r="G96" s="167"/>
    </row>
    <row r="97" spans="3:7">
      <c r="C97" s="166"/>
      <c r="F97" s="166"/>
      <c r="G97" s="167"/>
    </row>
    <row r="98" spans="3:7">
      <c r="C98" s="166"/>
      <c r="F98" s="166"/>
      <c r="G98" s="167"/>
    </row>
    <row r="99" spans="3:7">
      <c r="C99" s="166"/>
      <c r="F99" s="166"/>
      <c r="G99" s="167"/>
    </row>
    <row r="100" spans="3:7">
      <c r="C100" s="166"/>
      <c r="F100" s="166"/>
      <c r="G100" s="167"/>
    </row>
    <row r="101" spans="3:7">
      <c r="C101" s="166"/>
      <c r="F101" s="166"/>
      <c r="G101" s="167"/>
    </row>
    <row r="102" spans="3:7">
      <c r="C102" s="166"/>
      <c r="F102" s="166"/>
      <c r="G102" s="167"/>
    </row>
    <row r="103" spans="3:7">
      <c r="C103" s="166"/>
      <c r="F103" s="166"/>
      <c r="G103" s="167"/>
    </row>
    <row r="104" spans="3:7">
      <c r="C104" s="166"/>
      <c r="F104" s="166"/>
      <c r="G104" s="167"/>
    </row>
    <row r="105" spans="3:7">
      <c r="C105" s="166"/>
      <c r="F105" s="166"/>
      <c r="G105" s="167"/>
    </row>
    <row r="106" spans="3:7">
      <c r="C106" s="166"/>
      <c r="F106" s="166"/>
      <c r="G106" s="167"/>
    </row>
    <row r="107" spans="3:7">
      <c r="C107" s="166"/>
      <c r="F107" s="166"/>
      <c r="G107" s="167"/>
    </row>
  </sheetData>
  <phoneticPr fontId="2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B657-F9A8-4831-87F0-6B7F7A7547E0}">
  <sheetPr>
    <tabColor rgb="FFFF6600"/>
  </sheetPr>
  <dimension ref="A1:O115"/>
  <sheetViews>
    <sheetView topLeftCell="A27" zoomScaleNormal="100" workbookViewId="0">
      <selection activeCell="J38" sqref="J38"/>
    </sheetView>
  </sheetViews>
  <sheetFormatPr defaultRowHeight="15"/>
  <cols>
    <col min="1" max="1" width="27.85546875" style="185" bestFit="1" customWidth="1"/>
    <col min="2" max="2" width="34.42578125" style="185" customWidth="1"/>
    <col min="3" max="3" width="24.28515625" style="185" customWidth="1"/>
    <col min="4" max="4" width="11.85546875" style="185" customWidth="1"/>
    <col min="5" max="5" width="12.42578125" style="185" customWidth="1"/>
    <col min="6" max="6" width="15.85546875" style="185" customWidth="1"/>
    <col min="7" max="7" width="13" style="97" customWidth="1"/>
    <col min="8" max="8" width="15" style="185" customWidth="1"/>
    <col min="9" max="9" width="11" style="185" customWidth="1"/>
    <col min="10" max="10" width="17.140625" style="185" customWidth="1"/>
    <col min="11" max="11" width="11" style="185" customWidth="1"/>
    <col min="12" max="12" width="11" style="97" customWidth="1"/>
    <col min="13" max="13" width="30.28515625" style="54" customWidth="1"/>
    <col min="14" max="14" width="55.28515625" style="50" customWidth="1"/>
    <col min="15" max="21" width="11" style="185" customWidth="1"/>
    <col min="22" max="16384" width="9.140625" style="185"/>
  </cols>
  <sheetData>
    <row r="1" spans="1:15">
      <c r="A1" s="170" t="s">
        <v>263</v>
      </c>
      <c r="B1" s="170" t="s">
        <v>265</v>
      </c>
      <c r="C1" s="170" t="s">
        <v>264</v>
      </c>
      <c r="D1" s="170" t="s">
        <v>257</v>
      </c>
      <c r="E1" s="170" t="s">
        <v>258</v>
      </c>
      <c r="F1" s="170" t="s">
        <v>222</v>
      </c>
      <c r="G1" s="148" t="s">
        <v>402</v>
      </c>
      <c r="H1" s="170" t="s">
        <v>586</v>
      </c>
      <c r="I1" s="170" t="s">
        <v>262</v>
      </c>
      <c r="J1" s="170" t="s">
        <v>366</v>
      </c>
      <c r="K1" s="170" t="s">
        <v>396</v>
      </c>
      <c r="L1" s="148"/>
      <c r="M1" s="148"/>
      <c r="N1" s="143"/>
      <c r="O1" s="5"/>
    </row>
    <row r="2" spans="1:15">
      <c r="A2" s="185" t="s">
        <v>454</v>
      </c>
      <c r="B2" s="148" t="s">
        <v>425</v>
      </c>
      <c r="C2" s="185" t="s">
        <v>426</v>
      </c>
      <c r="D2" s="170">
        <v>735</v>
      </c>
      <c r="E2" s="170"/>
      <c r="F2" s="170">
        <v>183.75</v>
      </c>
      <c r="G2" s="148">
        <v>100000</v>
      </c>
      <c r="H2" s="170" cm="1">
        <f t="array" ref="H2">_xlfn.IFS($D2=138,$F2*0.5,$D2=240,$F2*0.4,$D2=400,$F2*0.3,$D2=500,$F2*0.3,$D2=735,$F2*0.25)</f>
        <v>45.9375</v>
      </c>
      <c r="I2" s="170">
        <f>H2/100</f>
        <v>0.45937499999999998</v>
      </c>
      <c r="J2" s="170"/>
      <c r="K2" s="172"/>
      <c r="L2" s="148"/>
      <c r="M2" s="148"/>
      <c r="N2" s="143"/>
      <c r="O2" s="5"/>
    </row>
    <row r="3" spans="1:15">
      <c r="A3" s="185" t="s">
        <v>455</v>
      </c>
      <c r="B3" s="148" t="s">
        <v>427</v>
      </c>
      <c r="C3" s="54" t="s">
        <v>761</v>
      </c>
      <c r="D3" s="170">
        <v>735</v>
      </c>
      <c r="E3" s="170"/>
      <c r="F3" s="170">
        <v>206.34000000000003</v>
      </c>
      <c r="G3" s="148">
        <v>100000</v>
      </c>
      <c r="H3" s="170" cm="1">
        <f t="array" ref="H3">_xlfn.IFS($D3=138,$F3*0.5,$D3=240,$F3*0.4,$D3=400,$F3*0.3,$D3=500,$F3*0.3,$D3=735,$F3*0.25)</f>
        <v>51.585000000000008</v>
      </c>
      <c r="I3" s="170">
        <f t="shared" ref="I3:I66" si="0">H3/100</f>
        <v>0.51585000000000003</v>
      </c>
      <c r="J3" s="170"/>
      <c r="K3" s="172"/>
      <c r="L3" s="148"/>
      <c r="M3" s="148"/>
      <c r="N3" s="143"/>
      <c r="O3" s="5"/>
    </row>
    <row r="4" spans="1:15">
      <c r="A4" s="185" t="s">
        <v>456</v>
      </c>
      <c r="B4" s="54" t="s">
        <v>761</v>
      </c>
      <c r="C4" s="185" t="s">
        <v>415</v>
      </c>
      <c r="D4" s="170">
        <v>735</v>
      </c>
      <c r="E4" s="170"/>
      <c r="F4" s="170">
        <v>159.6</v>
      </c>
      <c r="G4" s="148">
        <v>100000</v>
      </c>
      <c r="H4" s="170" cm="1">
        <f t="array" ref="H4">_xlfn.IFS($D4=138,$F4*0.5,$D4=240,$F4*0.4,$D4=400,$F4*0.3,$D4=500,$F4*0.3,$D4=735,$F4*0.25)</f>
        <v>39.9</v>
      </c>
      <c r="I4" s="170">
        <f t="shared" si="0"/>
        <v>0.39899999999999997</v>
      </c>
      <c r="J4" s="170"/>
      <c r="K4" s="172"/>
      <c r="L4" s="148"/>
    </row>
    <row r="5" spans="1:15">
      <c r="A5" s="185" t="s">
        <v>457</v>
      </c>
      <c r="B5" s="148" t="s">
        <v>428</v>
      </c>
      <c r="C5" s="185" t="s">
        <v>727</v>
      </c>
      <c r="D5" s="170">
        <v>735</v>
      </c>
      <c r="E5" s="170"/>
      <c r="F5" s="170">
        <v>115.5</v>
      </c>
      <c r="G5" s="148">
        <v>100000</v>
      </c>
      <c r="H5" s="170" cm="1">
        <f t="array" ref="H5">_xlfn.IFS($D5=138,$F5*0.5,$D5=240,$F5*0.4,$D5=400,$F5*0.3,$D5=500,$F5*0.3,$D5=735,$F5*0.25)</f>
        <v>28.875</v>
      </c>
      <c r="I5" s="170">
        <f t="shared" si="0"/>
        <v>0.28875000000000001</v>
      </c>
      <c r="J5" s="170"/>
      <c r="K5" s="172"/>
      <c r="L5" s="148"/>
      <c r="M5" s="148"/>
    </row>
    <row r="6" spans="1:15">
      <c r="A6" s="185" t="s">
        <v>458</v>
      </c>
      <c r="B6" s="148" t="s">
        <v>429</v>
      </c>
      <c r="C6" s="185" t="s">
        <v>430</v>
      </c>
      <c r="D6" s="170">
        <v>735</v>
      </c>
      <c r="E6" s="170"/>
      <c r="F6" s="170">
        <v>26.25</v>
      </c>
      <c r="G6" s="148">
        <v>100000</v>
      </c>
      <c r="H6" s="170" cm="1">
        <f t="array" ref="H6">_xlfn.IFS($D6=138,$F6*0.5,$D6=240,$F6*0.4,$D6=400,$F6*0.3,$D6=500,$F6*0.3,$D6=735,$F6*0.25)</f>
        <v>6.5625</v>
      </c>
      <c r="I6" s="170">
        <f t="shared" si="0"/>
        <v>6.5625000000000003E-2</v>
      </c>
      <c r="J6" s="170"/>
      <c r="K6" s="172"/>
      <c r="L6" s="148"/>
    </row>
    <row r="7" spans="1:15">
      <c r="A7" s="185" t="s">
        <v>459</v>
      </c>
      <c r="B7" s="148" t="s">
        <v>430</v>
      </c>
      <c r="C7" s="185" t="s">
        <v>428</v>
      </c>
      <c r="D7" s="170">
        <v>735</v>
      </c>
      <c r="E7" s="170"/>
      <c r="F7" s="170">
        <v>115.5</v>
      </c>
      <c r="G7" s="148">
        <v>100000</v>
      </c>
      <c r="H7" s="170" cm="1">
        <f t="array" ref="H7">_xlfn.IFS($D7=138,$F7*0.5,$D7=240,$F7*0.4,$D7=400,$F7*0.3,$D7=500,$F7*0.3,$D7=735,$F7*0.25)</f>
        <v>28.875</v>
      </c>
      <c r="I7" s="170">
        <f t="shared" si="0"/>
        <v>0.28875000000000001</v>
      </c>
      <c r="J7" s="199" t="s">
        <v>449</v>
      </c>
      <c r="K7" s="172"/>
      <c r="L7" s="148"/>
      <c r="M7" s="148"/>
    </row>
    <row r="8" spans="1:15">
      <c r="A8" s="185" t="s">
        <v>460</v>
      </c>
      <c r="B8" s="148" t="s">
        <v>431</v>
      </c>
      <c r="C8" s="185" t="s">
        <v>432</v>
      </c>
      <c r="D8" s="170">
        <v>735</v>
      </c>
      <c r="E8" s="170"/>
      <c r="F8" s="170">
        <v>131.1</v>
      </c>
      <c r="G8" s="148">
        <v>100000</v>
      </c>
      <c r="H8" s="170" cm="1">
        <f t="array" ref="H8">_xlfn.IFS($D8=138,$F8*0.5,$D8=240,$F8*0.4,$D8=400,$F8*0.3,$D8=500,$F8*0.3,$D8=735,$F8*0.25)</f>
        <v>32.774999999999999</v>
      </c>
      <c r="I8" s="170">
        <f t="shared" si="0"/>
        <v>0.32774999999999999</v>
      </c>
      <c r="J8" s="199" t="s">
        <v>442</v>
      </c>
      <c r="K8" s="172"/>
      <c r="L8" s="148"/>
      <c r="M8" s="148"/>
    </row>
    <row r="9" spans="1:15">
      <c r="A9" s="185" t="s">
        <v>461</v>
      </c>
      <c r="B9" s="148" t="s">
        <v>432</v>
      </c>
      <c r="C9" s="185" t="s">
        <v>727</v>
      </c>
      <c r="D9" s="170">
        <v>735</v>
      </c>
      <c r="E9" s="170"/>
      <c r="F9" s="170">
        <v>217.74</v>
      </c>
      <c r="G9" s="148">
        <v>100000</v>
      </c>
      <c r="H9" s="170" cm="1">
        <f t="array" ref="H9">_xlfn.IFS($D9=138,$F9*0.5,$D9=240,$F9*0.4,$D9=400,$F9*0.3,$D9=500,$F9*0.3,$D9=735,$F9*0.25)</f>
        <v>54.435000000000002</v>
      </c>
      <c r="I9" s="170">
        <f t="shared" si="0"/>
        <v>0.54435</v>
      </c>
      <c r="J9" s="199" t="s">
        <v>450</v>
      </c>
      <c r="K9" s="172"/>
      <c r="L9" s="148"/>
    </row>
    <row r="10" spans="1:15">
      <c r="A10" s="185" t="s">
        <v>462</v>
      </c>
      <c r="B10" s="148" t="s">
        <v>431</v>
      </c>
      <c r="C10" s="185" t="s">
        <v>432</v>
      </c>
      <c r="D10" s="170">
        <v>735</v>
      </c>
      <c r="E10" s="170"/>
      <c r="F10" s="170">
        <v>131.1</v>
      </c>
      <c r="G10" s="148">
        <v>100000</v>
      </c>
      <c r="H10" s="170" cm="1">
        <f t="array" ref="H10">_xlfn.IFS($D10=138,$F10*0.5,$D10=240,$F10*0.4,$D10=400,$F10*0.3,$D10=500,$F10*0.3,$D10=735,$F10*0.25)</f>
        <v>32.774999999999999</v>
      </c>
      <c r="I10" s="170">
        <f t="shared" si="0"/>
        <v>0.32774999999999999</v>
      </c>
      <c r="J10" s="54" t="s">
        <v>437</v>
      </c>
      <c r="K10" s="172"/>
      <c r="L10" s="148"/>
      <c r="M10" s="148"/>
    </row>
    <row r="11" spans="1:15">
      <c r="A11" s="185" t="s">
        <v>463</v>
      </c>
      <c r="B11" s="148" t="s">
        <v>432</v>
      </c>
      <c r="C11" s="185" t="s">
        <v>727</v>
      </c>
      <c r="D11" s="170">
        <v>735</v>
      </c>
      <c r="E11" s="170"/>
      <c r="F11" s="170">
        <v>217.74</v>
      </c>
      <c r="G11" s="148">
        <v>100000</v>
      </c>
      <c r="H11" s="170" cm="1">
        <f t="array" ref="H11">_xlfn.IFS($D11=138,$F11*0.5,$D11=240,$F11*0.4,$D11=400,$F11*0.3,$D11=500,$F11*0.3,$D11=735,$F11*0.25)</f>
        <v>54.435000000000002</v>
      </c>
      <c r="I11" s="170">
        <f t="shared" si="0"/>
        <v>0.54435</v>
      </c>
      <c r="J11" s="199" t="s">
        <v>432</v>
      </c>
      <c r="K11" s="172"/>
      <c r="L11" s="148"/>
    </row>
    <row r="12" spans="1:15">
      <c r="A12" s="185" t="s">
        <v>464</v>
      </c>
      <c r="B12" s="148" t="s">
        <v>430</v>
      </c>
      <c r="C12" s="185" t="s">
        <v>763</v>
      </c>
      <c r="D12" s="170">
        <v>735</v>
      </c>
      <c r="E12" s="170"/>
      <c r="F12" s="170">
        <v>15.75</v>
      </c>
      <c r="G12" s="148">
        <v>100000</v>
      </c>
      <c r="H12" s="170" cm="1">
        <f t="array" ref="H12">_xlfn.IFS($D12=138,$F12*0.5,$D12=240,$F12*0.4,$D12=400,$F12*0.3,$D12=500,$F12*0.3,$D12=735,$F12*0.25)</f>
        <v>3.9375</v>
      </c>
      <c r="I12" s="170">
        <f t="shared" si="0"/>
        <v>3.9375E-2</v>
      </c>
      <c r="J12" s="54" t="s">
        <v>430</v>
      </c>
      <c r="K12" s="172"/>
      <c r="L12" s="148"/>
      <c r="M12" s="148"/>
      <c r="N12" s="143"/>
    </row>
    <row r="13" spans="1:15">
      <c r="A13" s="185" t="s">
        <v>465</v>
      </c>
      <c r="B13" s="148" t="s">
        <v>415</v>
      </c>
      <c r="C13" s="185" t="s">
        <v>727</v>
      </c>
      <c r="D13" s="170">
        <v>735</v>
      </c>
      <c r="E13" s="170"/>
      <c r="F13" s="170">
        <v>30</v>
      </c>
      <c r="G13" s="148">
        <v>100000</v>
      </c>
      <c r="H13" s="170" cm="1">
        <f t="array" ref="H13">_xlfn.IFS($D13=138,$F13*0.5,$D13=240,$F13*0.4,$D13=400,$F13*0.3,$D13=500,$F13*0.3,$D13=735,$F13*0.25)</f>
        <v>7.5</v>
      </c>
      <c r="I13" s="170">
        <f t="shared" si="0"/>
        <v>7.4999999999999997E-2</v>
      </c>
      <c r="J13" s="207" t="s">
        <v>763</v>
      </c>
      <c r="K13" s="172"/>
      <c r="L13" s="148"/>
    </row>
    <row r="14" spans="1:15">
      <c r="A14" s="185" t="s">
        <v>466</v>
      </c>
      <c r="B14" s="148" t="s">
        <v>427</v>
      </c>
      <c r="C14" s="185" t="s">
        <v>431</v>
      </c>
      <c r="D14" s="170">
        <v>735</v>
      </c>
      <c r="E14" s="170"/>
      <c r="F14" s="170">
        <v>47.88</v>
      </c>
      <c r="G14" s="148">
        <v>100000</v>
      </c>
      <c r="H14" s="170" cm="1">
        <f t="array" ref="H14">_xlfn.IFS($D14=138,$F14*0.5,$D14=240,$F14*0.4,$D14=400,$F14*0.3,$D14=500,$F14*0.3,$D14=735,$F14*0.25)</f>
        <v>11.97</v>
      </c>
      <c r="I14" s="170">
        <f t="shared" si="0"/>
        <v>0.1197</v>
      </c>
      <c r="J14" s="199" t="s">
        <v>425</v>
      </c>
      <c r="K14" s="172"/>
      <c r="L14" s="148"/>
      <c r="M14" s="148"/>
    </row>
    <row r="15" spans="1:15">
      <c r="A15" s="185" t="s">
        <v>467</v>
      </c>
      <c r="B15" s="148" t="s">
        <v>430</v>
      </c>
      <c r="C15" s="185" t="s">
        <v>425</v>
      </c>
      <c r="D15" s="170">
        <v>735</v>
      </c>
      <c r="E15" s="170"/>
      <c r="F15" s="170">
        <v>52.5</v>
      </c>
      <c r="G15" s="148">
        <v>100000</v>
      </c>
      <c r="H15" s="170" cm="1">
        <f t="array" ref="H15">_xlfn.IFS($D15=138,$F15*0.5,$D15=240,$F15*0.4,$D15=400,$F15*0.3,$D15=500,$F15*0.3,$D15=735,$F15*0.25)</f>
        <v>13.125</v>
      </c>
      <c r="I15" s="170">
        <f t="shared" si="0"/>
        <v>0.13125000000000001</v>
      </c>
      <c r="J15" s="54" t="s">
        <v>436</v>
      </c>
      <c r="K15" s="172"/>
      <c r="L15" s="148"/>
    </row>
    <row r="16" spans="1:15">
      <c r="A16" s="185" t="s">
        <v>468</v>
      </c>
      <c r="B16" s="148" t="s">
        <v>717</v>
      </c>
      <c r="C16" s="185" t="s">
        <v>433</v>
      </c>
      <c r="D16" s="170">
        <v>735</v>
      </c>
      <c r="E16" s="170"/>
      <c r="F16" s="170">
        <v>229.14000000000001</v>
      </c>
      <c r="G16" s="148">
        <v>100000</v>
      </c>
      <c r="H16" s="170" cm="1">
        <f t="array" ref="H16">_xlfn.IFS($D16=138,$F16*0.5,$D16=240,$F16*0.4,$D16=400,$F16*0.3,$D16=500,$F16*0.3,$D16=735,$F16*0.25)</f>
        <v>57.285000000000004</v>
      </c>
      <c r="I16" s="170">
        <f t="shared" si="0"/>
        <v>0.57285000000000008</v>
      </c>
      <c r="J16" s="199" t="s">
        <v>657</v>
      </c>
      <c r="K16" s="172"/>
      <c r="L16" s="148"/>
      <c r="M16" s="148"/>
    </row>
    <row r="17" spans="1:13">
      <c r="A17" s="185" t="s">
        <v>469</v>
      </c>
      <c r="B17" s="148" t="s">
        <v>426</v>
      </c>
      <c r="C17" s="185" t="s">
        <v>763</v>
      </c>
      <c r="D17" s="170">
        <v>735</v>
      </c>
      <c r="E17" s="170"/>
      <c r="F17" s="170">
        <v>223.44000000000003</v>
      </c>
      <c r="G17" s="148">
        <v>100000</v>
      </c>
      <c r="H17" s="170" cm="1">
        <f t="array" ref="H17">_xlfn.IFS($D17=138,$F17*0.5,$D17=240,$F17*0.4,$D17=400,$F17*0.3,$D17=500,$F17*0.3,$D17=735,$F17*0.25)</f>
        <v>55.860000000000007</v>
      </c>
      <c r="I17" s="170">
        <f t="shared" si="0"/>
        <v>0.5586000000000001</v>
      </c>
      <c r="J17" s="54" t="s">
        <v>660</v>
      </c>
      <c r="K17" s="172"/>
      <c r="L17" s="148"/>
    </row>
    <row r="18" spans="1:13">
      <c r="A18" s="185" t="s">
        <v>470</v>
      </c>
      <c r="B18" s="148" t="s">
        <v>426</v>
      </c>
      <c r="C18" s="185" t="s">
        <v>434</v>
      </c>
      <c r="D18" s="170">
        <v>735</v>
      </c>
      <c r="E18" s="170"/>
      <c r="F18" s="170">
        <v>165.3</v>
      </c>
      <c r="G18" s="148">
        <v>100000</v>
      </c>
      <c r="H18" s="170" cm="1">
        <f t="array" ref="H18">_xlfn.IFS($D18=138,$F18*0.5,$D18=240,$F18*0.4,$D18=400,$F18*0.3,$D18=500,$F18*0.3,$D18=735,$F18*0.25)</f>
        <v>41.325000000000003</v>
      </c>
      <c r="I18" s="170">
        <f t="shared" si="0"/>
        <v>0.41325000000000001</v>
      </c>
      <c r="J18" s="199" t="s">
        <v>448</v>
      </c>
      <c r="K18" s="172"/>
      <c r="L18" s="148"/>
    </row>
    <row r="19" spans="1:13">
      <c r="A19" s="185" t="s">
        <v>471</v>
      </c>
      <c r="B19" s="148" t="s">
        <v>435</v>
      </c>
      <c r="C19" s="185" t="s">
        <v>434</v>
      </c>
      <c r="D19" s="170">
        <v>735</v>
      </c>
      <c r="E19" s="170"/>
      <c r="F19" s="170">
        <v>229.14000000000001</v>
      </c>
      <c r="G19" s="148">
        <v>100000</v>
      </c>
      <c r="H19" s="170" cm="1">
        <f t="array" ref="H19">_xlfn.IFS($D19=138,$F19*0.5,$D19=240,$F19*0.4,$D19=400,$F19*0.3,$D19=500,$F19*0.3,$D19=735,$F19*0.25)</f>
        <v>57.285000000000004</v>
      </c>
      <c r="I19" s="170">
        <f t="shared" si="0"/>
        <v>0.57285000000000008</v>
      </c>
      <c r="J19" s="54" t="s">
        <v>441</v>
      </c>
      <c r="K19" s="172"/>
      <c r="L19" s="148"/>
      <c r="M19" s="148"/>
    </row>
    <row r="20" spans="1:13">
      <c r="A20" s="185" t="s">
        <v>472</v>
      </c>
      <c r="B20" s="148" t="s">
        <v>426</v>
      </c>
      <c r="C20" s="185" t="s">
        <v>415</v>
      </c>
      <c r="D20" s="170">
        <v>735</v>
      </c>
      <c r="E20" s="170"/>
      <c r="F20" s="170">
        <v>28.5</v>
      </c>
      <c r="G20" s="148">
        <v>100000</v>
      </c>
      <c r="H20" s="170" cm="1">
        <f t="array" ref="H20">_xlfn.IFS($D20=138,$F20*0.5,$D20=240,$F20*0.4,$D20=400,$F20*0.3,$D20=500,$F20*0.3,$D20=735,$F20*0.25)</f>
        <v>7.125</v>
      </c>
      <c r="I20" s="170">
        <f t="shared" si="0"/>
        <v>7.1249999999999994E-2</v>
      </c>
      <c r="J20" s="199" t="s">
        <v>414</v>
      </c>
      <c r="K20" s="172"/>
      <c r="L20" s="148"/>
      <c r="M20" s="148"/>
    </row>
    <row r="21" spans="1:13">
      <c r="A21" s="185" t="s">
        <v>473</v>
      </c>
      <c r="B21" s="148" t="s">
        <v>431</v>
      </c>
      <c r="C21" s="185" t="s">
        <v>432</v>
      </c>
      <c r="D21" s="170">
        <v>735</v>
      </c>
      <c r="E21" s="170"/>
      <c r="F21" s="170">
        <v>131.1</v>
      </c>
      <c r="G21" s="148">
        <v>100000</v>
      </c>
      <c r="H21" s="170" cm="1">
        <f t="array" ref="H21">_xlfn.IFS($D21=138,$F21*0.5,$D21=240,$F21*0.4,$D21=400,$F21*0.3,$D21=500,$F21*0.3,$D21=735,$F21*0.25)</f>
        <v>32.774999999999999</v>
      </c>
      <c r="I21" s="170">
        <f t="shared" si="0"/>
        <v>0.32774999999999999</v>
      </c>
      <c r="J21" s="54" t="s">
        <v>433</v>
      </c>
      <c r="K21" s="172"/>
      <c r="L21" s="148"/>
      <c r="M21" s="148"/>
    </row>
    <row r="22" spans="1:13">
      <c r="A22" s="185" t="s">
        <v>474</v>
      </c>
      <c r="B22" s="148" t="s">
        <v>432</v>
      </c>
      <c r="C22" s="185" t="s">
        <v>727</v>
      </c>
      <c r="D22" s="170">
        <v>735</v>
      </c>
      <c r="E22" s="170"/>
      <c r="F22" s="170">
        <v>217.74</v>
      </c>
      <c r="G22" s="148">
        <v>100000</v>
      </c>
      <c r="H22" s="170" cm="1">
        <f t="array" ref="H22">_xlfn.IFS($D22=138,$F22*0.5,$D22=240,$F22*0.4,$D22=400,$F22*0.3,$D22=500,$F22*0.3,$D22=735,$F22*0.25)</f>
        <v>54.435000000000002</v>
      </c>
      <c r="I22" s="170">
        <f t="shared" si="0"/>
        <v>0.54435</v>
      </c>
      <c r="J22" s="199" t="s">
        <v>687</v>
      </c>
      <c r="K22" s="172"/>
      <c r="L22" s="148"/>
      <c r="M22" s="148"/>
    </row>
    <row r="23" spans="1:13">
      <c r="A23" s="185" t="s">
        <v>475</v>
      </c>
      <c r="B23" s="148" t="s">
        <v>426</v>
      </c>
      <c r="C23" s="185" t="s">
        <v>436</v>
      </c>
      <c r="D23" s="170">
        <v>735</v>
      </c>
      <c r="E23" s="170"/>
      <c r="F23" s="170">
        <v>194.94000000000003</v>
      </c>
      <c r="G23" s="148">
        <v>100000</v>
      </c>
      <c r="H23" s="170" cm="1">
        <f t="array" ref="H23">_xlfn.IFS($D23=138,$F23*0.5,$D23=240,$F23*0.4,$D23=400,$F23*0.3,$D23=500,$F23*0.3,$D23=735,$F23*0.25)</f>
        <v>48.735000000000007</v>
      </c>
      <c r="I23" s="170">
        <f t="shared" si="0"/>
        <v>0.48735000000000006</v>
      </c>
      <c r="J23" s="54" t="s">
        <v>429</v>
      </c>
      <c r="K23" s="172"/>
      <c r="L23" s="148"/>
      <c r="M23" s="148"/>
    </row>
    <row r="24" spans="1:13">
      <c r="A24" s="185" t="s">
        <v>476</v>
      </c>
      <c r="B24" s="148" t="s">
        <v>426</v>
      </c>
      <c r="C24" s="185" t="s">
        <v>436</v>
      </c>
      <c r="D24" s="170">
        <v>735</v>
      </c>
      <c r="E24" s="170"/>
      <c r="F24" s="170">
        <v>194.94000000000003</v>
      </c>
      <c r="G24" s="148">
        <v>100000</v>
      </c>
      <c r="H24" s="170" cm="1">
        <f t="array" ref="H24">_xlfn.IFS($D24=138,$F24*0.5,$D24=240,$F24*0.4,$D24=400,$F24*0.3,$D24=500,$F24*0.3,$D24=735,$F24*0.25)</f>
        <v>48.735000000000007</v>
      </c>
      <c r="I24" s="170">
        <f t="shared" si="0"/>
        <v>0.48735000000000006</v>
      </c>
      <c r="J24" s="54" t="s">
        <v>764</v>
      </c>
      <c r="K24" s="172"/>
      <c r="L24" s="148"/>
      <c r="M24" s="148"/>
    </row>
    <row r="25" spans="1:13">
      <c r="A25" s="185" t="s">
        <v>477</v>
      </c>
      <c r="B25" s="148" t="s">
        <v>434</v>
      </c>
      <c r="C25" s="185" t="s">
        <v>436</v>
      </c>
      <c r="D25" s="170">
        <v>735</v>
      </c>
      <c r="E25" s="170"/>
      <c r="F25" s="170">
        <v>114</v>
      </c>
      <c r="G25" s="148">
        <v>100000</v>
      </c>
      <c r="H25" s="170" cm="1">
        <f t="array" ref="H25">_xlfn.IFS($D25=138,$F25*0.5,$D25=240,$F25*0.4,$D25=400,$F25*0.3,$D25=500,$F25*0.3,$D25=735,$F25*0.25)</f>
        <v>28.5</v>
      </c>
      <c r="I25" s="170">
        <f t="shared" si="0"/>
        <v>0.28499999999999998</v>
      </c>
      <c r="J25" s="199" t="s">
        <v>451</v>
      </c>
      <c r="K25" s="172"/>
      <c r="L25" s="148"/>
      <c r="M25" s="148"/>
    </row>
    <row r="26" spans="1:13">
      <c r="A26" s="185" t="s">
        <v>478</v>
      </c>
      <c r="B26" s="148" t="s">
        <v>437</v>
      </c>
      <c r="C26" s="185" t="s">
        <v>431</v>
      </c>
      <c r="D26" s="170">
        <v>735</v>
      </c>
      <c r="E26" s="170"/>
      <c r="F26" s="170">
        <v>153.9</v>
      </c>
      <c r="G26" s="148">
        <v>100000</v>
      </c>
      <c r="H26" s="170" cm="1">
        <f t="array" ref="H26">_xlfn.IFS($D26=138,$F26*0.5,$D26=240,$F26*0.4,$D26=400,$F26*0.3,$D26=500,$F26*0.3,$D26=735,$F26*0.25)</f>
        <v>38.475000000000001</v>
      </c>
      <c r="I26" s="170">
        <f t="shared" si="0"/>
        <v>0.38475000000000004</v>
      </c>
      <c r="J26" s="199" t="s">
        <v>426</v>
      </c>
      <c r="K26" s="172"/>
      <c r="L26" s="148"/>
      <c r="M26" s="148"/>
    </row>
    <row r="27" spans="1:13">
      <c r="A27" s="185" t="s">
        <v>479</v>
      </c>
      <c r="B27" s="148" t="s">
        <v>437</v>
      </c>
      <c r="C27" s="185" t="s">
        <v>431</v>
      </c>
      <c r="D27" s="170">
        <v>735</v>
      </c>
      <c r="E27" s="170"/>
      <c r="F27" s="170">
        <v>153.9</v>
      </c>
      <c r="G27" s="148">
        <v>100000</v>
      </c>
      <c r="H27" s="170" cm="1">
        <f t="array" ref="H27">_xlfn.IFS($D27=138,$F27*0.5,$D27=240,$F27*0.4,$D27=400,$F27*0.3,$D27=500,$F27*0.3,$D27=735,$F27*0.25)</f>
        <v>38.475000000000001</v>
      </c>
      <c r="I27" s="170">
        <f t="shared" si="0"/>
        <v>0.38475000000000004</v>
      </c>
      <c r="J27" s="207" t="s">
        <v>438</v>
      </c>
      <c r="K27" s="172"/>
      <c r="L27" s="148"/>
      <c r="M27" s="148"/>
    </row>
    <row r="28" spans="1:13">
      <c r="A28" s="185" t="s">
        <v>480</v>
      </c>
      <c r="B28" s="148" t="s">
        <v>421</v>
      </c>
      <c r="C28" s="185" t="s">
        <v>437</v>
      </c>
      <c r="D28" s="170">
        <v>735</v>
      </c>
      <c r="E28" s="170"/>
      <c r="F28" s="170">
        <v>217.74</v>
      </c>
      <c r="G28" s="148">
        <v>100000</v>
      </c>
      <c r="H28" s="170" cm="1">
        <f t="array" ref="H28">_xlfn.IFS($D28=138,$F28*0.5,$D28=240,$F28*0.4,$D28=400,$F28*0.3,$D28=500,$F28*0.3,$D28=735,$F28*0.25)</f>
        <v>54.435000000000002</v>
      </c>
      <c r="I28" s="170">
        <f t="shared" si="0"/>
        <v>0.54435</v>
      </c>
      <c r="J28" s="199" t="s">
        <v>443</v>
      </c>
      <c r="K28" s="172"/>
      <c r="L28" s="148"/>
    </row>
    <row r="29" spans="1:13">
      <c r="A29" s="185" t="s">
        <v>481</v>
      </c>
      <c r="B29" s="148" t="s">
        <v>421</v>
      </c>
      <c r="C29" s="185" t="s">
        <v>437</v>
      </c>
      <c r="D29" s="170">
        <v>735</v>
      </c>
      <c r="E29" s="170"/>
      <c r="F29" s="170">
        <v>217.74</v>
      </c>
      <c r="G29" s="148">
        <v>100000</v>
      </c>
      <c r="H29" s="170" cm="1">
        <f t="array" ref="H29">_xlfn.IFS($D29=138,$F29*0.5,$D29=240,$F29*0.4,$D29=400,$F29*0.3,$D29=500,$F29*0.3,$D29=735,$F29*0.25)</f>
        <v>54.435000000000002</v>
      </c>
      <c r="I29" s="170">
        <f t="shared" si="0"/>
        <v>0.54435</v>
      </c>
      <c r="J29" s="199" t="s">
        <v>446</v>
      </c>
      <c r="K29" s="172"/>
      <c r="L29" s="148"/>
      <c r="M29" s="148"/>
    </row>
    <row r="30" spans="1:13">
      <c r="A30" s="185" t="s">
        <v>482</v>
      </c>
      <c r="B30" s="148" t="s">
        <v>421</v>
      </c>
      <c r="C30" s="185" t="s">
        <v>437</v>
      </c>
      <c r="D30" s="170">
        <v>735</v>
      </c>
      <c r="E30" s="170"/>
      <c r="F30" s="170">
        <v>217.74</v>
      </c>
      <c r="G30" s="148">
        <v>100000</v>
      </c>
      <c r="H30" s="170" cm="1">
        <f t="array" ref="H30">_xlfn.IFS($D30=138,$F30*0.5,$D30=240,$F30*0.4,$D30=400,$F30*0.3,$D30=500,$F30*0.3,$D30=735,$F30*0.25)</f>
        <v>54.435000000000002</v>
      </c>
      <c r="I30" s="170">
        <f t="shared" si="0"/>
        <v>0.54435</v>
      </c>
      <c r="J30" s="199" t="s">
        <v>447</v>
      </c>
      <c r="K30" s="172"/>
      <c r="L30" s="148"/>
      <c r="M30" s="148"/>
    </row>
    <row r="31" spans="1:13">
      <c r="A31" s="185" t="s">
        <v>483</v>
      </c>
      <c r="B31" s="148" t="s">
        <v>430</v>
      </c>
      <c r="C31" s="185" t="s">
        <v>428</v>
      </c>
      <c r="D31" s="170">
        <v>735</v>
      </c>
      <c r="E31" s="170"/>
      <c r="F31" s="170">
        <v>115.5</v>
      </c>
      <c r="G31" s="148">
        <v>100000</v>
      </c>
      <c r="H31" s="170" cm="1">
        <f t="array" ref="H31">_xlfn.IFS($D31=138,$F31*0.5,$D31=240,$F31*0.4,$D31=400,$F31*0.3,$D31=500,$F31*0.3,$D31=735,$F31*0.25)</f>
        <v>28.875</v>
      </c>
      <c r="I31" s="170">
        <f t="shared" si="0"/>
        <v>0.28875000000000001</v>
      </c>
      <c r="J31" s="199" t="s">
        <v>717</v>
      </c>
      <c r="K31" s="172"/>
      <c r="L31" s="148"/>
      <c r="M31" s="148"/>
    </row>
    <row r="32" spans="1:13">
      <c r="A32" s="185" t="s">
        <v>484</v>
      </c>
      <c r="B32" s="148" t="s">
        <v>428</v>
      </c>
      <c r="C32" s="185" t="s">
        <v>727</v>
      </c>
      <c r="D32" s="170">
        <v>735</v>
      </c>
      <c r="E32" s="170"/>
      <c r="F32" s="170">
        <v>115.5</v>
      </c>
      <c r="G32" s="148">
        <v>100000</v>
      </c>
      <c r="H32" s="170" cm="1">
        <f t="array" ref="H32">_xlfn.IFS($D32=138,$F32*0.5,$D32=240,$F32*0.4,$D32=400,$F32*0.3,$D32=500,$F32*0.3,$D32=735,$F32*0.25)</f>
        <v>28.875</v>
      </c>
      <c r="I32" s="170">
        <f t="shared" si="0"/>
        <v>0.28875000000000001</v>
      </c>
      <c r="J32" s="199" t="s">
        <v>415</v>
      </c>
      <c r="K32" s="172"/>
      <c r="L32" s="148"/>
    </row>
    <row r="33" spans="1:13">
      <c r="A33" s="185" t="s">
        <v>485</v>
      </c>
      <c r="B33" s="148" t="s">
        <v>429</v>
      </c>
      <c r="C33" s="185" t="s">
        <v>430</v>
      </c>
      <c r="D33" s="170">
        <v>735</v>
      </c>
      <c r="E33" s="170"/>
      <c r="F33" s="170">
        <v>26.25</v>
      </c>
      <c r="G33" s="148">
        <v>100000</v>
      </c>
      <c r="H33" s="170" cm="1">
        <f t="array" ref="H33">_xlfn.IFS($D33=138,$F33*0.5,$D33=240,$F33*0.4,$D33=400,$F33*0.3,$D33=500,$F33*0.3,$D33=735,$F33*0.25)</f>
        <v>6.5625</v>
      </c>
      <c r="I33" s="170">
        <f t="shared" si="0"/>
        <v>6.5625000000000003E-2</v>
      </c>
      <c r="J33" s="199" t="s">
        <v>439</v>
      </c>
      <c r="K33" s="172"/>
      <c r="L33" s="148"/>
      <c r="M33" s="148"/>
    </row>
    <row r="34" spans="1:13">
      <c r="A34" s="185" t="s">
        <v>486</v>
      </c>
      <c r="B34" s="148" t="s">
        <v>657</v>
      </c>
      <c r="C34" s="185" t="s">
        <v>429</v>
      </c>
      <c r="D34" s="170">
        <v>735</v>
      </c>
      <c r="E34" s="170"/>
      <c r="F34" s="170">
        <v>52.5</v>
      </c>
      <c r="G34" s="148">
        <v>100000</v>
      </c>
      <c r="H34" s="170" cm="1">
        <f t="array" ref="H34">_xlfn.IFS($D34=138,$F34*0.5,$D34=240,$F34*0.4,$D34=400,$F34*0.3,$D34=500,$F34*0.3,$D34=735,$F34*0.25)</f>
        <v>13.125</v>
      </c>
      <c r="I34" s="170">
        <f t="shared" si="0"/>
        <v>0.13125000000000001</v>
      </c>
      <c r="J34" s="54" t="s">
        <v>727</v>
      </c>
      <c r="K34" s="172"/>
      <c r="L34" s="148"/>
      <c r="M34" s="148"/>
    </row>
    <row r="35" spans="1:13">
      <c r="A35" s="185" t="s">
        <v>487</v>
      </c>
      <c r="B35" s="148" t="s">
        <v>657</v>
      </c>
      <c r="C35" s="185" t="s">
        <v>660</v>
      </c>
      <c r="D35" s="170">
        <v>735</v>
      </c>
      <c r="E35" s="170"/>
      <c r="F35" s="170">
        <v>99.75</v>
      </c>
      <c r="G35" s="148">
        <v>100000</v>
      </c>
      <c r="H35" s="170" cm="1">
        <f t="array" ref="H35">_xlfn.IFS($D35=138,$F35*0.5,$D35=240,$F35*0.4,$D35=400,$F35*0.3,$D35=500,$F35*0.3,$D35=735,$F35*0.25)</f>
        <v>24.9375</v>
      </c>
      <c r="I35" s="170">
        <f t="shared" si="0"/>
        <v>0.24937500000000001</v>
      </c>
      <c r="J35" s="199" t="s">
        <v>431</v>
      </c>
      <c r="K35" s="172"/>
      <c r="L35" s="148"/>
      <c r="M35" s="148"/>
    </row>
    <row r="36" spans="1:13" ht="12.75" customHeight="1">
      <c r="A36" s="185" t="s">
        <v>488</v>
      </c>
      <c r="B36" s="148" t="s">
        <v>717</v>
      </c>
      <c r="C36" s="185" t="s">
        <v>660</v>
      </c>
      <c r="D36" s="170">
        <v>735</v>
      </c>
      <c r="E36" s="170"/>
      <c r="F36" s="170">
        <v>239.4</v>
      </c>
      <c r="G36" s="148">
        <v>100000</v>
      </c>
      <c r="H36" s="170" cm="1">
        <f t="array" ref="H36">_xlfn.IFS($D36=138,$F36*0.5,$D36=240,$F36*0.4,$D36=400,$F36*0.3,$D36=500,$F36*0.3,$D36=735,$F36*0.25)</f>
        <v>59.85</v>
      </c>
      <c r="I36" s="170">
        <f t="shared" si="0"/>
        <v>0.59850000000000003</v>
      </c>
      <c r="J36" s="199" t="s">
        <v>765</v>
      </c>
      <c r="K36" s="172"/>
      <c r="L36" s="148"/>
    </row>
    <row r="37" spans="1:13">
      <c r="A37" s="185" t="s">
        <v>489</v>
      </c>
      <c r="B37" s="148" t="s">
        <v>717</v>
      </c>
      <c r="C37" s="185" t="s">
        <v>687</v>
      </c>
      <c r="D37" s="170">
        <v>735</v>
      </c>
      <c r="E37" s="170"/>
      <c r="F37" s="170">
        <v>159.6</v>
      </c>
      <c r="G37" s="148">
        <v>100000</v>
      </c>
      <c r="H37" s="170" cm="1">
        <f t="array" ref="H37">_xlfn.IFS($D37=138,$F37*0.5,$D37=240,$F37*0.4,$D37=400,$F37*0.3,$D37=500,$F37*0.3,$D37=735,$F37*0.25)</f>
        <v>39.9</v>
      </c>
      <c r="I37" s="170">
        <f t="shared" si="0"/>
        <v>0.39899999999999997</v>
      </c>
      <c r="J37" s="199" t="s">
        <v>435</v>
      </c>
      <c r="K37" s="172"/>
      <c r="L37" s="148"/>
      <c r="M37" s="148"/>
    </row>
    <row r="38" spans="1:13">
      <c r="A38" s="185" t="s">
        <v>490</v>
      </c>
      <c r="B38" s="148" t="s">
        <v>433</v>
      </c>
      <c r="C38" s="185" t="s">
        <v>438</v>
      </c>
      <c r="D38" s="170">
        <v>735</v>
      </c>
      <c r="E38" s="170"/>
      <c r="F38" s="170">
        <v>10.5</v>
      </c>
      <c r="G38" s="148">
        <v>100000</v>
      </c>
      <c r="H38" s="170" cm="1">
        <f t="array" ref="H38">_xlfn.IFS($D38=138,$F38*0.5,$D38=240,$F38*0.4,$D38=400,$F38*0.3,$D38=500,$F38*0.3,$D38=735,$F38*0.25)</f>
        <v>2.625</v>
      </c>
      <c r="I38" s="170">
        <f t="shared" si="0"/>
        <v>2.6249999999999999E-2</v>
      </c>
      <c r="J38" s="54" t="s">
        <v>750</v>
      </c>
      <c r="K38" s="172"/>
      <c r="L38" s="148"/>
      <c r="M38" s="148"/>
    </row>
    <row r="39" spans="1:13">
      <c r="A39" s="185" t="s">
        <v>491</v>
      </c>
      <c r="B39" s="148" t="s">
        <v>438</v>
      </c>
      <c r="C39" s="185" t="s">
        <v>660</v>
      </c>
      <c r="D39" s="170">
        <v>735</v>
      </c>
      <c r="E39" s="170"/>
      <c r="F39" s="170">
        <v>31.5</v>
      </c>
      <c r="G39" s="148">
        <v>100000</v>
      </c>
      <c r="H39" s="170" cm="1">
        <f t="array" ref="H39">_xlfn.IFS($D39=138,$F39*0.5,$D39=240,$F39*0.4,$D39=400,$F39*0.3,$D39=500,$F39*0.3,$D39=735,$F39*0.25)</f>
        <v>7.875</v>
      </c>
      <c r="I39" s="170">
        <f t="shared" si="0"/>
        <v>7.8750000000000001E-2</v>
      </c>
      <c r="J39" s="199" t="s">
        <v>444</v>
      </c>
      <c r="K39" s="172"/>
      <c r="L39" s="148"/>
      <c r="M39" s="148"/>
    </row>
    <row r="40" spans="1:13">
      <c r="A40" s="185" t="s">
        <v>492</v>
      </c>
      <c r="B40" s="148" t="s">
        <v>687</v>
      </c>
      <c r="C40" s="185" t="s">
        <v>660</v>
      </c>
      <c r="D40" s="170">
        <v>735</v>
      </c>
      <c r="E40" s="170"/>
      <c r="F40" s="170">
        <v>79.8</v>
      </c>
      <c r="G40" s="148">
        <v>100000</v>
      </c>
      <c r="H40" s="170" cm="1">
        <f t="array" ref="H40">_xlfn.IFS($D40=138,$F40*0.5,$D40=240,$F40*0.4,$D40=400,$F40*0.3,$D40=500,$F40*0.3,$D40=735,$F40*0.25)</f>
        <v>19.95</v>
      </c>
      <c r="I40" s="170">
        <f t="shared" si="0"/>
        <v>0.19949999999999998</v>
      </c>
      <c r="J40" s="199" t="s">
        <v>428</v>
      </c>
      <c r="K40" s="172"/>
      <c r="L40" s="148"/>
    </row>
    <row r="41" spans="1:13">
      <c r="A41" s="185" t="s">
        <v>493</v>
      </c>
      <c r="B41" s="185" t="s">
        <v>750</v>
      </c>
      <c r="C41" s="185" t="s">
        <v>414</v>
      </c>
      <c r="D41" s="170">
        <v>735</v>
      </c>
      <c r="E41" s="170"/>
      <c r="F41" s="170">
        <v>73.5</v>
      </c>
      <c r="G41" s="148">
        <v>100000</v>
      </c>
      <c r="H41" s="170" cm="1">
        <f t="array" ref="H41">_xlfn.IFS($D41=138,$F41*0.5,$D41=240,$F41*0.4,$D41=400,$F41*0.3,$D41=500,$F41*0.3,$D41=735,$F41*0.25)</f>
        <v>18.375</v>
      </c>
      <c r="I41" s="170">
        <f t="shared" si="0"/>
        <v>0.18375</v>
      </c>
      <c r="J41" s="207" t="s">
        <v>427</v>
      </c>
      <c r="K41" s="172"/>
      <c r="L41" s="148"/>
      <c r="M41" s="148"/>
    </row>
    <row r="42" spans="1:13">
      <c r="A42" s="185" t="s">
        <v>494</v>
      </c>
      <c r="B42" s="148" t="s">
        <v>429</v>
      </c>
      <c r="C42" s="185" t="s">
        <v>750</v>
      </c>
      <c r="D42" s="170">
        <v>735</v>
      </c>
      <c r="E42" s="170"/>
      <c r="F42" s="170">
        <v>78.75</v>
      </c>
      <c r="G42" s="148">
        <v>100000</v>
      </c>
      <c r="H42" s="170" cm="1">
        <f t="array" ref="H42">_xlfn.IFS($D42=138,$F42*0.5,$D42=240,$F42*0.4,$D42=400,$F42*0.3,$D42=500,$F42*0.3,$D42=735,$F42*0.25)</f>
        <v>19.6875</v>
      </c>
      <c r="I42" s="170">
        <f t="shared" si="0"/>
        <v>0.19687499999999999</v>
      </c>
      <c r="J42" s="54" t="s">
        <v>761</v>
      </c>
      <c r="K42" s="172"/>
      <c r="L42" s="148"/>
    </row>
    <row r="43" spans="1:13">
      <c r="A43" s="185" t="s">
        <v>495</v>
      </c>
      <c r="B43" s="148" t="s">
        <v>439</v>
      </c>
      <c r="C43" s="185" t="s">
        <v>440</v>
      </c>
      <c r="D43" s="170">
        <v>735</v>
      </c>
      <c r="E43" s="170"/>
      <c r="F43" s="170">
        <v>102.60000000000001</v>
      </c>
      <c r="G43" s="148">
        <v>100000</v>
      </c>
      <c r="H43" s="170" cm="1">
        <f t="array" ref="H43">_xlfn.IFS($D43=138,$F43*0.5,$D43=240,$F43*0.4,$D43=400,$F43*0.3,$D43=500,$F43*0.3,$D43=735,$F43*0.25)</f>
        <v>25.650000000000002</v>
      </c>
      <c r="I43" s="170">
        <f t="shared" si="0"/>
        <v>0.25650000000000001</v>
      </c>
      <c r="J43" s="199" t="s">
        <v>445</v>
      </c>
      <c r="K43" s="172"/>
      <c r="L43" s="148"/>
    </row>
    <row r="44" spans="1:13">
      <c r="A44" s="185" t="s">
        <v>496</v>
      </c>
      <c r="B44" s="148" t="s">
        <v>439</v>
      </c>
      <c r="C44" s="185" t="s">
        <v>440</v>
      </c>
      <c r="D44" s="170">
        <v>735</v>
      </c>
      <c r="E44" s="170"/>
      <c r="F44" s="170">
        <v>102.60000000000001</v>
      </c>
      <c r="G44" s="148">
        <v>100000</v>
      </c>
      <c r="H44" s="170" cm="1">
        <f t="array" ref="H44">_xlfn.IFS($D44=138,$F44*0.5,$D44=240,$F44*0.4,$D44=400,$F44*0.3,$D44=500,$F44*0.3,$D44=735,$F44*0.25)</f>
        <v>25.650000000000002</v>
      </c>
      <c r="I44" s="170">
        <f t="shared" si="0"/>
        <v>0.25650000000000001</v>
      </c>
      <c r="J44" s="199" t="s">
        <v>452</v>
      </c>
      <c r="K44" s="172"/>
      <c r="L44" s="148"/>
    </row>
    <row r="45" spans="1:13">
      <c r="A45" s="185" t="s">
        <v>497</v>
      </c>
      <c r="B45" s="148" t="s">
        <v>439</v>
      </c>
      <c r="C45" s="185" t="s">
        <v>440</v>
      </c>
      <c r="D45" s="170">
        <v>735</v>
      </c>
      <c r="E45" s="170"/>
      <c r="F45" s="170">
        <v>102.60000000000001</v>
      </c>
      <c r="G45" s="148">
        <v>100000</v>
      </c>
      <c r="H45" s="170" cm="1">
        <f t="array" ref="H45">_xlfn.IFS($D45=138,$F45*0.5,$D45=240,$F45*0.4,$D45=400,$F45*0.3,$D45=500,$F45*0.3,$D45=735,$F45*0.25)</f>
        <v>25.650000000000002</v>
      </c>
      <c r="I45" s="170">
        <f t="shared" si="0"/>
        <v>0.25650000000000001</v>
      </c>
      <c r="J45" s="199" t="s">
        <v>453</v>
      </c>
      <c r="K45" s="172"/>
      <c r="L45" s="148"/>
    </row>
    <row r="46" spans="1:13">
      <c r="A46" s="185" t="s">
        <v>498</v>
      </c>
      <c r="B46" s="148" t="s">
        <v>439</v>
      </c>
      <c r="C46" s="185" t="s">
        <v>441</v>
      </c>
      <c r="D46" s="170">
        <v>735</v>
      </c>
      <c r="E46" s="170"/>
      <c r="F46" s="170">
        <v>96.9</v>
      </c>
      <c r="G46" s="148">
        <v>100000</v>
      </c>
      <c r="H46" s="170" cm="1">
        <f t="array" ref="H46">_xlfn.IFS($D46=138,$F46*0.5,$D46=240,$F46*0.4,$D46=400,$F46*0.3,$D46=500,$F46*0.3,$D46=735,$F46*0.25)</f>
        <v>24.225000000000001</v>
      </c>
      <c r="I46" s="170">
        <f t="shared" si="0"/>
        <v>0.24225000000000002</v>
      </c>
      <c r="J46" s="54" t="s">
        <v>434</v>
      </c>
      <c r="K46" s="172"/>
      <c r="L46" s="148"/>
    </row>
    <row r="47" spans="1:13">
      <c r="A47" s="185" t="s">
        <v>499</v>
      </c>
      <c r="B47" s="148" t="s">
        <v>442</v>
      </c>
      <c r="C47" s="185" t="s">
        <v>441</v>
      </c>
      <c r="D47" s="170">
        <v>735</v>
      </c>
      <c r="E47" s="170"/>
      <c r="F47" s="170">
        <v>234.84000000000003</v>
      </c>
      <c r="G47" s="148">
        <v>100000</v>
      </c>
      <c r="H47" s="170" cm="1">
        <f t="array" ref="H47">_xlfn.IFS($D47=138,$F47*0.5,$D47=240,$F47*0.4,$D47=400,$F47*0.3,$D47=500,$F47*0.3,$D47=735,$F47*0.25)</f>
        <v>58.710000000000008</v>
      </c>
      <c r="I47" s="170">
        <f t="shared" si="0"/>
        <v>0.58710000000000007</v>
      </c>
      <c r="J47" s="199" t="s">
        <v>440</v>
      </c>
      <c r="K47" s="172"/>
      <c r="L47" s="148"/>
    </row>
    <row r="48" spans="1:13">
      <c r="A48" s="185" t="s">
        <v>500</v>
      </c>
      <c r="B48" s="148" t="s">
        <v>443</v>
      </c>
      <c r="C48" s="185" t="s">
        <v>441</v>
      </c>
      <c r="D48" s="173">
        <v>735</v>
      </c>
      <c r="E48" s="170"/>
      <c r="F48" s="173">
        <v>136.80000000000001</v>
      </c>
      <c r="G48" s="148">
        <v>100000</v>
      </c>
      <c r="H48" s="170" cm="1">
        <f t="array" ref="H48">_xlfn.IFS($D48=138,$F48*0.5,$D48=240,$F48*0.4,$D48=400,$F48*0.3,$D48=500,$F48*0.3,$D48=735,$F48*0.25)</f>
        <v>34.200000000000003</v>
      </c>
      <c r="I48" s="170">
        <f t="shared" si="0"/>
        <v>0.34200000000000003</v>
      </c>
      <c r="J48" s="170"/>
      <c r="K48" s="172"/>
      <c r="L48" s="148"/>
    </row>
    <row r="49" spans="1:12">
      <c r="A49" s="185" t="s">
        <v>501</v>
      </c>
      <c r="B49" s="148" t="s">
        <v>443</v>
      </c>
      <c r="C49" s="148" t="s">
        <v>444</v>
      </c>
      <c r="D49" s="170">
        <v>735</v>
      </c>
      <c r="E49" s="170"/>
      <c r="F49" s="170">
        <v>240.54000000000002</v>
      </c>
      <c r="G49" s="148">
        <v>100000</v>
      </c>
      <c r="H49" s="170" cm="1">
        <f t="array" ref="H49">_xlfn.IFS($D49=138,$F49*0.5,$D49=240,$F49*0.4,$D49=400,$F49*0.3,$D49=500,$F49*0.3,$D49=735,$F49*0.25)</f>
        <v>60.135000000000005</v>
      </c>
      <c r="I49" s="170">
        <f t="shared" si="0"/>
        <v>0.60135000000000005</v>
      </c>
      <c r="J49" s="170"/>
      <c r="K49" s="172"/>
      <c r="L49" s="148"/>
    </row>
    <row r="50" spans="1:12">
      <c r="A50" s="185" t="s">
        <v>502</v>
      </c>
      <c r="B50" s="148" t="s">
        <v>445</v>
      </c>
      <c r="C50" s="148" t="s">
        <v>444</v>
      </c>
      <c r="D50" s="170">
        <v>735</v>
      </c>
      <c r="E50" s="173"/>
      <c r="F50" s="170">
        <v>246.24000000000004</v>
      </c>
      <c r="G50" s="148">
        <v>100000</v>
      </c>
      <c r="H50" s="170" cm="1">
        <f t="array" ref="H50">_xlfn.IFS($D50=138,$F50*0.5,$D50=240,$F50*0.4,$D50=400,$F50*0.3,$D50=500,$F50*0.3,$D50=735,$F50*0.25)</f>
        <v>61.560000000000009</v>
      </c>
      <c r="I50" s="170">
        <f t="shared" si="0"/>
        <v>0.61560000000000015</v>
      </c>
      <c r="J50" s="170"/>
      <c r="K50" s="172"/>
      <c r="L50" s="148"/>
    </row>
    <row r="51" spans="1:12">
      <c r="A51" s="185" t="s">
        <v>503</v>
      </c>
      <c r="B51" s="148" t="s">
        <v>445</v>
      </c>
      <c r="C51" s="148" t="s">
        <v>444</v>
      </c>
      <c r="D51" s="170">
        <v>735</v>
      </c>
      <c r="E51" s="170"/>
      <c r="F51" s="170">
        <v>246.24000000000004</v>
      </c>
      <c r="G51" s="148">
        <v>100000</v>
      </c>
      <c r="H51" s="170" cm="1">
        <f t="array" ref="H51">_xlfn.IFS($D51=138,$F51*0.5,$D51=240,$F51*0.4,$D51=400,$F51*0.3,$D51=500,$F51*0.3,$D51=735,$F51*0.25)</f>
        <v>61.560000000000009</v>
      </c>
      <c r="I51" s="170">
        <f t="shared" si="0"/>
        <v>0.61560000000000015</v>
      </c>
      <c r="J51" s="170"/>
      <c r="K51" s="172"/>
      <c r="L51" s="148"/>
    </row>
    <row r="52" spans="1:12">
      <c r="A52" s="185" t="s">
        <v>504</v>
      </c>
      <c r="B52" s="148" t="s">
        <v>441</v>
      </c>
      <c r="C52" s="148" t="s">
        <v>446</v>
      </c>
      <c r="D52" s="170">
        <v>735</v>
      </c>
      <c r="E52" s="170"/>
      <c r="F52" s="170">
        <v>2.2800000000000002</v>
      </c>
      <c r="G52" s="148">
        <v>100000</v>
      </c>
      <c r="H52" s="170" cm="1">
        <f t="array" ref="H52">_xlfn.IFS($D52=138,$F52*0.5,$D52=240,$F52*0.4,$D52=400,$F52*0.3,$D52=500,$F52*0.3,$D52=735,$F52*0.25)</f>
        <v>0.57000000000000006</v>
      </c>
      <c r="I52" s="170">
        <f t="shared" si="0"/>
        <v>5.7000000000000002E-3</v>
      </c>
      <c r="J52" s="170"/>
      <c r="K52" s="172"/>
      <c r="L52" s="148"/>
    </row>
    <row r="53" spans="1:12">
      <c r="A53" s="185" t="s">
        <v>505</v>
      </c>
      <c r="B53" s="148" t="s">
        <v>441</v>
      </c>
      <c r="C53" s="148" t="s">
        <v>446</v>
      </c>
      <c r="D53" s="170">
        <v>735</v>
      </c>
      <c r="E53" s="170"/>
      <c r="F53" s="170">
        <v>2.2800000000000002</v>
      </c>
      <c r="G53" s="148">
        <v>100000</v>
      </c>
      <c r="H53" s="170" cm="1">
        <f t="array" ref="H53">_xlfn.IFS($D53=138,$F53*0.5,$D53=240,$F53*0.4,$D53=400,$F53*0.3,$D53=500,$F53*0.3,$D53=735,$F53*0.25)</f>
        <v>0.57000000000000006</v>
      </c>
      <c r="I53" s="170">
        <f t="shared" si="0"/>
        <v>5.7000000000000002E-3</v>
      </c>
      <c r="J53" s="170"/>
      <c r="K53" s="172"/>
      <c r="L53" s="148"/>
    </row>
    <row r="54" spans="1:12">
      <c r="A54" s="185" t="s">
        <v>506</v>
      </c>
      <c r="B54" s="148" t="s">
        <v>441</v>
      </c>
      <c r="C54" s="148" t="s">
        <v>446</v>
      </c>
      <c r="D54" s="170">
        <v>735</v>
      </c>
      <c r="E54" s="170"/>
      <c r="F54" s="170">
        <v>2.2800000000000002</v>
      </c>
      <c r="G54" s="148">
        <v>100000</v>
      </c>
      <c r="H54" s="170" cm="1">
        <f t="array" ref="H54">_xlfn.IFS($D54=138,$F54*0.5,$D54=240,$F54*0.4,$D54=400,$F54*0.3,$D54=500,$F54*0.3,$D54=735,$F54*0.25)</f>
        <v>0.57000000000000006</v>
      </c>
      <c r="I54" s="170">
        <f t="shared" si="0"/>
        <v>5.7000000000000002E-3</v>
      </c>
      <c r="J54" s="170"/>
      <c r="K54" s="172"/>
      <c r="L54" s="148"/>
    </row>
    <row r="55" spans="1:12">
      <c r="A55" s="185" t="s">
        <v>507</v>
      </c>
      <c r="B55" s="148" t="s">
        <v>439</v>
      </c>
      <c r="C55" s="148" t="s">
        <v>442</v>
      </c>
      <c r="D55" s="170">
        <v>735</v>
      </c>
      <c r="E55" s="170"/>
      <c r="F55" s="170">
        <v>194.94000000000003</v>
      </c>
      <c r="G55" s="148">
        <v>100000</v>
      </c>
      <c r="H55" s="170" cm="1">
        <f t="array" ref="H55">_xlfn.IFS($D55=138,$F55*0.5,$D55=240,$F55*0.4,$D55=400,$F55*0.3,$D55=500,$F55*0.3,$D55=735,$F55*0.25)</f>
        <v>48.735000000000007</v>
      </c>
      <c r="I55" s="170">
        <f t="shared" si="0"/>
        <v>0.48735000000000006</v>
      </c>
      <c r="J55" s="170"/>
      <c r="K55" s="172"/>
      <c r="L55" s="148"/>
    </row>
    <row r="56" spans="1:12">
      <c r="A56" s="185" t="s">
        <v>508</v>
      </c>
      <c r="B56" s="148" t="s">
        <v>439</v>
      </c>
      <c r="C56" s="148" t="s">
        <v>442</v>
      </c>
      <c r="D56" s="170">
        <v>735</v>
      </c>
      <c r="E56" s="170"/>
      <c r="F56" s="170">
        <v>194.94000000000003</v>
      </c>
      <c r="G56" s="148">
        <v>100000</v>
      </c>
      <c r="H56" s="170" cm="1">
        <f t="array" ref="H56">_xlfn.IFS($D56=138,$F56*0.5,$D56=240,$F56*0.4,$D56=400,$F56*0.3,$D56=500,$F56*0.3,$D56=735,$F56*0.25)</f>
        <v>48.735000000000007</v>
      </c>
      <c r="I56" s="170">
        <f t="shared" si="0"/>
        <v>0.48735000000000006</v>
      </c>
      <c r="J56" s="170"/>
      <c r="K56" s="172"/>
      <c r="L56" s="148"/>
    </row>
    <row r="57" spans="1:12">
      <c r="A57" s="185" t="s">
        <v>509</v>
      </c>
      <c r="B57" s="148" t="s">
        <v>440</v>
      </c>
      <c r="C57" s="148" t="s">
        <v>447</v>
      </c>
      <c r="D57" s="170">
        <v>735</v>
      </c>
      <c r="E57" s="170"/>
      <c r="F57" s="170">
        <v>2.2800000000000002</v>
      </c>
      <c r="G57" s="148">
        <v>100000</v>
      </c>
      <c r="H57" s="170" cm="1">
        <f t="array" ref="H57">_xlfn.IFS($D57=138,$F57*0.5,$D57=240,$F57*0.4,$D57=400,$F57*0.3,$D57=500,$F57*0.3,$D57=735,$F57*0.25)</f>
        <v>0.57000000000000006</v>
      </c>
      <c r="I57" s="170">
        <f t="shared" si="0"/>
        <v>5.7000000000000002E-3</v>
      </c>
      <c r="J57" s="170"/>
      <c r="K57" s="172"/>
      <c r="L57" s="148"/>
    </row>
    <row r="58" spans="1:12">
      <c r="A58" s="185" t="s">
        <v>510</v>
      </c>
      <c r="B58" s="148" t="s">
        <v>440</v>
      </c>
      <c r="C58" s="148" t="s">
        <v>447</v>
      </c>
      <c r="D58" s="170">
        <v>735</v>
      </c>
      <c r="E58" s="170"/>
      <c r="F58" s="170">
        <v>2.2800000000000002</v>
      </c>
      <c r="G58" s="148">
        <v>100000</v>
      </c>
      <c r="H58" s="170" cm="1">
        <f t="array" ref="H58">_xlfn.IFS($D58=138,$F58*0.5,$D58=240,$F58*0.4,$D58=400,$F58*0.3,$D58=500,$F58*0.3,$D58=735,$F58*0.25)</f>
        <v>0.57000000000000006</v>
      </c>
      <c r="I58" s="170">
        <f t="shared" si="0"/>
        <v>5.7000000000000002E-3</v>
      </c>
      <c r="J58" s="170"/>
      <c r="K58" s="172"/>
      <c r="L58" s="148"/>
    </row>
    <row r="59" spans="1:12">
      <c r="A59" s="185" t="s">
        <v>511</v>
      </c>
      <c r="B59" s="148" t="s">
        <v>440</v>
      </c>
      <c r="C59" s="148" t="s">
        <v>447</v>
      </c>
      <c r="D59" s="170">
        <v>735</v>
      </c>
      <c r="E59" s="170"/>
      <c r="F59" s="170">
        <v>2.2800000000000002</v>
      </c>
      <c r="G59" s="148">
        <v>100000</v>
      </c>
      <c r="H59" s="170" cm="1">
        <f t="array" ref="H59">_xlfn.IFS($D59=138,$F59*0.5,$D59=240,$F59*0.4,$D59=400,$F59*0.3,$D59=500,$F59*0.3,$D59=735,$F59*0.25)</f>
        <v>0.57000000000000006</v>
      </c>
      <c r="I59" s="170">
        <f t="shared" si="0"/>
        <v>5.7000000000000002E-3</v>
      </c>
      <c r="J59" s="170"/>
      <c r="K59" s="172"/>
      <c r="L59" s="148"/>
    </row>
    <row r="60" spans="1:12">
      <c r="A60" s="185" t="s">
        <v>512</v>
      </c>
      <c r="B60" s="148" t="s">
        <v>442</v>
      </c>
      <c r="C60" s="148" t="s">
        <v>448</v>
      </c>
      <c r="D60" s="170">
        <v>735</v>
      </c>
      <c r="E60" s="170"/>
      <c r="F60" s="170">
        <v>212.04000000000002</v>
      </c>
      <c r="G60" s="148">
        <v>100000</v>
      </c>
      <c r="H60" s="170" cm="1">
        <f t="array" ref="H60">_xlfn.IFS($D60=138,$F60*0.5,$D60=240,$F60*0.4,$D60=400,$F60*0.3,$D60=500,$F60*0.3,$D60=735,$F60*0.25)</f>
        <v>53.010000000000005</v>
      </c>
      <c r="I60" s="170">
        <f t="shared" si="0"/>
        <v>0.53010000000000002</v>
      </c>
      <c r="J60" s="170"/>
      <c r="K60" s="172"/>
      <c r="L60" s="148"/>
    </row>
    <row r="61" spans="1:12">
      <c r="A61" s="185" t="s">
        <v>513</v>
      </c>
      <c r="B61" s="148" t="s">
        <v>442</v>
      </c>
      <c r="C61" s="148" t="s">
        <v>448</v>
      </c>
      <c r="D61" s="170">
        <v>735</v>
      </c>
      <c r="E61" s="170"/>
      <c r="F61" s="170">
        <v>212.04000000000002</v>
      </c>
      <c r="G61" s="148">
        <v>100000</v>
      </c>
      <c r="H61" s="170" cm="1">
        <f t="array" ref="H61">_xlfn.IFS($D61=138,$F61*0.5,$D61=240,$F61*0.4,$D61=400,$F61*0.3,$D61=500,$F61*0.3,$D61=735,$F61*0.25)</f>
        <v>53.010000000000005</v>
      </c>
      <c r="I61" s="170">
        <f t="shared" si="0"/>
        <v>0.53010000000000002</v>
      </c>
      <c r="J61" s="170"/>
      <c r="K61" s="172"/>
      <c r="L61" s="148"/>
    </row>
    <row r="62" spans="1:12">
      <c r="A62" s="185" t="s">
        <v>514</v>
      </c>
      <c r="B62" s="148" t="s">
        <v>442</v>
      </c>
      <c r="C62" s="196" t="s">
        <v>448</v>
      </c>
      <c r="D62" s="170">
        <v>735</v>
      </c>
      <c r="E62" s="170"/>
      <c r="F62" s="170">
        <v>212.04000000000002</v>
      </c>
      <c r="G62" s="148">
        <v>100000</v>
      </c>
      <c r="H62" s="170" cm="1">
        <f t="array" ref="H62">_xlfn.IFS($D62=138,$F62*0.5,$D62=240,$F62*0.4,$D62=400,$F62*0.3,$D62=500,$F62*0.3,$D62=735,$F62*0.25)</f>
        <v>53.010000000000005</v>
      </c>
      <c r="I62" s="170">
        <f t="shared" si="0"/>
        <v>0.53010000000000002</v>
      </c>
      <c r="J62" s="170"/>
      <c r="K62" s="172"/>
      <c r="L62" s="148"/>
    </row>
    <row r="63" spans="1:12">
      <c r="A63" s="185" t="s">
        <v>515</v>
      </c>
      <c r="B63" s="148" t="s">
        <v>442</v>
      </c>
      <c r="C63" s="148" t="s">
        <v>444</v>
      </c>
      <c r="D63" s="170">
        <v>735</v>
      </c>
      <c r="E63" s="170"/>
      <c r="F63" s="170">
        <v>34.200000000000003</v>
      </c>
      <c r="G63" s="148">
        <v>100000</v>
      </c>
      <c r="H63" s="170" cm="1">
        <f t="array" ref="H63">_xlfn.IFS($D63=138,$F63*0.5,$D63=240,$F63*0.4,$D63=400,$F63*0.3,$D63=500,$F63*0.3,$D63=735,$F63*0.25)</f>
        <v>8.5500000000000007</v>
      </c>
      <c r="I63" s="170">
        <f t="shared" si="0"/>
        <v>8.5500000000000007E-2</v>
      </c>
      <c r="J63" s="170"/>
      <c r="K63" s="172"/>
      <c r="L63" s="148"/>
    </row>
    <row r="64" spans="1:12">
      <c r="A64" s="185" t="s">
        <v>516</v>
      </c>
      <c r="B64" s="189" t="s">
        <v>449</v>
      </c>
      <c r="C64" s="189" t="s">
        <v>444</v>
      </c>
      <c r="D64" s="170">
        <v>735</v>
      </c>
      <c r="E64" s="170"/>
      <c r="F64" s="170">
        <v>251.94000000000003</v>
      </c>
      <c r="G64" s="148">
        <v>100000</v>
      </c>
      <c r="H64" s="170" cm="1">
        <f t="array" ref="H64">_xlfn.IFS($D64=138,$F64*0.5,$D64=240,$F64*0.4,$D64=400,$F64*0.3,$D64=500,$F64*0.3,$D64=735,$F64*0.25)</f>
        <v>62.985000000000007</v>
      </c>
      <c r="I64" s="170">
        <f t="shared" si="0"/>
        <v>0.62985000000000002</v>
      </c>
      <c r="J64" s="170"/>
      <c r="K64" s="172"/>
      <c r="L64" s="148"/>
    </row>
    <row r="65" spans="1:12">
      <c r="A65" s="185" t="s">
        <v>517</v>
      </c>
      <c r="B65" s="189" t="s">
        <v>449</v>
      </c>
      <c r="C65" s="189" t="s">
        <v>444</v>
      </c>
      <c r="D65" s="170">
        <v>735</v>
      </c>
      <c r="E65" s="170"/>
      <c r="F65" s="170">
        <v>200.64000000000001</v>
      </c>
      <c r="G65" s="148">
        <v>100000</v>
      </c>
      <c r="H65" s="170" cm="1">
        <f t="array" ref="H65">_xlfn.IFS($D65=138,$F65*0.5,$D65=240,$F65*0.4,$D65=400,$F65*0.3,$D65=500,$F65*0.3,$D65=735,$F65*0.25)</f>
        <v>50.160000000000004</v>
      </c>
      <c r="I65" s="170">
        <f t="shared" si="0"/>
        <v>0.50160000000000005</v>
      </c>
      <c r="J65" s="170"/>
      <c r="K65" s="172"/>
      <c r="L65" s="148"/>
    </row>
    <row r="66" spans="1:12">
      <c r="A66" s="185" t="s">
        <v>518</v>
      </c>
      <c r="B66" s="189" t="s">
        <v>449</v>
      </c>
      <c r="C66" s="189" t="s">
        <v>444</v>
      </c>
      <c r="D66" s="170">
        <v>735</v>
      </c>
      <c r="E66" s="170"/>
      <c r="F66" s="170">
        <v>200.64000000000001</v>
      </c>
      <c r="G66" s="148">
        <v>100000</v>
      </c>
      <c r="H66" s="170" cm="1">
        <f t="array" ref="H66">_xlfn.IFS($D66=138,$F66*0.5,$D66=240,$F66*0.4,$D66=400,$F66*0.3,$D66=500,$F66*0.3,$D66=735,$F66*0.25)</f>
        <v>50.160000000000004</v>
      </c>
      <c r="I66" s="170">
        <f t="shared" si="0"/>
        <v>0.50160000000000005</v>
      </c>
      <c r="J66" s="170"/>
      <c r="K66" s="172"/>
      <c r="L66" s="148"/>
    </row>
    <row r="67" spans="1:12">
      <c r="A67" s="185" t="s">
        <v>519</v>
      </c>
      <c r="B67" s="148" t="s">
        <v>436</v>
      </c>
      <c r="C67" s="148" t="s">
        <v>448</v>
      </c>
      <c r="D67" s="170">
        <v>735</v>
      </c>
      <c r="E67" s="170"/>
      <c r="F67" s="170">
        <v>171</v>
      </c>
      <c r="G67" s="148">
        <v>100000</v>
      </c>
      <c r="H67" s="170" cm="1">
        <f t="array" ref="H67">_xlfn.IFS($D67=138,$F67*0.5,$D67=240,$F67*0.4,$D67=400,$F67*0.3,$D67=500,$F67*0.3,$D67=735,$F67*0.25)</f>
        <v>42.75</v>
      </c>
      <c r="I67" s="170">
        <f t="shared" ref="I67:I88" si="1">H67/100</f>
        <v>0.42749999999999999</v>
      </c>
      <c r="J67" s="170"/>
      <c r="K67" s="172"/>
      <c r="L67" s="148"/>
    </row>
    <row r="68" spans="1:12">
      <c r="A68" s="185" t="s">
        <v>520</v>
      </c>
      <c r="B68" s="148" t="s">
        <v>436</v>
      </c>
      <c r="C68" s="148" t="s">
        <v>448</v>
      </c>
      <c r="D68" s="170">
        <v>735</v>
      </c>
      <c r="E68" s="170"/>
      <c r="F68" s="170">
        <v>171</v>
      </c>
      <c r="G68" s="148">
        <v>100000</v>
      </c>
      <c r="H68" s="170" cm="1">
        <f t="array" ref="H68">_xlfn.IFS($D68=138,$F68*0.5,$D68=240,$F68*0.4,$D68=400,$F68*0.3,$D68=500,$F68*0.3,$D68=735,$F68*0.25)</f>
        <v>42.75</v>
      </c>
      <c r="I68" s="170">
        <f t="shared" si="1"/>
        <v>0.42749999999999999</v>
      </c>
      <c r="J68" s="170"/>
      <c r="K68" s="172"/>
      <c r="L68" s="148"/>
    </row>
    <row r="69" spans="1:12">
      <c r="A69" s="185" t="s">
        <v>521</v>
      </c>
      <c r="B69" s="148" t="s">
        <v>436</v>
      </c>
      <c r="C69" s="148" t="s">
        <v>448</v>
      </c>
      <c r="D69" s="170">
        <v>735</v>
      </c>
      <c r="E69" s="170"/>
      <c r="F69" s="170">
        <v>171</v>
      </c>
      <c r="G69" s="148">
        <v>100000</v>
      </c>
      <c r="H69" s="170" cm="1">
        <f t="array" ref="H69">_xlfn.IFS($D69=138,$F69*0.5,$D69=240,$F69*0.4,$D69=400,$F69*0.3,$D69=500,$F69*0.3,$D69=735,$F69*0.25)</f>
        <v>42.75</v>
      </c>
      <c r="I69" s="170">
        <f t="shared" si="1"/>
        <v>0.42749999999999999</v>
      </c>
      <c r="J69" s="170"/>
      <c r="K69" s="172"/>
      <c r="L69" s="148"/>
    </row>
    <row r="70" spans="1:12">
      <c r="A70" s="185" t="s">
        <v>522</v>
      </c>
      <c r="B70" s="148" t="s">
        <v>443</v>
      </c>
      <c r="C70" s="148" t="s">
        <v>445</v>
      </c>
      <c r="D70" s="170">
        <v>735</v>
      </c>
      <c r="E70" s="170"/>
      <c r="F70" s="170">
        <v>11.4</v>
      </c>
      <c r="G70" s="148">
        <v>100000</v>
      </c>
      <c r="H70" s="170" cm="1">
        <f t="array" ref="H70">_xlfn.IFS($D70=138,$F70*0.5,$D70=240,$F70*0.4,$D70=400,$F70*0.3,$D70=500,$F70*0.3,$D70=735,$F70*0.25)</f>
        <v>2.85</v>
      </c>
      <c r="I70" s="170">
        <f t="shared" si="1"/>
        <v>2.8500000000000001E-2</v>
      </c>
      <c r="J70" s="170"/>
      <c r="K70" s="172"/>
      <c r="L70" s="148"/>
    </row>
    <row r="71" spans="1:12">
      <c r="A71" s="185" t="s">
        <v>523</v>
      </c>
      <c r="B71" s="148" t="s">
        <v>443</v>
      </c>
      <c r="C71" s="148" t="s">
        <v>445</v>
      </c>
      <c r="D71" s="170">
        <v>735</v>
      </c>
      <c r="E71" s="170"/>
      <c r="F71" s="170">
        <v>11.4</v>
      </c>
      <c r="G71" s="148">
        <v>100000</v>
      </c>
      <c r="H71" s="170" cm="1">
        <f t="array" ref="H71">_xlfn.IFS($D71=138,$F71*0.5,$D71=240,$F71*0.4,$D71=400,$F71*0.3,$D71=500,$F71*0.3,$D71=735,$F71*0.25)</f>
        <v>2.85</v>
      </c>
      <c r="I71" s="170">
        <f t="shared" si="1"/>
        <v>2.8500000000000001E-2</v>
      </c>
      <c r="J71" s="170"/>
      <c r="K71" s="172"/>
      <c r="L71" s="148"/>
    </row>
    <row r="72" spans="1:12">
      <c r="A72" s="185" t="s">
        <v>524</v>
      </c>
      <c r="B72" s="189" t="s">
        <v>449</v>
      </c>
      <c r="C72" s="189" t="s">
        <v>448</v>
      </c>
      <c r="D72" s="170">
        <v>735</v>
      </c>
      <c r="E72" s="170"/>
      <c r="F72" s="170">
        <v>57</v>
      </c>
      <c r="G72" s="148">
        <v>100000</v>
      </c>
      <c r="H72" s="170" cm="1">
        <f t="array" ref="H72">_xlfn.IFS($D72=138,$F72*0.5,$D72=240,$F72*0.4,$D72=400,$F72*0.3,$D72=500,$F72*0.3,$D72=735,$F72*0.25)</f>
        <v>14.25</v>
      </c>
      <c r="I72" s="170">
        <f t="shared" si="1"/>
        <v>0.14249999999999999</v>
      </c>
      <c r="J72" s="170"/>
      <c r="K72" s="172"/>
      <c r="L72" s="148"/>
    </row>
    <row r="73" spans="1:12">
      <c r="A73" s="185" t="s">
        <v>525</v>
      </c>
      <c r="B73" s="189" t="s">
        <v>449</v>
      </c>
      <c r="C73" s="189" t="s">
        <v>717</v>
      </c>
      <c r="D73" s="170">
        <v>735</v>
      </c>
      <c r="E73" s="170"/>
      <c r="F73" s="170">
        <v>240.54000000000002</v>
      </c>
      <c r="G73" s="148">
        <v>100000</v>
      </c>
      <c r="H73" s="170" cm="1">
        <f t="array" ref="H73">_xlfn.IFS($D73=138,$F73*0.5,$D73=240,$F73*0.4,$D73=400,$F73*0.3,$D73=500,$F73*0.3,$D73=735,$F73*0.25)</f>
        <v>60.135000000000005</v>
      </c>
      <c r="I73" s="170">
        <f t="shared" si="1"/>
        <v>0.60135000000000005</v>
      </c>
      <c r="J73" s="170"/>
      <c r="K73" s="172"/>
      <c r="L73" s="148"/>
    </row>
    <row r="74" spans="1:12">
      <c r="A74" s="185" t="s">
        <v>526</v>
      </c>
      <c r="B74" s="189" t="s">
        <v>449</v>
      </c>
      <c r="C74" s="189" t="s">
        <v>717</v>
      </c>
      <c r="D74" s="170">
        <v>735</v>
      </c>
      <c r="E74" s="170"/>
      <c r="F74" s="170">
        <v>240.54000000000002</v>
      </c>
      <c r="G74" s="148">
        <v>100000</v>
      </c>
      <c r="H74" s="170" cm="1">
        <f t="array" ref="H74">_xlfn.IFS($D74=138,$F74*0.5,$D74=240,$F74*0.4,$D74=400,$F74*0.3,$D74=500,$F74*0.3,$D74=735,$F74*0.25)</f>
        <v>60.135000000000005</v>
      </c>
      <c r="I74" s="170">
        <f t="shared" si="1"/>
        <v>0.60135000000000005</v>
      </c>
      <c r="J74" s="170"/>
      <c r="K74" s="172"/>
      <c r="L74" s="148"/>
    </row>
    <row r="75" spans="1:12">
      <c r="A75" s="185" t="s">
        <v>527</v>
      </c>
      <c r="B75" s="189" t="s">
        <v>449</v>
      </c>
      <c r="C75" s="189" t="s">
        <v>717</v>
      </c>
      <c r="D75" s="170">
        <v>735</v>
      </c>
      <c r="E75" s="170"/>
      <c r="F75" s="170">
        <v>246.24000000000004</v>
      </c>
      <c r="G75" s="148">
        <v>100000</v>
      </c>
      <c r="H75" s="170" cm="1">
        <f t="array" ref="H75">_xlfn.IFS($D75=138,$F75*0.5,$D75=240,$F75*0.4,$D75=400,$F75*0.3,$D75=500,$F75*0.3,$D75=735,$F75*0.25)</f>
        <v>61.560000000000009</v>
      </c>
      <c r="I75" s="170">
        <f t="shared" si="1"/>
        <v>0.61560000000000015</v>
      </c>
      <c r="J75" s="170"/>
      <c r="K75" s="172"/>
      <c r="L75" s="148"/>
    </row>
    <row r="76" spans="1:12">
      <c r="A76" s="185" t="s">
        <v>528</v>
      </c>
      <c r="B76" s="148" t="s">
        <v>414</v>
      </c>
      <c r="C76" s="148" t="s">
        <v>765</v>
      </c>
      <c r="D76" s="170">
        <v>735</v>
      </c>
      <c r="E76" s="170"/>
      <c r="F76" s="170">
        <v>18.375</v>
      </c>
      <c r="G76" s="148">
        <v>100000</v>
      </c>
      <c r="H76" s="170" cm="1">
        <f t="array" ref="H76">_xlfn.IFS($D76=138,$F76*0.5,$D76=240,$F76*0.4,$D76=400,$F76*0.3,$D76=500,$F76*0.3,$D76=735,$F76*0.25)</f>
        <v>4.59375</v>
      </c>
      <c r="I76" s="170">
        <f t="shared" si="1"/>
        <v>4.5937499999999999E-2</v>
      </c>
      <c r="J76" s="170"/>
      <c r="K76" s="172"/>
      <c r="L76" s="148"/>
    </row>
    <row r="77" spans="1:12">
      <c r="A77" s="185" t="s">
        <v>529</v>
      </c>
      <c r="B77" s="148" t="s">
        <v>765</v>
      </c>
      <c r="C77" s="148" t="s">
        <v>450</v>
      </c>
      <c r="D77" s="170">
        <v>735</v>
      </c>
      <c r="E77" s="170"/>
      <c r="F77" s="170">
        <v>78.75</v>
      </c>
      <c r="G77" s="148">
        <v>100000</v>
      </c>
      <c r="H77" s="170" cm="1">
        <f t="array" ref="H77">_xlfn.IFS($D77=138,$F77*0.5,$D77=240,$F77*0.4,$D77=400,$F77*0.3,$D77=500,$F77*0.3,$D77=735,$F77*0.25)</f>
        <v>19.6875</v>
      </c>
      <c r="I77" s="170">
        <f t="shared" si="1"/>
        <v>0.19687499999999999</v>
      </c>
      <c r="J77" s="170"/>
      <c r="K77" s="172"/>
      <c r="L77" s="148"/>
    </row>
    <row r="78" spans="1:12">
      <c r="A78" s="185" t="s">
        <v>530</v>
      </c>
      <c r="B78" s="148" t="s">
        <v>414</v>
      </c>
      <c r="C78" s="148" t="s">
        <v>765</v>
      </c>
      <c r="D78" s="170">
        <v>735</v>
      </c>
      <c r="E78" s="170"/>
      <c r="F78" s="170">
        <v>18.375</v>
      </c>
      <c r="G78" s="148">
        <v>100000</v>
      </c>
      <c r="H78" s="170" cm="1">
        <f t="array" ref="H78">_xlfn.IFS($D78=138,$F78*0.5,$D78=240,$F78*0.4,$D78=400,$F78*0.3,$D78=500,$F78*0.3,$D78=735,$F78*0.25)</f>
        <v>4.59375</v>
      </c>
      <c r="I78" s="170">
        <f t="shared" si="1"/>
        <v>4.5937499999999999E-2</v>
      </c>
      <c r="J78" s="170"/>
      <c r="K78" s="172"/>
      <c r="L78" s="148"/>
    </row>
    <row r="79" spans="1:12">
      <c r="A79" s="185" t="s">
        <v>531</v>
      </c>
      <c r="B79" s="148" t="s">
        <v>765</v>
      </c>
      <c r="C79" s="148" t="s">
        <v>428</v>
      </c>
      <c r="D79" s="173">
        <v>735</v>
      </c>
      <c r="E79" s="170"/>
      <c r="F79" s="170">
        <v>57.75</v>
      </c>
      <c r="G79" s="148">
        <v>100000</v>
      </c>
      <c r="H79" s="170" cm="1">
        <f t="array" ref="H79">_xlfn.IFS($D79=138,$F79*0.5,$D79=240,$F79*0.4,$D79=400,$F79*0.3,$D79=500,$F79*0.3,$D79=735,$F79*0.25)</f>
        <v>14.4375</v>
      </c>
      <c r="I79" s="170">
        <f t="shared" si="1"/>
        <v>0.144375</v>
      </c>
      <c r="J79" s="170"/>
      <c r="K79" s="172"/>
      <c r="L79" s="148"/>
    </row>
    <row r="80" spans="1:12">
      <c r="A80" s="185" t="s">
        <v>532</v>
      </c>
      <c r="B80" s="148" t="s">
        <v>450</v>
      </c>
      <c r="C80" s="148" t="s">
        <v>727</v>
      </c>
      <c r="D80" s="173">
        <v>735</v>
      </c>
      <c r="E80" s="170"/>
      <c r="F80" s="170">
        <v>84</v>
      </c>
      <c r="G80" s="148">
        <v>100000</v>
      </c>
      <c r="H80" s="170" cm="1">
        <f t="array" ref="H80">_xlfn.IFS($D80=138,$F80*0.5,$D80=240,$F80*0.4,$D80=400,$F80*0.3,$D80=500,$F80*0.3,$D80=735,$F80*0.25)</f>
        <v>21</v>
      </c>
      <c r="I80" s="170">
        <f t="shared" si="1"/>
        <v>0.21</v>
      </c>
      <c r="J80" s="170"/>
      <c r="K80" s="172"/>
      <c r="L80" s="148"/>
    </row>
    <row r="81" spans="1:12">
      <c r="A81" s="185" t="s">
        <v>533</v>
      </c>
      <c r="B81" s="148" t="s">
        <v>451</v>
      </c>
      <c r="C81" s="148" t="s">
        <v>430</v>
      </c>
      <c r="D81" s="173">
        <v>735</v>
      </c>
      <c r="E81" s="170"/>
      <c r="F81" s="170">
        <v>1.05</v>
      </c>
      <c r="G81" s="148">
        <v>100000</v>
      </c>
      <c r="H81" s="170" cm="1">
        <f t="array" ref="H81">_xlfn.IFS($D81=138,$F81*0.5,$D81=240,$F81*0.4,$D81=400,$F81*0.3,$D81=500,$F81*0.3,$D81=735,$F81*0.25)</f>
        <v>0.26250000000000001</v>
      </c>
      <c r="I81" s="170">
        <f t="shared" si="1"/>
        <v>2.6250000000000002E-3</v>
      </c>
      <c r="J81" s="170"/>
      <c r="K81" s="172"/>
      <c r="L81" s="148"/>
    </row>
    <row r="82" spans="1:12">
      <c r="A82" s="185" t="s">
        <v>534</v>
      </c>
      <c r="B82" s="148" t="s">
        <v>427</v>
      </c>
      <c r="C82" s="148" t="s">
        <v>435</v>
      </c>
      <c r="D82" s="173">
        <v>735</v>
      </c>
      <c r="E82" s="170"/>
      <c r="F82" s="170">
        <v>7.9799999999999995</v>
      </c>
      <c r="G82" s="148">
        <v>100000</v>
      </c>
      <c r="H82" s="170" cm="1">
        <f t="array" ref="H82">_xlfn.IFS($D82=138,$F82*0.5,$D82=240,$F82*0.4,$D82=400,$F82*0.3,$D82=500,$F82*0.3,$D82=735,$F82*0.25)</f>
        <v>1.9949999999999999</v>
      </c>
      <c r="I82" s="170">
        <f t="shared" si="1"/>
        <v>1.9949999999999999E-2</v>
      </c>
      <c r="J82" s="170"/>
      <c r="K82" s="172"/>
      <c r="L82" s="148"/>
    </row>
    <row r="83" spans="1:12">
      <c r="A83" s="185" t="s">
        <v>535</v>
      </c>
      <c r="B83" s="148" t="s">
        <v>427</v>
      </c>
      <c r="C83" s="148" t="s">
        <v>435</v>
      </c>
      <c r="D83" s="173">
        <v>735</v>
      </c>
      <c r="E83" s="170"/>
      <c r="F83" s="170">
        <v>7.9799999999999995</v>
      </c>
      <c r="G83" s="148">
        <v>100000</v>
      </c>
      <c r="H83" s="170" cm="1">
        <f t="array" ref="H83">_xlfn.IFS($D83=138,$F83*0.5,$D83=240,$F83*0.4,$D83=400,$F83*0.3,$D83=500,$F83*0.3,$D83=735,$F83*0.25)</f>
        <v>1.9949999999999999</v>
      </c>
      <c r="I83" s="170">
        <f t="shared" si="1"/>
        <v>1.9949999999999999E-2</v>
      </c>
      <c r="J83" s="170"/>
      <c r="K83" s="172"/>
      <c r="L83" s="148"/>
    </row>
    <row r="84" spans="1:12">
      <c r="A84" s="185" t="s">
        <v>536</v>
      </c>
      <c r="B84" s="148" t="s">
        <v>433</v>
      </c>
      <c r="C84" s="148" t="s">
        <v>763</v>
      </c>
      <c r="D84" s="173">
        <v>735</v>
      </c>
      <c r="E84" s="170"/>
      <c r="F84" s="170">
        <v>13.125</v>
      </c>
      <c r="G84" s="148">
        <v>100000</v>
      </c>
      <c r="H84" s="170" cm="1">
        <f t="array" ref="H84">_xlfn.IFS($D84=138,$F84*0.5,$D84=240,$F84*0.4,$D84=400,$F84*0.3,$D84=500,$F84*0.3,$D84=735,$F84*0.25)</f>
        <v>3.28125</v>
      </c>
      <c r="I84" s="170">
        <f t="shared" si="1"/>
        <v>3.2812500000000001E-2</v>
      </c>
      <c r="J84" s="170"/>
      <c r="K84" s="172"/>
      <c r="L84" s="148"/>
    </row>
    <row r="85" spans="1:12">
      <c r="A85" s="185" t="s">
        <v>537</v>
      </c>
      <c r="B85" s="148" t="s">
        <v>436</v>
      </c>
      <c r="C85" s="148" t="s">
        <v>438</v>
      </c>
      <c r="D85" s="173">
        <v>735</v>
      </c>
      <c r="E85" s="170"/>
      <c r="F85" s="170">
        <v>367.08000000000004</v>
      </c>
      <c r="G85" s="148">
        <v>100000</v>
      </c>
      <c r="H85" s="170" cm="1">
        <f t="array" ref="H85">_xlfn.IFS($D85=138,$F85*0.5,$D85=240,$F85*0.4,$D85=400,$F85*0.3,$D85=500,$F85*0.3,$D85=735,$F85*0.25)</f>
        <v>91.77000000000001</v>
      </c>
      <c r="I85" s="170">
        <f t="shared" si="1"/>
        <v>0.91770000000000007</v>
      </c>
      <c r="J85" s="170"/>
      <c r="K85" s="172"/>
      <c r="L85" s="148"/>
    </row>
    <row r="86" spans="1:12">
      <c r="A86" s="185" t="s">
        <v>538</v>
      </c>
      <c r="B86" s="148" t="s">
        <v>433</v>
      </c>
      <c r="C86" s="148" t="s">
        <v>438</v>
      </c>
      <c r="D86" s="173">
        <v>735</v>
      </c>
      <c r="E86" s="170"/>
      <c r="F86" s="170">
        <v>10.5</v>
      </c>
      <c r="G86" s="148">
        <v>100000</v>
      </c>
      <c r="H86" s="170" cm="1">
        <f t="array" ref="H86">_xlfn.IFS($D86=138,$F86*0.5,$D86=240,$F86*0.4,$D86=400,$F86*0.3,$D86=500,$F86*0.3,$D86=735,$F86*0.25)</f>
        <v>2.625</v>
      </c>
      <c r="I86" s="170">
        <f t="shared" si="1"/>
        <v>2.6249999999999999E-2</v>
      </c>
      <c r="J86" s="170"/>
      <c r="K86" s="172"/>
      <c r="L86" s="148"/>
    </row>
    <row r="87" spans="1:12">
      <c r="A87" s="185" t="s">
        <v>539</v>
      </c>
      <c r="B87" s="148" t="s">
        <v>452</v>
      </c>
      <c r="C87" s="148" t="s">
        <v>453</v>
      </c>
      <c r="D87" s="173">
        <v>735</v>
      </c>
      <c r="E87" s="170"/>
      <c r="F87" s="170">
        <v>31.919999999999998</v>
      </c>
      <c r="G87" s="148">
        <v>100000</v>
      </c>
      <c r="H87" s="170" cm="1">
        <f t="array" ref="H87">_xlfn.IFS($D87=138,$F87*0.5,$D87=240,$F87*0.4,$D87=400,$F87*0.3,$D87=500,$F87*0.3,$D87=735,$F87*0.25)</f>
        <v>7.9799999999999995</v>
      </c>
      <c r="I87" s="170">
        <f t="shared" si="1"/>
        <v>7.9799999999999996E-2</v>
      </c>
      <c r="J87" s="170"/>
      <c r="K87" s="172"/>
      <c r="L87" s="148"/>
    </row>
    <row r="88" spans="1:12">
      <c r="A88" s="185" t="s">
        <v>540</v>
      </c>
      <c r="B88" s="148" t="s">
        <v>453</v>
      </c>
      <c r="C88" s="148" t="s">
        <v>421</v>
      </c>
      <c r="D88" s="170">
        <v>735</v>
      </c>
      <c r="E88" s="170"/>
      <c r="F88" s="170">
        <v>175.56</v>
      </c>
      <c r="G88" s="148">
        <v>100000</v>
      </c>
      <c r="H88" s="170" cm="1">
        <f t="array" ref="H88">_xlfn.IFS($D88=138,$F88*0.5,$D88=240,$F88*0.4,$D88=400,$F88*0.3,$D88=500,$F88*0.3,$D88=735,$F88*0.25)</f>
        <v>43.89</v>
      </c>
      <c r="I88" s="170">
        <f t="shared" si="1"/>
        <v>0.43890000000000001</v>
      </c>
      <c r="J88" s="170"/>
      <c r="K88" s="172"/>
      <c r="L88" s="148"/>
    </row>
    <row r="89" spans="1:12">
      <c r="C89" s="173"/>
      <c r="D89" s="171"/>
      <c r="E89" s="170"/>
      <c r="F89" s="170"/>
      <c r="H89" s="170"/>
      <c r="I89" s="170"/>
      <c r="J89" s="170"/>
      <c r="K89" s="172"/>
      <c r="L89" s="148"/>
    </row>
    <row r="90" spans="1:12">
      <c r="C90" s="170"/>
      <c r="D90" s="171"/>
      <c r="E90" s="170"/>
      <c r="F90" s="170"/>
      <c r="H90" s="170"/>
      <c r="I90" s="170"/>
      <c r="J90" s="170"/>
      <c r="K90" s="172"/>
      <c r="L90" s="148"/>
    </row>
    <row r="91" spans="1:12">
      <c r="A91" s="170"/>
      <c r="B91" s="170"/>
      <c r="C91" s="170"/>
      <c r="D91" s="171"/>
      <c r="E91" s="170"/>
      <c r="F91" s="170"/>
      <c r="H91" s="170"/>
      <c r="I91" s="170"/>
      <c r="J91" s="170"/>
      <c r="K91" s="172"/>
      <c r="L91" s="148"/>
    </row>
    <row r="92" spans="1:12">
      <c r="A92" s="170"/>
      <c r="B92" s="170"/>
      <c r="C92" s="170"/>
      <c r="D92" s="171"/>
      <c r="E92" s="170"/>
      <c r="F92" s="170"/>
      <c r="H92" s="170"/>
      <c r="I92" s="170"/>
      <c r="J92" s="170"/>
      <c r="K92" s="172"/>
      <c r="L92" s="148"/>
    </row>
    <row r="93" spans="1:12">
      <c r="A93" s="170"/>
      <c r="B93" s="170"/>
      <c r="C93" s="170"/>
      <c r="D93" s="171"/>
      <c r="E93" s="170"/>
      <c r="F93" s="170"/>
      <c r="H93" s="170"/>
      <c r="I93" s="170"/>
      <c r="J93" s="170"/>
      <c r="K93" s="172"/>
      <c r="L93" s="148"/>
    </row>
    <row r="94" spans="1:12">
      <c r="A94" s="170"/>
      <c r="B94" s="170"/>
      <c r="C94" s="170"/>
      <c r="D94" s="171"/>
      <c r="E94" s="170"/>
      <c r="F94" s="170"/>
      <c r="H94" s="170"/>
      <c r="I94" s="170"/>
      <c r="J94" s="170"/>
      <c r="K94" s="172"/>
      <c r="L94" s="148"/>
    </row>
    <row r="95" spans="1:12">
      <c r="A95" s="170"/>
      <c r="B95" s="170"/>
      <c r="C95" s="170"/>
      <c r="D95" s="171"/>
      <c r="E95" s="170"/>
      <c r="F95" s="170"/>
      <c r="H95" s="170"/>
      <c r="I95" s="170"/>
      <c r="J95" s="170"/>
      <c r="K95" s="172"/>
      <c r="L95" s="148"/>
    </row>
    <row r="96" spans="1:12">
      <c r="A96" s="170"/>
      <c r="B96" s="170"/>
      <c r="C96" s="170"/>
      <c r="D96" s="171"/>
      <c r="E96" s="170"/>
      <c r="F96" s="170"/>
      <c r="G96" s="148"/>
      <c r="H96" s="170"/>
      <c r="I96" s="170"/>
      <c r="J96" s="170"/>
      <c r="K96" s="172"/>
      <c r="L96" s="149"/>
    </row>
    <row r="97" spans="1:12">
      <c r="A97" s="170"/>
      <c r="B97" s="170"/>
      <c r="C97" s="170"/>
      <c r="D97" s="171"/>
      <c r="E97" s="170"/>
      <c r="F97" s="170"/>
      <c r="G97" s="148"/>
      <c r="H97" s="170"/>
      <c r="I97" s="170"/>
      <c r="J97" s="170"/>
      <c r="K97" s="172"/>
    </row>
    <row r="98" spans="1:12">
      <c r="A98" s="170"/>
      <c r="B98" s="170"/>
      <c r="C98" s="170"/>
      <c r="D98" s="171"/>
      <c r="E98" s="170"/>
      <c r="F98" s="170"/>
      <c r="G98" s="148"/>
      <c r="H98" s="170"/>
      <c r="I98" s="170"/>
      <c r="J98" s="170"/>
      <c r="K98" s="172"/>
    </row>
    <row r="99" spans="1:12">
      <c r="A99" s="170"/>
      <c r="B99" s="170"/>
      <c r="C99" s="170"/>
      <c r="D99" s="171"/>
      <c r="E99" s="170"/>
      <c r="F99" s="170"/>
      <c r="G99" s="148"/>
      <c r="H99" s="170"/>
      <c r="I99" s="170"/>
      <c r="J99" s="170"/>
      <c r="K99" s="172"/>
    </row>
    <row r="100" spans="1:12">
      <c r="A100" s="170"/>
      <c r="B100" s="170"/>
      <c r="C100" s="170"/>
      <c r="D100" s="171"/>
      <c r="E100" s="170"/>
      <c r="F100" s="170"/>
      <c r="G100" s="148"/>
      <c r="H100" s="170"/>
      <c r="I100" s="170"/>
      <c r="J100" s="170"/>
      <c r="K100" s="172"/>
    </row>
    <row r="101" spans="1:12">
      <c r="A101" s="170"/>
      <c r="B101" s="170"/>
      <c r="C101" s="170"/>
      <c r="D101" s="171"/>
      <c r="E101" s="170"/>
      <c r="F101" s="170"/>
      <c r="G101" s="148"/>
      <c r="H101" s="170"/>
      <c r="I101" s="170"/>
      <c r="J101" s="170"/>
      <c r="K101" s="172"/>
    </row>
    <row r="102" spans="1:12">
      <c r="A102" s="170"/>
      <c r="B102" s="170"/>
      <c r="C102" s="170"/>
      <c r="D102" s="171"/>
      <c r="E102" s="170"/>
      <c r="F102" s="170"/>
      <c r="G102" s="148"/>
      <c r="H102" s="170"/>
      <c r="I102" s="170"/>
      <c r="J102" s="170"/>
      <c r="K102" s="172"/>
    </row>
    <row r="103" spans="1:12">
      <c r="A103" s="170"/>
      <c r="B103" s="170"/>
      <c r="C103" s="170"/>
      <c r="D103" s="171"/>
      <c r="E103" s="170"/>
      <c r="F103" s="170"/>
      <c r="G103" s="148"/>
      <c r="H103" s="170"/>
      <c r="I103" s="170"/>
      <c r="J103" s="170"/>
      <c r="K103" s="172"/>
      <c r="L103" s="149"/>
    </row>
    <row r="104" spans="1:12">
      <c r="A104" s="170"/>
      <c r="B104" s="170"/>
      <c r="C104" s="170"/>
      <c r="D104" s="171"/>
      <c r="E104" s="170"/>
      <c r="F104" s="170"/>
      <c r="G104" s="148"/>
      <c r="H104" s="170"/>
      <c r="I104" s="170"/>
      <c r="J104" s="170"/>
      <c r="K104" s="172"/>
      <c r="L104" s="148"/>
    </row>
    <row r="105" spans="1:12">
      <c r="A105" s="170"/>
      <c r="B105" s="170"/>
      <c r="C105" s="170"/>
      <c r="D105" s="171"/>
      <c r="E105" s="170"/>
      <c r="F105" s="170"/>
      <c r="G105" s="148"/>
      <c r="H105" s="170"/>
      <c r="I105" s="170"/>
      <c r="J105" s="170"/>
      <c r="K105" s="172"/>
      <c r="L105" s="148"/>
    </row>
    <row r="106" spans="1:12">
      <c r="A106" s="170"/>
      <c r="B106" s="170"/>
      <c r="C106" s="170"/>
      <c r="D106" s="171"/>
      <c r="E106" s="170"/>
      <c r="F106" s="170"/>
      <c r="G106" s="148"/>
      <c r="H106" s="170"/>
      <c r="I106" s="170"/>
      <c r="J106" s="170"/>
      <c r="K106" s="172"/>
      <c r="L106" s="148"/>
    </row>
    <row r="107" spans="1:12">
      <c r="A107" s="170"/>
      <c r="B107" s="170"/>
      <c r="C107" s="170"/>
      <c r="D107" s="171"/>
      <c r="E107" s="170"/>
      <c r="F107" s="170"/>
      <c r="G107" s="148"/>
      <c r="H107" s="170"/>
      <c r="I107" s="170"/>
      <c r="J107" s="170"/>
      <c r="K107" s="172"/>
      <c r="L107" s="148"/>
    </row>
    <row r="108" spans="1:12">
      <c r="A108" s="170"/>
      <c r="B108" s="170"/>
      <c r="C108" s="170"/>
      <c r="D108" s="171"/>
      <c r="E108" s="170"/>
      <c r="F108" s="170"/>
      <c r="G108" s="148"/>
      <c r="H108" s="170"/>
      <c r="I108" s="170"/>
      <c r="J108" s="170"/>
      <c r="K108" s="172"/>
      <c r="L108" s="149"/>
    </row>
    <row r="109" spans="1:12">
      <c r="A109" s="170"/>
      <c r="B109" s="170"/>
      <c r="C109" s="170"/>
      <c r="D109" s="171"/>
      <c r="E109" s="170"/>
      <c r="F109" s="170"/>
      <c r="G109" s="148"/>
      <c r="H109" s="170"/>
      <c r="I109" s="170"/>
      <c r="J109" s="170"/>
      <c r="K109" s="172"/>
      <c r="L109" s="148"/>
    </row>
    <row r="110" spans="1:12">
      <c r="A110" s="170"/>
      <c r="B110" s="170"/>
      <c r="C110" s="170"/>
      <c r="D110" s="171"/>
      <c r="E110" s="170"/>
      <c r="F110" s="170"/>
      <c r="G110" s="148"/>
      <c r="H110" s="170"/>
      <c r="I110" s="170"/>
      <c r="J110" s="170"/>
      <c r="K110" s="172"/>
      <c r="L110" s="148"/>
    </row>
    <row r="111" spans="1:12">
      <c r="G111" s="148"/>
      <c r="H111" s="170"/>
      <c r="I111" s="170"/>
      <c r="J111" s="170"/>
      <c r="K111" s="172"/>
      <c r="L111" s="148"/>
    </row>
    <row r="112" spans="1:12">
      <c r="G112" s="148"/>
      <c r="H112" s="170"/>
      <c r="I112" s="170"/>
      <c r="J112" s="170"/>
      <c r="K112" s="172"/>
      <c r="L112" s="148"/>
    </row>
    <row r="113" spans="7:12">
      <c r="G113" s="148"/>
      <c r="H113" s="170"/>
      <c r="I113" s="170"/>
      <c r="J113" s="170"/>
      <c r="K113" s="172"/>
      <c r="L113" s="148"/>
    </row>
    <row r="114" spans="7:12">
      <c r="G114" s="148"/>
      <c r="H114" s="170"/>
      <c r="I114" s="170"/>
      <c r="J114" s="170"/>
      <c r="K114" s="172"/>
      <c r="L114" s="148"/>
    </row>
    <row r="115" spans="7:12">
      <c r="G115" s="148"/>
      <c r="H115" s="170"/>
      <c r="I115" s="170"/>
      <c r="J115" s="170"/>
      <c r="K115" s="172"/>
      <c r="L115" s="14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62203-7EB3-4FCE-ACC7-F27377449B8B}">
  <sheetPr>
    <tabColor rgb="FFFF6600"/>
  </sheetPr>
  <dimension ref="A1:E170"/>
  <sheetViews>
    <sheetView zoomScale="70" zoomScaleNormal="70" workbookViewId="0">
      <selection activeCell="H5" sqref="H5"/>
    </sheetView>
  </sheetViews>
  <sheetFormatPr defaultRowHeight="15"/>
  <cols>
    <col min="1" max="1" width="19.140625" style="5" bestFit="1" customWidth="1"/>
    <col min="2" max="2" width="18.5703125" style="5" customWidth="1"/>
    <col min="3" max="3" width="22.28515625" style="5" bestFit="1" customWidth="1"/>
    <col min="4" max="4" width="15.42578125" style="5" bestFit="1" customWidth="1"/>
    <col min="5" max="5" width="10.42578125" style="5" bestFit="1" customWidth="1"/>
    <col min="6" max="7" width="9.140625" style="5"/>
    <col min="8" max="8" width="30.42578125" style="5" customWidth="1"/>
    <col min="9" max="16384" width="9.140625" style="5"/>
  </cols>
  <sheetData>
    <row r="1" spans="1:5">
      <c r="A1" s="188" t="s">
        <v>397</v>
      </c>
      <c r="B1" s="188" t="s">
        <v>256</v>
      </c>
      <c r="C1" s="187" t="s">
        <v>261</v>
      </c>
      <c r="D1" s="188" t="s">
        <v>376</v>
      </c>
      <c r="E1" s="197" t="s">
        <v>255</v>
      </c>
    </row>
    <row r="2" spans="1:5">
      <c r="A2" s="186" t="s">
        <v>587</v>
      </c>
      <c r="B2" s="198">
        <v>0.5</v>
      </c>
      <c r="C2" s="199" t="s">
        <v>449</v>
      </c>
      <c r="D2" s="200">
        <v>1.9159490865237299E-3</v>
      </c>
      <c r="E2" s="201">
        <v>91</v>
      </c>
    </row>
    <row r="3" spans="1:5">
      <c r="A3" s="186" t="s">
        <v>588</v>
      </c>
      <c r="B3" s="198">
        <v>1</v>
      </c>
      <c r="C3" s="199" t="s">
        <v>449</v>
      </c>
      <c r="D3" s="200">
        <v>6.4599054353427048E-3</v>
      </c>
      <c r="E3" s="201">
        <v>93</v>
      </c>
    </row>
    <row r="4" spans="1:5">
      <c r="A4" s="186" t="s">
        <v>589</v>
      </c>
      <c r="B4" s="198">
        <v>0.5</v>
      </c>
      <c r="C4" s="199" t="s">
        <v>449</v>
      </c>
      <c r="D4" s="200">
        <v>1.5183674509248182E-3</v>
      </c>
      <c r="E4" s="201">
        <v>92</v>
      </c>
    </row>
    <row r="5" spans="1:5">
      <c r="A5" s="186" t="s">
        <v>590</v>
      </c>
      <c r="B5" s="198">
        <v>0.09</v>
      </c>
      <c r="C5" s="199" t="s">
        <v>449</v>
      </c>
      <c r="D5" s="200">
        <v>4.9121909234537764E-4</v>
      </c>
      <c r="E5" s="202">
        <v>99</v>
      </c>
    </row>
    <row r="6" spans="1:5">
      <c r="A6" s="186" t="s">
        <v>591</v>
      </c>
      <c r="B6" s="198">
        <v>0.09</v>
      </c>
      <c r="C6" s="199" t="s">
        <v>442</v>
      </c>
      <c r="D6" s="200">
        <v>4.9121909234537764E-4</v>
      </c>
      <c r="E6" s="202">
        <v>99</v>
      </c>
    </row>
    <row r="7" spans="1:5">
      <c r="A7" s="186" t="s">
        <v>592</v>
      </c>
      <c r="B7" s="198">
        <v>0.5</v>
      </c>
      <c r="C7" s="199" t="s">
        <v>450</v>
      </c>
      <c r="D7" s="200">
        <v>2.252778876387264E-3</v>
      </c>
      <c r="E7" s="201">
        <v>26</v>
      </c>
    </row>
    <row r="8" spans="1:5">
      <c r="A8" s="186" t="s">
        <v>632</v>
      </c>
      <c r="B8" s="198">
        <v>0.5</v>
      </c>
      <c r="C8" s="199" t="s">
        <v>450</v>
      </c>
      <c r="D8" s="200">
        <v>1.1712490420254568E-3</v>
      </c>
      <c r="E8" s="201">
        <v>27</v>
      </c>
    </row>
    <row r="9" spans="1:5">
      <c r="A9" s="186" t="s">
        <v>633</v>
      </c>
      <c r="B9" s="198">
        <v>0.5</v>
      </c>
      <c r="C9" s="199" t="s">
        <v>450</v>
      </c>
      <c r="D9" s="200">
        <v>1.0126940736696968E-3</v>
      </c>
      <c r="E9" s="201">
        <v>28</v>
      </c>
    </row>
    <row r="10" spans="1:5">
      <c r="A10" s="186" t="s">
        <v>634</v>
      </c>
      <c r="B10" s="198">
        <v>0.5</v>
      </c>
      <c r="C10" s="199" t="s">
        <v>450</v>
      </c>
      <c r="D10" s="200">
        <v>3.2094367213796647E-3</v>
      </c>
      <c r="E10" s="201">
        <v>29</v>
      </c>
    </row>
    <row r="11" spans="1:5">
      <c r="A11" s="186" t="s">
        <v>635</v>
      </c>
      <c r="B11" s="198">
        <v>1</v>
      </c>
      <c r="C11" s="199" t="s">
        <v>450</v>
      </c>
      <c r="D11" s="200">
        <v>2.6287421636549389E-3</v>
      </c>
      <c r="E11" s="201">
        <v>30</v>
      </c>
    </row>
    <row r="12" spans="1:5">
      <c r="A12" s="186" t="s">
        <v>636</v>
      </c>
      <c r="B12" s="198">
        <v>0.5</v>
      </c>
      <c r="C12" s="199" t="s">
        <v>450</v>
      </c>
      <c r="D12" s="200">
        <v>2.5933444148292808E-3</v>
      </c>
      <c r="E12" s="201">
        <v>31</v>
      </c>
    </row>
    <row r="13" spans="1:5">
      <c r="A13" s="186" t="s">
        <v>637</v>
      </c>
      <c r="B13" s="198">
        <v>0.5</v>
      </c>
      <c r="C13" s="199" t="s">
        <v>450</v>
      </c>
      <c r="D13" s="200">
        <v>1.4345886959187619E-3</v>
      </c>
      <c r="E13" s="201">
        <v>32</v>
      </c>
    </row>
    <row r="14" spans="1:5">
      <c r="A14" s="186" t="s">
        <v>638</v>
      </c>
      <c r="B14" s="198">
        <v>0.5</v>
      </c>
      <c r="C14" s="199" t="s">
        <v>450</v>
      </c>
      <c r="D14" s="200">
        <v>1.9438753381924195E-3</v>
      </c>
      <c r="E14" s="201">
        <v>33</v>
      </c>
    </row>
    <row r="15" spans="1:5">
      <c r="A15" s="186" t="s">
        <v>593</v>
      </c>
      <c r="B15" s="198">
        <v>0.33</v>
      </c>
      <c r="C15" s="199" t="s">
        <v>450</v>
      </c>
      <c r="D15" s="200">
        <v>2.1425608201303199E-3</v>
      </c>
      <c r="E15" s="201">
        <v>34</v>
      </c>
    </row>
    <row r="16" spans="1:5">
      <c r="A16" s="186" t="s">
        <v>594</v>
      </c>
      <c r="B16" s="198">
        <v>0.2</v>
      </c>
      <c r="C16" s="54" t="s">
        <v>437</v>
      </c>
      <c r="D16" s="200">
        <v>9.6325970887372572E-4</v>
      </c>
      <c r="E16" s="201">
        <v>97</v>
      </c>
    </row>
    <row r="17" spans="1:5">
      <c r="A17" s="186" t="s">
        <v>595</v>
      </c>
      <c r="B17" s="198">
        <v>0.2</v>
      </c>
      <c r="C17" s="54" t="s">
        <v>437</v>
      </c>
      <c r="D17" s="200">
        <v>2.7737626986361824E-4</v>
      </c>
      <c r="E17" s="201">
        <v>98</v>
      </c>
    </row>
    <row r="18" spans="1:5">
      <c r="A18" s="186" t="s">
        <v>596</v>
      </c>
      <c r="B18" s="198">
        <v>1</v>
      </c>
      <c r="C18" s="199" t="s">
        <v>432</v>
      </c>
      <c r="D18" s="200">
        <v>1.3284566912217625E-3</v>
      </c>
      <c r="E18" s="201">
        <v>95</v>
      </c>
    </row>
    <row r="19" spans="1:5">
      <c r="A19" s="186" t="s">
        <v>597</v>
      </c>
      <c r="B19" s="198">
        <v>0.25</v>
      </c>
      <c r="C19" s="199" t="s">
        <v>432</v>
      </c>
      <c r="D19" s="200">
        <v>9.5007435364506784E-4</v>
      </c>
      <c r="E19" s="201">
        <v>96</v>
      </c>
    </row>
    <row r="20" spans="1:5">
      <c r="A20" s="186" t="s">
        <v>598</v>
      </c>
      <c r="B20" s="198">
        <v>0.33</v>
      </c>
      <c r="C20" s="54" t="s">
        <v>430</v>
      </c>
      <c r="D20" s="200">
        <v>9.3607693241393912E-4</v>
      </c>
      <c r="E20" s="203">
        <v>50</v>
      </c>
    </row>
    <row r="21" spans="1:5">
      <c r="A21" s="186" t="s">
        <v>639</v>
      </c>
      <c r="B21" s="198">
        <v>0.5</v>
      </c>
      <c r="C21" s="54" t="s">
        <v>430</v>
      </c>
      <c r="D21" s="200">
        <v>2.2240564815789012E-3</v>
      </c>
      <c r="E21" s="203">
        <v>51</v>
      </c>
    </row>
    <row r="22" spans="1:5">
      <c r="A22" s="186" t="s">
        <v>640</v>
      </c>
      <c r="B22" s="198">
        <v>0.5</v>
      </c>
      <c r="C22" s="54" t="s">
        <v>430</v>
      </c>
      <c r="D22" s="200">
        <v>2.5837294553731761E-3</v>
      </c>
      <c r="E22" s="203">
        <v>52</v>
      </c>
    </row>
    <row r="23" spans="1:5">
      <c r="A23" s="186" t="s">
        <v>641</v>
      </c>
      <c r="B23" s="198">
        <v>0.33</v>
      </c>
      <c r="C23" s="54" t="s">
        <v>430</v>
      </c>
      <c r="D23" s="200">
        <v>2.0624088033343946E-3</v>
      </c>
      <c r="E23" s="203">
        <v>53</v>
      </c>
    </row>
    <row r="24" spans="1:5">
      <c r="A24" s="186" t="s">
        <v>642</v>
      </c>
      <c r="B24" s="198">
        <v>0.25</v>
      </c>
      <c r="C24" s="54" t="s">
        <v>430</v>
      </c>
      <c r="D24" s="200">
        <v>2.6670488970294186E-3</v>
      </c>
      <c r="E24" s="203">
        <v>54</v>
      </c>
    </row>
    <row r="25" spans="1:5">
      <c r="A25" s="186" t="s">
        <v>643</v>
      </c>
      <c r="B25" s="198">
        <v>0.2</v>
      </c>
      <c r="C25" s="54" t="s">
        <v>430</v>
      </c>
      <c r="D25" s="200">
        <v>8.950118692693771E-4</v>
      </c>
      <c r="E25" s="203">
        <v>55</v>
      </c>
    </row>
    <row r="26" spans="1:5">
      <c r="A26" s="186" t="s">
        <v>644</v>
      </c>
      <c r="B26" s="198">
        <v>0.25</v>
      </c>
      <c r="C26" s="54" t="s">
        <v>430</v>
      </c>
      <c r="D26" s="200">
        <v>3.59620918281296E-3</v>
      </c>
      <c r="E26" s="203">
        <v>56</v>
      </c>
    </row>
    <row r="27" spans="1:5">
      <c r="A27" s="186" t="s">
        <v>645</v>
      </c>
      <c r="B27" s="198">
        <v>0.5</v>
      </c>
      <c r="C27" s="54" t="s">
        <v>430</v>
      </c>
      <c r="D27" s="200">
        <v>7.6197022645128013E-3</v>
      </c>
      <c r="E27" s="203">
        <v>57</v>
      </c>
    </row>
    <row r="28" spans="1:5">
      <c r="A28" s="186" t="s">
        <v>646</v>
      </c>
      <c r="B28" s="198">
        <v>0.33</v>
      </c>
      <c r="C28" s="54" t="s">
        <v>430</v>
      </c>
      <c r="D28" s="200">
        <v>1.6788149127653716E-2</v>
      </c>
      <c r="E28" s="203">
        <v>58</v>
      </c>
    </row>
    <row r="29" spans="1:5">
      <c r="A29" s="186" t="s">
        <v>647</v>
      </c>
      <c r="B29" s="198">
        <v>0.5</v>
      </c>
      <c r="C29" s="54" t="s">
        <v>430</v>
      </c>
      <c r="D29" s="200">
        <v>4.7493000370757736E-3</v>
      </c>
      <c r="E29" s="203">
        <v>59</v>
      </c>
    </row>
    <row r="30" spans="1:5">
      <c r="A30" s="186" t="s">
        <v>648</v>
      </c>
      <c r="B30" s="198">
        <v>0.33</v>
      </c>
      <c r="C30" s="54" t="s">
        <v>430</v>
      </c>
      <c r="D30" s="200">
        <v>5.0427057304300972E-3</v>
      </c>
      <c r="E30" s="203">
        <v>60</v>
      </c>
    </row>
    <row r="31" spans="1:5">
      <c r="A31" s="186" t="s">
        <v>649</v>
      </c>
      <c r="B31" s="198">
        <v>0.33</v>
      </c>
      <c r="C31" s="199" t="s">
        <v>425</v>
      </c>
      <c r="D31" s="200">
        <v>2.0624088033343946E-3</v>
      </c>
      <c r="E31" s="203">
        <v>53</v>
      </c>
    </row>
    <row r="32" spans="1:5">
      <c r="A32" s="186" t="s">
        <v>650</v>
      </c>
      <c r="B32" s="198">
        <v>0.25</v>
      </c>
      <c r="C32" s="199" t="s">
        <v>425</v>
      </c>
      <c r="D32" s="200">
        <v>2.6670488970294186E-3</v>
      </c>
      <c r="E32" s="203">
        <v>54</v>
      </c>
    </row>
    <row r="33" spans="1:5">
      <c r="A33" s="186" t="s">
        <v>651</v>
      </c>
      <c r="B33" s="198">
        <v>0.2</v>
      </c>
      <c r="C33" s="199" t="s">
        <v>425</v>
      </c>
      <c r="D33" s="200">
        <v>8.950118692693771E-4</v>
      </c>
      <c r="E33" s="203">
        <v>55</v>
      </c>
    </row>
    <row r="34" spans="1:5">
      <c r="A34" s="186" t="s">
        <v>652</v>
      </c>
      <c r="B34" s="198">
        <v>0.33</v>
      </c>
      <c r="C34" s="199" t="s">
        <v>425</v>
      </c>
      <c r="D34" s="200">
        <v>6.3030284917582656E-4</v>
      </c>
      <c r="E34" s="203">
        <v>48</v>
      </c>
    </row>
    <row r="35" spans="1:5">
      <c r="A35" s="186" t="s">
        <v>653</v>
      </c>
      <c r="B35" s="198">
        <v>0.33</v>
      </c>
      <c r="C35" s="199" t="s">
        <v>425</v>
      </c>
      <c r="D35" s="200">
        <v>4.1792627739023307E-3</v>
      </c>
      <c r="E35" s="203">
        <v>49</v>
      </c>
    </row>
    <row r="36" spans="1:5">
      <c r="A36" s="186" t="s">
        <v>599</v>
      </c>
      <c r="B36" s="198">
        <v>0.33</v>
      </c>
      <c r="C36" s="199" t="s">
        <v>425</v>
      </c>
      <c r="D36" s="200">
        <v>9.3607693241393912E-4</v>
      </c>
      <c r="E36" s="203">
        <v>50</v>
      </c>
    </row>
    <row r="37" spans="1:5">
      <c r="A37" s="186" t="s">
        <v>600</v>
      </c>
      <c r="B37" s="198">
        <v>1</v>
      </c>
      <c r="C37" s="54" t="s">
        <v>436</v>
      </c>
      <c r="D37" s="200">
        <v>2.0521997986125307E-2</v>
      </c>
      <c r="E37" s="203">
        <v>94</v>
      </c>
    </row>
    <row r="38" spans="1:5">
      <c r="A38" s="186" t="s">
        <v>654</v>
      </c>
      <c r="B38" s="198">
        <v>0.25</v>
      </c>
      <c r="C38" s="54" t="s">
        <v>436</v>
      </c>
      <c r="D38" s="200">
        <v>9.5007435364506784E-4</v>
      </c>
      <c r="E38" s="203">
        <v>96</v>
      </c>
    </row>
    <row r="39" spans="1:5">
      <c r="A39" s="186" t="s">
        <v>655</v>
      </c>
      <c r="B39" s="198">
        <v>0.2</v>
      </c>
      <c r="C39" s="54" t="s">
        <v>436</v>
      </c>
      <c r="D39" s="200">
        <v>9.6325970887372572E-4</v>
      </c>
      <c r="E39" s="203">
        <v>97</v>
      </c>
    </row>
    <row r="40" spans="1:5">
      <c r="A40" s="186" t="s">
        <v>656</v>
      </c>
      <c r="B40" s="198">
        <v>1</v>
      </c>
      <c r="C40" s="199" t="s">
        <v>657</v>
      </c>
      <c r="D40" s="200">
        <v>2.7502458551257104E-3</v>
      </c>
      <c r="E40" s="203">
        <v>69</v>
      </c>
    </row>
    <row r="41" spans="1:5">
      <c r="A41" s="186" t="s">
        <v>658</v>
      </c>
      <c r="B41" s="198">
        <v>1</v>
      </c>
      <c r="C41" s="199" t="s">
        <v>657</v>
      </c>
      <c r="D41" s="200">
        <v>7.8781425760080914E-3</v>
      </c>
      <c r="E41" s="203">
        <v>70</v>
      </c>
    </row>
    <row r="42" spans="1:5">
      <c r="A42" s="186" t="s">
        <v>659</v>
      </c>
      <c r="B42" s="198">
        <v>1</v>
      </c>
      <c r="C42" s="199" t="s">
        <v>657</v>
      </c>
      <c r="D42" s="200">
        <v>1.8292797195028489E-2</v>
      </c>
      <c r="E42" s="203">
        <v>71</v>
      </c>
    </row>
    <row r="43" spans="1:5">
      <c r="A43" s="186" t="s">
        <v>601</v>
      </c>
      <c r="B43" s="198">
        <v>0.5</v>
      </c>
      <c r="C43" s="199" t="s">
        <v>657</v>
      </c>
      <c r="D43" s="200">
        <v>6.0141265189033169E-3</v>
      </c>
      <c r="E43" s="203">
        <v>72</v>
      </c>
    </row>
    <row r="44" spans="1:5">
      <c r="A44" s="186" t="s">
        <v>602</v>
      </c>
      <c r="B44" s="198">
        <v>0.5</v>
      </c>
      <c r="C44" s="54" t="s">
        <v>660</v>
      </c>
      <c r="D44" s="200">
        <v>9.6925527913329645E-3</v>
      </c>
      <c r="E44" s="203">
        <v>64</v>
      </c>
    </row>
    <row r="45" spans="1:5">
      <c r="A45" s="186" t="s">
        <v>661</v>
      </c>
      <c r="B45" s="198">
        <v>0.5</v>
      </c>
      <c r="C45" s="54" t="s">
        <v>660</v>
      </c>
      <c r="D45" s="200">
        <v>2.5904844237044394E-2</v>
      </c>
      <c r="E45" s="203">
        <v>65</v>
      </c>
    </row>
    <row r="46" spans="1:5">
      <c r="A46" s="186" t="s">
        <v>662</v>
      </c>
      <c r="B46" s="198">
        <v>0.5</v>
      </c>
      <c r="C46" s="54" t="s">
        <v>660</v>
      </c>
      <c r="D46" s="200">
        <v>0.1189342313501326</v>
      </c>
      <c r="E46" s="203">
        <v>66</v>
      </c>
    </row>
    <row r="47" spans="1:5">
      <c r="A47" s="186" t="s">
        <v>663</v>
      </c>
      <c r="B47" s="198">
        <v>0.5</v>
      </c>
      <c r="C47" s="54" t="s">
        <v>660</v>
      </c>
      <c r="D47" s="200">
        <v>6.0141265189033169E-3</v>
      </c>
      <c r="E47" s="203">
        <v>72</v>
      </c>
    </row>
    <row r="48" spans="1:5">
      <c r="A48" s="186" t="s">
        <v>664</v>
      </c>
      <c r="B48" s="198">
        <v>1</v>
      </c>
      <c r="C48" s="54" t="s">
        <v>660</v>
      </c>
      <c r="D48" s="200">
        <v>1.9242534718883694E-2</v>
      </c>
      <c r="E48" s="203">
        <v>73</v>
      </c>
    </row>
    <row r="49" spans="1:5">
      <c r="A49" s="186" t="s">
        <v>665</v>
      </c>
      <c r="B49" s="198">
        <v>1</v>
      </c>
      <c r="C49" s="54" t="s">
        <v>660</v>
      </c>
      <c r="D49" s="200">
        <v>6.1870120637732701E-3</v>
      </c>
      <c r="E49" s="203">
        <v>74</v>
      </c>
    </row>
    <row r="50" spans="1:5">
      <c r="A50" s="186" t="s">
        <v>666</v>
      </c>
      <c r="B50" s="198">
        <v>1</v>
      </c>
      <c r="C50" s="54" t="s">
        <v>660</v>
      </c>
      <c r="D50" s="200">
        <v>1.5698717878839509E-2</v>
      </c>
      <c r="E50" s="203">
        <v>75</v>
      </c>
    </row>
    <row r="51" spans="1:5">
      <c r="A51" s="186" t="s">
        <v>667</v>
      </c>
      <c r="B51" s="198">
        <v>1</v>
      </c>
      <c r="C51" s="54" t="s">
        <v>660</v>
      </c>
      <c r="D51" s="200">
        <v>3.9671200232326816E-3</v>
      </c>
      <c r="E51" s="203">
        <v>76</v>
      </c>
    </row>
    <row r="52" spans="1:5">
      <c r="A52" s="186" t="s">
        <v>668</v>
      </c>
      <c r="B52" s="198">
        <v>1</v>
      </c>
      <c r="C52" s="54" t="s">
        <v>660</v>
      </c>
      <c r="D52" s="200">
        <v>5.1292440400418351E-3</v>
      </c>
      <c r="E52" s="203">
        <v>77</v>
      </c>
    </row>
    <row r="53" spans="1:5">
      <c r="A53" s="186" t="s">
        <v>669</v>
      </c>
      <c r="B53" s="198">
        <v>0.5</v>
      </c>
      <c r="C53" s="199" t="s">
        <v>448</v>
      </c>
      <c r="D53" s="200">
        <v>1.915949086523734E-3</v>
      </c>
      <c r="E53" s="203">
        <v>91</v>
      </c>
    </row>
    <row r="54" spans="1:5">
      <c r="A54" s="186" t="s">
        <v>670</v>
      </c>
      <c r="B54" s="198">
        <v>0.5</v>
      </c>
      <c r="C54" s="199" t="s">
        <v>448</v>
      </c>
      <c r="D54" s="200">
        <v>1.5183674509248182E-3</v>
      </c>
      <c r="E54" s="203">
        <v>92</v>
      </c>
    </row>
    <row r="55" spans="1:5">
      <c r="A55" s="186" t="s">
        <v>603</v>
      </c>
      <c r="B55" s="198">
        <v>0.09</v>
      </c>
      <c r="C55" s="199" t="s">
        <v>448</v>
      </c>
      <c r="D55" s="200">
        <v>4.9121909234537764E-4</v>
      </c>
      <c r="E55" s="204">
        <v>99</v>
      </c>
    </row>
    <row r="56" spans="1:5">
      <c r="A56" s="186" t="s">
        <v>604</v>
      </c>
      <c r="B56" s="198">
        <v>0.09</v>
      </c>
      <c r="C56" s="54" t="s">
        <v>441</v>
      </c>
      <c r="D56" s="200">
        <v>4.9121909234537764E-4</v>
      </c>
      <c r="E56" s="204">
        <v>99</v>
      </c>
    </row>
    <row r="57" spans="1:5">
      <c r="A57" s="186" t="s">
        <v>605</v>
      </c>
      <c r="B57" s="198">
        <v>1</v>
      </c>
      <c r="C57" s="199" t="s">
        <v>414</v>
      </c>
      <c r="D57" s="200">
        <v>2.7356703114916159E-3</v>
      </c>
      <c r="E57" s="203">
        <v>41</v>
      </c>
    </row>
    <row r="58" spans="1:5">
      <c r="A58" s="186" t="s">
        <v>671</v>
      </c>
      <c r="B58" s="198">
        <v>1</v>
      </c>
      <c r="C58" s="199" t="s">
        <v>414</v>
      </c>
      <c r="D58" s="200">
        <v>3.7585305206371939E-3</v>
      </c>
      <c r="E58" s="203">
        <v>42</v>
      </c>
    </row>
    <row r="59" spans="1:5">
      <c r="A59" s="186" t="s">
        <v>672</v>
      </c>
      <c r="B59" s="198">
        <v>1</v>
      </c>
      <c r="C59" s="199" t="s">
        <v>414</v>
      </c>
      <c r="D59" s="200">
        <v>1.9759415341874274E-2</v>
      </c>
      <c r="E59" s="203">
        <v>43</v>
      </c>
    </row>
    <row r="60" spans="1:5">
      <c r="A60" s="186" t="s">
        <v>673</v>
      </c>
      <c r="B60" s="198">
        <v>1</v>
      </c>
      <c r="C60" s="199" t="s">
        <v>414</v>
      </c>
      <c r="D60" s="200">
        <v>2.2655784084020781E-3</v>
      </c>
      <c r="E60" s="203">
        <v>44</v>
      </c>
    </row>
    <row r="61" spans="1:5">
      <c r="A61" s="186" t="s">
        <v>674</v>
      </c>
      <c r="B61" s="198">
        <v>1</v>
      </c>
      <c r="C61" s="199" t="s">
        <v>414</v>
      </c>
      <c r="D61" s="200">
        <v>6.1750086748981331E-3</v>
      </c>
      <c r="E61" s="203">
        <v>45</v>
      </c>
    </row>
    <row r="62" spans="1:5">
      <c r="A62" s="186" t="s">
        <v>675</v>
      </c>
      <c r="B62" s="198">
        <v>0.5</v>
      </c>
      <c r="C62" s="199" t="s">
        <v>414</v>
      </c>
      <c r="D62" s="200">
        <v>3.571253157473071E-3</v>
      </c>
      <c r="E62" s="203">
        <v>46</v>
      </c>
    </row>
    <row r="63" spans="1:5">
      <c r="A63" s="186" t="s">
        <v>676</v>
      </c>
      <c r="B63" s="198">
        <v>0.5</v>
      </c>
      <c r="C63" s="199" t="s">
        <v>414</v>
      </c>
      <c r="D63" s="200">
        <v>5.4080166224888876E-3</v>
      </c>
      <c r="E63" s="203">
        <v>47</v>
      </c>
    </row>
    <row r="64" spans="1:5">
      <c r="A64" s="186" t="s">
        <v>677</v>
      </c>
      <c r="B64" s="198">
        <v>0.33</v>
      </c>
      <c r="C64" s="199" t="s">
        <v>414</v>
      </c>
      <c r="D64" s="200">
        <v>6.3030284917582656E-4</v>
      </c>
      <c r="E64" s="203">
        <v>48</v>
      </c>
    </row>
    <row r="65" spans="1:5">
      <c r="A65" s="186" t="s">
        <v>678</v>
      </c>
      <c r="B65" s="198">
        <v>0.33</v>
      </c>
      <c r="C65" s="199" t="s">
        <v>414</v>
      </c>
      <c r="D65" s="200">
        <v>4.1792627739023307E-3</v>
      </c>
      <c r="E65" s="203">
        <v>49</v>
      </c>
    </row>
    <row r="66" spans="1:5">
      <c r="A66" s="186" t="s">
        <v>606</v>
      </c>
      <c r="B66" s="198">
        <v>0.33</v>
      </c>
      <c r="C66" s="54" t="s">
        <v>433</v>
      </c>
      <c r="D66" s="200">
        <v>5.0427057304300972E-3</v>
      </c>
      <c r="E66" s="203">
        <v>60</v>
      </c>
    </row>
    <row r="67" spans="1:5">
      <c r="A67" s="186" t="s">
        <v>679</v>
      </c>
      <c r="B67" s="198">
        <v>1</v>
      </c>
      <c r="C67" s="54" t="s">
        <v>433</v>
      </c>
      <c r="D67" s="200">
        <v>8.1512809146974275E-3</v>
      </c>
      <c r="E67" s="203">
        <v>61</v>
      </c>
    </row>
    <row r="68" spans="1:5">
      <c r="A68" s="186" t="s">
        <v>680</v>
      </c>
      <c r="B68" s="198">
        <v>1</v>
      </c>
      <c r="C68" s="54" t="s">
        <v>433</v>
      </c>
      <c r="D68" s="200">
        <v>6.1774583460971408E-3</v>
      </c>
      <c r="E68" s="203">
        <v>62</v>
      </c>
    </row>
    <row r="69" spans="1:5">
      <c r="A69" s="186" t="s">
        <v>681</v>
      </c>
      <c r="B69" s="198">
        <v>1</v>
      </c>
      <c r="C69" s="54" t="s">
        <v>433</v>
      </c>
      <c r="D69" s="200">
        <v>6.4421453191499008E-3</v>
      </c>
      <c r="E69" s="203">
        <v>63</v>
      </c>
    </row>
    <row r="70" spans="1:5">
      <c r="A70" s="186" t="s">
        <v>682</v>
      </c>
      <c r="B70" s="198">
        <v>0.5</v>
      </c>
      <c r="C70" s="54" t="s">
        <v>433</v>
      </c>
      <c r="D70" s="200">
        <v>9.6925527913329645E-3</v>
      </c>
      <c r="E70" s="203">
        <v>64</v>
      </c>
    </row>
    <row r="71" spans="1:5">
      <c r="A71" s="186" t="s">
        <v>683</v>
      </c>
      <c r="B71" s="198">
        <v>0.5</v>
      </c>
      <c r="C71" s="54" t="s">
        <v>433</v>
      </c>
      <c r="D71" s="200">
        <v>2.5904844237044394E-2</v>
      </c>
      <c r="E71" s="203">
        <v>65</v>
      </c>
    </row>
    <row r="72" spans="1:5">
      <c r="A72" s="186" t="s">
        <v>684</v>
      </c>
      <c r="B72" s="198">
        <v>0.5</v>
      </c>
      <c r="C72" s="54" t="s">
        <v>433</v>
      </c>
      <c r="D72" s="200">
        <v>0.1189342313501326</v>
      </c>
      <c r="E72" s="203">
        <v>66</v>
      </c>
    </row>
    <row r="73" spans="1:5">
      <c r="A73" s="186" t="s">
        <v>685</v>
      </c>
      <c r="B73" s="198">
        <v>0.5</v>
      </c>
      <c r="C73" s="54" t="s">
        <v>433</v>
      </c>
      <c r="D73" s="200">
        <v>1.0499474484286033E-2</v>
      </c>
      <c r="E73" s="203">
        <v>67</v>
      </c>
    </row>
    <row r="74" spans="1:5">
      <c r="A74" s="186" t="s">
        <v>686</v>
      </c>
      <c r="B74" s="198">
        <v>0.5</v>
      </c>
      <c r="C74" s="199" t="s">
        <v>687</v>
      </c>
      <c r="D74" s="200">
        <v>9.6212673594418471E-3</v>
      </c>
      <c r="E74" s="203">
        <v>73</v>
      </c>
    </row>
    <row r="75" spans="1:5">
      <c r="A75" s="186" t="s">
        <v>688</v>
      </c>
      <c r="B75" s="198">
        <v>0.5</v>
      </c>
      <c r="C75" s="199" t="s">
        <v>687</v>
      </c>
      <c r="D75" s="200">
        <v>3.093506031886635E-3</v>
      </c>
      <c r="E75" s="203">
        <v>74</v>
      </c>
    </row>
    <row r="76" spans="1:5">
      <c r="A76" s="186" t="s">
        <v>689</v>
      </c>
      <c r="B76" s="198">
        <v>0.5</v>
      </c>
      <c r="C76" s="199" t="s">
        <v>687</v>
      </c>
      <c r="D76" s="200">
        <v>7.8493589394197545E-3</v>
      </c>
      <c r="E76" s="203">
        <v>75</v>
      </c>
    </row>
    <row r="77" spans="1:5">
      <c r="A77" s="186" t="s">
        <v>690</v>
      </c>
      <c r="B77" s="198">
        <v>0.5</v>
      </c>
      <c r="C77" s="199" t="s">
        <v>687</v>
      </c>
      <c r="D77" s="200">
        <v>1.9835600116163408E-3</v>
      </c>
      <c r="E77" s="203">
        <v>76</v>
      </c>
    </row>
    <row r="78" spans="1:5">
      <c r="A78" s="186" t="s">
        <v>691</v>
      </c>
      <c r="B78" s="198">
        <v>0.5</v>
      </c>
      <c r="C78" s="199" t="s">
        <v>687</v>
      </c>
      <c r="D78" s="200">
        <v>2.5646220200209176E-3</v>
      </c>
      <c r="E78" s="203">
        <v>77</v>
      </c>
    </row>
    <row r="79" spans="1:5">
      <c r="A79" s="186" t="s">
        <v>607</v>
      </c>
      <c r="B79" s="198">
        <v>1</v>
      </c>
      <c r="C79" s="199" t="s">
        <v>687</v>
      </c>
      <c r="D79" s="200">
        <v>5.6222403688420929E-3</v>
      </c>
      <c r="E79" s="203">
        <v>78</v>
      </c>
    </row>
    <row r="80" spans="1:5">
      <c r="A80" s="186" t="s">
        <v>692</v>
      </c>
      <c r="B80" s="198">
        <v>1</v>
      </c>
      <c r="C80" s="199" t="s">
        <v>687</v>
      </c>
      <c r="D80" s="200">
        <v>4.3166881033310503E-3</v>
      </c>
      <c r="E80" s="203">
        <v>79</v>
      </c>
    </row>
    <row r="81" spans="1:5">
      <c r="A81" s="186" t="s">
        <v>693</v>
      </c>
      <c r="B81" s="198">
        <v>1</v>
      </c>
      <c r="C81" s="199" t="s">
        <v>687</v>
      </c>
      <c r="D81" s="200">
        <v>2.7965446407869519E-3</v>
      </c>
      <c r="E81" s="203">
        <v>80</v>
      </c>
    </row>
    <row r="82" spans="1:5">
      <c r="A82" s="186" t="s">
        <v>694</v>
      </c>
      <c r="B82" s="198">
        <v>1</v>
      </c>
      <c r="C82" s="199" t="s">
        <v>687</v>
      </c>
      <c r="D82" s="200">
        <v>3.3835471018491221E-2</v>
      </c>
      <c r="E82" s="203">
        <v>81</v>
      </c>
    </row>
    <row r="83" spans="1:5">
      <c r="A83" s="186" t="s">
        <v>695</v>
      </c>
      <c r="B83" s="198">
        <v>1</v>
      </c>
      <c r="C83" s="199" t="s">
        <v>687</v>
      </c>
      <c r="D83" s="200">
        <v>6.013207892203689E-3</v>
      </c>
      <c r="E83" s="203">
        <v>82</v>
      </c>
    </row>
    <row r="84" spans="1:5">
      <c r="A84" s="186" t="s">
        <v>696</v>
      </c>
      <c r="B84" s="198">
        <v>1</v>
      </c>
      <c r="C84" s="199" t="s">
        <v>687</v>
      </c>
      <c r="D84" s="200">
        <v>2.4719632069184596E-3</v>
      </c>
      <c r="E84" s="203">
        <v>83</v>
      </c>
    </row>
    <row r="85" spans="1:5">
      <c r="A85" s="186" t="s">
        <v>697</v>
      </c>
      <c r="B85" s="198">
        <v>1</v>
      </c>
      <c r="C85" s="199" t="s">
        <v>687</v>
      </c>
      <c r="D85" s="200">
        <v>1.7455132128527879E-3</v>
      </c>
      <c r="E85" s="203">
        <v>84</v>
      </c>
    </row>
    <row r="86" spans="1:5">
      <c r="A86" s="186" t="s">
        <v>698</v>
      </c>
      <c r="B86" s="198">
        <v>0.2</v>
      </c>
      <c r="C86" s="54" t="s">
        <v>429</v>
      </c>
      <c r="D86" s="200">
        <v>8.950118692693771E-4</v>
      </c>
      <c r="E86" s="203">
        <v>55</v>
      </c>
    </row>
    <row r="87" spans="1:5">
      <c r="A87" s="186" t="s">
        <v>699</v>
      </c>
      <c r="B87" s="198">
        <v>0.25</v>
      </c>
      <c r="C87" s="54" t="s">
        <v>429</v>
      </c>
      <c r="D87" s="200">
        <v>3.59620918281296E-3</v>
      </c>
      <c r="E87" s="203">
        <v>56</v>
      </c>
    </row>
    <row r="88" spans="1:5">
      <c r="A88" s="186" t="s">
        <v>700</v>
      </c>
      <c r="B88" s="198">
        <v>0.33</v>
      </c>
      <c r="C88" s="54" t="s">
        <v>429</v>
      </c>
      <c r="D88" s="200">
        <v>1.6788149127653716E-2</v>
      </c>
      <c r="E88" s="203">
        <v>58</v>
      </c>
    </row>
    <row r="89" spans="1:5">
      <c r="A89" s="186" t="s">
        <v>701</v>
      </c>
      <c r="B89" s="198">
        <v>0.5</v>
      </c>
      <c r="C89" s="54" t="s">
        <v>429</v>
      </c>
      <c r="D89" s="200">
        <v>1.0499474484286033E-2</v>
      </c>
      <c r="E89" s="203">
        <v>67</v>
      </c>
    </row>
    <row r="90" spans="1:5">
      <c r="A90" s="186" t="s">
        <v>608</v>
      </c>
      <c r="B90" s="198">
        <v>1</v>
      </c>
      <c r="C90" s="54" t="s">
        <v>429</v>
      </c>
      <c r="D90" s="200">
        <v>3.4136168158169391E-3</v>
      </c>
      <c r="E90" s="203">
        <v>68</v>
      </c>
    </row>
    <row r="91" spans="1:5">
      <c r="A91" s="186" t="s">
        <v>609</v>
      </c>
      <c r="B91" s="198">
        <v>0.2</v>
      </c>
      <c r="C91" s="54" t="s">
        <v>421</v>
      </c>
      <c r="D91" s="200">
        <v>2.7737626986361824E-4</v>
      </c>
      <c r="E91" s="203">
        <v>98</v>
      </c>
    </row>
    <row r="92" spans="1:5">
      <c r="A92" s="186" t="s">
        <v>610</v>
      </c>
      <c r="B92" s="198">
        <v>0.33</v>
      </c>
      <c r="C92" s="199" t="s">
        <v>451</v>
      </c>
      <c r="D92" s="200">
        <v>9.3607693241393912E-4</v>
      </c>
      <c r="E92" s="203">
        <v>50</v>
      </c>
    </row>
    <row r="93" spans="1:5">
      <c r="A93" s="186" t="s">
        <v>702</v>
      </c>
      <c r="B93" s="198">
        <v>0.5</v>
      </c>
      <c r="C93" s="199" t="s">
        <v>451</v>
      </c>
      <c r="D93" s="200">
        <v>2.2240564815789012E-3</v>
      </c>
      <c r="E93" s="203">
        <v>51</v>
      </c>
    </row>
    <row r="94" spans="1:5">
      <c r="A94" s="186" t="s">
        <v>703</v>
      </c>
      <c r="B94" s="198">
        <v>0.5</v>
      </c>
      <c r="C94" s="199" t="s">
        <v>451</v>
      </c>
      <c r="D94" s="200">
        <v>2.5837294553731761E-3</v>
      </c>
      <c r="E94" s="203">
        <v>52</v>
      </c>
    </row>
    <row r="95" spans="1:5">
      <c r="A95" s="186" t="s">
        <v>704</v>
      </c>
      <c r="B95" s="198">
        <v>0.33</v>
      </c>
      <c r="C95" s="199" t="s">
        <v>451</v>
      </c>
      <c r="D95" s="200">
        <v>2.0624088033343946E-3</v>
      </c>
      <c r="E95" s="203">
        <v>53</v>
      </c>
    </row>
    <row r="96" spans="1:5">
      <c r="A96" s="186" t="s">
        <v>705</v>
      </c>
      <c r="B96" s="198">
        <v>0.25</v>
      </c>
      <c r="C96" s="199" t="s">
        <v>451</v>
      </c>
      <c r="D96" s="200">
        <v>2.6670488970294186E-3</v>
      </c>
      <c r="E96" s="203">
        <v>54</v>
      </c>
    </row>
    <row r="97" spans="1:5">
      <c r="A97" s="186" t="s">
        <v>706</v>
      </c>
      <c r="B97" s="198">
        <v>0.2</v>
      </c>
      <c r="C97" s="199" t="s">
        <v>451</v>
      </c>
      <c r="D97" s="200">
        <v>8.950118692693771E-4</v>
      </c>
      <c r="E97" s="203">
        <v>55</v>
      </c>
    </row>
    <row r="98" spans="1:5">
      <c r="A98" s="186" t="s">
        <v>707</v>
      </c>
      <c r="B98" s="198">
        <v>0.25</v>
      </c>
      <c r="C98" s="199" t="s">
        <v>451</v>
      </c>
      <c r="D98" s="200">
        <v>3.59620918281296E-3</v>
      </c>
      <c r="E98" s="203">
        <v>56</v>
      </c>
    </row>
    <row r="99" spans="1:5">
      <c r="A99" s="186" t="s">
        <v>708</v>
      </c>
      <c r="B99" s="198">
        <v>0.5</v>
      </c>
      <c r="C99" s="199" t="s">
        <v>451</v>
      </c>
      <c r="D99" s="200">
        <v>7.6197022645128013E-3</v>
      </c>
      <c r="E99" s="203">
        <v>57</v>
      </c>
    </row>
    <row r="100" spans="1:5">
      <c r="A100" s="186" t="s">
        <v>709</v>
      </c>
      <c r="B100" s="198">
        <v>0.33</v>
      </c>
      <c r="C100" s="199" t="s">
        <v>451</v>
      </c>
      <c r="D100" s="200">
        <v>1.6788149127653716E-2</v>
      </c>
      <c r="E100" s="203">
        <v>58</v>
      </c>
    </row>
    <row r="101" spans="1:5">
      <c r="A101" s="186" t="s">
        <v>710</v>
      </c>
      <c r="B101" s="198">
        <v>0.5</v>
      </c>
      <c r="C101" s="199" t="s">
        <v>451</v>
      </c>
      <c r="D101" s="200">
        <v>4.7493000370757736E-3</v>
      </c>
      <c r="E101" s="203">
        <v>59</v>
      </c>
    </row>
    <row r="102" spans="1:5">
      <c r="A102" s="186" t="s">
        <v>711</v>
      </c>
      <c r="B102" s="198">
        <v>0.33</v>
      </c>
      <c r="C102" s="199" t="s">
        <v>451</v>
      </c>
      <c r="D102" s="200">
        <v>5.0427057304300972E-3</v>
      </c>
      <c r="E102" s="203">
        <v>60</v>
      </c>
    </row>
    <row r="103" spans="1:5">
      <c r="A103" s="186" t="s">
        <v>712</v>
      </c>
      <c r="B103" s="198">
        <v>0.5</v>
      </c>
      <c r="C103" s="199" t="s">
        <v>426</v>
      </c>
      <c r="D103" s="200">
        <v>2.6630988022210188E-3</v>
      </c>
      <c r="E103" s="203">
        <v>22</v>
      </c>
    </row>
    <row r="104" spans="1:5">
      <c r="A104" s="186" t="s">
        <v>713</v>
      </c>
      <c r="B104" s="198">
        <v>0.5</v>
      </c>
      <c r="C104" s="199" t="s">
        <v>426</v>
      </c>
      <c r="D104" s="200">
        <v>3.4890483162123773E-2</v>
      </c>
      <c r="E104" s="203">
        <v>23</v>
      </c>
    </row>
    <row r="105" spans="1:5">
      <c r="A105" s="186" t="s">
        <v>714</v>
      </c>
      <c r="B105" s="198">
        <v>0.33</v>
      </c>
      <c r="C105" s="199" t="s">
        <v>426</v>
      </c>
      <c r="D105" s="200">
        <v>2.1425608201303199E-3</v>
      </c>
      <c r="E105" s="203">
        <v>34</v>
      </c>
    </row>
    <row r="106" spans="1:5">
      <c r="A106" s="186" t="s">
        <v>715</v>
      </c>
      <c r="B106" s="198">
        <v>1</v>
      </c>
      <c r="C106" s="199" t="s">
        <v>426</v>
      </c>
      <c r="D106" s="200">
        <v>6.0444411999910344E-3</v>
      </c>
      <c r="E106" s="203">
        <v>36</v>
      </c>
    </row>
    <row r="107" spans="1:5">
      <c r="A107" s="186" t="s">
        <v>716</v>
      </c>
      <c r="B107" s="198">
        <v>1</v>
      </c>
      <c r="C107" s="199" t="s">
        <v>426</v>
      </c>
      <c r="D107" s="200">
        <v>1.5136518338667289E-3</v>
      </c>
      <c r="E107" s="203">
        <v>35</v>
      </c>
    </row>
    <row r="108" spans="1:5">
      <c r="A108" s="186" t="s">
        <v>611</v>
      </c>
      <c r="B108" s="198">
        <v>1</v>
      </c>
      <c r="C108" s="199" t="s">
        <v>426</v>
      </c>
      <c r="D108" s="200">
        <v>1.874365917920582E-2</v>
      </c>
      <c r="E108" s="203">
        <v>37</v>
      </c>
    </row>
    <row r="109" spans="1:5">
      <c r="A109" s="186" t="s">
        <v>612</v>
      </c>
      <c r="B109" s="198">
        <v>0.09</v>
      </c>
      <c r="C109" s="199" t="s">
        <v>443</v>
      </c>
      <c r="D109" s="200">
        <v>4.9121909234537764E-4</v>
      </c>
      <c r="E109" s="205">
        <v>99</v>
      </c>
    </row>
    <row r="110" spans="1:5">
      <c r="A110" s="186" t="s">
        <v>613</v>
      </c>
      <c r="B110" s="198">
        <v>0.09</v>
      </c>
      <c r="C110" s="199" t="s">
        <v>446</v>
      </c>
      <c r="D110" s="200">
        <v>4.9121909234537764E-4</v>
      </c>
      <c r="E110" s="205">
        <v>99</v>
      </c>
    </row>
    <row r="111" spans="1:5">
      <c r="A111" s="186" t="s">
        <v>614</v>
      </c>
      <c r="B111" s="198">
        <v>0.09</v>
      </c>
      <c r="C111" s="199" t="s">
        <v>447</v>
      </c>
      <c r="D111" s="200">
        <v>4.9121909234537764E-4</v>
      </c>
      <c r="E111" s="205">
        <v>99</v>
      </c>
    </row>
    <row r="112" spans="1:5">
      <c r="A112" s="186" t="s">
        <v>615</v>
      </c>
      <c r="B112" s="198">
        <v>1</v>
      </c>
      <c r="C112" s="199" t="s">
        <v>717</v>
      </c>
      <c r="D112" s="200">
        <v>1.9572872880069853E-3</v>
      </c>
      <c r="E112" s="203">
        <v>85</v>
      </c>
    </row>
    <row r="113" spans="1:5">
      <c r="A113" s="186" t="s">
        <v>718</v>
      </c>
      <c r="B113" s="198">
        <v>1</v>
      </c>
      <c r="C113" s="199" t="s">
        <v>717</v>
      </c>
      <c r="D113" s="200">
        <v>5.1852190269391562E-3</v>
      </c>
      <c r="E113" s="203">
        <v>86</v>
      </c>
    </row>
    <row r="114" spans="1:5">
      <c r="A114" s="186" t="s">
        <v>719</v>
      </c>
      <c r="B114" s="198">
        <v>1</v>
      </c>
      <c r="C114" s="199" t="s">
        <v>717</v>
      </c>
      <c r="D114" s="200">
        <v>2.5155673542607928E-3</v>
      </c>
      <c r="E114" s="203">
        <v>87</v>
      </c>
    </row>
    <row r="115" spans="1:5">
      <c r="A115" s="186" t="s">
        <v>720</v>
      </c>
      <c r="B115" s="198">
        <v>1</v>
      </c>
      <c r="C115" s="199" t="s">
        <v>717</v>
      </c>
      <c r="D115" s="200">
        <v>3.0178724336172788E-3</v>
      </c>
      <c r="E115" s="203">
        <v>88</v>
      </c>
    </row>
    <row r="116" spans="1:5">
      <c r="A116" s="186" t="s">
        <v>721</v>
      </c>
      <c r="B116" s="198">
        <v>1</v>
      </c>
      <c r="C116" s="199" t="s">
        <v>717</v>
      </c>
      <c r="D116" s="200">
        <v>5.294474362414891E-3</v>
      </c>
      <c r="E116" s="203">
        <v>89</v>
      </c>
    </row>
    <row r="117" spans="1:5">
      <c r="A117" s="186" t="s">
        <v>722</v>
      </c>
      <c r="B117" s="198">
        <v>1</v>
      </c>
      <c r="C117" s="199" t="s">
        <v>717</v>
      </c>
      <c r="D117" s="200">
        <v>1.8444799292926905E-3</v>
      </c>
      <c r="E117" s="203">
        <v>90</v>
      </c>
    </row>
    <row r="118" spans="1:5">
      <c r="A118" s="186" t="s">
        <v>723</v>
      </c>
      <c r="B118" s="198">
        <v>1</v>
      </c>
      <c r="C118" s="199" t="s">
        <v>415</v>
      </c>
      <c r="D118" s="200">
        <v>8.6742857156855264E-4</v>
      </c>
      <c r="E118" s="203">
        <v>20</v>
      </c>
    </row>
    <row r="119" spans="1:5">
      <c r="A119" s="186" t="s">
        <v>724</v>
      </c>
      <c r="B119" s="198">
        <v>1</v>
      </c>
      <c r="C119" s="199" t="s">
        <v>415</v>
      </c>
      <c r="D119" s="200">
        <v>3.4539139070406122E-3</v>
      </c>
      <c r="E119" s="203">
        <v>21</v>
      </c>
    </row>
    <row r="120" spans="1:5">
      <c r="A120" s="186" t="s">
        <v>725</v>
      </c>
      <c r="B120" s="198">
        <v>0.5</v>
      </c>
      <c r="C120" s="199" t="s">
        <v>415</v>
      </c>
      <c r="D120" s="200">
        <v>2.6630988022210188E-3</v>
      </c>
      <c r="E120" s="203">
        <v>22</v>
      </c>
    </row>
    <row r="121" spans="1:5">
      <c r="A121" s="186" t="s">
        <v>726</v>
      </c>
      <c r="B121" s="198">
        <v>0.5</v>
      </c>
      <c r="C121" s="199" t="s">
        <v>415</v>
      </c>
      <c r="D121" s="200">
        <v>3.4890483162123773E-2</v>
      </c>
      <c r="E121" s="203">
        <v>23</v>
      </c>
    </row>
    <row r="122" spans="1:5">
      <c r="A122" s="186" t="s">
        <v>616</v>
      </c>
      <c r="B122" s="198">
        <v>0.33</v>
      </c>
      <c r="C122" s="199" t="s">
        <v>415</v>
      </c>
      <c r="D122" s="200">
        <v>2.1425608201303199E-3</v>
      </c>
      <c r="E122" s="203">
        <v>34</v>
      </c>
    </row>
    <row r="123" spans="1:5">
      <c r="A123" s="186" t="s">
        <v>617</v>
      </c>
      <c r="B123" s="198">
        <v>0.09</v>
      </c>
      <c r="C123" s="199" t="s">
        <v>439</v>
      </c>
      <c r="D123" s="200">
        <v>4.9121909234537764E-4</v>
      </c>
      <c r="E123" s="204">
        <v>99</v>
      </c>
    </row>
    <row r="124" spans="1:5">
      <c r="A124" s="186" t="s">
        <v>618</v>
      </c>
      <c r="B124" s="198">
        <v>1</v>
      </c>
      <c r="C124" s="54" t="s">
        <v>727</v>
      </c>
      <c r="D124" s="200">
        <v>1.5279824103809226E-3</v>
      </c>
      <c r="E124" s="203">
        <v>1</v>
      </c>
    </row>
    <row r="125" spans="1:5">
      <c r="A125" s="186" t="s">
        <v>728</v>
      </c>
      <c r="B125" s="198">
        <v>1</v>
      </c>
      <c r="C125" s="54" t="s">
        <v>727</v>
      </c>
      <c r="D125" s="200">
        <v>2.1167608830623733E-3</v>
      </c>
      <c r="E125" s="203">
        <v>2</v>
      </c>
    </row>
    <row r="126" spans="1:5">
      <c r="A126" s="186" t="s">
        <v>729</v>
      </c>
      <c r="B126" s="198">
        <v>1</v>
      </c>
      <c r="C126" s="54" t="s">
        <v>727</v>
      </c>
      <c r="D126" s="200">
        <v>2.0965510956705612E-3</v>
      </c>
      <c r="E126" s="203">
        <v>3</v>
      </c>
    </row>
    <row r="127" spans="1:5">
      <c r="A127" s="186" t="s">
        <v>730</v>
      </c>
      <c r="B127" s="198">
        <v>1</v>
      </c>
      <c r="C127" s="54" t="s">
        <v>727</v>
      </c>
      <c r="D127" s="200">
        <v>1.3860239643984386E-3</v>
      </c>
      <c r="E127" s="203">
        <v>4</v>
      </c>
    </row>
    <row r="128" spans="1:5">
      <c r="A128" s="186" t="s">
        <v>731</v>
      </c>
      <c r="B128" s="198">
        <v>1</v>
      </c>
      <c r="C128" s="54" t="s">
        <v>727</v>
      </c>
      <c r="D128" s="200">
        <v>2.1630596687236148E-3</v>
      </c>
      <c r="E128" s="203">
        <v>5</v>
      </c>
    </row>
    <row r="129" spans="1:5">
      <c r="A129" s="186" t="s">
        <v>732</v>
      </c>
      <c r="B129" s="198">
        <v>1</v>
      </c>
      <c r="C129" s="54" t="s">
        <v>727</v>
      </c>
      <c r="D129" s="200">
        <v>1.7712347604423666E-3</v>
      </c>
      <c r="E129" s="203">
        <v>6</v>
      </c>
    </row>
    <row r="130" spans="1:5">
      <c r="A130" s="186" t="s">
        <v>733</v>
      </c>
      <c r="B130" s="198">
        <v>1</v>
      </c>
      <c r="C130" s="54" t="s">
        <v>727</v>
      </c>
      <c r="D130" s="200">
        <v>2.1955178121104641E-3</v>
      </c>
      <c r="E130" s="203">
        <v>7</v>
      </c>
    </row>
    <row r="131" spans="1:5">
      <c r="A131" s="186" t="s">
        <v>734</v>
      </c>
      <c r="B131" s="198">
        <v>1</v>
      </c>
      <c r="C131" s="54" t="s">
        <v>727</v>
      </c>
      <c r="D131" s="200">
        <v>2.6090223105029284E-3</v>
      </c>
      <c r="E131" s="203">
        <v>8</v>
      </c>
    </row>
    <row r="132" spans="1:5">
      <c r="A132" s="186" t="s">
        <v>735</v>
      </c>
      <c r="B132" s="198">
        <v>1</v>
      </c>
      <c r="C132" s="54" t="s">
        <v>727</v>
      </c>
      <c r="D132" s="200">
        <v>2.2304256266963206E-3</v>
      </c>
      <c r="E132" s="203">
        <v>9</v>
      </c>
    </row>
    <row r="133" spans="1:5">
      <c r="A133" s="186" t="s">
        <v>736</v>
      </c>
      <c r="B133" s="198">
        <v>1</v>
      </c>
      <c r="C133" s="54" t="s">
        <v>727</v>
      </c>
      <c r="D133" s="200">
        <v>6.9386936711887193E-3</v>
      </c>
      <c r="E133" s="203">
        <v>10</v>
      </c>
    </row>
    <row r="134" spans="1:5">
      <c r="A134" s="186" t="s">
        <v>737</v>
      </c>
      <c r="B134" s="198">
        <v>1</v>
      </c>
      <c r="C134" s="54" t="s">
        <v>727</v>
      </c>
      <c r="D134" s="200">
        <v>1.0648720702085563E-3</v>
      </c>
      <c r="E134" s="203">
        <v>11</v>
      </c>
    </row>
    <row r="135" spans="1:5">
      <c r="A135" s="186" t="s">
        <v>738</v>
      </c>
      <c r="B135" s="198">
        <v>1</v>
      </c>
      <c r="C135" s="54" t="s">
        <v>727</v>
      </c>
      <c r="D135" s="200">
        <v>4.1592967287948195E-3</v>
      </c>
      <c r="E135" s="203">
        <v>12</v>
      </c>
    </row>
    <row r="136" spans="1:5">
      <c r="A136" s="186" t="s">
        <v>739</v>
      </c>
      <c r="B136" s="198">
        <v>1</v>
      </c>
      <c r="C136" s="54" t="s">
        <v>727</v>
      </c>
      <c r="D136" s="200">
        <v>2.3974932024686318E-3</v>
      </c>
      <c r="E136" s="203">
        <v>13</v>
      </c>
    </row>
    <row r="137" spans="1:5">
      <c r="A137" s="186" t="s">
        <v>740</v>
      </c>
      <c r="B137" s="198">
        <v>1</v>
      </c>
      <c r="C137" s="54" t="s">
        <v>727</v>
      </c>
      <c r="D137" s="200">
        <v>2.5810960588342432E-3</v>
      </c>
      <c r="E137" s="203">
        <v>14</v>
      </c>
    </row>
    <row r="138" spans="1:5">
      <c r="A138" s="186" t="s">
        <v>741</v>
      </c>
      <c r="B138" s="198">
        <v>1</v>
      </c>
      <c r="C138" s="54" t="s">
        <v>727</v>
      </c>
      <c r="D138" s="200">
        <v>1.8995975312703591E-3</v>
      </c>
      <c r="E138" s="203">
        <v>15</v>
      </c>
    </row>
    <row r="139" spans="1:5">
      <c r="A139" s="186" t="s">
        <v>742</v>
      </c>
      <c r="B139" s="198">
        <v>1</v>
      </c>
      <c r="C139" s="54" t="s">
        <v>727</v>
      </c>
      <c r="D139" s="200">
        <v>1.5919188286750183E-3</v>
      </c>
      <c r="E139" s="203">
        <v>16</v>
      </c>
    </row>
    <row r="140" spans="1:5">
      <c r="A140" s="186" t="s">
        <v>743</v>
      </c>
      <c r="B140" s="198">
        <v>1</v>
      </c>
      <c r="C140" s="54" t="s">
        <v>727</v>
      </c>
      <c r="D140" s="200">
        <v>2.1799623999967663E-3</v>
      </c>
      <c r="E140" s="203">
        <v>17</v>
      </c>
    </row>
    <row r="141" spans="1:5">
      <c r="A141" s="186" t="s">
        <v>744</v>
      </c>
      <c r="B141" s="198">
        <v>1</v>
      </c>
      <c r="C141" s="54" t="s">
        <v>727</v>
      </c>
      <c r="D141" s="200">
        <v>2.7801318437536016E-3</v>
      </c>
      <c r="E141" s="203">
        <v>18</v>
      </c>
    </row>
    <row r="142" spans="1:5">
      <c r="A142" s="186" t="s">
        <v>745</v>
      </c>
      <c r="B142" s="198">
        <v>1</v>
      </c>
      <c r="C142" s="54" t="s">
        <v>727</v>
      </c>
      <c r="D142" s="200">
        <v>4.5604303876322959E-3</v>
      </c>
      <c r="E142" s="203">
        <v>19</v>
      </c>
    </row>
    <row r="143" spans="1:5">
      <c r="A143" s="186" t="s">
        <v>746</v>
      </c>
      <c r="B143" s="198">
        <v>0.5</v>
      </c>
      <c r="C143" s="54" t="s">
        <v>727</v>
      </c>
      <c r="D143" s="200">
        <v>2.252778876387264E-3</v>
      </c>
      <c r="E143" s="203">
        <v>26</v>
      </c>
    </row>
    <row r="144" spans="1:5">
      <c r="A144" s="186" t="s">
        <v>747</v>
      </c>
      <c r="B144" s="198">
        <v>0.5</v>
      </c>
      <c r="C144" s="54" t="s">
        <v>727</v>
      </c>
      <c r="D144" s="200">
        <v>1.1712490420254568E-3</v>
      </c>
      <c r="E144" s="203">
        <v>27</v>
      </c>
    </row>
    <row r="145" spans="1:5">
      <c r="A145" s="186" t="s">
        <v>748</v>
      </c>
      <c r="B145" s="198">
        <v>0.5</v>
      </c>
      <c r="C145" s="54" t="s">
        <v>727</v>
      </c>
      <c r="D145" s="200">
        <v>1.0126940736696968E-3</v>
      </c>
      <c r="E145" s="203">
        <v>28</v>
      </c>
    </row>
    <row r="146" spans="1:5">
      <c r="A146" s="186" t="s">
        <v>619</v>
      </c>
      <c r="B146" s="198">
        <v>0.5</v>
      </c>
      <c r="C146" s="54" t="s">
        <v>727</v>
      </c>
      <c r="D146" s="200">
        <v>3.2094367213796647E-3</v>
      </c>
      <c r="E146" s="203">
        <v>29</v>
      </c>
    </row>
    <row r="147" spans="1:5">
      <c r="A147" s="186" t="s">
        <v>620</v>
      </c>
      <c r="B147" s="198">
        <v>0.2</v>
      </c>
      <c r="C147" s="199" t="s">
        <v>431</v>
      </c>
      <c r="D147" s="200">
        <v>9.6325970887372572E-4</v>
      </c>
      <c r="E147" s="203">
        <v>97</v>
      </c>
    </row>
    <row r="148" spans="1:5">
      <c r="A148" s="186" t="s">
        <v>621</v>
      </c>
      <c r="B148" s="198">
        <v>0.2</v>
      </c>
      <c r="C148" s="199" t="s">
        <v>431</v>
      </c>
      <c r="D148" s="200">
        <v>2.7737626986361824E-4</v>
      </c>
      <c r="E148" s="203">
        <v>98</v>
      </c>
    </row>
    <row r="149" spans="1:5">
      <c r="A149" s="186" t="s">
        <v>749</v>
      </c>
      <c r="B149" s="198">
        <v>0.5</v>
      </c>
      <c r="C149" s="54" t="s">
        <v>750</v>
      </c>
      <c r="D149" s="200">
        <v>3.571253157473071E-3</v>
      </c>
      <c r="E149" s="203">
        <v>46</v>
      </c>
    </row>
    <row r="150" spans="1:5">
      <c r="A150" s="186" t="s">
        <v>751</v>
      </c>
      <c r="B150" s="198">
        <v>0.5</v>
      </c>
      <c r="C150" s="54" t="s">
        <v>750</v>
      </c>
      <c r="D150" s="200">
        <v>5.4080166224888876E-3</v>
      </c>
      <c r="E150" s="203">
        <v>47</v>
      </c>
    </row>
    <row r="151" spans="1:5">
      <c r="A151" s="186" t="s">
        <v>752</v>
      </c>
      <c r="B151" s="198">
        <v>0.33</v>
      </c>
      <c r="C151" s="54" t="s">
        <v>750</v>
      </c>
      <c r="D151" s="200">
        <v>6.3030284917582656E-4</v>
      </c>
      <c r="E151" s="203">
        <v>48</v>
      </c>
    </row>
    <row r="152" spans="1:5">
      <c r="A152" s="186" t="s">
        <v>753</v>
      </c>
      <c r="B152" s="198">
        <v>0.33</v>
      </c>
      <c r="C152" s="54" t="s">
        <v>750</v>
      </c>
      <c r="D152" s="200">
        <v>4.1792627739023307E-3</v>
      </c>
      <c r="E152" s="203">
        <v>49</v>
      </c>
    </row>
    <row r="153" spans="1:5">
      <c r="A153" s="186" t="s">
        <v>754</v>
      </c>
      <c r="B153" s="198">
        <v>0.25</v>
      </c>
      <c r="C153" s="54" t="s">
        <v>750</v>
      </c>
      <c r="D153" s="200">
        <v>2.6670488970294186E-3</v>
      </c>
      <c r="E153" s="203">
        <v>54</v>
      </c>
    </row>
    <row r="154" spans="1:5">
      <c r="A154" s="186" t="s">
        <v>755</v>
      </c>
      <c r="B154" s="198">
        <v>0.2</v>
      </c>
      <c r="C154" s="54" t="s">
        <v>750</v>
      </c>
      <c r="D154" s="200">
        <v>8.950118692693771E-4</v>
      </c>
      <c r="E154" s="203">
        <v>55</v>
      </c>
    </row>
    <row r="155" spans="1:5">
      <c r="A155" s="186" t="s">
        <v>622</v>
      </c>
      <c r="B155" s="198">
        <v>0.25</v>
      </c>
      <c r="C155" s="54" t="s">
        <v>750</v>
      </c>
      <c r="D155" s="200">
        <v>3.59620918281296E-3</v>
      </c>
      <c r="E155" s="203">
        <v>56</v>
      </c>
    </row>
    <row r="156" spans="1:5">
      <c r="A156" s="186" t="s">
        <v>623</v>
      </c>
      <c r="B156" s="198">
        <v>0.09</v>
      </c>
      <c r="C156" s="199" t="s">
        <v>444</v>
      </c>
      <c r="D156" s="200">
        <v>4.9121909234537764E-4</v>
      </c>
      <c r="E156" s="205">
        <v>99</v>
      </c>
    </row>
    <row r="157" spans="1:5">
      <c r="A157" s="186" t="s">
        <v>756</v>
      </c>
      <c r="B157" s="198">
        <v>0.5</v>
      </c>
      <c r="C157" s="199" t="s">
        <v>428</v>
      </c>
      <c r="D157" s="200">
        <v>2.5933444148292808E-3</v>
      </c>
      <c r="E157" s="203">
        <v>31</v>
      </c>
    </row>
    <row r="158" spans="1:5">
      <c r="A158" s="186" t="s">
        <v>757</v>
      </c>
      <c r="B158" s="198">
        <v>0.5</v>
      </c>
      <c r="C158" s="199" t="s">
        <v>428</v>
      </c>
      <c r="D158" s="200">
        <v>1.4345886959187619E-3</v>
      </c>
      <c r="E158" s="203">
        <v>32</v>
      </c>
    </row>
    <row r="159" spans="1:5">
      <c r="A159" s="186" t="s">
        <v>758</v>
      </c>
      <c r="B159" s="198">
        <v>0.5</v>
      </c>
      <c r="C159" s="199" t="s">
        <v>428</v>
      </c>
      <c r="D159" s="200">
        <v>1.9438753381924195E-3</v>
      </c>
      <c r="E159" s="203">
        <v>33</v>
      </c>
    </row>
    <row r="160" spans="1:5">
      <c r="A160" s="186" t="s">
        <v>759</v>
      </c>
      <c r="B160" s="198">
        <v>1</v>
      </c>
      <c r="C160" s="199" t="s">
        <v>428</v>
      </c>
      <c r="D160" s="200">
        <v>2.4991545572274425E-3</v>
      </c>
      <c r="E160" s="203">
        <v>38</v>
      </c>
    </row>
    <row r="161" spans="1:5">
      <c r="A161" s="186" t="s">
        <v>760</v>
      </c>
      <c r="B161" s="198">
        <v>1</v>
      </c>
      <c r="C161" s="199" t="s">
        <v>428</v>
      </c>
      <c r="D161" s="200">
        <v>8.8205310862662731E-3</v>
      </c>
      <c r="E161" s="203">
        <v>39</v>
      </c>
    </row>
    <row r="162" spans="1:5">
      <c r="A162" s="186" t="s">
        <v>624</v>
      </c>
      <c r="B162" s="198">
        <v>1</v>
      </c>
      <c r="C162" s="199" t="s">
        <v>428</v>
      </c>
      <c r="D162" s="200">
        <v>1.7498001374510509E-3</v>
      </c>
      <c r="E162" s="203">
        <v>40</v>
      </c>
    </row>
    <row r="163" spans="1:5">
      <c r="A163" s="186" t="s">
        <v>625</v>
      </c>
      <c r="B163" s="198">
        <v>0.25</v>
      </c>
      <c r="C163" s="54" t="s">
        <v>761</v>
      </c>
      <c r="D163" s="200">
        <v>9.5007435364506784E-4</v>
      </c>
      <c r="E163" s="203">
        <v>96</v>
      </c>
    </row>
    <row r="164" spans="1:5">
      <c r="A164" s="186" t="s">
        <v>626</v>
      </c>
      <c r="B164" s="198">
        <v>0.2</v>
      </c>
      <c r="C164" s="54" t="s">
        <v>761</v>
      </c>
      <c r="D164" s="200">
        <v>9.6325970887372572E-4</v>
      </c>
      <c r="E164" s="203">
        <v>97</v>
      </c>
    </row>
    <row r="165" spans="1:5">
      <c r="A165" s="186" t="s">
        <v>627</v>
      </c>
      <c r="B165" s="198">
        <v>0.09</v>
      </c>
      <c r="C165" s="199" t="s">
        <v>445</v>
      </c>
      <c r="D165" s="200">
        <v>4.9121909234537764E-4</v>
      </c>
      <c r="E165" s="50">
        <v>99</v>
      </c>
    </row>
    <row r="166" spans="1:5">
      <c r="A166" s="186" t="s">
        <v>628</v>
      </c>
      <c r="B166" s="198">
        <v>0.2</v>
      </c>
      <c r="C166" s="199" t="s">
        <v>452</v>
      </c>
      <c r="D166" s="200">
        <v>2.7737626986361824E-4</v>
      </c>
      <c r="E166" s="206">
        <v>98</v>
      </c>
    </row>
    <row r="167" spans="1:5">
      <c r="A167" s="186" t="s">
        <v>629</v>
      </c>
      <c r="B167" s="198">
        <v>0.2</v>
      </c>
      <c r="C167" s="199" t="s">
        <v>453</v>
      </c>
      <c r="D167" s="200">
        <v>2.7737626986361824E-4</v>
      </c>
      <c r="E167" s="206">
        <v>98</v>
      </c>
    </row>
    <row r="168" spans="1:5">
      <c r="A168" s="186" t="s">
        <v>630</v>
      </c>
      <c r="B168" s="198">
        <v>0.25</v>
      </c>
      <c r="C168" s="54" t="s">
        <v>434</v>
      </c>
      <c r="D168" s="200">
        <v>9.5007435364506784E-4</v>
      </c>
      <c r="E168" s="203">
        <v>96</v>
      </c>
    </row>
    <row r="169" spans="1:5">
      <c r="A169" s="186" t="s">
        <v>631</v>
      </c>
      <c r="B169" s="198">
        <v>0.2</v>
      </c>
      <c r="C169" s="54" t="s">
        <v>434</v>
      </c>
      <c r="D169" s="200">
        <v>9.6325970887372572E-4</v>
      </c>
      <c r="E169" s="203">
        <v>97</v>
      </c>
    </row>
    <row r="170" spans="1:5">
      <c r="A170" s="186" t="s">
        <v>762</v>
      </c>
      <c r="B170" s="198">
        <v>0.09</v>
      </c>
      <c r="C170" s="199" t="s">
        <v>440</v>
      </c>
      <c r="D170" s="200">
        <v>4.9121909234537764E-4</v>
      </c>
      <c r="E170" s="204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694D9-3EBF-47F6-872D-D110A879A3B0}">
  <sheetPr>
    <tabColor rgb="FF00B0F0"/>
  </sheetPr>
  <dimension ref="A1:Q4"/>
  <sheetViews>
    <sheetView zoomScaleNormal="100" workbookViewId="0">
      <selection activeCell="D13" sqref="D13"/>
    </sheetView>
  </sheetViews>
  <sheetFormatPr defaultRowHeight="15"/>
  <cols>
    <col min="1" max="1" width="10.42578125" style="191" customWidth="1"/>
    <col min="2" max="2" width="9.42578125" style="191" bestFit="1" customWidth="1"/>
    <col min="3" max="3" width="20.140625" style="191" customWidth="1"/>
    <col min="4" max="5" width="15.85546875" style="191" customWidth="1"/>
    <col min="6" max="6" width="13.28515625" style="191" customWidth="1"/>
    <col min="7" max="7" width="22.7109375" style="191" bestFit="1" customWidth="1"/>
    <col min="8" max="8" width="18.85546875" style="191" customWidth="1"/>
    <col min="9" max="9" width="18.85546875" style="194" customWidth="1"/>
    <col min="10" max="10" width="17.7109375" style="195" customWidth="1"/>
    <col min="11" max="11" width="18.7109375" style="194" customWidth="1"/>
    <col min="12" max="16384" width="9.140625" style="17"/>
  </cols>
  <sheetData>
    <row r="1" spans="1:17">
      <c r="A1" s="191" t="s">
        <v>223</v>
      </c>
      <c r="B1" s="191" t="s">
        <v>263</v>
      </c>
      <c r="C1" s="191" t="s">
        <v>274</v>
      </c>
      <c r="D1" s="191" t="s">
        <v>211</v>
      </c>
      <c r="E1" s="191" t="s">
        <v>210</v>
      </c>
      <c r="F1" s="191" t="s">
        <v>25</v>
      </c>
      <c r="G1" s="191" t="s">
        <v>261</v>
      </c>
      <c r="H1" s="191" t="s">
        <v>335</v>
      </c>
      <c r="I1" s="180" t="s">
        <v>336</v>
      </c>
      <c r="J1" s="180" t="s">
        <v>268</v>
      </c>
      <c r="K1" s="180" t="s">
        <v>269</v>
      </c>
      <c r="L1" s="55"/>
      <c r="M1" s="55"/>
      <c r="N1" s="55"/>
      <c r="O1" s="55"/>
      <c r="P1" s="55"/>
    </row>
    <row r="2" spans="1:17">
      <c r="A2" s="191" t="s">
        <v>368</v>
      </c>
      <c r="B2" s="191" t="s">
        <v>411</v>
      </c>
      <c r="C2" s="191" t="s">
        <v>266</v>
      </c>
      <c r="D2" s="191">
        <v>48.6248</v>
      </c>
      <c r="E2" s="191">
        <v>-67.867400000000004</v>
      </c>
      <c r="F2" s="192">
        <v>3420</v>
      </c>
      <c r="G2" s="144" t="s">
        <v>727</v>
      </c>
      <c r="H2" s="191" t="s">
        <v>270</v>
      </c>
      <c r="I2" s="180">
        <v>3075</v>
      </c>
      <c r="J2" s="181">
        <f>ROUND((D2+90)*2, 0)</f>
        <v>277</v>
      </c>
      <c r="K2" s="182">
        <f>ROUND((E2+180)*(3/2), 0)</f>
        <v>168</v>
      </c>
      <c r="L2" s="56"/>
      <c r="M2" s="193"/>
      <c r="N2" s="153"/>
      <c r="O2" s="153"/>
      <c r="P2" s="55"/>
      <c r="Q2" s="55"/>
    </row>
    <row r="3" spans="1:17">
      <c r="A3" s="191" t="s">
        <v>368</v>
      </c>
      <c r="B3" s="191" t="s">
        <v>412</v>
      </c>
      <c r="C3" s="191" t="s">
        <v>266</v>
      </c>
      <c r="D3" s="191">
        <v>46.566800000000001</v>
      </c>
      <c r="E3" s="191">
        <v>-70.484899999999996</v>
      </c>
      <c r="F3" s="192">
        <v>402</v>
      </c>
      <c r="G3" s="144" t="s">
        <v>430</v>
      </c>
      <c r="H3" s="191" t="s">
        <v>270</v>
      </c>
      <c r="I3" s="180">
        <v>3075</v>
      </c>
      <c r="J3" s="181">
        <f t="shared" ref="J3:J4" si="0">ROUND((D3+90)*2, 0)</f>
        <v>273</v>
      </c>
      <c r="K3" s="182">
        <f t="shared" ref="K3:K4" si="1">ROUND((E3+180)*(3/2), 0)</f>
        <v>164</v>
      </c>
      <c r="L3" s="56"/>
    </row>
    <row r="4" spans="1:17">
      <c r="A4" s="191" t="s">
        <v>368</v>
      </c>
      <c r="B4" s="191" t="s">
        <v>413</v>
      </c>
      <c r="C4" s="191" t="s">
        <v>266</v>
      </c>
      <c r="D4" s="191">
        <v>46.105899999999998</v>
      </c>
      <c r="E4" s="191">
        <v>-71.683899999999994</v>
      </c>
      <c r="F4" s="192">
        <v>100</v>
      </c>
      <c r="G4" s="144" t="s">
        <v>433</v>
      </c>
      <c r="H4" s="191" t="s">
        <v>270</v>
      </c>
      <c r="I4" s="180">
        <v>3075</v>
      </c>
      <c r="J4" s="181">
        <f t="shared" si="0"/>
        <v>272</v>
      </c>
      <c r="K4" s="182">
        <f t="shared" si="1"/>
        <v>162</v>
      </c>
    </row>
  </sheetData>
  <phoneticPr fontId="23" type="noConversion"/>
  <dataValidations count="7">
    <dataValidation type="custom" allowBlank="1" showInputMessage="1" showErrorMessage="1" sqref="I2:I4 L2 F2:F4" xr:uid="{33806A18-3E85-4A0C-B05A-5E50CB963DD0}">
      <formula1>I2&lt;Q2</formula1>
    </dataValidation>
    <dataValidation type="decimal" allowBlank="1" showInputMessage="1" showErrorMessage="1" sqref="D2" xr:uid="{7B7F0BB8-FADF-43D0-8AAD-A2618CCE6FD5}">
      <formula1>-90</formula1>
      <formula2>90</formula2>
    </dataValidation>
    <dataValidation type="decimal" allowBlank="1" showInputMessage="1" showErrorMessage="1" sqref="E2" xr:uid="{48A3FE3A-0C02-4133-BA38-370AE6C2C7A9}">
      <formula1>-180</formula1>
      <formula2>180</formula2>
    </dataValidation>
    <dataValidation type="custom" allowBlank="1" showInputMessage="1" showErrorMessage="1" sqref="L3" xr:uid="{2F05CB1D-1782-45E4-ADFD-5058976EC81C}">
      <formula1>O3&lt;#REF!</formula1>
    </dataValidation>
    <dataValidation type="list" allowBlank="1" showInputMessage="1" showErrorMessage="1" sqref="C2:C4" xr:uid="{6F47FF5C-6E29-45E7-B710-5E98001C9591}">
      <formula1>INDIRECT($A2)</formula1>
    </dataValidation>
    <dataValidation type="list" allowBlank="1" showInputMessage="1" showErrorMessage="1" sqref="A2:A7" xr:uid="{1489C709-77C4-4236-B2F2-156B0796127A}">
      <formula1>VRE</formula1>
    </dataValidation>
    <dataValidation type="list" allowBlank="1" showInputMessage="1" showErrorMessage="1" sqref="H2:H4" xr:uid="{A3D10934-B3D6-4130-837D-8F8662510BFC}">
      <formula1>INDIRECT(C2)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Z134"/>
  <sheetViews>
    <sheetView zoomScale="70" zoomScaleNormal="7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K26" sqref="K26"/>
    </sheetView>
  </sheetViews>
  <sheetFormatPr defaultRowHeight="15"/>
  <cols>
    <col min="1" max="1" width="33.140625" bestFit="1" customWidth="1"/>
    <col min="2" max="2" width="15" customWidth="1"/>
    <col min="3" max="3" width="14.140625" customWidth="1"/>
    <col min="4" max="4" width="13.85546875" customWidth="1"/>
    <col min="5" max="5" width="15.28515625" bestFit="1" customWidth="1"/>
    <col min="6" max="6" width="15.5703125" customWidth="1"/>
    <col min="7" max="7" width="15.85546875" customWidth="1"/>
    <col min="8" max="8" width="16.140625" bestFit="1" customWidth="1"/>
    <col min="9" max="9" width="14.42578125" bestFit="1" customWidth="1"/>
    <col min="10" max="10" width="15.42578125" bestFit="1" customWidth="1"/>
    <col min="11" max="11" width="14.42578125" bestFit="1" customWidth="1"/>
    <col min="12" max="16" width="14.42578125" customWidth="1"/>
    <col min="17" max="17" width="9.140625" customWidth="1"/>
    <col min="18" max="18" width="9.7109375" customWidth="1"/>
    <col min="19" max="19" width="7.42578125" customWidth="1"/>
    <col min="20" max="20" width="14.42578125" customWidth="1"/>
    <col min="21" max="21" width="11.7109375" customWidth="1"/>
    <col min="22" max="24" width="14.42578125" customWidth="1"/>
    <col min="25" max="25" width="16.140625" bestFit="1" customWidth="1"/>
  </cols>
  <sheetData>
    <row r="1" spans="1:26">
      <c r="A1" t="s">
        <v>0</v>
      </c>
      <c r="B1" s="57">
        <v>0</v>
      </c>
      <c r="C1" s="57">
        <v>1</v>
      </c>
      <c r="D1" s="57">
        <v>2</v>
      </c>
      <c r="E1" s="57">
        <v>3</v>
      </c>
      <c r="F1" s="57">
        <v>4</v>
      </c>
      <c r="G1" s="57">
        <v>5</v>
      </c>
      <c r="H1" s="57">
        <v>6</v>
      </c>
      <c r="I1" s="57">
        <v>7</v>
      </c>
      <c r="J1" s="57">
        <v>8</v>
      </c>
      <c r="K1" s="57">
        <v>9</v>
      </c>
      <c r="L1" s="57">
        <v>10</v>
      </c>
      <c r="M1" s="57">
        <v>11</v>
      </c>
      <c r="N1" s="57">
        <v>12</v>
      </c>
      <c r="O1" s="57">
        <v>13</v>
      </c>
      <c r="Y1" t="s">
        <v>35</v>
      </c>
    </row>
    <row r="2" spans="1:26" s="58" customFormat="1" ht="15" customHeight="1">
      <c r="I2" s="58" t="s">
        <v>41</v>
      </c>
      <c r="M2" s="58" t="s">
        <v>215</v>
      </c>
      <c r="P2" s="100" t="s">
        <v>315</v>
      </c>
      <c r="Q2" s="100"/>
      <c r="R2" s="100"/>
      <c r="S2" s="100"/>
      <c r="T2" s="100"/>
      <c r="U2" s="100"/>
      <c r="V2" s="101"/>
      <c r="W2" s="103"/>
      <c r="X2" s="103"/>
    </row>
    <row r="3" spans="1:26" s="58" customFormat="1" ht="60">
      <c r="A3" s="102" t="s">
        <v>15</v>
      </c>
      <c r="B3" s="58" t="s">
        <v>11</v>
      </c>
      <c r="C3" s="58" t="s">
        <v>12</v>
      </c>
      <c r="D3" s="58" t="s">
        <v>33</v>
      </c>
      <c r="E3" s="58" t="s">
        <v>213</v>
      </c>
      <c r="F3" s="58" t="s">
        <v>212</v>
      </c>
      <c r="G3" s="58" t="s">
        <v>6</v>
      </c>
      <c r="H3" s="58" t="s">
        <v>7</v>
      </c>
      <c r="I3" s="58" t="s">
        <v>36</v>
      </c>
      <c r="J3" s="58" t="s">
        <v>37</v>
      </c>
      <c r="K3" s="58" t="s">
        <v>38</v>
      </c>
      <c r="L3" s="58" t="s">
        <v>45</v>
      </c>
      <c r="M3" s="58" t="s">
        <v>36</v>
      </c>
      <c r="N3" s="58" t="s">
        <v>37</v>
      </c>
      <c r="O3" s="58" t="s">
        <v>38</v>
      </c>
      <c r="P3" s="100" t="s">
        <v>298</v>
      </c>
      <c r="Q3" s="100" t="s">
        <v>316</v>
      </c>
      <c r="R3" s="100" t="s">
        <v>317</v>
      </c>
      <c r="S3" s="100" t="s">
        <v>306</v>
      </c>
      <c r="T3" s="100" t="s">
        <v>324</v>
      </c>
      <c r="U3" s="100" t="s">
        <v>325</v>
      </c>
      <c r="V3" s="101" t="s">
        <v>352</v>
      </c>
      <c r="W3" s="103" t="s">
        <v>351</v>
      </c>
      <c r="X3" s="103" t="s">
        <v>361</v>
      </c>
    </row>
    <row r="4" spans="1:26" ht="45">
      <c r="B4" t="s">
        <v>14</v>
      </c>
      <c r="C4" t="s">
        <v>14</v>
      </c>
      <c r="D4" t="s">
        <v>14</v>
      </c>
      <c r="E4" t="s">
        <v>14</v>
      </c>
      <c r="F4" t="s">
        <v>14</v>
      </c>
      <c r="H4" t="s">
        <v>22</v>
      </c>
      <c r="I4" t="s">
        <v>21</v>
      </c>
      <c r="L4" t="s">
        <v>42</v>
      </c>
      <c r="M4" t="s">
        <v>218</v>
      </c>
      <c r="P4" t="s">
        <v>318</v>
      </c>
      <c r="Q4" t="s">
        <v>313</v>
      </c>
      <c r="R4" t="s">
        <v>313</v>
      </c>
      <c r="V4" s="101" t="s">
        <v>338</v>
      </c>
      <c r="W4" s="103" t="s">
        <v>338</v>
      </c>
      <c r="X4" s="103" t="s">
        <v>362</v>
      </c>
    </row>
    <row r="5" spans="1:26">
      <c r="A5" t="s">
        <v>20</v>
      </c>
      <c r="B5" s="60">
        <v>60</v>
      </c>
      <c r="C5" s="60">
        <v>4.2</v>
      </c>
      <c r="D5" s="60">
        <v>30.3</v>
      </c>
      <c r="E5" s="60">
        <v>1.2</v>
      </c>
      <c r="F5" s="60">
        <v>95.6</v>
      </c>
      <c r="G5" s="61">
        <f>3412/10459</f>
        <v>0.32622621665551199</v>
      </c>
      <c r="H5" s="62">
        <v>820</v>
      </c>
      <c r="I5" s="63">
        <v>3</v>
      </c>
      <c r="J5" s="63">
        <v>6.5</v>
      </c>
      <c r="K5" s="63">
        <v>10</v>
      </c>
      <c r="L5" s="64">
        <v>2</v>
      </c>
      <c r="M5" s="65">
        <v>59</v>
      </c>
      <c r="N5" s="65">
        <v>65</v>
      </c>
      <c r="O5" s="65">
        <v>105</v>
      </c>
      <c r="P5" s="66">
        <v>10000</v>
      </c>
      <c r="Q5" s="66">
        <v>3</v>
      </c>
      <c r="R5" s="66">
        <v>3</v>
      </c>
      <c r="S5" s="66">
        <v>0</v>
      </c>
      <c r="T5" s="66"/>
      <c r="U5" s="66"/>
      <c r="V5" s="99">
        <v>0.53</v>
      </c>
      <c r="W5" s="97">
        <v>1</v>
      </c>
      <c r="X5" s="130">
        <v>2917</v>
      </c>
      <c r="Y5" s="3" t="s">
        <v>28</v>
      </c>
    </row>
    <row r="6" spans="1:26">
      <c r="A6" t="s">
        <v>423</v>
      </c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66">
        <f>P5</f>
        <v>10000</v>
      </c>
      <c r="Q6" s="66">
        <v>4</v>
      </c>
      <c r="R6" s="66">
        <v>3</v>
      </c>
      <c r="S6" s="66">
        <v>0</v>
      </c>
      <c r="T6" s="66"/>
      <c r="U6" s="66"/>
      <c r="V6" s="99"/>
      <c r="W6" s="97">
        <v>1</v>
      </c>
      <c r="X6" s="130"/>
      <c r="Y6" s="5" t="s">
        <v>29</v>
      </c>
    </row>
    <row r="7" spans="1:26">
      <c r="A7" t="s">
        <v>416</v>
      </c>
      <c r="B7" s="60">
        <v>14.3</v>
      </c>
      <c r="C7" s="60">
        <v>1.7</v>
      </c>
      <c r="D7" s="60">
        <v>49.1</v>
      </c>
      <c r="E7" s="60">
        <v>1.2</v>
      </c>
      <c r="F7" s="60">
        <v>66.3</v>
      </c>
      <c r="G7" s="67">
        <v>0.55000000000000004</v>
      </c>
      <c r="H7" s="62">
        <v>490</v>
      </c>
      <c r="I7" s="63">
        <v>1</v>
      </c>
      <c r="J7" s="63">
        <v>2</v>
      </c>
      <c r="K7" s="63">
        <v>4</v>
      </c>
      <c r="L7" s="64">
        <v>5</v>
      </c>
      <c r="M7" s="65">
        <v>35</v>
      </c>
      <c r="N7" s="65">
        <v>55</v>
      </c>
      <c r="O7" s="65">
        <v>79</v>
      </c>
      <c r="P7" s="66">
        <f t="shared" ref="P7:P19" si="0">P6</f>
        <v>10000</v>
      </c>
      <c r="Q7" s="66">
        <v>4</v>
      </c>
      <c r="R7" s="66">
        <v>3</v>
      </c>
      <c r="S7" s="66">
        <v>0</v>
      </c>
      <c r="T7" s="66"/>
      <c r="U7" s="66"/>
      <c r="V7" s="99">
        <v>0.53</v>
      </c>
      <c r="W7" s="97">
        <v>1</v>
      </c>
      <c r="X7" s="130">
        <v>671</v>
      </c>
      <c r="Z7" s="4" t="s">
        <v>30</v>
      </c>
    </row>
    <row r="8" spans="1:26">
      <c r="A8" t="s">
        <v>424</v>
      </c>
      <c r="B8" s="60">
        <v>40.200000000000003</v>
      </c>
      <c r="C8" s="60">
        <v>2.8</v>
      </c>
      <c r="D8" s="60">
        <v>82</v>
      </c>
      <c r="E8" s="60">
        <v>3.4</v>
      </c>
      <c r="F8" s="60">
        <v>128.4</v>
      </c>
      <c r="G8" s="67">
        <v>0.35</v>
      </c>
      <c r="H8" s="68">
        <v>530</v>
      </c>
      <c r="I8" s="63">
        <v>0.5</v>
      </c>
      <c r="J8" s="63">
        <v>0.5</v>
      </c>
      <c r="K8" s="63">
        <v>0.5</v>
      </c>
      <c r="L8" s="64">
        <v>8</v>
      </c>
      <c r="M8" s="65">
        <v>32</v>
      </c>
      <c r="N8" s="65">
        <v>126</v>
      </c>
      <c r="O8" s="65">
        <v>103</v>
      </c>
      <c r="P8" s="66">
        <f t="shared" si="0"/>
        <v>10000</v>
      </c>
      <c r="Q8" s="66">
        <v>4</v>
      </c>
      <c r="R8" s="66">
        <v>3</v>
      </c>
      <c r="S8" s="66">
        <v>0</v>
      </c>
      <c r="T8" s="66"/>
      <c r="U8" s="66"/>
      <c r="V8" s="99">
        <v>1</v>
      </c>
      <c r="W8" s="97">
        <v>1</v>
      </c>
      <c r="X8" s="130">
        <v>968</v>
      </c>
      <c r="Z8" s="6" t="s">
        <v>31</v>
      </c>
    </row>
    <row r="9" spans="1:26">
      <c r="A9" t="s">
        <v>417</v>
      </c>
      <c r="B9" s="60">
        <v>40.200000000000003</v>
      </c>
      <c r="C9" s="60">
        <v>2.8</v>
      </c>
      <c r="D9" s="60">
        <v>82</v>
      </c>
      <c r="E9" s="60">
        <v>3.4</v>
      </c>
      <c r="F9" s="60">
        <v>128.4</v>
      </c>
      <c r="G9" s="67">
        <v>0.35</v>
      </c>
      <c r="H9" s="68">
        <v>530</v>
      </c>
      <c r="I9" s="63">
        <v>0.5</v>
      </c>
      <c r="J9" s="63">
        <v>0.5</v>
      </c>
      <c r="K9" s="63">
        <v>0.5</v>
      </c>
      <c r="L9" s="64">
        <v>8</v>
      </c>
      <c r="M9" s="65">
        <v>32</v>
      </c>
      <c r="N9" s="65">
        <v>126</v>
      </c>
      <c r="O9" s="65">
        <v>103</v>
      </c>
      <c r="P9" s="66">
        <f t="shared" si="0"/>
        <v>10000</v>
      </c>
      <c r="Q9" s="66">
        <v>4</v>
      </c>
      <c r="R9" s="66">
        <v>3</v>
      </c>
      <c r="S9" s="66">
        <v>0</v>
      </c>
      <c r="T9" s="66"/>
      <c r="U9" s="66"/>
      <c r="V9" s="99">
        <v>1</v>
      </c>
      <c r="W9" s="97">
        <v>1</v>
      </c>
      <c r="X9" s="130">
        <v>968</v>
      </c>
      <c r="Z9" s="6"/>
    </row>
    <row r="10" spans="1:26">
      <c r="A10" t="s">
        <v>209</v>
      </c>
      <c r="B10" s="54">
        <v>8</v>
      </c>
      <c r="C10" s="54">
        <v>2</v>
      </c>
      <c r="D10" s="54">
        <v>288</v>
      </c>
      <c r="E10" s="54"/>
      <c r="F10" s="54"/>
      <c r="G10" s="61">
        <f>3412/10713</f>
        <v>0.31849155231961168</v>
      </c>
      <c r="H10" s="69">
        <v>733</v>
      </c>
      <c r="I10" s="54"/>
      <c r="J10" s="54"/>
      <c r="K10" s="54"/>
      <c r="L10" s="54"/>
      <c r="M10" s="54"/>
      <c r="N10" s="54"/>
      <c r="O10" s="54">
        <v>10000000</v>
      </c>
      <c r="P10" s="66">
        <f>P8</f>
        <v>10000</v>
      </c>
      <c r="Q10" s="66"/>
      <c r="R10" s="66"/>
      <c r="S10" s="66">
        <v>0</v>
      </c>
      <c r="T10" s="66"/>
      <c r="U10" s="66"/>
      <c r="V10" s="99">
        <v>0.86</v>
      </c>
      <c r="W10" s="97">
        <v>1</v>
      </c>
      <c r="X10" s="130"/>
    </row>
    <row r="11" spans="1:26">
      <c r="A11" t="s">
        <v>228</v>
      </c>
      <c r="B11" s="54">
        <v>8</v>
      </c>
      <c r="C11" s="54">
        <v>2</v>
      </c>
      <c r="D11" s="54">
        <f>0.6*D10</f>
        <v>172.79999999999998</v>
      </c>
      <c r="E11" s="54"/>
      <c r="F11" s="54"/>
      <c r="G11" s="61">
        <f>3412/10713</f>
        <v>0.31849155231961168</v>
      </c>
      <c r="H11" s="69">
        <v>733</v>
      </c>
      <c r="I11" s="54"/>
      <c r="J11" s="54"/>
      <c r="K11" s="54"/>
      <c r="L11" s="54"/>
      <c r="M11" s="54"/>
      <c r="N11" s="54"/>
      <c r="O11" s="54">
        <v>10000000</v>
      </c>
      <c r="P11" s="66">
        <f t="shared" si="0"/>
        <v>10000</v>
      </c>
      <c r="Q11" s="66"/>
      <c r="R11" s="66"/>
      <c r="S11" s="66">
        <v>0</v>
      </c>
      <c r="T11" s="66"/>
      <c r="U11" s="66"/>
      <c r="V11" s="99">
        <v>0.86</v>
      </c>
      <c r="W11" s="97">
        <v>1</v>
      </c>
      <c r="X11" s="130"/>
    </row>
    <row r="12" spans="1:26">
      <c r="A12" t="s">
        <v>1</v>
      </c>
      <c r="B12" s="60">
        <v>71.400000000000006</v>
      </c>
      <c r="C12" s="60">
        <v>11.8</v>
      </c>
      <c r="D12" s="60">
        <v>11.8</v>
      </c>
      <c r="E12" s="60">
        <v>1.1000000000000001</v>
      </c>
      <c r="F12" s="60">
        <v>96.1</v>
      </c>
      <c r="G12" s="61">
        <f>3412/10449</f>
        <v>0.32653842472963918</v>
      </c>
      <c r="H12" s="62">
        <v>12</v>
      </c>
      <c r="I12" s="70">
        <v>1</v>
      </c>
      <c r="J12" s="54"/>
      <c r="K12" s="70">
        <v>13</v>
      </c>
      <c r="L12" s="64">
        <v>5</v>
      </c>
      <c r="M12" s="54"/>
      <c r="N12" s="54"/>
      <c r="O12" s="54">
        <v>500</v>
      </c>
      <c r="P12" s="66">
        <f t="shared" si="0"/>
        <v>10000</v>
      </c>
      <c r="Q12" s="66">
        <v>10</v>
      </c>
      <c r="R12" s="66">
        <v>3</v>
      </c>
      <c r="S12" s="66">
        <v>0</v>
      </c>
      <c r="T12" s="66"/>
      <c r="U12" s="66"/>
      <c r="V12" s="99">
        <v>0.2</v>
      </c>
      <c r="W12" s="97">
        <v>1</v>
      </c>
      <c r="X12" s="130">
        <v>5366</v>
      </c>
      <c r="Y12" s="8" t="s">
        <v>32</v>
      </c>
    </row>
    <row r="13" spans="1:26">
      <c r="A13" t="s">
        <v>2</v>
      </c>
      <c r="B13" s="60">
        <v>72</v>
      </c>
      <c r="C13" s="60">
        <v>4.0999999999999996</v>
      </c>
      <c r="D13" s="60">
        <v>6.4</v>
      </c>
      <c r="E13" s="60">
        <v>2</v>
      </c>
      <c r="F13" s="60">
        <v>84.5</v>
      </c>
      <c r="G13" s="71">
        <v>0.9</v>
      </c>
      <c r="H13" s="62">
        <v>24</v>
      </c>
      <c r="I13" s="54"/>
      <c r="P13" s="66">
        <f t="shared" si="0"/>
        <v>10000</v>
      </c>
      <c r="V13" s="99">
        <v>0.66</v>
      </c>
      <c r="W13" s="97">
        <v>1</v>
      </c>
      <c r="X13" s="130">
        <v>2651</v>
      </c>
      <c r="Y13" s="7" t="s">
        <v>34</v>
      </c>
    </row>
    <row r="14" spans="1:26">
      <c r="A14" t="s">
        <v>420</v>
      </c>
      <c r="B14" s="60">
        <v>72</v>
      </c>
      <c r="C14" s="60">
        <v>4.0999999999999996</v>
      </c>
      <c r="D14" s="60">
        <v>6.4</v>
      </c>
      <c r="E14" s="60">
        <v>2</v>
      </c>
      <c r="F14" s="60">
        <v>84.5</v>
      </c>
      <c r="G14" s="71">
        <v>0.9</v>
      </c>
      <c r="H14" s="62">
        <v>24</v>
      </c>
      <c r="I14" s="54"/>
      <c r="P14" s="66">
        <f t="shared" si="0"/>
        <v>10000</v>
      </c>
      <c r="V14" s="99">
        <v>0.66</v>
      </c>
      <c r="W14" s="97">
        <v>1</v>
      </c>
      <c r="X14" s="130">
        <v>2651</v>
      </c>
      <c r="Y14" s="7"/>
    </row>
    <row r="15" spans="1:26" ht="15" customHeight="1">
      <c r="A15" t="s">
        <v>418</v>
      </c>
      <c r="B15" s="60">
        <v>72</v>
      </c>
      <c r="C15" s="60">
        <v>4.0999999999999996</v>
      </c>
      <c r="D15" s="60">
        <v>6.4</v>
      </c>
      <c r="E15" s="60">
        <v>2</v>
      </c>
      <c r="F15" s="60">
        <v>84.5</v>
      </c>
      <c r="G15" s="71">
        <v>0.9</v>
      </c>
      <c r="H15" s="62">
        <v>24</v>
      </c>
      <c r="I15" s="54"/>
      <c r="P15" s="66">
        <f t="shared" si="0"/>
        <v>10000</v>
      </c>
      <c r="V15" s="99">
        <v>0.66</v>
      </c>
      <c r="W15" s="97">
        <v>1</v>
      </c>
      <c r="X15" s="130">
        <v>2651</v>
      </c>
      <c r="Y15" s="7"/>
    </row>
    <row r="16" spans="1:26">
      <c r="A16" t="s">
        <v>419</v>
      </c>
      <c r="B16" s="60">
        <v>72</v>
      </c>
      <c r="C16" s="60">
        <v>4.0999999999999996</v>
      </c>
      <c r="D16" s="60">
        <v>6.4</v>
      </c>
      <c r="E16" s="60">
        <v>2</v>
      </c>
      <c r="F16" s="60">
        <v>84.5</v>
      </c>
      <c r="G16" s="71">
        <v>0.9</v>
      </c>
      <c r="H16" s="62">
        <v>24</v>
      </c>
      <c r="I16" s="54"/>
      <c r="P16" s="66">
        <f t="shared" si="0"/>
        <v>10000</v>
      </c>
      <c r="V16" s="99">
        <v>0.66</v>
      </c>
      <c r="W16" s="97">
        <v>1</v>
      </c>
      <c r="X16" s="130">
        <v>2651</v>
      </c>
      <c r="Y16" s="7"/>
    </row>
    <row r="17" spans="1:25">
      <c r="A17" t="s">
        <v>9</v>
      </c>
      <c r="B17" s="60">
        <v>34.200000000000003</v>
      </c>
      <c r="C17" s="60">
        <v>12.2</v>
      </c>
      <c r="D17" s="60">
        <v>0</v>
      </c>
      <c r="E17" s="60">
        <v>1.4</v>
      </c>
      <c r="F17" s="60">
        <v>47.9</v>
      </c>
      <c r="G17" s="71">
        <v>0.16</v>
      </c>
      <c r="H17" s="62">
        <v>38</v>
      </c>
      <c r="I17" s="54"/>
      <c r="P17" s="66">
        <f>P13</f>
        <v>10000</v>
      </c>
      <c r="V17" s="99">
        <v>0.32</v>
      </c>
      <c r="W17" s="97">
        <v>1</v>
      </c>
      <c r="X17" s="130">
        <v>2448</v>
      </c>
      <c r="Y17" s="9" t="s">
        <v>39</v>
      </c>
    </row>
    <row r="18" spans="1:25">
      <c r="A18" t="s">
        <v>10</v>
      </c>
      <c r="B18" s="60">
        <v>47.4</v>
      </c>
      <c r="C18" s="60">
        <v>14.5</v>
      </c>
      <c r="D18" s="60">
        <v>39.5</v>
      </c>
      <c r="E18" s="60">
        <v>1.2</v>
      </c>
      <c r="F18" s="60">
        <v>102.6</v>
      </c>
      <c r="G18" s="72">
        <v>0.23</v>
      </c>
      <c r="H18" s="62">
        <v>230</v>
      </c>
      <c r="I18" s="54"/>
      <c r="P18" s="66">
        <f t="shared" si="0"/>
        <v>10000</v>
      </c>
      <c r="V18" s="99">
        <v>0.53</v>
      </c>
      <c r="W18" s="97">
        <v>1</v>
      </c>
      <c r="X18" s="130">
        <v>3659</v>
      </c>
      <c r="Y18" s="10" t="s">
        <v>40</v>
      </c>
    </row>
    <row r="19" spans="1:25">
      <c r="A19" t="s">
        <v>422</v>
      </c>
      <c r="B19" s="60">
        <v>47.4</v>
      </c>
      <c r="C19" s="60">
        <v>14.5</v>
      </c>
      <c r="D19" s="60">
        <v>39.5</v>
      </c>
      <c r="E19" s="60">
        <v>1.2</v>
      </c>
      <c r="F19" s="60">
        <v>102.6</v>
      </c>
      <c r="G19" s="72">
        <v>0.23</v>
      </c>
      <c r="H19" s="62">
        <v>230</v>
      </c>
      <c r="I19" s="54"/>
      <c r="P19" s="66">
        <f t="shared" si="0"/>
        <v>10000</v>
      </c>
      <c r="V19" s="99">
        <v>0.53</v>
      </c>
      <c r="W19" s="97">
        <v>1</v>
      </c>
      <c r="X19" s="130">
        <v>3659</v>
      </c>
      <c r="Y19" s="11" t="s">
        <v>43</v>
      </c>
    </row>
    <row r="20" spans="1:25">
      <c r="A20" s="2" t="s">
        <v>3</v>
      </c>
      <c r="B20" s="42" t="s">
        <v>11</v>
      </c>
      <c r="C20" t="s">
        <v>12</v>
      </c>
      <c r="D20" s="42" t="s">
        <v>33</v>
      </c>
      <c r="E20" s="42" t="s">
        <v>213</v>
      </c>
      <c r="F20" s="42" t="s">
        <v>212</v>
      </c>
      <c r="G20" t="s">
        <v>6</v>
      </c>
      <c r="W20" s="5"/>
      <c r="X20" s="130"/>
      <c r="Y20" s="13" t="s">
        <v>217</v>
      </c>
    </row>
    <row r="21" spans="1:25">
      <c r="B21" t="s">
        <v>14</v>
      </c>
      <c r="C21" t="s">
        <v>14</v>
      </c>
      <c r="D21" t="s">
        <v>14</v>
      </c>
      <c r="E21" t="s">
        <v>14</v>
      </c>
      <c r="F21" t="s">
        <v>14</v>
      </c>
      <c r="G21" t="s">
        <v>23</v>
      </c>
      <c r="W21" s="5"/>
      <c r="X21" s="130"/>
      <c r="Y21" s="41" t="s">
        <v>216</v>
      </c>
    </row>
    <row r="22" spans="1:25">
      <c r="A22" t="s">
        <v>4</v>
      </c>
      <c r="B22" s="3">
        <v>64.099999999999994</v>
      </c>
      <c r="C22" s="3">
        <v>13</v>
      </c>
      <c r="D22" s="3">
        <v>0</v>
      </c>
      <c r="E22" s="3">
        <v>3.2</v>
      </c>
      <c r="F22" s="3">
        <v>80.3</v>
      </c>
      <c r="L22" t="b">
        <f>ISBLANK(L6)</f>
        <v>1</v>
      </c>
      <c r="V22" s="97"/>
      <c r="W22" s="104">
        <v>0.2</v>
      </c>
      <c r="X22" s="130">
        <v>19.8</v>
      </c>
    </row>
    <row r="23" spans="1:25">
      <c r="A23" t="s">
        <v>13</v>
      </c>
      <c r="B23" s="3">
        <v>175.4</v>
      </c>
      <c r="C23" s="3">
        <v>22.8</v>
      </c>
      <c r="D23" s="3">
        <v>0</v>
      </c>
      <c r="E23" s="3">
        <v>5.8</v>
      </c>
      <c r="F23" s="3">
        <v>204.1</v>
      </c>
      <c r="V23" s="97"/>
      <c r="W23" s="99"/>
      <c r="X23" s="130">
        <v>6154</v>
      </c>
      <c r="Y23" s="40" t="s">
        <v>214</v>
      </c>
    </row>
    <row r="24" spans="1:25">
      <c r="A24" t="s">
        <v>16</v>
      </c>
      <c r="B24" s="3">
        <v>114.5</v>
      </c>
      <c r="C24" s="3">
        <v>11.4</v>
      </c>
      <c r="D24" s="3">
        <v>0</v>
      </c>
      <c r="E24" s="3">
        <v>4.0999999999999996</v>
      </c>
      <c r="F24" s="3">
        <v>130</v>
      </c>
      <c r="V24" s="97"/>
      <c r="W24" s="104">
        <v>0.6</v>
      </c>
      <c r="X24" s="130">
        <v>3279</v>
      </c>
      <c r="Y24" t="s">
        <v>221</v>
      </c>
    </row>
    <row r="25" spans="1:25">
      <c r="A25" t="s">
        <v>17</v>
      </c>
      <c r="B25" s="3">
        <v>195</v>
      </c>
      <c r="C25" s="3">
        <v>42.1</v>
      </c>
      <c r="D25" s="3">
        <v>0</v>
      </c>
      <c r="E25" s="39">
        <v>6</v>
      </c>
      <c r="F25" s="3">
        <v>243.1</v>
      </c>
      <c r="V25" s="97"/>
      <c r="W25" s="99"/>
      <c r="X25" s="130">
        <v>4052</v>
      </c>
    </row>
    <row r="26" spans="1:25">
      <c r="V26" s="54"/>
      <c r="W26" s="97"/>
      <c r="X26" s="129"/>
      <c r="Y26" t="s">
        <v>253</v>
      </c>
    </row>
    <row r="27" spans="1:25">
      <c r="A27" s="2" t="s">
        <v>5</v>
      </c>
      <c r="V27" s="54"/>
      <c r="W27" s="5"/>
      <c r="X27" s="5"/>
      <c r="Y27" t="s">
        <v>254</v>
      </c>
    </row>
    <row r="28" spans="1:25">
      <c r="V28" s="54"/>
      <c r="W28" s="5"/>
      <c r="X28" s="5"/>
      <c r="Y28" s="14" t="s">
        <v>252</v>
      </c>
    </row>
    <row r="29" spans="1:25">
      <c r="A29" s="43" t="s">
        <v>8</v>
      </c>
      <c r="B29" t="s">
        <v>237</v>
      </c>
      <c r="C29" t="s">
        <v>238</v>
      </c>
      <c r="D29" t="s">
        <v>239</v>
      </c>
      <c r="E29" t="s">
        <v>6</v>
      </c>
      <c r="F29" t="s">
        <v>244</v>
      </c>
      <c r="H29" t="s">
        <v>245</v>
      </c>
      <c r="J29" t="s">
        <v>92</v>
      </c>
      <c r="K29" t="s">
        <v>246</v>
      </c>
      <c r="V29" s="54"/>
      <c r="W29" s="5"/>
      <c r="X29" s="5"/>
    </row>
    <row r="30" spans="1:25">
      <c r="B30" t="s">
        <v>241</v>
      </c>
      <c r="C30" t="s">
        <v>250</v>
      </c>
      <c r="D30" t="s">
        <v>240</v>
      </c>
      <c r="E30" t="s">
        <v>44</v>
      </c>
      <c r="F30" t="s">
        <v>242</v>
      </c>
      <c r="G30" t="s">
        <v>243</v>
      </c>
      <c r="H30" t="s">
        <v>242</v>
      </c>
      <c r="I30" t="s">
        <v>243</v>
      </c>
      <c r="J30" t="s">
        <v>247</v>
      </c>
      <c r="K30" t="s">
        <v>247</v>
      </c>
      <c r="V30" s="54"/>
      <c r="W30" s="5"/>
      <c r="X30" s="128"/>
      <c r="Y30" s="44" t="s">
        <v>248</v>
      </c>
    </row>
    <row r="31" spans="1:25">
      <c r="A31" t="s">
        <v>225</v>
      </c>
      <c r="B31" s="44">
        <f>AVERAGE(1000, 4000)</f>
        <v>2500</v>
      </c>
      <c r="C31" s="44">
        <f>AVERAGE(100, 250)</f>
        <v>175</v>
      </c>
      <c r="D31" s="44">
        <v>5</v>
      </c>
      <c r="E31" s="45">
        <v>0.85</v>
      </c>
      <c r="F31" s="44">
        <v>200</v>
      </c>
      <c r="G31" s="46">
        <v>5000</v>
      </c>
      <c r="J31" s="44">
        <f>AVERAGE(5000, 4000000)</f>
        <v>2002500</v>
      </c>
      <c r="K31" s="44">
        <f>AVERAGE(5000, 4000000)</f>
        <v>2002500</v>
      </c>
      <c r="V31" s="99">
        <v>1</v>
      </c>
      <c r="W31" s="121">
        <v>0.5</v>
      </c>
      <c r="X31" s="132">
        <v>1000</v>
      </c>
      <c r="Y31" s="46" t="s">
        <v>249</v>
      </c>
    </row>
    <row r="32" spans="1:25">
      <c r="A32" t="s">
        <v>226</v>
      </c>
      <c r="B32" s="44">
        <f>AVERAGE(800, 1000)</f>
        <v>900</v>
      </c>
      <c r="C32" s="44">
        <f>AVERAGE(50, 150)</f>
        <v>100</v>
      </c>
      <c r="D32" s="44">
        <v>5</v>
      </c>
      <c r="E32" s="45">
        <v>0.6</v>
      </c>
      <c r="F32" s="46">
        <v>3</v>
      </c>
      <c r="G32" s="46">
        <v>400</v>
      </c>
      <c r="J32" s="44">
        <f>AVERAGE(50000, 300000)</f>
        <v>175000</v>
      </c>
      <c r="K32" s="44">
        <f>AVERAGE(100000, 500000)</f>
        <v>300000</v>
      </c>
      <c r="V32" s="99">
        <v>1</v>
      </c>
      <c r="W32" s="121">
        <v>0.5</v>
      </c>
      <c r="X32" s="132">
        <v>650</v>
      </c>
      <c r="Y32" s="48" t="s">
        <v>251</v>
      </c>
    </row>
    <row r="33" spans="1:25">
      <c r="A33" t="s">
        <v>229</v>
      </c>
      <c r="B33" s="44">
        <f>AVERAGE(2000, 4000)</f>
        <v>3000</v>
      </c>
      <c r="C33" s="44">
        <f>AVERAGE(1500, 3000)</f>
        <v>2250</v>
      </c>
      <c r="D33" s="44">
        <v>15</v>
      </c>
      <c r="E33" s="45">
        <v>0.95</v>
      </c>
      <c r="F33" s="44">
        <v>0.1</v>
      </c>
      <c r="G33" s="44">
        <v>200</v>
      </c>
      <c r="H33" s="44">
        <v>1</v>
      </c>
      <c r="I33" s="44">
        <v>25</v>
      </c>
      <c r="J33" s="44">
        <f>AVERAGE(100, 300)</f>
        <v>200</v>
      </c>
      <c r="K33" s="44">
        <f>AVERAGE(100, 300)</f>
        <v>200</v>
      </c>
      <c r="V33" s="54"/>
      <c r="W33" s="5"/>
      <c r="X33" s="132"/>
      <c r="Y33" s="98" t="s">
        <v>337</v>
      </c>
    </row>
    <row r="34" spans="1:25">
      <c r="A34" t="s">
        <v>227</v>
      </c>
      <c r="E34" s="12"/>
      <c r="V34" s="99">
        <v>1</v>
      </c>
      <c r="W34" s="121">
        <v>0.5</v>
      </c>
      <c r="X34" s="132">
        <v>1500</v>
      </c>
      <c r="Y34" s="131" t="s">
        <v>363</v>
      </c>
    </row>
    <row r="35" spans="1:25">
      <c r="A35" t="s">
        <v>275</v>
      </c>
      <c r="B35" s="44">
        <f>AVERAGE(300, 800)</f>
        <v>550</v>
      </c>
      <c r="C35" s="44">
        <f>AVERAGE(150, 500)</f>
        <v>325</v>
      </c>
      <c r="D35" s="44">
        <v>30</v>
      </c>
      <c r="E35" s="45">
        <v>0.9</v>
      </c>
      <c r="F35" s="44">
        <v>0</v>
      </c>
      <c r="G35" s="44">
        <v>10</v>
      </c>
      <c r="H35" s="44">
        <v>0.5</v>
      </c>
      <c r="I35" s="44">
        <v>10</v>
      </c>
      <c r="J35" s="44">
        <f>AVERAGE(0.1, 1.5)</f>
        <v>0.8</v>
      </c>
      <c r="K35" s="44">
        <f>AVERAGE(0.5, 2)</f>
        <v>1.25</v>
      </c>
      <c r="W35" s="5"/>
      <c r="X35" s="128"/>
      <c r="Y35" s="44" t="s">
        <v>364</v>
      </c>
    </row>
    <row r="36" spans="1:25">
      <c r="A36" t="s">
        <v>276</v>
      </c>
      <c r="B36" s="46">
        <f>AVERAGE(500, 1500)</f>
        <v>1000</v>
      </c>
      <c r="C36" s="46">
        <f>AVERAGE(800, 1500)</f>
        <v>1150</v>
      </c>
      <c r="E36" s="47">
        <v>0.65</v>
      </c>
      <c r="F36" s="46">
        <v>0</v>
      </c>
      <c r="G36" s="46">
        <v>40</v>
      </c>
    </row>
    <row r="37" spans="1:25">
      <c r="A37" t="s">
        <v>277</v>
      </c>
      <c r="B37" s="44">
        <f>AVERAGE(1000, 2000)</f>
        <v>1500</v>
      </c>
      <c r="C37" s="44">
        <f>AVERAGE(125, 250)</f>
        <v>187.5</v>
      </c>
      <c r="D37" s="44">
        <v>15</v>
      </c>
      <c r="E37" s="45">
        <v>0.9</v>
      </c>
      <c r="F37" s="46">
        <v>0.05</v>
      </c>
      <c r="G37" s="46">
        <v>8</v>
      </c>
      <c r="I37" s="5"/>
      <c r="J37" s="44">
        <v>50</v>
      </c>
      <c r="K37" s="44">
        <v>50</v>
      </c>
    </row>
    <row r="38" spans="1:25">
      <c r="A38" t="s">
        <v>278</v>
      </c>
      <c r="B38" s="44">
        <f>AVERAGE(400, 1000)</f>
        <v>700</v>
      </c>
      <c r="C38" s="44">
        <f>AVERAGE(500, 1500)</f>
        <v>1000</v>
      </c>
      <c r="D38" s="44">
        <v>25</v>
      </c>
      <c r="E38" s="45">
        <v>0.95</v>
      </c>
      <c r="F38" s="44">
        <v>0</v>
      </c>
      <c r="G38" s="44">
        <v>10</v>
      </c>
      <c r="H38" s="44">
        <v>0.5</v>
      </c>
      <c r="I38" s="44">
        <v>10</v>
      </c>
      <c r="J38" s="44">
        <f>AVERAGE(0.2, 2)</f>
        <v>1.1000000000000001</v>
      </c>
      <c r="K38" s="44">
        <f>AVERAGE(0.5, 10)</f>
        <v>5.25</v>
      </c>
    </row>
    <row r="39" spans="1:25">
      <c r="A39" t="s">
        <v>232</v>
      </c>
      <c r="B39" s="48">
        <f>AVERAGE(1000, 4000)</f>
        <v>2500</v>
      </c>
      <c r="C39" s="48">
        <f>AVERAGE(350, 800)</f>
        <v>575</v>
      </c>
      <c r="E39" s="49">
        <v>0.85</v>
      </c>
      <c r="F39">
        <v>0.05</v>
      </c>
      <c r="G39">
        <v>10</v>
      </c>
      <c r="H39">
        <v>20</v>
      </c>
      <c r="I39">
        <v>50</v>
      </c>
    </row>
    <row r="40" spans="1:25">
      <c r="A40" t="s">
        <v>230</v>
      </c>
      <c r="B40" s="46">
        <f>AVERAGE(500, 1500)</f>
        <v>1000</v>
      </c>
      <c r="C40" s="46">
        <f>AVERAGE(10, 20)</f>
        <v>15</v>
      </c>
      <c r="E40" s="47">
        <v>0.5</v>
      </c>
      <c r="F40" s="44">
        <v>0.1</v>
      </c>
      <c r="G40" s="44">
        <v>10</v>
      </c>
      <c r="J40" s="44">
        <f>AVERAGE(0.01, 5)</f>
        <v>2.5049999999999999</v>
      </c>
    </row>
    <row r="41" spans="1:25">
      <c r="A41" t="s">
        <v>234</v>
      </c>
      <c r="B41" s="44">
        <f>AVERAGE(1200, 2000)</f>
        <v>1600</v>
      </c>
      <c r="C41" s="44">
        <f>AVERAGE(350, 800)</f>
        <v>575</v>
      </c>
      <c r="D41" s="44">
        <v>30</v>
      </c>
      <c r="E41" s="45">
        <v>0.85</v>
      </c>
      <c r="F41" s="44">
        <v>2.5000000000000001E-2</v>
      </c>
      <c r="G41" s="44">
        <v>10</v>
      </c>
      <c r="H41" s="44">
        <v>20</v>
      </c>
      <c r="I41" s="44">
        <v>50</v>
      </c>
      <c r="J41" s="44">
        <f>AVERAGE(5, 20)</f>
        <v>12.5</v>
      </c>
      <c r="K41" s="44">
        <f>AVERAGE(5, 25)</f>
        <v>15</v>
      </c>
    </row>
    <row r="42" spans="1:25">
      <c r="A42" t="s">
        <v>235</v>
      </c>
      <c r="B42" s="46">
        <v>400</v>
      </c>
      <c r="C42" s="46">
        <v>1000</v>
      </c>
      <c r="E42" s="47">
        <v>0.65</v>
      </c>
      <c r="F42">
        <v>0</v>
      </c>
      <c r="G42" s="46">
        <v>0.05</v>
      </c>
    </row>
    <row r="43" spans="1:25">
      <c r="A43" t="s">
        <v>236</v>
      </c>
      <c r="B43" s="46">
        <v>300</v>
      </c>
      <c r="C43" s="46">
        <v>2000</v>
      </c>
      <c r="E43" s="47">
        <v>0.95</v>
      </c>
      <c r="F43" s="5">
        <v>0</v>
      </c>
      <c r="G43" s="46">
        <v>0.3</v>
      </c>
    </row>
    <row r="44" spans="1:25">
      <c r="A44" t="s">
        <v>233</v>
      </c>
      <c r="B44" s="46">
        <v>300</v>
      </c>
      <c r="C44" s="46">
        <v>10000</v>
      </c>
      <c r="E44" s="49">
        <v>0.95</v>
      </c>
      <c r="F44" s="46">
        <v>0.1</v>
      </c>
      <c r="G44" s="46">
        <v>10</v>
      </c>
    </row>
    <row r="45" spans="1:25">
      <c r="A45" t="s">
        <v>231</v>
      </c>
      <c r="B45" s="46">
        <f>AVERAGE(200, 300)</f>
        <v>250</v>
      </c>
      <c r="C45" s="46">
        <f>AVERAGE(3, 50)</f>
        <v>26.5</v>
      </c>
      <c r="E45" s="47">
        <v>0.6</v>
      </c>
      <c r="F45" s="46">
        <v>0</v>
      </c>
      <c r="G45" s="46">
        <v>300</v>
      </c>
    </row>
    <row r="46" spans="1:25">
      <c r="A46" s="43" t="s">
        <v>144</v>
      </c>
    </row>
    <row r="47" spans="1:25">
      <c r="F47" t="s">
        <v>200</v>
      </c>
      <c r="G47" s="22" t="s">
        <v>184</v>
      </c>
      <c r="H47" s="22" t="s">
        <v>164</v>
      </c>
      <c r="I47" s="23" t="s">
        <v>186</v>
      </c>
      <c r="J47" s="22"/>
      <c r="K47" s="22"/>
      <c r="Y47" t="s">
        <v>179</v>
      </c>
    </row>
    <row r="48" spans="1:25" ht="15.75" thickBot="1">
      <c r="A48" t="s">
        <v>145</v>
      </c>
      <c r="D48" t="s">
        <v>149</v>
      </c>
      <c r="G48" s="22"/>
      <c r="H48" s="22"/>
      <c r="I48" s="22"/>
      <c r="J48" s="22"/>
      <c r="K48" s="22"/>
    </row>
    <row r="49" spans="1:11">
      <c r="A49" t="s">
        <v>146</v>
      </c>
      <c r="D49" t="s">
        <v>150</v>
      </c>
      <c r="F49" s="21" t="s">
        <v>162</v>
      </c>
      <c r="G49" s="23" t="s">
        <v>165</v>
      </c>
      <c r="H49" s="23" t="s">
        <v>166</v>
      </c>
      <c r="I49" s="23" t="s">
        <v>188</v>
      </c>
      <c r="J49" s="24" t="s">
        <v>192</v>
      </c>
      <c r="K49" s="25" t="s">
        <v>197</v>
      </c>
    </row>
    <row r="50" spans="1:11" ht="15.75" thickBot="1">
      <c r="D50" t="s">
        <v>151</v>
      </c>
      <c r="F50" s="21" t="s">
        <v>167</v>
      </c>
      <c r="G50" s="23" t="s">
        <v>168</v>
      </c>
      <c r="H50" s="23" t="s">
        <v>169</v>
      </c>
      <c r="I50" s="23" t="s">
        <v>406</v>
      </c>
      <c r="J50" s="26" t="s">
        <v>193</v>
      </c>
      <c r="K50" s="25" t="s">
        <v>198</v>
      </c>
    </row>
    <row r="51" spans="1:11" ht="15.75" thickBot="1">
      <c r="A51" t="s">
        <v>147</v>
      </c>
      <c r="D51" t="s">
        <v>152</v>
      </c>
      <c r="F51" s="21"/>
      <c r="G51" s="23"/>
      <c r="H51" s="23"/>
      <c r="I51" s="22"/>
      <c r="J51" s="22"/>
      <c r="K51" s="22"/>
    </row>
    <row r="52" spans="1:11">
      <c r="A52" t="s">
        <v>148</v>
      </c>
      <c r="D52" t="s">
        <v>150</v>
      </c>
      <c r="F52" s="21" t="s">
        <v>170</v>
      </c>
      <c r="G52" s="23" t="s">
        <v>171</v>
      </c>
      <c r="H52" s="23" t="s">
        <v>172</v>
      </c>
      <c r="I52" s="23" t="s">
        <v>189</v>
      </c>
      <c r="J52" s="24" t="s">
        <v>194</v>
      </c>
      <c r="K52" s="22"/>
    </row>
    <row r="53" spans="1:11" ht="15.75" thickBot="1">
      <c r="D53" t="s">
        <v>151</v>
      </c>
      <c r="F53" s="21" t="s">
        <v>173</v>
      </c>
      <c r="G53" s="23" t="s">
        <v>174</v>
      </c>
      <c r="H53" s="23" t="s">
        <v>175</v>
      </c>
      <c r="I53" s="23" t="s">
        <v>190</v>
      </c>
      <c r="J53" s="26" t="s">
        <v>195</v>
      </c>
      <c r="K53" s="22"/>
    </row>
    <row r="54" spans="1:11">
      <c r="A54" t="s">
        <v>161</v>
      </c>
      <c r="D54" t="s">
        <v>153</v>
      </c>
      <c r="F54" s="21" t="s">
        <v>176</v>
      </c>
      <c r="G54" s="23" t="s">
        <v>177</v>
      </c>
      <c r="H54" s="23" t="s">
        <v>172</v>
      </c>
      <c r="I54" s="23" t="s">
        <v>191</v>
      </c>
      <c r="J54" s="22"/>
      <c r="K54" s="23" t="s">
        <v>199</v>
      </c>
    </row>
    <row r="55" spans="1:11" ht="15.75" thickBot="1">
      <c r="F55" s="21"/>
      <c r="G55" s="23"/>
      <c r="H55" s="23"/>
      <c r="I55" s="22"/>
      <c r="J55" s="22"/>
      <c r="K55" s="22"/>
    </row>
    <row r="56" spans="1:11">
      <c r="A56" t="s">
        <v>183</v>
      </c>
      <c r="D56" t="s">
        <v>154</v>
      </c>
      <c r="F56" t="s">
        <v>163</v>
      </c>
      <c r="G56" s="23" t="s">
        <v>178</v>
      </c>
      <c r="H56" s="23" t="s">
        <v>186</v>
      </c>
      <c r="I56" s="27" t="s">
        <v>185</v>
      </c>
      <c r="J56" s="22"/>
      <c r="K56" s="22" t="s">
        <v>196</v>
      </c>
    </row>
    <row r="57" spans="1:11" ht="15.75" thickBot="1">
      <c r="A57" t="s">
        <v>180</v>
      </c>
      <c r="D57" t="s">
        <v>155</v>
      </c>
      <c r="F57" s="20">
        <v>100</v>
      </c>
      <c r="G57" s="28">
        <v>10</v>
      </c>
      <c r="H57" s="29">
        <f>F57%*G57%</f>
        <v>0.1</v>
      </c>
      <c r="I57" s="30">
        <f>AVERAGE(H57:H59)</f>
        <v>0.06</v>
      </c>
      <c r="J57" s="22"/>
      <c r="K57" s="22"/>
    </row>
    <row r="58" spans="1:11">
      <c r="A58" t="s">
        <v>181</v>
      </c>
      <c r="D58" t="s">
        <v>156</v>
      </c>
      <c r="F58" s="20">
        <v>3</v>
      </c>
      <c r="G58" s="28">
        <v>100</v>
      </c>
      <c r="H58" s="29">
        <f>F58%*G58%</f>
        <v>0.03</v>
      </c>
      <c r="I58" s="22"/>
      <c r="J58" s="23"/>
      <c r="K58" s="22"/>
    </row>
    <row r="59" spans="1:11">
      <c r="A59" t="s">
        <v>182</v>
      </c>
      <c r="D59" t="s">
        <v>157</v>
      </c>
      <c r="F59" s="20">
        <v>5</v>
      </c>
      <c r="G59" s="28">
        <v>100</v>
      </c>
      <c r="H59" s="29">
        <f>F59%*G59%</f>
        <v>0.05</v>
      </c>
      <c r="I59" s="22"/>
      <c r="J59" s="22"/>
      <c r="K59" s="22"/>
    </row>
    <row r="60" spans="1:11" ht="15.75" thickBot="1">
      <c r="A60" t="s">
        <v>187</v>
      </c>
      <c r="D60" t="s">
        <v>158</v>
      </c>
      <c r="F60" s="21"/>
      <c r="G60" s="23"/>
      <c r="H60" s="29"/>
      <c r="I60" s="22"/>
      <c r="J60" s="22"/>
      <c r="K60" s="22"/>
    </row>
    <row r="61" spans="1:11" ht="15.75" thickBot="1">
      <c r="D61" t="s">
        <v>159</v>
      </c>
      <c r="F61" s="20">
        <v>5</v>
      </c>
      <c r="G61" s="28">
        <v>25</v>
      </c>
      <c r="H61" s="31">
        <f>F61%*G61%</f>
        <v>1.2500000000000001E-2</v>
      </c>
      <c r="I61" s="22"/>
      <c r="J61" s="22"/>
      <c r="K61" s="22"/>
    </row>
    <row r="62" spans="1:11">
      <c r="D62" t="s">
        <v>160</v>
      </c>
      <c r="F62" s="20">
        <v>5</v>
      </c>
      <c r="G62" s="28">
        <v>25</v>
      </c>
      <c r="H62" s="32">
        <f>F62%*G62%</f>
        <v>1.2500000000000001E-2</v>
      </c>
      <c r="I62" s="22"/>
      <c r="J62" s="22"/>
      <c r="K62" s="22"/>
    </row>
    <row r="64" spans="1:11">
      <c r="A64" s="43" t="s">
        <v>24</v>
      </c>
    </row>
    <row r="65" spans="1:25">
      <c r="B65" t="s">
        <v>48</v>
      </c>
    </row>
    <row r="66" spans="1:25">
      <c r="A66" t="s">
        <v>47</v>
      </c>
      <c r="B66" s="14">
        <v>8.9999999999999993E-3</v>
      </c>
      <c r="Y66" s="14" t="s">
        <v>50</v>
      </c>
    </row>
    <row r="68" spans="1:25">
      <c r="C68" t="s">
        <v>57</v>
      </c>
    </row>
    <row r="69" spans="1:25">
      <c r="A69" t="s">
        <v>46</v>
      </c>
      <c r="B69" t="s">
        <v>49</v>
      </c>
      <c r="C69" t="s">
        <v>59</v>
      </c>
    </row>
    <row r="70" spans="1:25">
      <c r="A70" t="s">
        <v>395</v>
      </c>
      <c r="B70" s="139">
        <f>B72</f>
        <v>596331.41536281956</v>
      </c>
      <c r="Y70" s="16" t="s">
        <v>58</v>
      </c>
    </row>
    <row r="71" spans="1:25">
      <c r="A71" t="s">
        <v>394</v>
      </c>
      <c r="B71" s="139">
        <f>B73</f>
        <v>954677.07258876308</v>
      </c>
    </row>
    <row r="72" spans="1:25">
      <c r="A72" t="s">
        <v>51</v>
      </c>
      <c r="B72" s="15">
        <f>959700/1.60934</f>
        <v>596331.41536281956</v>
      </c>
    </row>
    <row r="73" spans="1:25">
      <c r="A73" t="s">
        <v>52</v>
      </c>
      <c r="B73" s="15">
        <f>1536400/1.60934</f>
        <v>954677.07258876308</v>
      </c>
    </row>
    <row r="74" spans="1:25">
      <c r="A74" t="s">
        <v>53</v>
      </c>
      <c r="B74" s="15">
        <f>1919450/1.60934</f>
        <v>1192693.8993624717</v>
      </c>
    </row>
    <row r="75" spans="1:25">
      <c r="A75" t="s">
        <v>54</v>
      </c>
      <c r="B75" s="15">
        <f>3071750/1.60934</f>
        <v>1908701.7038040438</v>
      </c>
    </row>
    <row r="76" spans="1:25">
      <c r="A76" t="s">
        <v>55</v>
      </c>
      <c r="B76" s="15">
        <f>1536400/1.60934</f>
        <v>954677.07258876308</v>
      </c>
    </row>
    <row r="77" spans="1:25">
      <c r="A77" t="s">
        <v>56</v>
      </c>
      <c r="B77" s="15">
        <f>1613200/1.60934</f>
        <v>1002398.4987634682</v>
      </c>
    </row>
    <row r="79" spans="1:25">
      <c r="A79" s="43" t="s">
        <v>18</v>
      </c>
      <c r="B79" t="s">
        <v>219</v>
      </c>
    </row>
    <row r="81" spans="1:25">
      <c r="A81" s="43" t="s">
        <v>19</v>
      </c>
      <c r="B81" t="s">
        <v>220</v>
      </c>
    </row>
    <row r="83" spans="1:25">
      <c r="A83" s="43" t="s">
        <v>81</v>
      </c>
    </row>
    <row r="85" spans="1:25">
      <c r="A85" t="s">
        <v>26</v>
      </c>
      <c r="B85" t="s">
        <v>88</v>
      </c>
      <c r="C85" t="s">
        <v>115</v>
      </c>
      <c r="D85" t="s">
        <v>90</v>
      </c>
      <c r="E85" t="s">
        <v>91</v>
      </c>
      <c r="F85" t="s">
        <v>121</v>
      </c>
      <c r="G85" t="s">
        <v>95</v>
      </c>
      <c r="H85" t="s">
        <v>96</v>
      </c>
      <c r="Y85" t="s">
        <v>124</v>
      </c>
    </row>
    <row r="86" spans="1:25">
      <c r="A86" t="s">
        <v>93</v>
      </c>
      <c r="B86">
        <v>43300</v>
      </c>
      <c r="C86">
        <v>7500</v>
      </c>
      <c r="D86" t="s">
        <v>94</v>
      </c>
      <c r="E86">
        <v>4</v>
      </c>
      <c r="F86" s="12">
        <f>81*1.60934</f>
        <v>130.35654</v>
      </c>
      <c r="G86">
        <v>22</v>
      </c>
      <c r="H86">
        <v>6.6</v>
      </c>
    </row>
    <row r="87" spans="1:25">
      <c r="A87" t="s">
        <v>97</v>
      </c>
      <c r="B87">
        <v>26000</v>
      </c>
      <c r="C87">
        <v>7500</v>
      </c>
      <c r="D87" t="s">
        <v>98</v>
      </c>
      <c r="E87">
        <v>4</v>
      </c>
      <c r="F87" s="12">
        <f>82*1.60934</f>
        <v>131.96588</v>
      </c>
      <c r="G87">
        <v>19</v>
      </c>
      <c r="H87">
        <v>3.3</v>
      </c>
    </row>
    <row r="88" spans="1:25">
      <c r="A88" t="s">
        <v>99</v>
      </c>
      <c r="B88">
        <v>32600</v>
      </c>
      <c r="C88">
        <v>7500</v>
      </c>
      <c r="D88" t="s">
        <v>94</v>
      </c>
      <c r="E88">
        <v>4</v>
      </c>
      <c r="F88" s="12">
        <f>87*1.60934</f>
        <v>140.01257999999999</v>
      </c>
      <c r="G88">
        <v>24</v>
      </c>
      <c r="H88">
        <v>6.6</v>
      </c>
    </row>
    <row r="89" spans="1:25">
      <c r="A89" t="s">
        <v>101</v>
      </c>
      <c r="B89">
        <v>30000</v>
      </c>
      <c r="C89">
        <v>7500</v>
      </c>
      <c r="D89" t="s">
        <v>94</v>
      </c>
      <c r="E89">
        <v>5</v>
      </c>
      <c r="F89" s="12">
        <f>76*1.60934</f>
        <v>122.30983999999999</v>
      </c>
      <c r="G89">
        <v>23</v>
      </c>
      <c r="H89">
        <v>6.6</v>
      </c>
    </row>
    <row r="90" spans="1:25">
      <c r="A90" t="s">
        <v>102</v>
      </c>
      <c r="B90">
        <v>34500</v>
      </c>
      <c r="C90">
        <v>7500</v>
      </c>
      <c r="D90" t="s">
        <v>94</v>
      </c>
      <c r="E90">
        <v>5</v>
      </c>
      <c r="F90" s="12">
        <f>93*1.60934</f>
        <v>149.66862</v>
      </c>
      <c r="G90">
        <v>27</v>
      </c>
      <c r="H90">
        <v>6.6</v>
      </c>
    </row>
    <row r="91" spans="1:25">
      <c r="A91" t="s">
        <v>103</v>
      </c>
      <c r="B91">
        <v>42400</v>
      </c>
      <c r="C91">
        <v>7500</v>
      </c>
      <c r="D91" t="s">
        <v>94</v>
      </c>
      <c r="E91">
        <v>5</v>
      </c>
      <c r="F91" s="12">
        <f>85*1.60934</f>
        <v>136.79390000000001</v>
      </c>
      <c r="G91">
        <v>28</v>
      </c>
      <c r="H91" s="19">
        <v>10</v>
      </c>
    </row>
    <row r="92" spans="1:25">
      <c r="A92" t="s">
        <v>104</v>
      </c>
      <c r="B92">
        <v>23800</v>
      </c>
      <c r="C92">
        <v>7500</v>
      </c>
      <c r="D92" t="s">
        <v>94</v>
      </c>
      <c r="E92">
        <v>4</v>
      </c>
      <c r="F92" s="12">
        <f>62*1.60934</f>
        <v>99.779079999999993</v>
      </c>
      <c r="G92">
        <v>16</v>
      </c>
      <c r="H92">
        <v>3.3</v>
      </c>
    </row>
    <row r="93" spans="1:25">
      <c r="A93" t="s">
        <v>105</v>
      </c>
      <c r="B93">
        <v>29800</v>
      </c>
      <c r="C93">
        <v>7500</v>
      </c>
      <c r="D93" t="s">
        <v>94</v>
      </c>
      <c r="E93">
        <v>5</v>
      </c>
      <c r="F93" s="12">
        <f>84*1.60934</f>
        <v>135.18456</v>
      </c>
      <c r="G93">
        <v>24</v>
      </c>
      <c r="H93">
        <v>6.6</v>
      </c>
    </row>
    <row r="94" spans="1:25">
      <c r="A94" t="s">
        <v>106</v>
      </c>
      <c r="B94">
        <v>25700</v>
      </c>
      <c r="C94">
        <v>7500</v>
      </c>
      <c r="D94" t="s">
        <v>98</v>
      </c>
      <c r="E94">
        <v>2</v>
      </c>
      <c r="F94" s="12">
        <f>68*1.60934</f>
        <v>109.43512</v>
      </c>
      <c r="G94">
        <v>17</v>
      </c>
      <c r="H94">
        <v>3.3</v>
      </c>
    </row>
    <row r="95" spans="1:25">
      <c r="A95" t="s">
        <v>107</v>
      </c>
      <c r="B95">
        <v>71000</v>
      </c>
      <c r="C95">
        <v>7500</v>
      </c>
      <c r="D95" t="s">
        <v>94</v>
      </c>
      <c r="E95">
        <v>5</v>
      </c>
      <c r="F95" s="12">
        <f>265*1.60934</f>
        <v>426.4751</v>
      </c>
      <c r="G95">
        <v>85</v>
      </c>
      <c r="H95" s="19">
        <v>10</v>
      </c>
    </row>
    <row r="96" spans="1:25">
      <c r="A96" t="s">
        <v>108</v>
      </c>
      <c r="B96">
        <v>36300</v>
      </c>
      <c r="C96">
        <v>7500</v>
      </c>
      <c r="D96" t="s">
        <v>94</v>
      </c>
      <c r="E96">
        <v>5</v>
      </c>
      <c r="F96" s="12">
        <f>83*1.60934</f>
        <v>133.57522</v>
      </c>
      <c r="G96">
        <v>24</v>
      </c>
      <c r="H96">
        <v>7.2</v>
      </c>
    </row>
    <row r="97" spans="1:25">
      <c r="A97" t="s">
        <v>109</v>
      </c>
      <c r="B97">
        <v>80000</v>
      </c>
      <c r="C97">
        <v>7500</v>
      </c>
      <c r="D97" t="s">
        <v>110</v>
      </c>
      <c r="E97">
        <v>7</v>
      </c>
      <c r="F97" s="12">
        <f>230*1.60934</f>
        <v>370.14819999999997</v>
      </c>
      <c r="G97">
        <v>85</v>
      </c>
      <c r="H97" s="19">
        <v>10</v>
      </c>
    </row>
    <row r="99" spans="1:25">
      <c r="A99" t="s">
        <v>122</v>
      </c>
      <c r="B99" t="s">
        <v>88</v>
      </c>
      <c r="C99" t="s">
        <v>123</v>
      </c>
      <c r="D99" t="s">
        <v>90</v>
      </c>
      <c r="E99" t="s">
        <v>91</v>
      </c>
      <c r="F99" t="s">
        <v>116</v>
      </c>
      <c r="G99" t="s">
        <v>112</v>
      </c>
    </row>
    <row r="100" spans="1:25">
      <c r="A100" t="s">
        <v>111</v>
      </c>
      <c r="B100">
        <v>14930</v>
      </c>
      <c r="D100" t="s">
        <v>98</v>
      </c>
      <c r="E100">
        <v>2</v>
      </c>
      <c r="F100" t="s">
        <v>113</v>
      </c>
      <c r="G100" t="s">
        <v>114</v>
      </c>
      <c r="Y100" t="s">
        <v>125</v>
      </c>
    </row>
    <row r="101" spans="1:25">
      <c r="A101" t="s">
        <v>127</v>
      </c>
      <c r="B101">
        <v>16745</v>
      </c>
      <c r="D101" t="s">
        <v>94</v>
      </c>
      <c r="E101">
        <v>4</v>
      </c>
      <c r="F101" t="s">
        <v>128</v>
      </c>
      <c r="Y101" t="s">
        <v>129</v>
      </c>
    </row>
    <row r="102" spans="1:25">
      <c r="A102" t="s">
        <v>100</v>
      </c>
      <c r="B102">
        <v>17170</v>
      </c>
      <c r="D102" t="s">
        <v>94</v>
      </c>
      <c r="E102">
        <v>5</v>
      </c>
      <c r="F102" t="s">
        <v>117</v>
      </c>
      <c r="Y102" t="s">
        <v>126</v>
      </c>
    </row>
    <row r="103" spans="1:25">
      <c r="A103" t="s">
        <v>118</v>
      </c>
      <c r="B103">
        <v>30700</v>
      </c>
      <c r="D103" t="s">
        <v>119</v>
      </c>
      <c r="E103">
        <v>7</v>
      </c>
      <c r="F103" t="s">
        <v>120</v>
      </c>
      <c r="Y103" t="s">
        <v>125</v>
      </c>
    </row>
    <row r="105" spans="1:25">
      <c r="H105" t="s">
        <v>71</v>
      </c>
      <c r="I105" t="s">
        <v>84</v>
      </c>
      <c r="Y105" t="s">
        <v>85</v>
      </c>
    </row>
    <row r="106" spans="1:25">
      <c r="A106" t="s">
        <v>130</v>
      </c>
      <c r="B106" t="s">
        <v>70</v>
      </c>
      <c r="H106" t="s">
        <v>72</v>
      </c>
      <c r="I106">
        <v>8.6</v>
      </c>
    </row>
    <row r="107" spans="1:25">
      <c r="H107" t="s">
        <v>73</v>
      </c>
      <c r="I107">
        <v>9.9</v>
      </c>
    </row>
    <row r="108" spans="1:25">
      <c r="H108" t="s">
        <v>74</v>
      </c>
      <c r="I108">
        <v>12.5</v>
      </c>
    </row>
    <row r="109" spans="1:25">
      <c r="H109" t="s">
        <v>75</v>
      </c>
      <c r="I109">
        <v>15.2</v>
      </c>
    </row>
    <row r="110" spans="1:25">
      <c r="B110" t="s">
        <v>65</v>
      </c>
      <c r="D110" t="s">
        <v>77</v>
      </c>
      <c r="Y110" t="s">
        <v>86</v>
      </c>
    </row>
    <row r="111" spans="1:25">
      <c r="D111" t="s">
        <v>76</v>
      </c>
    </row>
    <row r="112" spans="1:25">
      <c r="D112" t="s">
        <v>87</v>
      </c>
    </row>
    <row r="113" spans="1:25">
      <c r="B113" t="s">
        <v>60</v>
      </c>
      <c r="D113" t="s">
        <v>62</v>
      </c>
    </row>
    <row r="114" spans="1:25">
      <c r="B114" t="s">
        <v>61</v>
      </c>
      <c r="D114" t="s">
        <v>68</v>
      </c>
    </row>
    <row r="115" spans="1:25">
      <c r="B115" t="s">
        <v>63</v>
      </c>
      <c r="D115" t="s">
        <v>64</v>
      </c>
    </row>
    <row r="116" spans="1:25">
      <c r="D116" t="s">
        <v>69</v>
      </c>
    </row>
    <row r="118" spans="1:25">
      <c r="B118" t="s">
        <v>88</v>
      </c>
      <c r="C118" t="s">
        <v>89</v>
      </c>
      <c r="D118" t="s">
        <v>90</v>
      </c>
      <c r="E118" t="s">
        <v>91</v>
      </c>
      <c r="F118" t="s">
        <v>132</v>
      </c>
      <c r="G118" t="s">
        <v>133</v>
      </c>
      <c r="H118" t="s">
        <v>92</v>
      </c>
      <c r="Y118" t="s">
        <v>124</v>
      </c>
    </row>
    <row r="119" spans="1:25">
      <c r="A119" t="s">
        <v>131</v>
      </c>
      <c r="B119">
        <v>76000</v>
      </c>
      <c r="C119">
        <v>7500</v>
      </c>
      <c r="D119" t="s">
        <v>98</v>
      </c>
      <c r="E119">
        <v>4</v>
      </c>
      <c r="F119" s="12">
        <f>37*1.60934</f>
        <v>59.545580000000001</v>
      </c>
      <c r="G119">
        <v>17</v>
      </c>
      <c r="H119">
        <v>3.3</v>
      </c>
    </row>
    <row r="120" spans="1:25">
      <c r="A120" t="s">
        <v>134</v>
      </c>
      <c r="B120">
        <v>35200</v>
      </c>
      <c r="C120">
        <v>7500</v>
      </c>
      <c r="D120" t="s">
        <v>94</v>
      </c>
      <c r="E120">
        <v>4</v>
      </c>
      <c r="F120" s="12">
        <f>38*1.60934</f>
        <v>61.154919999999997</v>
      </c>
      <c r="G120">
        <v>17</v>
      </c>
      <c r="H120">
        <v>3.3</v>
      </c>
    </row>
    <row r="121" spans="1:25">
      <c r="A121" t="s">
        <v>135</v>
      </c>
      <c r="B121">
        <v>32600</v>
      </c>
      <c r="C121">
        <v>3700</v>
      </c>
      <c r="D121" t="s">
        <v>136</v>
      </c>
      <c r="E121">
        <v>5</v>
      </c>
      <c r="F121" s="12">
        <f>20*1.60934</f>
        <v>32.186799999999998</v>
      </c>
      <c r="G121">
        <v>8</v>
      </c>
      <c r="H121">
        <v>3.3</v>
      </c>
    </row>
    <row r="122" spans="1:25">
      <c r="A122" t="s">
        <v>137</v>
      </c>
      <c r="B122">
        <v>35600</v>
      </c>
      <c r="C122">
        <v>3700</v>
      </c>
      <c r="D122" t="s">
        <v>94</v>
      </c>
      <c r="E122">
        <v>5</v>
      </c>
      <c r="F122" s="12">
        <f>20*1.60934</f>
        <v>32.186799999999998</v>
      </c>
      <c r="G122">
        <v>7</v>
      </c>
      <c r="H122">
        <v>3.3</v>
      </c>
    </row>
    <row r="123" spans="1:25">
      <c r="A123" t="s">
        <v>138</v>
      </c>
      <c r="B123">
        <v>40700</v>
      </c>
      <c r="C123">
        <v>3700</v>
      </c>
      <c r="D123" t="s">
        <v>94</v>
      </c>
      <c r="E123">
        <v>2</v>
      </c>
      <c r="F123" s="12">
        <f>13*1.60934</f>
        <v>20.921420000000001</v>
      </c>
      <c r="G123">
        <v>7</v>
      </c>
      <c r="H123">
        <v>6.6</v>
      </c>
    </row>
    <row r="124" spans="1:25">
      <c r="A124" t="s">
        <v>140</v>
      </c>
      <c r="B124">
        <v>78000</v>
      </c>
      <c r="C124">
        <v>5300</v>
      </c>
      <c r="D124" t="s">
        <v>110</v>
      </c>
      <c r="E124">
        <v>5</v>
      </c>
      <c r="F124" s="12">
        <f>14*1.60934</f>
        <v>22.530760000000001</v>
      </c>
      <c r="G124">
        <v>11</v>
      </c>
      <c r="H124">
        <v>3.6</v>
      </c>
    </row>
    <row r="125" spans="1:25">
      <c r="A125" t="s">
        <v>139</v>
      </c>
      <c r="B125">
        <v>100000</v>
      </c>
      <c r="C125">
        <v>4700</v>
      </c>
      <c r="D125" t="s">
        <v>110</v>
      </c>
      <c r="E125">
        <v>4</v>
      </c>
      <c r="F125" s="12">
        <f>15*1.60934</f>
        <v>24.1401</v>
      </c>
      <c r="G125">
        <v>9</v>
      </c>
      <c r="H125" s="19">
        <v>3</v>
      </c>
    </row>
    <row r="126" spans="1:25">
      <c r="A126" t="s">
        <v>141</v>
      </c>
      <c r="B126">
        <v>30800</v>
      </c>
      <c r="C126">
        <v>2500</v>
      </c>
      <c r="D126" t="s">
        <v>94</v>
      </c>
      <c r="E126">
        <v>5</v>
      </c>
      <c r="F126" s="12">
        <f>11*1.60934</f>
        <v>17.702739999999999</v>
      </c>
      <c r="G126">
        <v>4</v>
      </c>
      <c r="H126">
        <v>3.3</v>
      </c>
    </row>
    <row r="128" spans="1:25">
      <c r="A128" t="s">
        <v>80</v>
      </c>
      <c r="B128" t="s">
        <v>142</v>
      </c>
      <c r="Y128" t="s">
        <v>82</v>
      </c>
    </row>
    <row r="129" spans="2:25">
      <c r="B129" t="s">
        <v>78</v>
      </c>
    </row>
    <row r="130" spans="2:25">
      <c r="B130" t="s">
        <v>66</v>
      </c>
    </row>
    <row r="131" spans="2:25">
      <c r="B131" t="s">
        <v>67</v>
      </c>
    </row>
    <row r="132" spans="2:25">
      <c r="B132" t="s">
        <v>79</v>
      </c>
    </row>
    <row r="134" spans="2:25">
      <c r="B134" t="s">
        <v>143</v>
      </c>
      <c r="Y134" s="18" t="s">
        <v>83</v>
      </c>
    </row>
  </sheetData>
  <hyperlinks>
    <hyperlink ref="Y134" r:id="rId1" xr:uid="{00000000-0004-0000-0100-000000000000}"/>
  </hyperlinks>
  <pageMargins left="0.25" right="0.25" top="0.75" bottom="0.75" header="0.3" footer="0.3"/>
  <pageSetup scale="52" fitToHeight="2" orientation="landscape"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6BA9C-B77F-48E0-A90F-13C7AEB4E28A}">
  <dimension ref="A1:O114"/>
  <sheetViews>
    <sheetView zoomScale="80" zoomScaleNormal="80" workbookViewId="0">
      <selection activeCell="K19" sqref="K19"/>
    </sheetView>
  </sheetViews>
  <sheetFormatPr defaultRowHeight="15"/>
  <cols>
    <col min="1" max="1" width="12.5703125" style="185" customWidth="1"/>
    <col min="2" max="2" width="26" style="185" customWidth="1"/>
    <col min="3" max="3" width="16.28515625" style="185" customWidth="1"/>
    <col min="4" max="4" width="12.7109375" style="185" bestFit="1" customWidth="1"/>
    <col min="5" max="5" width="17.85546875" style="185" customWidth="1"/>
    <col min="6" max="6" width="12.7109375" style="185" customWidth="1"/>
    <col min="7" max="7" width="23" style="185" customWidth="1"/>
    <col min="8" max="8" width="18.85546875" style="185" customWidth="1"/>
    <col min="9" max="9" width="20.85546875" style="185" customWidth="1"/>
    <col min="10" max="10" width="16.5703125" style="185" customWidth="1"/>
    <col min="11" max="11" width="12.140625" style="185" customWidth="1"/>
    <col min="12" max="12" width="9.140625" style="185" customWidth="1"/>
    <col min="13" max="16384" width="9.140625" style="185"/>
  </cols>
  <sheetData>
    <row r="1" spans="1:14" ht="19.5" thickBot="1">
      <c r="A1" s="59" t="s">
        <v>307</v>
      </c>
    </row>
    <row r="2" spans="1:14" ht="31.5" customHeight="1">
      <c r="A2" s="73"/>
      <c r="B2" s="225" t="s">
        <v>308</v>
      </c>
      <c r="C2" s="225"/>
      <c r="D2" s="226" t="s">
        <v>309</v>
      </c>
      <c r="E2" s="226"/>
      <c r="F2" s="227" t="s">
        <v>319</v>
      </c>
      <c r="G2" s="227"/>
      <c r="H2" s="227"/>
      <c r="I2" s="228"/>
      <c r="J2" s="54"/>
      <c r="K2" s="212"/>
      <c r="L2" s="213"/>
    </row>
    <row r="3" spans="1:14" ht="33" customHeight="1">
      <c r="A3" s="78" t="s">
        <v>333</v>
      </c>
      <c r="B3" s="214" t="s">
        <v>295</v>
      </c>
      <c r="C3" s="214" t="s">
        <v>306</v>
      </c>
      <c r="D3" s="215" t="s">
        <v>310</v>
      </c>
      <c r="E3" s="215" t="s">
        <v>311</v>
      </c>
      <c r="F3" s="202" t="s">
        <v>292</v>
      </c>
      <c r="G3" s="202" t="s">
        <v>320</v>
      </c>
      <c r="H3" s="202" t="s">
        <v>293</v>
      </c>
      <c r="I3" s="216" t="s">
        <v>325</v>
      </c>
      <c r="J3" s="54"/>
      <c r="K3" s="54"/>
      <c r="L3" s="54"/>
      <c r="M3" s="54"/>
      <c r="N3" s="54"/>
    </row>
    <row r="4" spans="1:14" ht="33" customHeight="1" thickBot="1">
      <c r="A4" s="78"/>
      <c r="B4" s="217" t="s">
        <v>321</v>
      </c>
      <c r="C4" s="217" t="s">
        <v>321</v>
      </c>
      <c r="D4" s="218" t="s">
        <v>313</v>
      </c>
      <c r="E4" s="218" t="s">
        <v>313</v>
      </c>
      <c r="F4" s="219" t="s">
        <v>328</v>
      </c>
      <c r="G4" s="219" t="s">
        <v>328</v>
      </c>
      <c r="H4" s="219" t="s">
        <v>328</v>
      </c>
      <c r="I4" s="220" t="s">
        <v>328</v>
      </c>
      <c r="J4" s="54"/>
      <c r="K4" s="54"/>
      <c r="L4" s="54"/>
      <c r="M4" s="54"/>
      <c r="N4" s="54"/>
    </row>
    <row r="5" spans="1:14">
      <c r="A5" s="78" t="s">
        <v>20</v>
      </c>
      <c r="B5" s="54">
        <v>54</v>
      </c>
      <c r="D5" s="54">
        <v>24</v>
      </c>
      <c r="E5" s="54">
        <v>12</v>
      </c>
      <c r="F5" s="54">
        <v>0.1</v>
      </c>
      <c r="G5" s="54">
        <v>-0.1</v>
      </c>
      <c r="H5" s="145"/>
      <c r="I5" s="146"/>
      <c r="J5" s="54"/>
      <c r="K5" s="54"/>
      <c r="L5" s="54"/>
      <c r="M5" s="54"/>
      <c r="N5" s="54"/>
    </row>
    <row r="6" spans="1:14">
      <c r="A6" s="78" t="s">
        <v>423</v>
      </c>
      <c r="B6" s="54"/>
      <c r="D6" s="54"/>
      <c r="E6" s="54"/>
      <c r="F6" s="54"/>
      <c r="G6" s="54"/>
      <c r="H6" s="145" t="s">
        <v>801</v>
      </c>
      <c r="I6" s="146"/>
      <c r="J6" s="54"/>
      <c r="K6" s="54"/>
      <c r="L6" s="54"/>
      <c r="M6" s="54"/>
      <c r="N6" s="54"/>
    </row>
    <row r="7" spans="1:14">
      <c r="A7" s="78" t="s">
        <v>416</v>
      </c>
      <c r="B7" s="54">
        <v>66</v>
      </c>
      <c r="D7" s="54">
        <v>8</v>
      </c>
      <c r="E7" s="54">
        <v>4</v>
      </c>
      <c r="F7" s="54">
        <v>0.25</v>
      </c>
      <c r="G7" s="54">
        <v>-0.25</v>
      </c>
      <c r="H7" s="145"/>
      <c r="I7" s="146"/>
      <c r="J7" s="54"/>
      <c r="K7" s="54"/>
      <c r="L7" s="54"/>
      <c r="M7" s="54"/>
      <c r="N7" s="54"/>
    </row>
    <row r="8" spans="1:14">
      <c r="A8" s="78" t="s">
        <v>424</v>
      </c>
      <c r="B8" s="54">
        <v>26</v>
      </c>
      <c r="D8" s="54">
        <v>1</v>
      </c>
      <c r="E8" s="54">
        <v>1</v>
      </c>
      <c r="F8" s="54">
        <v>1</v>
      </c>
      <c r="G8" s="54">
        <v>-1</v>
      </c>
      <c r="H8" s="145"/>
      <c r="I8" s="146"/>
      <c r="J8" s="54"/>
      <c r="K8" s="54"/>
      <c r="L8" s="54"/>
      <c r="M8" s="54"/>
      <c r="N8" s="54"/>
    </row>
    <row r="9" spans="1:14">
      <c r="A9" s="78" t="s">
        <v>417</v>
      </c>
      <c r="B9" s="54">
        <v>26</v>
      </c>
      <c r="D9" s="54">
        <v>1</v>
      </c>
      <c r="E9" s="54">
        <v>1</v>
      </c>
      <c r="F9" s="54">
        <v>1</v>
      </c>
      <c r="G9" s="54">
        <v>-1</v>
      </c>
      <c r="H9" s="145"/>
      <c r="I9" s="146"/>
      <c r="J9" s="54"/>
      <c r="K9" s="54"/>
      <c r="L9" s="54"/>
      <c r="M9" s="54"/>
      <c r="N9" s="54"/>
    </row>
    <row r="10" spans="1:14">
      <c r="A10" s="78" t="s">
        <v>209</v>
      </c>
      <c r="B10" s="54"/>
      <c r="D10" s="54">
        <v>1</v>
      </c>
      <c r="E10" s="54">
        <v>1</v>
      </c>
      <c r="F10" s="54">
        <v>0.25</v>
      </c>
      <c r="G10" s="54">
        <v>-0.25</v>
      </c>
      <c r="I10" s="146"/>
      <c r="J10" s="54"/>
      <c r="K10" s="54"/>
      <c r="L10" s="54"/>
      <c r="M10" s="54"/>
      <c r="N10" s="54"/>
    </row>
    <row r="11" spans="1:14">
      <c r="A11" s="78" t="s">
        <v>228</v>
      </c>
      <c r="B11" s="54"/>
      <c r="D11" s="54">
        <v>1</v>
      </c>
      <c r="E11" s="54">
        <v>1</v>
      </c>
      <c r="F11" s="54">
        <v>0.25</v>
      </c>
      <c r="G11" s="54">
        <v>-0.25</v>
      </c>
      <c r="H11" s="145"/>
      <c r="I11" s="146"/>
      <c r="J11" s="54"/>
      <c r="K11" s="54"/>
      <c r="L11" s="54"/>
      <c r="M11" s="54"/>
      <c r="N11" s="54"/>
    </row>
    <row r="12" spans="1:14">
      <c r="A12" s="78" t="s">
        <v>1</v>
      </c>
      <c r="B12" s="54">
        <v>55</v>
      </c>
      <c r="D12" s="54">
        <v>168</v>
      </c>
      <c r="E12" s="54">
        <v>24</v>
      </c>
      <c r="F12" s="54">
        <v>0.01</v>
      </c>
      <c r="G12" s="54">
        <v>-0.01</v>
      </c>
      <c r="H12" s="145"/>
      <c r="I12" s="146"/>
      <c r="J12" s="221"/>
      <c r="L12" s="54"/>
      <c r="M12" s="54"/>
      <c r="N12" s="54"/>
    </row>
    <row r="13" spans="1:14">
      <c r="A13" s="78" t="s">
        <v>2</v>
      </c>
      <c r="B13" s="54"/>
      <c r="C13" s="54"/>
      <c r="D13" s="54"/>
      <c r="E13" s="54"/>
      <c r="F13" s="54">
        <v>1</v>
      </c>
      <c r="G13" s="54">
        <v>-1</v>
      </c>
      <c r="H13" s="54"/>
      <c r="I13" s="54"/>
      <c r="J13" s="54"/>
      <c r="K13" s="54"/>
      <c r="L13" s="54"/>
      <c r="M13" s="54"/>
      <c r="N13" s="54"/>
    </row>
    <row r="14" spans="1:14">
      <c r="A14" s="78" t="s">
        <v>420</v>
      </c>
      <c r="B14" s="54"/>
      <c r="C14" s="54"/>
      <c r="D14" s="54"/>
      <c r="E14" s="54"/>
      <c r="F14" s="54">
        <v>1</v>
      </c>
      <c r="G14" s="54">
        <v>-1</v>
      </c>
      <c r="H14" s="54"/>
      <c r="I14" s="54"/>
      <c r="J14" s="54"/>
      <c r="K14" s="54"/>
      <c r="L14" s="54"/>
      <c r="M14" s="54"/>
      <c r="N14" s="54"/>
    </row>
    <row r="15" spans="1:14">
      <c r="A15" s="78" t="s">
        <v>418</v>
      </c>
      <c r="B15" s="54"/>
      <c r="C15" s="54"/>
      <c r="D15" s="54"/>
      <c r="E15" s="54"/>
      <c r="F15" s="54">
        <v>1</v>
      </c>
      <c r="G15" s="54">
        <v>-1</v>
      </c>
      <c r="H15" s="54"/>
      <c r="I15" s="54"/>
      <c r="J15" s="54"/>
      <c r="K15" s="54"/>
      <c r="L15" s="54"/>
      <c r="M15" s="54"/>
      <c r="N15" s="54"/>
    </row>
    <row r="16" spans="1:14">
      <c r="A16" s="78" t="s">
        <v>419</v>
      </c>
      <c r="B16" s="54"/>
      <c r="C16" s="54"/>
      <c r="D16" s="54"/>
      <c r="E16" s="54"/>
      <c r="F16" s="54">
        <v>1</v>
      </c>
      <c r="G16" s="54">
        <v>-1</v>
      </c>
      <c r="H16" s="54"/>
      <c r="I16" s="54"/>
      <c r="J16" s="54"/>
      <c r="K16" s="54"/>
      <c r="L16" s="54"/>
      <c r="M16" s="54"/>
      <c r="N16" s="54"/>
    </row>
    <row r="17" spans="1:15">
      <c r="A17" s="78" t="s">
        <v>9</v>
      </c>
      <c r="B17" s="54"/>
      <c r="C17" s="54"/>
      <c r="D17" s="54"/>
      <c r="E17" s="54"/>
      <c r="F17" s="54"/>
      <c r="G17" s="54"/>
      <c r="H17" s="145"/>
      <c r="I17" s="145"/>
      <c r="J17" s="54"/>
      <c r="K17" s="54"/>
      <c r="L17" s="54"/>
      <c r="M17" s="54"/>
      <c r="N17" s="54"/>
    </row>
    <row r="18" spans="1:15">
      <c r="A18" s="78" t="s">
        <v>10</v>
      </c>
      <c r="B18" s="54">
        <v>54</v>
      </c>
      <c r="C18" s="54"/>
      <c r="D18" s="54">
        <v>8</v>
      </c>
      <c r="E18" s="54">
        <v>6</v>
      </c>
      <c r="F18" s="54">
        <v>0.05</v>
      </c>
      <c r="G18" s="54">
        <v>-0.05</v>
      </c>
      <c r="H18" s="145"/>
      <c r="I18" s="146"/>
      <c r="J18" s="54"/>
      <c r="K18" s="54"/>
      <c r="L18" s="54"/>
      <c r="M18" s="54"/>
      <c r="N18" s="54"/>
    </row>
    <row r="19" spans="1:15">
      <c r="A19" s="78" t="s">
        <v>422</v>
      </c>
      <c r="B19" s="54">
        <v>54</v>
      </c>
      <c r="C19" s="54"/>
      <c r="D19" s="54">
        <v>8</v>
      </c>
      <c r="E19" s="54">
        <v>6</v>
      </c>
      <c r="F19" s="54">
        <v>0.05</v>
      </c>
      <c r="G19" s="54">
        <v>-0.05</v>
      </c>
      <c r="H19" s="145"/>
      <c r="I19" s="146"/>
      <c r="J19" s="54"/>
      <c r="K19" s="54"/>
      <c r="L19" s="54"/>
      <c r="M19" s="54"/>
      <c r="N19" s="54"/>
    </row>
    <row r="20" spans="1:15">
      <c r="A20" s="78" t="s">
        <v>4</v>
      </c>
      <c r="B20" s="54"/>
      <c r="C20" s="54"/>
      <c r="D20" s="54"/>
      <c r="E20" s="54"/>
      <c r="F20" s="54"/>
      <c r="G20" s="54"/>
      <c r="H20" s="145"/>
      <c r="I20" s="146"/>
      <c r="J20" s="54"/>
      <c r="K20" s="54"/>
      <c r="L20" s="54"/>
      <c r="M20" s="54"/>
      <c r="N20" s="54"/>
    </row>
    <row r="21" spans="1:15">
      <c r="A21" s="78" t="s">
        <v>334</v>
      </c>
      <c r="B21" s="54"/>
      <c r="C21" s="54"/>
      <c r="D21" s="54"/>
      <c r="E21" s="54"/>
      <c r="F21" s="54"/>
      <c r="G21" s="54"/>
      <c r="H21" s="145"/>
      <c r="I21" s="146"/>
      <c r="J21" s="54"/>
      <c r="K21" s="54"/>
      <c r="L21" s="54"/>
      <c r="M21" s="54"/>
      <c r="N21" s="54"/>
    </row>
    <row r="22" spans="1:15">
      <c r="A22" s="78" t="s">
        <v>225</v>
      </c>
      <c r="B22" s="222">
        <v>0</v>
      </c>
      <c r="C22" s="222">
        <v>0</v>
      </c>
      <c r="D22" s="54">
        <v>1</v>
      </c>
      <c r="E22" s="54">
        <v>1</v>
      </c>
      <c r="F22" s="54">
        <v>1</v>
      </c>
      <c r="G22" s="54">
        <v>-1</v>
      </c>
      <c r="H22" s="145"/>
      <c r="I22" s="146"/>
      <c r="J22" s="54"/>
      <c r="K22" s="54"/>
      <c r="L22" s="54"/>
      <c r="M22" s="54"/>
      <c r="N22" s="54"/>
    </row>
    <row r="23" spans="1:15">
      <c r="A23" s="78" t="s">
        <v>226</v>
      </c>
      <c r="B23" s="222"/>
      <c r="C23" s="222"/>
      <c r="D23" s="54"/>
      <c r="E23" s="54"/>
      <c r="F23" s="54"/>
      <c r="G23" s="54"/>
      <c r="H23" s="145"/>
      <c r="I23" s="146"/>
      <c r="J23" s="54"/>
      <c r="K23" s="54"/>
      <c r="L23" s="54"/>
      <c r="M23" s="54"/>
      <c r="N23" s="54"/>
    </row>
    <row r="24" spans="1:15">
      <c r="A24" s="78" t="s">
        <v>331</v>
      </c>
      <c r="B24" s="222"/>
      <c r="C24" s="222"/>
      <c r="D24" s="54"/>
      <c r="E24" s="54"/>
      <c r="F24" s="54"/>
      <c r="G24" s="54"/>
      <c r="H24" s="54"/>
      <c r="I24" s="92"/>
      <c r="J24" s="54"/>
      <c r="K24" s="54"/>
      <c r="L24" s="54"/>
      <c r="M24" s="54"/>
      <c r="N24" s="54"/>
    </row>
    <row r="25" spans="1:15" ht="15.75" thickBot="1">
      <c r="A25" s="82" t="s">
        <v>281</v>
      </c>
      <c r="B25" s="222"/>
      <c r="C25" s="222"/>
      <c r="D25" s="54"/>
      <c r="E25" s="54"/>
      <c r="F25" s="54"/>
      <c r="G25" s="54"/>
      <c r="H25" s="54"/>
      <c r="I25" s="92"/>
      <c r="J25" s="54"/>
      <c r="K25" s="54"/>
      <c r="L25" s="54"/>
      <c r="M25" s="54"/>
      <c r="N25" s="54"/>
    </row>
    <row r="26" spans="1:15">
      <c r="A26" s="78" t="s">
        <v>791</v>
      </c>
      <c r="B26" s="222"/>
      <c r="C26" s="222"/>
      <c r="D26" s="54"/>
      <c r="E26" s="54"/>
      <c r="F26" s="54"/>
      <c r="G26" s="54"/>
      <c r="H26" s="54"/>
      <c r="I26" s="92"/>
      <c r="J26" s="54"/>
      <c r="K26" s="54"/>
      <c r="L26" s="54"/>
      <c r="M26" s="54"/>
      <c r="N26" s="54"/>
    </row>
    <row r="27" spans="1:15" ht="15.75" thickBot="1">
      <c r="A27" s="78" t="s">
        <v>408</v>
      </c>
      <c r="B27" s="94"/>
      <c r="C27" s="94"/>
      <c r="D27" s="83"/>
      <c r="E27" s="83"/>
      <c r="F27" s="83"/>
      <c r="G27" s="83"/>
      <c r="H27" s="83"/>
      <c r="I27" s="95"/>
      <c r="J27" s="54"/>
      <c r="K27" s="54"/>
      <c r="L27" s="54"/>
      <c r="M27" s="54"/>
      <c r="N27" s="54"/>
    </row>
    <row r="28" spans="1:15"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</row>
    <row r="29" spans="1:15">
      <c r="A29" s="185" t="s">
        <v>291</v>
      </c>
      <c r="B29" s="54">
        <f>COLUMN(B3)-2</f>
        <v>0</v>
      </c>
      <c r="C29" s="54">
        <f t="shared" ref="C29:I29" si="0">COLUMN(C3)-2</f>
        <v>1</v>
      </c>
      <c r="D29" s="54">
        <f t="shared" si="0"/>
        <v>2</v>
      </c>
      <c r="E29" s="54">
        <f t="shared" si="0"/>
        <v>3</v>
      </c>
      <c r="F29" s="54">
        <f t="shared" si="0"/>
        <v>4</v>
      </c>
      <c r="G29" s="54">
        <f t="shared" si="0"/>
        <v>5</v>
      </c>
      <c r="H29" s="54">
        <f t="shared" si="0"/>
        <v>6</v>
      </c>
      <c r="I29" s="54">
        <f t="shared" si="0"/>
        <v>7</v>
      </c>
      <c r="J29" s="54"/>
      <c r="K29" s="54"/>
    </row>
    <row r="31" spans="1:15">
      <c r="A31" s="185" t="s">
        <v>304</v>
      </c>
      <c r="B31" s="185" t="s">
        <v>296</v>
      </c>
      <c r="C31" s="185" t="s">
        <v>303</v>
      </c>
    </row>
    <row r="32" spans="1:15">
      <c r="B32" s="185" t="s">
        <v>295</v>
      </c>
      <c r="C32" s="185" t="s">
        <v>294</v>
      </c>
    </row>
    <row r="33" spans="2:6">
      <c r="B33" s="185" t="s">
        <v>306</v>
      </c>
    </row>
    <row r="34" spans="2:6">
      <c r="B34" s="185" t="s">
        <v>310</v>
      </c>
      <c r="C34" s="185" t="s">
        <v>312</v>
      </c>
      <c r="E34" s="58"/>
      <c r="F34" s="58"/>
    </row>
    <row r="35" spans="2:6">
      <c r="B35" s="185" t="s">
        <v>311</v>
      </c>
      <c r="C35" s="185" t="s">
        <v>314</v>
      </c>
      <c r="E35" s="58"/>
      <c r="F35" s="58"/>
    </row>
    <row r="36" spans="2:6">
      <c r="B36" s="185" t="s">
        <v>292</v>
      </c>
      <c r="C36" s="185" t="s">
        <v>322</v>
      </c>
      <c r="D36" s="58"/>
    </row>
    <row r="37" spans="2:6">
      <c r="B37" s="185" t="s">
        <v>320</v>
      </c>
      <c r="C37" s="185" t="s">
        <v>323</v>
      </c>
      <c r="D37" s="58"/>
    </row>
    <row r="38" spans="2:6">
      <c r="B38" s="185" t="s">
        <v>293</v>
      </c>
      <c r="C38" s="185" t="s">
        <v>326</v>
      </c>
    </row>
    <row r="39" spans="2:6">
      <c r="B39" s="185" t="s">
        <v>325</v>
      </c>
      <c r="C39" s="185" t="s">
        <v>327</v>
      </c>
    </row>
    <row r="114" spans="10:10">
      <c r="J114" s="185" t="s">
        <v>404</v>
      </c>
    </row>
  </sheetData>
  <mergeCells count="3">
    <mergeCell ref="B2:C2"/>
    <mergeCell ref="D2:E2"/>
    <mergeCell ref="F2:I2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03"/>
  <sheetViews>
    <sheetView zoomScale="70" zoomScaleNormal="70" workbookViewId="0">
      <selection activeCell="H7" sqref="H7"/>
    </sheetView>
  </sheetViews>
  <sheetFormatPr defaultRowHeight="15"/>
  <cols>
    <col min="1" max="1" width="14" customWidth="1"/>
    <col min="2" max="2" width="40" customWidth="1"/>
    <col min="3" max="3" width="11.42578125" customWidth="1"/>
    <col min="4" max="4" width="11.28515625" customWidth="1"/>
    <col min="5" max="5" width="9.42578125" customWidth="1"/>
    <col min="6" max="6" width="18.5703125" bestFit="1" customWidth="1"/>
    <col min="7" max="7" width="2.28515625" customWidth="1"/>
    <col min="8" max="8" width="19.28515625" customWidth="1"/>
    <col min="10" max="10" width="22.85546875" bestFit="1" customWidth="1"/>
    <col min="11" max="11" width="21.42578125" customWidth="1"/>
    <col min="12" max="12" width="14.28515625" bestFit="1" customWidth="1"/>
    <col min="13" max="13" width="4.42578125" customWidth="1"/>
    <col min="14" max="14" width="25.42578125" bestFit="1" customWidth="1"/>
    <col min="16" max="16" width="13.28515625" customWidth="1"/>
  </cols>
  <sheetData>
    <row r="1" spans="1:18" ht="19.5" thickBot="1">
      <c r="A1" s="59" t="s">
        <v>339</v>
      </c>
      <c r="B1" s="59"/>
      <c r="M1" s="17"/>
      <c r="N1" s="17"/>
      <c r="O1" s="17"/>
      <c r="P1" s="17"/>
      <c r="Q1" s="17"/>
      <c r="R1" s="17"/>
    </row>
    <row r="2" spans="1:18" ht="36.75" customHeight="1">
      <c r="A2" s="73"/>
      <c r="B2" s="117"/>
      <c r="C2" s="183" t="s">
        <v>340</v>
      </c>
      <c r="D2" s="184" t="s">
        <v>341</v>
      </c>
      <c r="E2" s="233" t="s">
        <v>343</v>
      </c>
      <c r="F2" s="234"/>
      <c r="H2" s="236" t="s">
        <v>342</v>
      </c>
      <c r="I2" s="237"/>
      <c r="J2" s="237"/>
      <c r="K2" s="237"/>
      <c r="L2" s="238"/>
      <c r="M2" s="17"/>
      <c r="N2" s="235" t="s">
        <v>356</v>
      </c>
      <c r="O2" s="235"/>
      <c r="P2" s="235"/>
      <c r="Q2" s="17"/>
      <c r="R2" s="17"/>
    </row>
    <row r="3" spans="1:18" ht="48.75">
      <c r="A3" s="96" t="s">
        <v>333</v>
      </c>
      <c r="B3" s="118" t="s">
        <v>353</v>
      </c>
      <c r="C3" s="105" t="s">
        <v>351</v>
      </c>
      <c r="D3" s="106" t="s">
        <v>352</v>
      </c>
      <c r="E3" s="109" t="s">
        <v>361</v>
      </c>
      <c r="F3" s="110" t="s">
        <v>346</v>
      </c>
      <c r="H3" s="122" t="s">
        <v>348</v>
      </c>
      <c r="I3" s="107" t="s">
        <v>349</v>
      </c>
      <c r="J3" s="107" t="s">
        <v>354</v>
      </c>
      <c r="K3" s="107" t="s">
        <v>350</v>
      </c>
      <c r="L3" s="123" t="s">
        <v>367</v>
      </c>
      <c r="M3" s="17"/>
      <c r="N3" s="108" t="s">
        <v>348</v>
      </c>
      <c r="O3" s="108" t="s">
        <v>357</v>
      </c>
      <c r="P3" s="108" t="s">
        <v>358</v>
      </c>
      <c r="Q3" s="108" t="s">
        <v>359</v>
      </c>
      <c r="R3" s="108" t="s">
        <v>360</v>
      </c>
    </row>
    <row r="4" spans="1:18" ht="35.25" thickBot="1">
      <c r="A4" s="78"/>
      <c r="B4" s="119" t="s">
        <v>25</v>
      </c>
      <c r="C4" s="111" t="s">
        <v>345</v>
      </c>
      <c r="D4" s="112" t="s">
        <v>344</v>
      </c>
      <c r="E4" s="115" t="s">
        <v>365</v>
      </c>
      <c r="F4" s="116" t="s">
        <v>347</v>
      </c>
      <c r="H4" s="124"/>
      <c r="I4" s="113" t="s">
        <v>25</v>
      </c>
      <c r="J4" s="113" t="s">
        <v>355</v>
      </c>
      <c r="K4" s="113" t="s">
        <v>25</v>
      </c>
      <c r="L4" s="125"/>
      <c r="M4" s="17"/>
      <c r="N4" s="114"/>
      <c r="O4" s="114" t="s">
        <v>25</v>
      </c>
      <c r="P4" s="114" t="s">
        <v>25</v>
      </c>
      <c r="Q4" s="114" t="s">
        <v>25</v>
      </c>
      <c r="R4" s="114" t="s">
        <v>25</v>
      </c>
    </row>
    <row r="5" spans="1:18">
      <c r="A5" s="78" t="str">
        <f>'site independent'!A5</f>
        <v>coal</v>
      </c>
      <c r="B5" s="150"/>
      <c r="C5" s="79">
        <v>1</v>
      </c>
      <c r="D5" s="79">
        <v>0.53</v>
      </c>
      <c r="E5" s="79">
        <v>2917</v>
      </c>
      <c r="F5" s="133"/>
      <c r="H5" s="120"/>
      <c r="I5" s="150"/>
      <c r="J5" s="34"/>
      <c r="K5" s="34"/>
      <c r="L5" s="92"/>
      <c r="M5" s="134"/>
      <c r="N5" s="140"/>
      <c r="O5" s="126"/>
      <c r="P5" s="127"/>
      <c r="Q5" s="34"/>
      <c r="R5" s="34"/>
    </row>
    <row r="6" spans="1:18">
      <c r="A6" s="78" t="str">
        <f>'site independent'!A6</f>
        <v>Natural gas</v>
      </c>
      <c r="B6" s="150"/>
      <c r="C6" s="79">
        <v>1</v>
      </c>
      <c r="D6" s="79">
        <v>0</v>
      </c>
      <c r="E6" s="79">
        <v>0</v>
      </c>
      <c r="F6" s="133"/>
      <c r="H6" s="120"/>
      <c r="I6" s="150"/>
      <c r="J6" s="34"/>
      <c r="K6" s="34"/>
      <c r="L6" s="92"/>
      <c r="M6" s="134"/>
      <c r="N6" s="140"/>
      <c r="O6" s="126"/>
      <c r="P6" s="127"/>
      <c r="Q6" s="34"/>
      <c r="R6" s="34"/>
    </row>
    <row r="7" spans="1:18">
      <c r="A7" s="78" t="str">
        <f>'site independent'!A7</f>
        <v>NG_CC</v>
      </c>
      <c r="B7" s="150"/>
      <c r="C7" s="79">
        <v>1</v>
      </c>
      <c r="D7" s="79">
        <v>0.53</v>
      </c>
      <c r="E7" s="79">
        <v>671</v>
      </c>
      <c r="F7" s="133"/>
      <c r="H7" s="120"/>
      <c r="I7" s="150"/>
      <c r="J7" s="34"/>
      <c r="K7" s="34"/>
      <c r="L7" s="92"/>
      <c r="M7" s="134"/>
      <c r="N7" s="140"/>
      <c r="O7" s="126"/>
      <c r="P7" s="127"/>
      <c r="Q7" s="34"/>
      <c r="R7" s="34"/>
    </row>
    <row r="8" spans="1:18">
      <c r="A8" s="78" t="str">
        <f>'site independent'!A8</f>
        <v>NG_CT</v>
      </c>
      <c r="B8" s="150"/>
      <c r="C8" s="79">
        <v>1</v>
      </c>
      <c r="D8" s="79">
        <v>1</v>
      </c>
      <c r="E8" s="79">
        <v>968</v>
      </c>
      <c r="F8" s="133"/>
      <c r="H8" s="120"/>
      <c r="I8" s="150"/>
      <c r="J8" s="34"/>
      <c r="K8" s="34"/>
      <c r="L8" s="92"/>
      <c r="M8" s="34"/>
      <c r="N8" s="140"/>
      <c r="O8" s="126"/>
      <c r="P8" s="127"/>
      <c r="Q8" s="34"/>
      <c r="R8" s="34"/>
    </row>
    <row r="9" spans="1:18">
      <c r="A9" s="78" t="str">
        <f>'site independent'!A9</f>
        <v>NG_CG</v>
      </c>
      <c r="B9" s="150"/>
      <c r="C9" s="79">
        <v>1</v>
      </c>
      <c r="D9" s="79">
        <v>1</v>
      </c>
      <c r="E9" s="79">
        <v>968</v>
      </c>
      <c r="F9" s="133"/>
      <c r="H9" s="120"/>
      <c r="I9" s="150"/>
      <c r="J9" s="34"/>
      <c r="K9" s="34"/>
      <c r="L9" s="92"/>
      <c r="M9" s="34"/>
      <c r="N9" s="140"/>
      <c r="O9" s="126"/>
      <c r="P9" s="127"/>
      <c r="Q9" s="34"/>
      <c r="R9" s="34"/>
    </row>
    <row r="10" spans="1:18">
      <c r="A10" s="78" t="str">
        <f>'site independent'!A10</f>
        <v>diesel</v>
      </c>
      <c r="B10" s="150"/>
      <c r="C10" s="79">
        <v>1</v>
      </c>
      <c r="D10" s="79">
        <v>0.86</v>
      </c>
      <c r="E10" s="79">
        <v>0</v>
      </c>
      <c r="F10" s="133"/>
      <c r="H10" s="120"/>
      <c r="I10" s="150"/>
      <c r="J10" s="34"/>
      <c r="K10" s="34"/>
      <c r="L10" s="92"/>
      <c r="M10" s="34"/>
      <c r="N10" s="140"/>
      <c r="O10" s="126"/>
      <c r="P10" s="127"/>
      <c r="Q10" s="34"/>
      <c r="R10" s="34"/>
    </row>
    <row r="11" spans="1:18">
      <c r="A11" s="78" t="str">
        <f>'site independent'!A11</f>
        <v>fuel oil</v>
      </c>
      <c r="B11" s="150"/>
      <c r="C11" s="79">
        <v>1</v>
      </c>
      <c r="D11" s="79">
        <v>0.86</v>
      </c>
      <c r="E11" s="79">
        <v>0</v>
      </c>
      <c r="F11" s="133"/>
      <c r="H11" s="120"/>
      <c r="I11" s="150"/>
      <c r="J11" s="34"/>
      <c r="K11" s="34"/>
      <c r="L11" s="92"/>
      <c r="M11" s="34"/>
      <c r="N11" s="140"/>
      <c r="O11" s="126"/>
      <c r="P11" s="127"/>
      <c r="Q11" s="34"/>
      <c r="R11" s="34"/>
    </row>
    <row r="12" spans="1:18">
      <c r="A12" s="78" t="str">
        <f>'site independent'!A12</f>
        <v>nuclear</v>
      </c>
      <c r="B12" s="150"/>
      <c r="C12" s="79">
        <v>1</v>
      </c>
      <c r="D12" s="79">
        <v>0.2</v>
      </c>
      <c r="E12" s="79">
        <v>5366</v>
      </c>
      <c r="F12" s="133"/>
      <c r="H12" s="120"/>
      <c r="I12" s="150"/>
      <c r="J12" s="34"/>
      <c r="K12" s="34"/>
      <c r="L12" s="92"/>
      <c r="M12" s="34"/>
      <c r="N12" s="140"/>
      <c r="O12" s="126"/>
      <c r="P12" s="127"/>
      <c r="Q12" s="34"/>
      <c r="R12" s="34"/>
    </row>
    <row r="13" spans="1:18">
      <c r="A13" s="78" t="str">
        <f>'site independent'!A13</f>
        <v>hydro</v>
      </c>
      <c r="B13" s="150"/>
      <c r="C13" s="79">
        <v>1</v>
      </c>
      <c r="D13" s="79">
        <v>0.66</v>
      </c>
      <c r="E13" s="79">
        <v>2651</v>
      </c>
      <c r="F13" s="133"/>
      <c r="H13" s="120"/>
      <c r="I13" s="150"/>
      <c r="J13" s="34"/>
      <c r="K13" s="34"/>
      <c r="L13" s="92"/>
      <c r="M13" s="34"/>
      <c r="N13" s="140"/>
      <c r="O13" s="126"/>
      <c r="P13" s="127"/>
      <c r="Q13" s="34"/>
      <c r="R13" s="34"/>
    </row>
    <row r="14" spans="1:18">
      <c r="A14" s="78" t="str">
        <f>'site independent'!A14</f>
        <v>hydro_hourly</v>
      </c>
      <c r="B14" s="150"/>
      <c r="C14" s="79">
        <v>1</v>
      </c>
      <c r="D14" s="79">
        <v>0.66</v>
      </c>
      <c r="E14" s="79">
        <v>2651</v>
      </c>
      <c r="F14" s="133"/>
      <c r="H14" s="120"/>
      <c r="I14" s="150"/>
      <c r="J14" s="34"/>
      <c r="K14" s="34"/>
      <c r="L14" s="92"/>
      <c r="M14" s="34"/>
      <c r="N14" s="140"/>
      <c r="O14" s="126"/>
      <c r="P14" s="127"/>
      <c r="Q14" s="34"/>
      <c r="R14" s="34"/>
    </row>
    <row r="15" spans="1:18">
      <c r="A15" s="78" t="str">
        <f>'site independent'!A15</f>
        <v>hydro_daily</v>
      </c>
      <c r="B15" s="150"/>
      <c r="C15" s="79">
        <v>1</v>
      </c>
      <c r="D15" s="79">
        <v>0.66</v>
      </c>
      <c r="E15" s="79">
        <v>2651</v>
      </c>
      <c r="F15" s="133"/>
      <c r="H15" s="120"/>
      <c r="I15" s="150"/>
      <c r="J15" s="34"/>
      <c r="K15" s="34"/>
      <c r="L15" s="92"/>
      <c r="M15" s="34"/>
      <c r="N15" s="140"/>
      <c r="O15" s="126"/>
      <c r="P15" s="127"/>
      <c r="Q15" s="34"/>
      <c r="R15" s="34"/>
    </row>
    <row r="16" spans="1:18">
      <c r="A16" s="78" t="str">
        <f>'site independent'!A16</f>
        <v>hydro_monthly</v>
      </c>
      <c r="B16" s="150"/>
      <c r="C16" s="79">
        <v>1</v>
      </c>
      <c r="D16" s="79">
        <v>0.66</v>
      </c>
      <c r="E16" s="79">
        <v>2651</v>
      </c>
      <c r="F16" s="133"/>
      <c r="H16" s="120"/>
      <c r="I16" s="150"/>
      <c r="J16" s="34"/>
      <c r="K16" s="34"/>
      <c r="L16" s="92"/>
      <c r="M16" s="34"/>
      <c r="N16" s="140"/>
      <c r="O16" s="126"/>
      <c r="P16" s="127"/>
      <c r="Q16" s="34"/>
      <c r="R16" s="34"/>
    </row>
    <row r="17" spans="1:18">
      <c r="A17" s="78" t="str">
        <f>'site independent'!A17</f>
        <v>geothermal</v>
      </c>
      <c r="B17" s="150"/>
      <c r="C17" s="79">
        <v>1</v>
      </c>
      <c r="D17" s="79">
        <v>0.32</v>
      </c>
      <c r="E17" s="79">
        <v>2448</v>
      </c>
      <c r="F17" s="133"/>
      <c r="H17" s="120"/>
      <c r="I17" s="150"/>
      <c r="J17" s="34"/>
      <c r="K17" s="34"/>
      <c r="L17" s="92"/>
      <c r="M17" s="34"/>
      <c r="N17" s="140"/>
      <c r="O17" s="126"/>
      <c r="P17" s="127"/>
      <c r="Q17" s="34"/>
      <c r="R17" s="34"/>
    </row>
    <row r="18" spans="1:18" ht="14.25" customHeight="1">
      <c r="A18" s="78" t="str">
        <f>'site independent'!A18</f>
        <v>biomass</v>
      </c>
      <c r="B18" s="150"/>
      <c r="C18" s="79">
        <v>1</v>
      </c>
      <c r="D18" s="79">
        <v>0.53</v>
      </c>
      <c r="E18" s="79">
        <v>3659</v>
      </c>
      <c r="F18" s="133"/>
      <c r="H18" s="120"/>
      <c r="I18" s="150"/>
      <c r="J18" s="34"/>
      <c r="K18" s="34"/>
      <c r="L18" s="92"/>
      <c r="M18" s="34"/>
      <c r="N18" s="140"/>
      <c r="O18" s="126"/>
      <c r="P18" s="127"/>
      <c r="Q18" s="34"/>
      <c r="R18" s="34"/>
    </row>
    <row r="19" spans="1:18">
      <c r="A19" s="78" t="str">
        <f>'site independent'!A19</f>
        <v>biogas</v>
      </c>
      <c r="B19" s="150"/>
      <c r="C19" s="79">
        <v>1</v>
      </c>
      <c r="D19" s="79">
        <v>0.53</v>
      </c>
      <c r="E19" s="79">
        <v>3659</v>
      </c>
      <c r="F19" s="133"/>
      <c r="H19" s="120"/>
      <c r="I19" s="150"/>
      <c r="J19" s="34"/>
      <c r="K19" s="34"/>
      <c r="L19" s="92"/>
      <c r="M19" s="34"/>
      <c r="N19" s="140"/>
      <c r="O19" s="126"/>
      <c r="P19" s="127"/>
      <c r="Q19" s="34"/>
      <c r="R19" s="34"/>
    </row>
    <row r="20" spans="1:18">
      <c r="A20" t="s">
        <v>408</v>
      </c>
      <c r="B20" s="150"/>
      <c r="C20" s="79" t="e">
        <v>#N/A</v>
      </c>
      <c r="D20" s="79" t="e">
        <v>#N/A</v>
      </c>
      <c r="E20" s="79" t="e">
        <v>#N/A</v>
      </c>
      <c r="H20" s="120"/>
      <c r="I20" s="150"/>
      <c r="J20" s="34"/>
      <c r="K20" s="34"/>
      <c r="L20" s="92"/>
      <c r="M20" s="34"/>
      <c r="N20" s="140"/>
      <c r="O20" s="126"/>
      <c r="P20" s="127"/>
      <c r="Q20" s="34"/>
      <c r="R20" s="34"/>
    </row>
    <row r="21" spans="1:18">
      <c r="A21" s="120" t="s">
        <v>4</v>
      </c>
      <c r="B21" s="150"/>
      <c r="C21" s="79">
        <v>0.2</v>
      </c>
      <c r="D21" s="79">
        <v>0</v>
      </c>
      <c r="E21" s="79">
        <v>19.8</v>
      </c>
      <c r="F21" s="133"/>
      <c r="H21" s="120"/>
      <c r="I21" s="150"/>
      <c r="J21" s="34"/>
      <c r="K21" s="34"/>
      <c r="L21" s="92"/>
      <c r="M21" s="17"/>
      <c r="N21" s="140"/>
      <c r="O21" s="126"/>
      <c r="P21" s="127"/>
      <c r="Q21" s="34"/>
      <c r="R21" s="34"/>
    </row>
    <row r="22" spans="1:18">
      <c r="A22" s="120" t="s">
        <v>16</v>
      </c>
      <c r="B22" s="150"/>
      <c r="C22" s="79">
        <v>0.6</v>
      </c>
      <c r="D22" s="79">
        <v>0</v>
      </c>
      <c r="E22" s="79">
        <v>3279</v>
      </c>
      <c r="F22" s="133"/>
      <c r="H22" s="120"/>
      <c r="I22" s="150"/>
      <c r="J22" s="34"/>
      <c r="K22" s="34"/>
      <c r="L22" s="92"/>
      <c r="M22" s="17"/>
      <c r="N22" s="140"/>
      <c r="O22" s="126"/>
      <c r="P22" s="127"/>
      <c r="Q22" s="34"/>
      <c r="R22" s="34"/>
    </row>
    <row r="23" spans="1:18">
      <c r="A23" s="78" t="s">
        <v>225</v>
      </c>
      <c r="B23" s="150"/>
      <c r="C23" s="79">
        <v>0.5</v>
      </c>
      <c r="D23" s="79">
        <v>1</v>
      </c>
      <c r="E23" s="79">
        <v>1000</v>
      </c>
      <c r="F23" s="133"/>
      <c r="H23" s="120"/>
      <c r="I23" s="150"/>
      <c r="J23" s="34"/>
      <c r="K23" s="34"/>
      <c r="L23" s="92"/>
      <c r="M23" s="17"/>
      <c r="N23" s="140"/>
      <c r="O23" s="126"/>
      <c r="P23" s="127"/>
      <c r="Q23" s="34"/>
      <c r="R23" s="34"/>
    </row>
    <row r="24" spans="1:18">
      <c r="A24" s="78" t="s">
        <v>227</v>
      </c>
      <c r="B24" s="150"/>
      <c r="C24" s="79">
        <v>0.5</v>
      </c>
      <c r="D24" s="79">
        <v>1</v>
      </c>
      <c r="E24" s="79">
        <v>1500</v>
      </c>
      <c r="F24" s="133"/>
      <c r="H24" s="120"/>
      <c r="I24" s="150"/>
      <c r="J24" s="34"/>
      <c r="K24" s="34"/>
      <c r="L24" s="92"/>
      <c r="M24" s="17"/>
      <c r="N24" s="140"/>
      <c r="O24" s="126"/>
      <c r="P24" s="127"/>
      <c r="Q24" s="34"/>
      <c r="R24" s="34"/>
    </row>
    <row r="25" spans="1:18" ht="15.75" thickBot="1">
      <c r="A25" s="82" t="s">
        <v>281</v>
      </c>
      <c r="B25" s="150"/>
      <c r="C25" s="79" t="e">
        <v>#N/A</v>
      </c>
      <c r="D25" s="79" t="e">
        <v>#N/A</v>
      </c>
      <c r="E25" s="79" t="e">
        <v>#N/A</v>
      </c>
      <c r="F25" s="133"/>
      <c r="H25" s="120"/>
      <c r="I25" s="150"/>
      <c r="J25" s="34"/>
      <c r="K25" s="34"/>
      <c r="L25" s="92"/>
      <c r="M25" s="17"/>
      <c r="N25" s="140"/>
      <c r="O25" s="126"/>
      <c r="P25" s="127"/>
      <c r="Q25" s="34"/>
      <c r="R25" s="34"/>
    </row>
    <row r="26" spans="1:18">
      <c r="C26" s="54"/>
      <c r="D26" s="54"/>
      <c r="E26" s="54"/>
      <c r="F26" s="54"/>
      <c r="H26" s="120"/>
      <c r="I26" s="150"/>
      <c r="J26" s="34"/>
      <c r="K26" s="34"/>
      <c r="L26" s="92"/>
      <c r="M26" s="17"/>
      <c r="N26" s="140"/>
      <c r="O26" s="126"/>
      <c r="P26" s="127"/>
      <c r="Q26" s="34"/>
      <c r="R26" s="34"/>
    </row>
    <row r="27" spans="1:18">
      <c r="C27" s="54"/>
      <c r="D27" s="54"/>
      <c r="E27" s="54"/>
      <c r="F27" s="54"/>
      <c r="H27" s="120"/>
      <c r="I27" s="150"/>
      <c r="J27" s="34"/>
      <c r="K27" s="34"/>
      <c r="L27" s="92"/>
      <c r="M27" s="17"/>
      <c r="N27" s="140"/>
      <c r="O27" s="126"/>
      <c r="P27" s="127"/>
      <c r="Q27" s="34"/>
      <c r="R27" s="34"/>
    </row>
    <row r="28" spans="1:18">
      <c r="H28" s="120"/>
      <c r="I28" s="150"/>
      <c r="J28" s="34"/>
      <c r="K28" s="34"/>
      <c r="L28" s="92"/>
      <c r="N28" s="140"/>
      <c r="O28" s="126"/>
      <c r="P28" s="127"/>
      <c r="Q28" s="34"/>
      <c r="R28" s="34"/>
    </row>
    <row r="29" spans="1:18">
      <c r="C29" s="42"/>
      <c r="D29" s="42"/>
      <c r="E29" s="42"/>
      <c r="F29" s="42"/>
      <c r="H29" s="120"/>
      <c r="I29" s="150"/>
      <c r="J29" s="34"/>
      <c r="K29" s="34"/>
      <c r="L29" s="92"/>
      <c r="N29" s="140"/>
      <c r="O29" s="126"/>
      <c r="P29" s="127"/>
      <c r="Q29" s="34"/>
      <c r="R29" s="34"/>
    </row>
    <row r="30" spans="1:18">
      <c r="C30" s="134"/>
      <c r="H30" s="120"/>
      <c r="I30" s="150"/>
      <c r="J30" s="34"/>
      <c r="K30" s="34"/>
      <c r="L30" s="92"/>
      <c r="N30" s="140"/>
      <c r="O30" s="126"/>
      <c r="P30" s="127"/>
      <c r="Q30" s="34"/>
      <c r="R30" s="34"/>
    </row>
    <row r="31" spans="1:18">
      <c r="H31" s="120"/>
      <c r="I31" s="150"/>
      <c r="J31" s="34"/>
      <c r="K31" s="34"/>
      <c r="L31" s="92"/>
      <c r="N31" s="140"/>
      <c r="O31" s="126"/>
      <c r="P31" s="127"/>
      <c r="Q31" s="34"/>
      <c r="R31" s="34"/>
    </row>
    <row r="32" spans="1:18">
      <c r="C32" s="151"/>
      <c r="D32" s="58"/>
      <c r="E32" s="58"/>
      <c r="F32" s="58"/>
      <c r="H32" s="120"/>
      <c r="I32" s="150"/>
      <c r="J32" s="34"/>
      <c r="K32" s="34"/>
      <c r="L32" s="92"/>
      <c r="N32" s="140"/>
      <c r="O32" s="126"/>
      <c r="P32" s="127"/>
      <c r="Q32" s="34"/>
      <c r="R32" s="34"/>
    </row>
    <row r="33" spans="4:18">
      <c r="H33" s="120"/>
      <c r="I33" s="150"/>
      <c r="J33" s="34"/>
      <c r="K33" s="34"/>
      <c r="L33" s="92"/>
      <c r="N33" s="140"/>
      <c r="O33" s="126"/>
      <c r="P33" s="127"/>
      <c r="Q33" s="34"/>
      <c r="R33" s="34"/>
    </row>
    <row r="34" spans="4:18">
      <c r="H34" s="120"/>
      <c r="I34" s="150"/>
      <c r="J34" s="34"/>
      <c r="K34" s="34"/>
      <c r="L34" s="92"/>
      <c r="N34" s="140"/>
      <c r="O34" s="126"/>
      <c r="P34" s="127"/>
      <c r="Q34" s="34"/>
      <c r="R34" s="34"/>
    </row>
    <row r="35" spans="4:18">
      <c r="H35" s="120"/>
      <c r="I35" s="150"/>
      <c r="J35" s="34"/>
      <c r="K35" s="34"/>
      <c r="L35" s="92"/>
      <c r="N35" s="140"/>
      <c r="O35" s="126"/>
      <c r="P35" s="127"/>
      <c r="Q35" s="34"/>
      <c r="R35" s="34"/>
    </row>
    <row r="36" spans="4:18">
      <c r="H36" s="120"/>
      <c r="I36" s="150"/>
      <c r="J36" s="34"/>
      <c r="K36" s="34"/>
      <c r="L36" s="92"/>
      <c r="N36" s="140"/>
      <c r="O36" s="126"/>
      <c r="P36" s="127"/>
      <c r="Q36" s="34"/>
      <c r="R36" s="34"/>
    </row>
    <row r="37" spans="4:18">
      <c r="H37" s="120"/>
      <c r="I37" s="150"/>
      <c r="J37" s="34"/>
      <c r="K37" s="34"/>
      <c r="L37" s="92"/>
      <c r="N37" s="140"/>
      <c r="O37" s="126"/>
      <c r="P37" s="127"/>
      <c r="Q37" s="34"/>
      <c r="R37" s="34"/>
    </row>
    <row r="38" spans="4:18">
      <c r="H38" s="120"/>
      <c r="I38" s="150"/>
      <c r="J38" s="34"/>
      <c r="K38" s="34"/>
      <c r="L38" s="92"/>
      <c r="N38" s="140"/>
      <c r="O38" s="126"/>
      <c r="P38" s="127"/>
      <c r="Q38" s="34"/>
      <c r="R38" s="34"/>
    </row>
    <row r="39" spans="4:18">
      <c r="H39" s="120"/>
      <c r="I39" s="150"/>
      <c r="J39" s="34"/>
      <c r="K39" s="34"/>
      <c r="L39" s="92"/>
      <c r="N39" s="140"/>
      <c r="O39" s="126"/>
      <c r="P39" s="127"/>
      <c r="Q39" s="34"/>
      <c r="R39" s="34"/>
    </row>
    <row r="40" spans="4:18">
      <c r="H40" s="120"/>
      <c r="I40" s="150"/>
      <c r="J40" s="34"/>
      <c r="K40" s="34"/>
      <c r="L40" s="92"/>
      <c r="N40" s="140"/>
      <c r="O40" s="126"/>
      <c r="P40" s="127"/>
      <c r="Q40" s="34"/>
      <c r="R40" s="34"/>
    </row>
    <row r="41" spans="4:18">
      <c r="H41" s="120"/>
      <c r="I41" s="150"/>
      <c r="J41" s="34"/>
      <c r="K41" s="34"/>
      <c r="L41" s="92"/>
      <c r="N41" s="140"/>
      <c r="O41" s="126"/>
      <c r="P41" s="127"/>
      <c r="Q41" s="34"/>
      <c r="R41" s="34"/>
    </row>
    <row r="42" spans="4:18">
      <c r="D42" s="5"/>
      <c r="H42" s="120"/>
      <c r="I42" s="150"/>
      <c r="J42" s="34"/>
      <c r="K42" s="34"/>
      <c r="L42" s="92"/>
      <c r="N42" s="140"/>
      <c r="O42" s="126"/>
      <c r="P42" s="127"/>
      <c r="Q42" s="34"/>
      <c r="R42" s="34"/>
    </row>
    <row r="43" spans="4:18">
      <c r="D43" s="97"/>
      <c r="H43" s="120"/>
      <c r="I43" s="150"/>
      <c r="J43" s="34"/>
      <c r="K43" s="34"/>
      <c r="L43" s="92"/>
      <c r="N43" s="140"/>
      <c r="O43" s="126"/>
      <c r="P43" s="127"/>
      <c r="Q43" s="34"/>
      <c r="R43" s="34"/>
    </row>
    <row r="44" spans="4:18">
      <c r="D44" s="97"/>
      <c r="H44" s="120"/>
      <c r="I44" s="150"/>
      <c r="J44" s="34"/>
      <c r="K44" s="34"/>
      <c r="L44" s="92"/>
      <c r="N44" s="140"/>
      <c r="O44" s="126"/>
      <c r="P44" s="127"/>
      <c r="Q44" s="34"/>
      <c r="R44" s="34"/>
    </row>
    <row r="45" spans="4:18">
      <c r="D45" s="97"/>
      <c r="H45" s="120"/>
      <c r="I45" s="150"/>
      <c r="J45" s="34"/>
      <c r="K45" s="34"/>
      <c r="L45" s="92"/>
      <c r="N45" s="140"/>
      <c r="O45" s="126"/>
      <c r="P45" s="127"/>
      <c r="Q45" s="34"/>
      <c r="R45" s="34"/>
    </row>
    <row r="46" spans="4:18">
      <c r="D46" s="97"/>
      <c r="H46" s="120"/>
      <c r="I46" s="150"/>
      <c r="J46" s="34"/>
      <c r="K46" s="34"/>
      <c r="L46" s="92"/>
      <c r="N46" s="140"/>
      <c r="O46" s="126"/>
      <c r="P46" s="127"/>
      <c r="Q46" s="34"/>
      <c r="R46" s="34"/>
    </row>
    <row r="47" spans="4:18">
      <c r="D47" s="97"/>
      <c r="H47" s="120"/>
      <c r="I47" s="150"/>
      <c r="J47" s="34"/>
      <c r="K47" s="34"/>
      <c r="L47" s="92"/>
      <c r="N47" s="140"/>
      <c r="O47" s="126"/>
      <c r="P47" s="127"/>
      <c r="Q47" s="34"/>
      <c r="R47" s="34"/>
    </row>
    <row r="48" spans="4:18">
      <c r="D48" s="97"/>
      <c r="H48" s="120"/>
      <c r="I48" s="150"/>
      <c r="J48" s="34"/>
      <c r="K48" s="34"/>
      <c r="L48" s="92"/>
      <c r="N48" s="140"/>
      <c r="O48" s="126"/>
      <c r="P48" s="127"/>
      <c r="Q48" s="34"/>
      <c r="R48" s="34"/>
    </row>
    <row r="49" spans="4:18">
      <c r="D49" s="97"/>
      <c r="H49" s="120"/>
      <c r="I49" s="150"/>
      <c r="J49" s="34"/>
      <c r="K49" s="34"/>
      <c r="L49" s="92"/>
      <c r="N49" s="140"/>
      <c r="O49" s="126"/>
      <c r="P49" s="127"/>
      <c r="Q49" s="34"/>
      <c r="R49" s="34"/>
    </row>
    <row r="50" spans="4:18">
      <c r="D50" s="97"/>
      <c r="H50" s="120"/>
      <c r="I50" s="150"/>
      <c r="J50" s="34"/>
      <c r="K50" s="34"/>
      <c r="L50" s="92"/>
      <c r="N50" s="140"/>
      <c r="O50" s="126"/>
      <c r="P50" s="127"/>
      <c r="Q50" s="34"/>
      <c r="R50" s="34"/>
    </row>
    <row r="51" spans="4:18">
      <c r="D51" s="97"/>
      <c r="H51" s="120"/>
      <c r="I51" s="150"/>
      <c r="J51" s="34"/>
      <c r="K51" s="34"/>
      <c r="L51" s="92"/>
      <c r="N51" s="140"/>
      <c r="O51" s="126"/>
      <c r="P51" s="127"/>
      <c r="Q51" s="34"/>
      <c r="R51" s="34"/>
    </row>
    <row r="52" spans="4:18">
      <c r="D52" s="97"/>
      <c r="H52" s="120"/>
      <c r="I52" s="150"/>
      <c r="J52" s="34"/>
      <c r="K52" s="34"/>
      <c r="L52" s="92"/>
      <c r="N52" s="140"/>
      <c r="O52" s="126"/>
      <c r="P52" s="127"/>
      <c r="Q52" s="34"/>
      <c r="R52" s="34"/>
    </row>
    <row r="53" spans="4:18">
      <c r="D53" s="97"/>
      <c r="H53" s="120"/>
      <c r="I53" s="150"/>
      <c r="J53" s="34"/>
      <c r="K53" s="34"/>
      <c r="L53" s="92"/>
      <c r="N53" s="140"/>
      <c r="O53" s="126"/>
      <c r="P53" s="127"/>
      <c r="Q53" s="34"/>
      <c r="R53" s="34"/>
    </row>
    <row r="54" spans="4:18">
      <c r="D54" s="97"/>
      <c r="H54" s="120"/>
      <c r="I54" s="150"/>
      <c r="J54" s="34"/>
      <c r="K54" s="34"/>
      <c r="L54" s="92"/>
      <c r="N54" s="140"/>
      <c r="O54" s="126"/>
      <c r="P54" s="127"/>
      <c r="Q54" s="34"/>
      <c r="R54" s="34"/>
    </row>
    <row r="55" spans="4:18">
      <c r="D55" s="97"/>
      <c r="H55" s="120"/>
      <c r="I55" s="150"/>
      <c r="J55" s="34"/>
      <c r="K55" s="34"/>
      <c r="L55" s="92"/>
      <c r="N55" s="140"/>
      <c r="O55" s="126"/>
      <c r="P55" s="127"/>
      <c r="Q55" s="34"/>
      <c r="R55" s="34"/>
    </row>
    <row r="56" spans="4:18">
      <c r="D56" s="97"/>
      <c r="H56" s="120"/>
      <c r="I56" s="150"/>
      <c r="J56" s="34"/>
      <c r="K56" s="34"/>
      <c r="L56" s="92"/>
      <c r="N56" s="140"/>
      <c r="O56" s="126"/>
      <c r="P56" s="127"/>
      <c r="Q56" s="34"/>
      <c r="R56" s="34"/>
    </row>
    <row r="57" spans="4:18">
      <c r="D57" s="97"/>
      <c r="H57" s="120"/>
      <c r="I57" s="150"/>
      <c r="J57" s="34"/>
      <c r="K57" s="34"/>
      <c r="L57" s="92"/>
      <c r="N57" s="140"/>
      <c r="O57" s="126"/>
      <c r="P57" s="127"/>
      <c r="Q57" s="34"/>
      <c r="R57" s="34"/>
    </row>
    <row r="58" spans="4:18">
      <c r="D58" s="97"/>
      <c r="H58" s="120"/>
      <c r="I58" s="150"/>
      <c r="J58" s="34"/>
      <c r="K58" s="34"/>
      <c r="L58" s="92"/>
      <c r="N58" s="140"/>
      <c r="O58" s="126"/>
      <c r="P58" s="127"/>
      <c r="Q58" s="34"/>
      <c r="R58" s="34"/>
    </row>
    <row r="59" spans="4:18">
      <c r="H59" s="120"/>
      <c r="I59" s="150"/>
      <c r="J59" s="34"/>
      <c r="K59" s="34"/>
      <c r="L59" s="92"/>
      <c r="N59" s="140"/>
      <c r="O59" s="126"/>
      <c r="P59" s="127"/>
      <c r="Q59" s="34"/>
      <c r="R59" s="34"/>
    </row>
    <row r="60" spans="4:18">
      <c r="H60" s="120"/>
      <c r="I60" s="150"/>
      <c r="J60" s="34"/>
      <c r="K60" s="34"/>
      <c r="L60" s="92"/>
      <c r="N60" s="140"/>
      <c r="O60" s="126"/>
      <c r="P60" s="127"/>
      <c r="Q60" s="34"/>
      <c r="R60" s="34"/>
    </row>
    <row r="61" spans="4:18">
      <c r="H61" s="120"/>
      <c r="I61" s="150"/>
      <c r="J61" s="34"/>
      <c r="K61" s="34"/>
      <c r="L61" s="92"/>
      <c r="N61" s="140"/>
      <c r="O61" s="126"/>
      <c r="P61" s="127"/>
      <c r="Q61" s="34"/>
      <c r="R61" s="34"/>
    </row>
    <row r="62" spans="4:18">
      <c r="H62" s="120"/>
      <c r="I62" s="150"/>
      <c r="J62" s="34"/>
      <c r="K62" s="34"/>
      <c r="L62" s="92"/>
      <c r="N62" s="140"/>
      <c r="O62" s="126"/>
      <c r="P62" s="127"/>
      <c r="Q62" s="34"/>
      <c r="R62" s="34"/>
    </row>
    <row r="63" spans="4:18">
      <c r="H63" s="120"/>
      <c r="I63" s="150"/>
      <c r="J63" s="34"/>
      <c r="K63" s="34"/>
      <c r="L63" s="92"/>
      <c r="N63" s="140"/>
      <c r="O63" s="126"/>
      <c r="P63" s="127"/>
      <c r="Q63" s="34"/>
      <c r="R63" s="34"/>
    </row>
    <row r="64" spans="4:18">
      <c r="H64" s="120"/>
      <c r="I64" s="150"/>
      <c r="J64" s="34"/>
      <c r="K64" s="34"/>
      <c r="L64" s="92"/>
      <c r="N64" s="140"/>
      <c r="O64" s="126"/>
      <c r="P64" s="127"/>
      <c r="Q64" s="34"/>
      <c r="R64" s="34"/>
    </row>
    <row r="65" spans="8:18">
      <c r="H65" s="120"/>
      <c r="I65" s="150"/>
      <c r="J65" s="34"/>
      <c r="K65" s="34"/>
      <c r="L65" s="92"/>
      <c r="N65" s="140"/>
      <c r="O65" s="126"/>
      <c r="P65" s="127"/>
      <c r="Q65" s="34"/>
      <c r="R65" s="34"/>
    </row>
    <row r="66" spans="8:18">
      <c r="H66" s="120"/>
      <c r="I66" s="150"/>
      <c r="J66" s="34"/>
      <c r="K66" s="34"/>
      <c r="L66" s="92"/>
      <c r="N66" s="140"/>
      <c r="O66" s="126"/>
      <c r="P66" s="127"/>
      <c r="Q66" s="34"/>
      <c r="R66" s="34"/>
    </row>
    <row r="67" spans="8:18">
      <c r="H67" s="120"/>
      <c r="I67" s="150"/>
      <c r="J67" s="34"/>
      <c r="K67" s="34"/>
      <c r="L67" s="92"/>
      <c r="N67" s="140"/>
      <c r="O67" s="126"/>
      <c r="P67" s="127"/>
      <c r="Q67" s="34"/>
      <c r="R67" s="34"/>
    </row>
    <row r="68" spans="8:18">
      <c r="H68" s="120"/>
      <c r="I68" s="150"/>
      <c r="J68" s="34"/>
      <c r="K68" s="34"/>
      <c r="L68" s="92"/>
      <c r="N68" s="140"/>
      <c r="O68" s="126"/>
      <c r="P68" s="127"/>
      <c r="Q68" s="34"/>
      <c r="R68" s="34"/>
    </row>
    <row r="69" spans="8:18">
      <c r="H69" s="120"/>
      <c r="I69" s="150"/>
      <c r="J69" s="34"/>
      <c r="K69" s="34"/>
      <c r="L69" s="92"/>
      <c r="N69" s="140"/>
      <c r="O69" s="126"/>
      <c r="P69" s="127"/>
      <c r="Q69" s="34"/>
      <c r="R69" s="34"/>
    </row>
    <row r="70" spans="8:18">
      <c r="H70" s="120"/>
      <c r="I70" s="150"/>
      <c r="J70" s="34"/>
      <c r="K70" s="34"/>
      <c r="L70" s="92"/>
      <c r="N70" s="140"/>
      <c r="O70" s="126"/>
      <c r="P70" s="127"/>
      <c r="Q70" s="34"/>
      <c r="R70" s="34"/>
    </row>
    <row r="71" spans="8:18">
      <c r="H71" s="120"/>
      <c r="I71" s="150"/>
      <c r="J71" s="34"/>
      <c r="K71" s="34"/>
      <c r="L71" s="92"/>
      <c r="N71" s="140"/>
      <c r="O71" s="126"/>
      <c r="P71" s="127"/>
      <c r="Q71" s="34"/>
      <c r="R71" s="34"/>
    </row>
    <row r="72" spans="8:18">
      <c r="H72" s="120"/>
      <c r="I72" s="150"/>
      <c r="J72" s="34"/>
      <c r="K72" s="34"/>
      <c r="L72" s="92"/>
      <c r="N72" s="140"/>
      <c r="O72" s="126"/>
      <c r="P72" s="127"/>
      <c r="Q72" s="34"/>
      <c r="R72" s="34"/>
    </row>
    <row r="73" spans="8:18">
      <c r="H73" s="120"/>
      <c r="I73" s="150"/>
      <c r="J73" s="34"/>
      <c r="K73" s="34"/>
      <c r="L73" s="92"/>
      <c r="N73" s="140"/>
      <c r="O73" s="126"/>
      <c r="P73" s="127"/>
      <c r="Q73" s="34"/>
      <c r="R73" s="34"/>
    </row>
    <row r="74" spans="8:18">
      <c r="H74" s="120"/>
      <c r="I74" s="150"/>
      <c r="J74" s="34"/>
      <c r="K74" s="34"/>
      <c r="L74" s="92"/>
      <c r="N74" s="140"/>
      <c r="O74" s="126"/>
      <c r="P74" s="127"/>
      <c r="Q74" s="34"/>
      <c r="R74" s="34"/>
    </row>
    <row r="75" spans="8:18">
      <c r="H75" s="120"/>
      <c r="N75" s="140"/>
    </row>
    <row r="76" spans="8:18">
      <c r="H76" s="120"/>
      <c r="N76" s="140"/>
    </row>
    <row r="77" spans="8:18">
      <c r="H77" s="120"/>
      <c r="N77" s="140"/>
    </row>
    <row r="78" spans="8:18">
      <c r="H78" s="120"/>
      <c r="N78" s="140"/>
    </row>
    <row r="79" spans="8:18">
      <c r="H79" s="120"/>
      <c r="N79" s="140"/>
    </row>
    <row r="80" spans="8:18">
      <c r="H80" s="120"/>
      <c r="N80" s="140"/>
    </row>
    <row r="81" spans="8:14">
      <c r="H81" s="120"/>
      <c r="N81" s="140"/>
    </row>
    <row r="82" spans="8:14">
      <c r="H82" s="120"/>
      <c r="N82" s="140"/>
    </row>
    <row r="83" spans="8:14">
      <c r="H83" s="120"/>
      <c r="N83" s="140"/>
    </row>
    <row r="84" spans="8:14">
      <c r="H84" s="120"/>
      <c r="N84" s="140"/>
    </row>
    <row r="85" spans="8:14">
      <c r="H85" s="120"/>
      <c r="N85" s="140"/>
    </row>
    <row r="86" spans="8:14">
      <c r="H86" s="120"/>
      <c r="N86" s="140"/>
    </row>
    <row r="87" spans="8:14">
      <c r="H87" s="120"/>
      <c r="N87" s="140"/>
    </row>
    <row r="88" spans="8:14">
      <c r="H88" s="120"/>
      <c r="N88" s="140"/>
    </row>
    <row r="89" spans="8:14">
      <c r="H89" s="120"/>
      <c r="N89" s="140"/>
    </row>
    <row r="90" spans="8:14">
      <c r="H90" s="120"/>
      <c r="N90" s="140"/>
    </row>
    <row r="91" spans="8:14">
      <c r="H91" s="120"/>
      <c r="N91" s="140"/>
    </row>
    <row r="92" spans="8:14">
      <c r="H92" s="120"/>
      <c r="N92" s="140"/>
    </row>
    <row r="93" spans="8:14">
      <c r="H93" s="120"/>
      <c r="N93" s="140"/>
    </row>
    <row r="94" spans="8:14">
      <c r="H94" s="120"/>
      <c r="N94" s="140"/>
    </row>
    <row r="95" spans="8:14">
      <c r="H95" s="120"/>
      <c r="N95" s="140"/>
    </row>
    <row r="96" spans="8:14">
      <c r="H96" s="120"/>
      <c r="N96" s="140"/>
    </row>
    <row r="97" spans="8:8">
      <c r="H97" s="120"/>
    </row>
    <row r="98" spans="8:8">
      <c r="H98" s="120"/>
    </row>
    <row r="99" spans="8:8">
      <c r="H99" s="120"/>
    </row>
    <row r="100" spans="8:8">
      <c r="H100" s="120"/>
    </row>
    <row r="101" spans="8:8">
      <c r="H101" s="120"/>
    </row>
    <row r="102" spans="8:8">
      <c r="H102" s="120"/>
    </row>
    <row r="103" spans="8:8">
      <c r="H103" s="120"/>
    </row>
  </sheetData>
  <mergeCells count="3">
    <mergeCell ref="E2:F2"/>
    <mergeCell ref="N2:P2"/>
    <mergeCell ref="H2:L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6600"/>
  </sheetPr>
  <dimension ref="A1:Q16"/>
  <sheetViews>
    <sheetView zoomScale="80" zoomScaleNormal="80" workbookViewId="0">
      <selection activeCell="A2" sqref="A2:N6"/>
    </sheetView>
  </sheetViews>
  <sheetFormatPr defaultRowHeight="15"/>
  <cols>
    <col min="1" max="1" width="13.28515625" customWidth="1"/>
    <col min="2" max="2" width="16.42578125" bestFit="1" customWidth="1"/>
    <col min="3" max="5" width="8" customWidth="1"/>
    <col min="6" max="6" width="10.42578125" customWidth="1"/>
    <col min="7" max="7" width="8" customWidth="1"/>
    <col min="8" max="8" width="8.85546875" customWidth="1"/>
    <col min="9" max="13" width="8" customWidth="1"/>
    <col min="14" max="14" width="8.85546875" customWidth="1"/>
  </cols>
  <sheetData>
    <row r="1" spans="1:17" s="58" customFormat="1" ht="60">
      <c r="A1" s="175" t="s">
        <v>223</v>
      </c>
      <c r="B1" s="175" t="s">
        <v>263</v>
      </c>
      <c r="C1" s="175" t="s">
        <v>274</v>
      </c>
      <c r="D1" s="175" t="s">
        <v>407</v>
      </c>
      <c r="E1" s="175" t="s">
        <v>25</v>
      </c>
      <c r="F1" s="176" t="s">
        <v>280</v>
      </c>
      <c r="G1" s="176" t="s">
        <v>279</v>
      </c>
      <c r="H1" s="175" t="s">
        <v>299</v>
      </c>
      <c r="I1" s="175" t="s">
        <v>261</v>
      </c>
      <c r="J1" s="147" t="s">
        <v>296</v>
      </c>
      <c r="K1" s="175" t="s">
        <v>300</v>
      </c>
      <c r="L1" s="175" t="s">
        <v>301</v>
      </c>
      <c r="M1" s="175" t="s">
        <v>302</v>
      </c>
      <c r="N1" s="175" t="s">
        <v>403</v>
      </c>
      <c r="O1" s="103"/>
      <c r="P1" s="103"/>
      <c r="Q1" s="103"/>
    </row>
    <row r="2" spans="1:17">
      <c r="A2" s="171"/>
      <c r="B2" s="171"/>
      <c r="C2" s="171"/>
      <c r="D2" s="171"/>
      <c r="E2" s="171"/>
      <c r="F2" s="171"/>
      <c r="G2" s="171"/>
      <c r="H2" s="171"/>
      <c r="I2" s="174"/>
      <c r="J2" s="171"/>
      <c r="K2" s="171"/>
      <c r="L2" s="171"/>
      <c r="M2" s="171"/>
      <c r="N2" s="170"/>
      <c r="O2" s="5"/>
      <c r="P2" s="5"/>
      <c r="Q2" s="5"/>
    </row>
    <row r="3" spans="1:17">
      <c r="A3" s="171"/>
      <c r="B3" s="170"/>
      <c r="C3" s="171"/>
      <c r="D3" s="171"/>
      <c r="E3" s="171"/>
      <c r="F3" s="171"/>
      <c r="G3" s="171"/>
      <c r="H3" s="171"/>
      <c r="I3" s="171"/>
      <c r="J3" s="171"/>
      <c r="K3" s="170"/>
      <c r="L3" s="170"/>
      <c r="M3" s="170"/>
      <c r="N3" s="170"/>
      <c r="O3" s="5"/>
      <c r="P3" s="5"/>
      <c r="Q3" s="5"/>
    </row>
    <row r="4" spans="1:17">
      <c r="A4" s="171"/>
      <c r="B4" s="171"/>
      <c r="C4" s="171"/>
      <c r="D4" s="171"/>
      <c r="E4" s="171"/>
      <c r="F4" s="171"/>
      <c r="G4" s="171"/>
      <c r="H4" s="171"/>
      <c r="I4" s="174"/>
      <c r="J4" s="171"/>
      <c r="K4" s="170"/>
      <c r="L4" s="170"/>
      <c r="M4" s="170"/>
      <c r="N4" s="170"/>
      <c r="O4" s="5"/>
      <c r="P4" s="5"/>
      <c r="Q4" s="5"/>
    </row>
    <row r="5" spans="1:17">
      <c r="A5" s="171"/>
      <c r="B5" s="171"/>
      <c r="C5" s="171"/>
      <c r="D5" s="171"/>
      <c r="E5" s="171"/>
      <c r="F5" s="171"/>
      <c r="G5" s="171"/>
      <c r="H5" s="171"/>
      <c r="I5" s="171"/>
      <c r="J5" s="171"/>
      <c r="K5" s="170"/>
      <c r="L5" s="170"/>
      <c r="M5" s="170"/>
      <c r="N5" s="170"/>
      <c r="O5" s="5"/>
      <c r="P5" s="5"/>
      <c r="Q5" s="5"/>
    </row>
    <row r="6" spans="1:17">
      <c r="A6" s="97"/>
      <c r="B6" s="97"/>
      <c r="C6" s="97"/>
      <c r="D6" s="97"/>
      <c r="E6" s="97"/>
      <c r="F6" s="97"/>
      <c r="G6" s="97"/>
      <c r="H6" s="143"/>
      <c r="I6" s="97"/>
      <c r="J6" s="5"/>
      <c r="K6" s="5"/>
      <c r="L6" s="5"/>
      <c r="M6" s="5"/>
      <c r="N6" s="5"/>
      <c r="O6" s="5"/>
      <c r="P6" s="5"/>
      <c r="Q6" s="5"/>
    </row>
    <row r="7" spans="1:17">
      <c r="A7" s="97"/>
      <c r="B7" s="97"/>
      <c r="C7" s="97"/>
      <c r="D7" s="97"/>
      <c r="E7" s="97"/>
      <c r="F7" s="97"/>
      <c r="G7" s="97"/>
      <c r="H7" s="97"/>
      <c r="I7" s="97"/>
      <c r="J7" s="97"/>
      <c r="K7" s="97"/>
      <c r="L7" s="97"/>
      <c r="M7" s="97"/>
      <c r="N7" s="97"/>
      <c r="O7" s="5"/>
      <c r="P7" s="5"/>
      <c r="Q7" s="5"/>
    </row>
    <row r="8" spans="1:17">
      <c r="A8" s="97"/>
      <c r="B8" s="97"/>
      <c r="C8" s="97"/>
      <c r="D8" s="97"/>
      <c r="E8" s="97"/>
      <c r="F8" s="97"/>
      <c r="G8" s="97"/>
      <c r="H8" s="97"/>
      <c r="I8" s="97"/>
      <c r="J8" s="97"/>
      <c r="K8" s="97"/>
      <c r="L8" s="97"/>
      <c r="M8" s="97"/>
      <c r="N8" s="97"/>
      <c r="O8" s="5"/>
      <c r="P8" s="5"/>
      <c r="Q8" s="5"/>
    </row>
    <row r="9" spans="1:17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</row>
    <row r="10" spans="1:17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</row>
    <row r="11" spans="1:17">
      <c r="A11" s="53"/>
      <c r="B11" s="56"/>
      <c r="C11" s="56"/>
      <c r="D11" s="53"/>
      <c r="E11" s="56"/>
      <c r="F11" s="56"/>
      <c r="G11" s="56"/>
      <c r="H11" s="56"/>
      <c r="I11" s="56"/>
    </row>
    <row r="12" spans="1:17">
      <c r="A12" s="33"/>
      <c r="B12" s="33"/>
      <c r="C12" s="33"/>
      <c r="D12" s="33"/>
      <c r="E12" s="33"/>
      <c r="F12" s="33"/>
      <c r="G12" s="33"/>
      <c r="H12" s="33"/>
      <c r="I12" s="33"/>
    </row>
    <row r="13" spans="1:17">
      <c r="A13" s="33"/>
      <c r="B13" s="33"/>
      <c r="C13" s="33"/>
      <c r="D13" s="33"/>
      <c r="E13" s="33"/>
      <c r="F13" s="33"/>
      <c r="G13" s="33"/>
      <c r="H13" s="33"/>
      <c r="I13" s="33"/>
    </row>
    <row r="14" spans="1:17">
      <c r="A14" s="33"/>
      <c r="B14" s="33"/>
      <c r="C14" s="33"/>
      <c r="D14" s="33"/>
      <c r="E14" s="33"/>
      <c r="F14" s="33"/>
      <c r="G14" s="33"/>
      <c r="H14" s="33"/>
      <c r="I14" s="33"/>
    </row>
    <row r="15" spans="1:17">
      <c r="A15" s="33"/>
      <c r="B15" s="33"/>
      <c r="C15" s="33"/>
      <c r="D15" s="33"/>
      <c r="E15" s="33"/>
      <c r="F15" s="33"/>
      <c r="G15" s="33"/>
      <c r="H15" s="33"/>
      <c r="I15" s="33"/>
    </row>
    <row r="16" spans="1:17">
      <c r="A16" s="33"/>
      <c r="B16" s="33"/>
      <c r="C16" s="33"/>
      <c r="D16" s="33"/>
      <c r="E16" s="33"/>
      <c r="F16" s="33"/>
      <c r="G16" s="33"/>
      <c r="H16" s="33"/>
      <c r="I16" s="33"/>
    </row>
  </sheetData>
  <dataValidations count="3">
    <dataValidation type="custom" allowBlank="1" showInputMessage="1" showErrorMessage="1" sqref="I2" xr:uid="{00000000-0002-0000-0600-000000000000}">
      <formula1>M1&lt;T2</formula1>
    </dataValidation>
    <dataValidation type="custom" allowBlank="1" showInputMessage="1" showErrorMessage="1" sqref="I4" xr:uid="{00000000-0002-0000-0600-000001000000}">
      <formula1>I15&lt;V25*10^6</formula1>
    </dataValidation>
    <dataValidation type="custom" allowBlank="1" showInputMessage="1" showErrorMessage="1" sqref="B3" xr:uid="{00000000-0002-0000-0600-000002000000}">
      <formula1>E3&lt;M3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9"/>
  <sheetViews>
    <sheetView zoomScale="80" zoomScaleNormal="80" workbookViewId="0">
      <selection activeCell="C27" sqref="C27"/>
    </sheetView>
  </sheetViews>
  <sheetFormatPr defaultRowHeight="15"/>
  <cols>
    <col min="1" max="1" width="16" customWidth="1"/>
    <col min="2" max="2" width="12.7109375" customWidth="1"/>
    <col min="3" max="3" width="6.5703125" customWidth="1"/>
    <col min="4" max="4" width="8.5703125" customWidth="1"/>
    <col min="5" max="5" width="9" customWidth="1"/>
    <col min="6" max="6" width="6.7109375" customWidth="1"/>
    <col min="7" max="7" width="17.28515625" customWidth="1"/>
    <col min="8" max="8" width="10.5703125" customWidth="1"/>
    <col min="9" max="9" width="11.5703125" customWidth="1"/>
    <col min="16" max="16" width="11" customWidth="1"/>
  </cols>
  <sheetData>
    <row r="1" spans="1:15" s="155" customFormat="1" ht="53.25" customHeight="1">
      <c r="A1" s="154" t="s">
        <v>223</v>
      </c>
      <c r="B1" s="154" t="s">
        <v>263</v>
      </c>
      <c r="C1" s="154" t="s">
        <v>274</v>
      </c>
      <c r="D1" s="154" t="s">
        <v>25</v>
      </c>
      <c r="E1" s="154" t="s">
        <v>280</v>
      </c>
      <c r="F1" s="155" t="s">
        <v>279</v>
      </c>
      <c r="G1" s="155" t="s">
        <v>409</v>
      </c>
      <c r="H1" s="155" t="s">
        <v>410</v>
      </c>
      <c r="I1" s="154" t="s">
        <v>261</v>
      </c>
      <c r="J1" s="154" t="s">
        <v>300</v>
      </c>
      <c r="K1" s="154" t="s">
        <v>301</v>
      </c>
      <c r="L1" s="154" t="s">
        <v>302</v>
      </c>
      <c r="M1" s="154" t="s">
        <v>403</v>
      </c>
      <c r="N1" s="156" t="s">
        <v>296</v>
      </c>
      <c r="O1" s="155" t="s">
        <v>407</v>
      </c>
    </row>
    <row r="2" spans="1:15">
      <c r="A2" s="160"/>
      <c r="B2" s="160"/>
      <c r="C2" s="160"/>
      <c r="D2" s="160"/>
      <c r="E2" s="160"/>
      <c r="F2" s="160"/>
      <c r="G2" s="161"/>
      <c r="H2" s="162"/>
      <c r="I2" s="163"/>
      <c r="J2" s="164"/>
      <c r="K2" s="164"/>
      <c r="L2" s="164"/>
      <c r="M2" s="160"/>
      <c r="N2" s="163"/>
      <c r="O2" s="163"/>
    </row>
    <row r="3" spans="1:15">
      <c r="A3" s="160"/>
      <c r="B3" s="160"/>
      <c r="C3" s="160"/>
      <c r="D3" s="160"/>
      <c r="E3" s="160"/>
      <c r="F3" s="160"/>
      <c r="G3" s="161"/>
      <c r="H3" s="162"/>
      <c r="I3" s="163"/>
      <c r="J3" s="164"/>
      <c r="K3" s="164"/>
      <c r="L3" s="164"/>
      <c r="M3" s="160"/>
      <c r="N3" s="163"/>
      <c r="O3" s="163"/>
    </row>
    <row r="4" spans="1:15">
      <c r="A4" s="160"/>
      <c r="B4" s="160"/>
      <c r="C4" s="160"/>
      <c r="D4" s="160"/>
      <c r="E4" s="160"/>
      <c r="F4" s="160"/>
      <c r="G4" s="161"/>
      <c r="H4" s="162"/>
      <c r="I4" s="163"/>
      <c r="J4" s="164"/>
      <c r="K4" s="164"/>
      <c r="L4" s="164"/>
      <c r="M4" s="160"/>
      <c r="N4" s="163"/>
      <c r="O4" s="163"/>
    </row>
    <row r="5" spans="1:15">
      <c r="A5" s="160"/>
      <c r="B5" s="160"/>
      <c r="C5" s="160"/>
      <c r="D5" s="160"/>
      <c r="E5" s="160"/>
      <c r="F5" s="160"/>
      <c r="G5" s="161"/>
      <c r="H5" s="162"/>
      <c r="I5" s="163"/>
      <c r="J5" s="163"/>
      <c r="K5" s="163"/>
      <c r="L5" s="163"/>
      <c r="M5" s="160"/>
      <c r="N5" s="163"/>
      <c r="O5" s="163"/>
    </row>
    <row r="6" spans="1:15">
      <c r="A6" s="160"/>
      <c r="B6" s="160"/>
      <c r="C6" s="160"/>
      <c r="D6" s="160"/>
      <c r="E6" s="160"/>
      <c r="F6" s="160"/>
      <c r="G6" s="161"/>
      <c r="H6" s="162"/>
      <c r="I6" s="163"/>
      <c r="J6" s="163"/>
      <c r="K6" s="163"/>
      <c r="L6" s="163"/>
      <c r="M6" s="160"/>
      <c r="N6" s="163"/>
      <c r="O6" s="163"/>
    </row>
    <row r="7" spans="1:15">
      <c r="A7" s="160"/>
      <c r="B7" s="160"/>
      <c r="C7" s="160"/>
      <c r="D7" s="160"/>
      <c r="E7" s="160"/>
      <c r="F7" s="160"/>
      <c r="G7" s="161"/>
      <c r="H7" s="162"/>
      <c r="I7" s="163"/>
      <c r="J7" s="163"/>
      <c r="K7" s="163"/>
      <c r="L7" s="163"/>
      <c r="M7" s="160"/>
      <c r="N7" s="163"/>
      <c r="O7" s="163"/>
    </row>
    <row r="8" spans="1:15">
      <c r="A8" s="160"/>
      <c r="B8" s="160"/>
      <c r="C8" s="160"/>
      <c r="D8" s="160"/>
      <c r="E8" s="160"/>
      <c r="F8" s="160"/>
      <c r="G8" s="161"/>
      <c r="H8" s="162"/>
      <c r="I8" s="163"/>
      <c r="J8" s="163"/>
      <c r="K8" s="163"/>
      <c r="L8" s="163"/>
      <c r="M8" s="160"/>
      <c r="N8" s="163"/>
      <c r="O8" s="163"/>
    </row>
    <row r="9" spans="1:15">
      <c r="A9" s="160"/>
      <c r="B9" s="160"/>
      <c r="C9" s="160"/>
      <c r="D9" s="160"/>
      <c r="E9" s="160"/>
      <c r="F9" s="160"/>
      <c r="G9" s="161"/>
      <c r="H9" s="162"/>
      <c r="I9" s="163"/>
      <c r="J9" s="163"/>
      <c r="K9" s="163"/>
      <c r="L9" s="163"/>
      <c r="M9" s="160"/>
      <c r="N9" s="163"/>
      <c r="O9" s="163"/>
    </row>
    <row r="10" spans="1:15">
      <c r="A10" s="160"/>
      <c r="B10" s="160"/>
      <c r="C10" s="160"/>
      <c r="D10" s="160"/>
      <c r="E10" s="160"/>
      <c r="F10" s="160"/>
      <c r="G10" s="161"/>
      <c r="H10" s="162"/>
      <c r="I10" s="163"/>
      <c r="J10" s="163"/>
      <c r="K10" s="163"/>
      <c r="L10" s="163"/>
      <c r="M10" s="160"/>
      <c r="N10" s="163"/>
      <c r="O10" s="163"/>
    </row>
    <row r="11" spans="1:15">
      <c r="A11" s="152"/>
      <c r="B11" s="152"/>
      <c r="C11" s="152"/>
      <c r="D11" s="152"/>
      <c r="E11" s="152"/>
      <c r="F11" s="152"/>
      <c r="G11" s="152"/>
      <c r="H11" s="152"/>
      <c r="I11" s="152"/>
    </row>
    <row r="12" spans="1:15">
      <c r="A12" s="152"/>
      <c r="B12" s="152"/>
      <c r="C12" s="152"/>
      <c r="D12" s="152"/>
      <c r="E12" s="152"/>
      <c r="F12" s="152"/>
      <c r="G12" s="152"/>
      <c r="H12" s="152"/>
      <c r="I12" s="152"/>
    </row>
    <row r="13" spans="1:15">
      <c r="A13" s="152"/>
      <c r="B13" s="152"/>
      <c r="C13" s="152"/>
      <c r="D13" s="152"/>
      <c r="E13" s="152"/>
      <c r="F13" s="152"/>
      <c r="G13" s="152"/>
      <c r="H13" s="152"/>
      <c r="I13" s="152"/>
    </row>
    <row r="14" spans="1:15">
      <c r="A14" s="152"/>
      <c r="B14" s="152"/>
      <c r="C14" s="152"/>
      <c r="D14" s="152"/>
      <c r="E14" s="152"/>
      <c r="F14" s="152"/>
      <c r="G14" s="152"/>
      <c r="H14" s="152"/>
      <c r="I14" s="152"/>
    </row>
    <row r="15" spans="1:15">
      <c r="A15" s="152"/>
      <c r="B15" s="152"/>
      <c r="C15" s="152"/>
      <c r="D15" s="152"/>
      <c r="E15" s="152"/>
      <c r="F15" s="152"/>
      <c r="G15" s="152"/>
      <c r="H15" s="152"/>
      <c r="I15" s="152"/>
    </row>
    <row r="16" spans="1:15">
      <c r="A16" s="152"/>
      <c r="B16" s="152"/>
      <c r="C16" s="152"/>
      <c r="D16" s="152"/>
      <c r="E16" s="152"/>
      <c r="F16" s="152"/>
      <c r="G16" s="152"/>
      <c r="H16" s="152"/>
      <c r="I16" s="152"/>
    </row>
    <row r="17" spans="1:9">
      <c r="A17" s="152"/>
      <c r="B17" s="152"/>
      <c r="C17" s="152"/>
      <c r="D17" s="152"/>
      <c r="E17" s="152"/>
      <c r="F17" s="152"/>
      <c r="G17" s="152"/>
      <c r="H17" s="152"/>
      <c r="I17" s="152"/>
    </row>
    <row r="18" spans="1:9">
      <c r="A18" s="152"/>
      <c r="B18" s="152"/>
      <c r="C18" s="152"/>
      <c r="D18" s="152"/>
      <c r="E18" s="152"/>
      <c r="F18" s="152"/>
      <c r="G18" s="152"/>
      <c r="H18" s="152"/>
      <c r="I18" s="152"/>
    </row>
    <row r="19" spans="1:9">
      <c r="A19" s="152"/>
      <c r="B19" s="152"/>
      <c r="C19" s="152"/>
      <c r="D19" s="152"/>
      <c r="E19" s="152"/>
      <c r="F19" s="152"/>
      <c r="G19" s="152"/>
      <c r="H19" s="152"/>
      <c r="I19" s="152"/>
    </row>
    <row r="20" spans="1:9">
      <c r="A20" s="152"/>
      <c r="B20" s="152"/>
      <c r="C20" s="152"/>
      <c r="D20" s="152"/>
      <c r="E20" s="152"/>
      <c r="F20" s="152"/>
      <c r="G20" s="68"/>
      <c r="H20" s="152"/>
      <c r="I20" s="152"/>
    </row>
    <row r="21" spans="1:9">
      <c r="A21" s="152"/>
      <c r="B21" s="152"/>
      <c r="C21" s="152"/>
      <c r="D21" s="152"/>
      <c r="E21" s="152"/>
      <c r="F21" s="152"/>
      <c r="G21" s="68"/>
      <c r="H21" s="152"/>
      <c r="I21" s="152"/>
    </row>
    <row r="22" spans="1:9">
      <c r="A22" s="152"/>
      <c r="B22" s="152"/>
      <c r="C22" s="152"/>
      <c r="D22" s="152"/>
      <c r="E22" s="152"/>
      <c r="F22" s="152"/>
      <c r="G22" s="68"/>
      <c r="H22" s="152"/>
      <c r="I22" s="152"/>
    </row>
    <row r="23" spans="1:9">
      <c r="A23" s="152"/>
      <c r="B23" s="152"/>
      <c r="C23" s="152"/>
      <c r="D23" s="152"/>
      <c r="E23" s="152"/>
      <c r="F23" s="152"/>
      <c r="G23" s="68"/>
      <c r="H23" s="152"/>
      <c r="I23" s="152"/>
    </row>
    <row r="24" spans="1:9">
      <c r="A24" s="152"/>
      <c r="B24" s="152"/>
      <c r="C24" s="152"/>
      <c r="D24" s="152"/>
      <c r="E24" s="152"/>
      <c r="F24" s="152"/>
      <c r="G24" s="68"/>
      <c r="H24" s="152"/>
      <c r="I24" s="152"/>
    </row>
    <row r="25" spans="1:9">
      <c r="A25" s="152"/>
      <c r="B25" s="152"/>
      <c r="C25" s="152"/>
      <c r="D25" s="152"/>
      <c r="E25" s="152"/>
      <c r="F25" s="152"/>
      <c r="G25" s="68"/>
      <c r="H25" s="152"/>
      <c r="I25" s="152"/>
    </row>
    <row r="26" spans="1:9">
      <c r="A26" s="152"/>
      <c r="B26" s="152"/>
      <c r="C26" s="152"/>
      <c r="D26" s="152"/>
      <c r="E26" s="152"/>
      <c r="F26" s="152"/>
      <c r="G26" s="68"/>
      <c r="H26" s="152"/>
      <c r="I26" s="152"/>
    </row>
    <row r="27" spans="1:9">
      <c r="A27" s="152"/>
      <c r="B27" s="152"/>
      <c r="C27" s="152"/>
      <c r="D27" s="152"/>
      <c r="E27" s="152"/>
      <c r="F27" s="152"/>
      <c r="G27" s="68"/>
      <c r="H27" s="152"/>
      <c r="I27" s="152"/>
    </row>
    <row r="28" spans="1:9">
      <c r="A28" s="152"/>
      <c r="B28" s="152"/>
      <c r="C28" s="152"/>
      <c r="D28" s="152"/>
      <c r="E28" s="152"/>
      <c r="F28" s="152"/>
      <c r="G28" s="68"/>
      <c r="H28" s="152"/>
      <c r="I28" s="152"/>
    </row>
    <row r="29" spans="1:9">
      <c r="G29" s="54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6600"/>
  </sheetPr>
  <dimension ref="A1:C19"/>
  <sheetViews>
    <sheetView workbookViewId="0">
      <selection activeCell="C3" sqref="C3"/>
    </sheetView>
  </sheetViews>
  <sheetFormatPr defaultRowHeight="15"/>
  <cols>
    <col min="1" max="1" width="38" bestFit="1" customWidth="1"/>
    <col min="2" max="2" width="16.7109375" style="54" customWidth="1"/>
    <col min="3" max="3" width="17.7109375" style="54" customWidth="1"/>
  </cols>
  <sheetData>
    <row r="1" spans="1:3">
      <c r="A1" t="s">
        <v>391</v>
      </c>
      <c r="B1" s="54">
        <v>1</v>
      </c>
      <c r="C1" s="54">
        <v>2</v>
      </c>
    </row>
    <row r="2" spans="1:3">
      <c r="B2" s="54" t="s">
        <v>301</v>
      </c>
      <c r="C2" s="54" t="s">
        <v>302</v>
      </c>
    </row>
    <row r="3" spans="1:3">
      <c r="A3" t="s">
        <v>392</v>
      </c>
      <c r="B3" s="54">
        <v>0</v>
      </c>
      <c r="C3" s="54">
        <v>0</v>
      </c>
    </row>
    <row r="5" spans="1:3">
      <c r="A5" t="s">
        <v>389</v>
      </c>
    </row>
    <row r="6" spans="1:3">
      <c r="B6" s="54" t="s">
        <v>377</v>
      </c>
      <c r="C6" s="54" t="s">
        <v>378</v>
      </c>
    </row>
    <row r="7" spans="1:3">
      <c r="A7" t="s">
        <v>381</v>
      </c>
      <c r="B7" s="157">
        <v>1.3</v>
      </c>
      <c r="C7" s="158">
        <v>0.7</v>
      </c>
    </row>
    <row r="8" spans="1:3">
      <c r="B8" s="137"/>
      <c r="C8" s="138"/>
    </row>
    <row r="9" spans="1:3">
      <c r="B9" s="137" t="s">
        <v>379</v>
      </c>
      <c r="C9" s="138" t="s">
        <v>380</v>
      </c>
    </row>
    <row r="10" spans="1:3">
      <c r="A10" t="s">
        <v>390</v>
      </c>
      <c r="B10" s="141">
        <v>6000</v>
      </c>
      <c r="C10" s="141">
        <v>2</v>
      </c>
    </row>
    <row r="12" spans="1:3">
      <c r="B12" s="54" t="s">
        <v>379</v>
      </c>
    </row>
    <row r="13" spans="1:3">
      <c r="A13" t="s">
        <v>382</v>
      </c>
      <c r="B13" s="141">
        <f>B10*24</f>
        <v>144000</v>
      </c>
    </row>
    <row r="15" spans="1:3">
      <c r="B15" s="54" t="s">
        <v>384</v>
      </c>
      <c r="C15" s="54" t="s">
        <v>385</v>
      </c>
    </row>
    <row r="16" spans="1:3">
      <c r="A16" t="s">
        <v>383</v>
      </c>
      <c r="B16" s="141">
        <v>1000</v>
      </c>
      <c r="C16" s="141">
        <v>-1000</v>
      </c>
    </row>
    <row r="18" spans="1:3">
      <c r="B18" s="54" t="s">
        <v>387</v>
      </c>
      <c r="C18" s="54" t="s">
        <v>388</v>
      </c>
    </row>
    <row r="19" spans="1:3">
      <c r="A19" t="s">
        <v>386</v>
      </c>
      <c r="B19" s="142">
        <v>1</v>
      </c>
      <c r="C19" s="142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O37"/>
  <sheetViews>
    <sheetView zoomScale="90" zoomScaleNormal="90" workbookViewId="0">
      <selection activeCell="B10" sqref="B10"/>
    </sheetView>
  </sheetViews>
  <sheetFormatPr defaultRowHeight="15"/>
  <cols>
    <col min="1" max="1" width="12.5703125" customWidth="1"/>
    <col min="2" max="2" width="16" customWidth="1"/>
    <col min="3" max="3" width="10.140625" customWidth="1"/>
    <col min="4" max="4" width="12.7109375" bestFit="1" customWidth="1"/>
    <col min="5" max="5" width="10" customWidth="1"/>
    <col min="6" max="6" width="12.7109375" customWidth="1"/>
    <col min="7" max="8" width="12.85546875" customWidth="1"/>
    <col min="9" max="9" width="13.140625" customWidth="1"/>
    <col min="10" max="10" width="14" customWidth="1"/>
    <col min="11" max="11" width="12.140625" customWidth="1"/>
    <col min="12" max="12" width="9.140625" customWidth="1"/>
  </cols>
  <sheetData>
    <row r="1" spans="1:15" ht="19.5" thickBot="1">
      <c r="A1" s="59" t="s">
        <v>307</v>
      </c>
    </row>
    <row r="2" spans="1:15" ht="31.5" customHeight="1">
      <c r="A2" s="73"/>
      <c r="B2" s="229" t="s">
        <v>308</v>
      </c>
      <c r="C2" s="229"/>
      <c r="D2" s="229"/>
      <c r="E2" s="230" t="s">
        <v>309</v>
      </c>
      <c r="F2" s="230"/>
      <c r="G2" s="231" t="s">
        <v>319</v>
      </c>
      <c r="H2" s="231"/>
      <c r="I2" s="231"/>
      <c r="J2" s="232"/>
      <c r="K2" s="89"/>
      <c r="L2" s="88"/>
    </row>
    <row r="3" spans="1:15">
      <c r="A3" s="96" t="s">
        <v>333</v>
      </c>
      <c r="B3" s="74" t="s">
        <v>296</v>
      </c>
      <c r="C3" s="74" t="s">
        <v>295</v>
      </c>
      <c r="D3" s="74" t="s">
        <v>306</v>
      </c>
      <c r="E3" s="75" t="s">
        <v>310</v>
      </c>
      <c r="F3" s="75" t="s">
        <v>311</v>
      </c>
      <c r="G3" s="76" t="s">
        <v>292</v>
      </c>
      <c r="H3" s="76" t="s">
        <v>320</v>
      </c>
      <c r="I3" s="76" t="s">
        <v>329</v>
      </c>
      <c r="J3" s="77" t="s">
        <v>330</v>
      </c>
      <c r="K3" s="34"/>
      <c r="L3" s="54"/>
      <c r="M3" s="54"/>
      <c r="N3" s="54"/>
      <c r="O3" s="54"/>
    </row>
    <row r="4" spans="1:15" ht="15.75" thickBot="1">
      <c r="A4" s="78"/>
      <c r="B4" s="84" t="s">
        <v>305</v>
      </c>
      <c r="C4" s="84" t="s">
        <v>321</v>
      </c>
      <c r="D4" s="84" t="s">
        <v>321</v>
      </c>
      <c r="E4" s="85" t="s">
        <v>313</v>
      </c>
      <c r="F4" s="85" t="s">
        <v>313</v>
      </c>
      <c r="G4" s="86" t="s">
        <v>328</v>
      </c>
      <c r="H4" s="86" t="s">
        <v>328</v>
      </c>
      <c r="I4" s="86" t="s">
        <v>328</v>
      </c>
      <c r="J4" s="87" t="s">
        <v>328</v>
      </c>
      <c r="K4" s="34"/>
      <c r="L4" s="54"/>
      <c r="M4" s="54"/>
      <c r="N4" s="54"/>
      <c r="O4" s="54"/>
    </row>
    <row r="5" spans="1:15">
      <c r="A5" s="78" t="str">
        <f>'site independent'!A5</f>
        <v>coal</v>
      </c>
      <c r="B5" s="79" t="str">
        <f>ROUND(('site independent'!D5*(1/3412)), 5) &amp;"P + "&amp;'site independent'!P5</f>
        <v>0.00888P + 10000</v>
      </c>
      <c r="C5" s="34">
        <f>IF(ISBLANK('site independent'!O5), "",  'site independent'!O5)</f>
        <v>105</v>
      </c>
      <c r="D5" s="34">
        <f>IF(ISBLANK('site independent'!S5), "",  'site independent'!S5)</f>
        <v>0</v>
      </c>
      <c r="E5" s="34">
        <f>IF('site independent'!Q5&gt;0, 'site independent'!Q5, "")</f>
        <v>3</v>
      </c>
      <c r="F5" s="34">
        <f>IF('site independent'!R5&gt;0, 'site independent'!R5, "")</f>
        <v>3</v>
      </c>
      <c r="G5" s="34">
        <f>IF(ISBLANK('site independent'!L5), "", ('site independent'!L5)*60)</f>
        <v>120</v>
      </c>
      <c r="H5" s="34">
        <f>IF(ISBLANK('site independent'!L5), "", (-1)*('site independent'!L5)*60)</f>
        <v>-120</v>
      </c>
      <c r="I5" s="80">
        <f>IF(ISBLANK('site independent'!K5), "",  (1/'site independent'!K5))</f>
        <v>0.1</v>
      </c>
      <c r="J5" s="81">
        <f>IF(ISBLANK('site independent'!K5), "",  (-1)*(1/'site independent'!K5))</f>
        <v>-0.1</v>
      </c>
      <c r="K5" s="34"/>
      <c r="L5" s="54"/>
      <c r="M5" s="54"/>
      <c r="N5" s="54"/>
      <c r="O5" s="54"/>
    </row>
    <row r="6" spans="1:15">
      <c r="A6" s="78" t="str">
        <f>'site independent'!A6</f>
        <v>Natural gas</v>
      </c>
      <c r="B6" s="79" t="str">
        <f>ROUND(('site independent'!D6*(1/3412)), 5) &amp;"P + "&amp;'site independent'!P6</f>
        <v>0P + 10000</v>
      </c>
      <c r="C6" s="34" t="str">
        <f>IF(ISBLANK('site independent'!O6), "",  'site independent'!O6)</f>
        <v/>
      </c>
      <c r="D6" s="34">
        <f>IF(ISBLANK('site independent'!S6), "",  'site independent'!S6)</f>
        <v>0</v>
      </c>
      <c r="E6" s="34">
        <f>IF('site independent'!Q6&gt;0, 'site independent'!Q6, "")</f>
        <v>4</v>
      </c>
      <c r="F6" s="34">
        <f>IF('site independent'!R6&gt;0, 'site independent'!R6, "")</f>
        <v>3</v>
      </c>
      <c r="G6" s="34" t="str">
        <f>IF(ISBLANK('site independent'!L6), "", ('site independent'!L6)*60)</f>
        <v/>
      </c>
      <c r="H6" s="34" t="str">
        <f>IF(ISBLANK('site independent'!L6), "", (-1)*('site independent'!L6)*60)</f>
        <v/>
      </c>
      <c r="I6" s="80" t="str">
        <f>IF('site independent'!K6&gt;0, (1/'site independent'!K6), "")</f>
        <v/>
      </c>
      <c r="J6" s="81" t="str">
        <f>IF(ISBLANK('site independent'!K6), "",  (-1)*(1/'site independent'!K6))</f>
        <v/>
      </c>
      <c r="K6" s="34"/>
      <c r="L6" s="54"/>
      <c r="M6" s="54"/>
      <c r="N6" s="54"/>
      <c r="O6" s="54"/>
    </row>
    <row r="7" spans="1:15">
      <c r="A7" s="78" t="str">
        <f>'site independent'!A7</f>
        <v>NG_CC</v>
      </c>
      <c r="B7" s="79" t="str">
        <f>ROUND(('site independent'!D7*(1/3412)), 5) &amp;"P + "&amp;'site independent'!P7</f>
        <v>0.01439P + 10000</v>
      </c>
      <c r="C7" s="34">
        <f>IF(ISBLANK('site independent'!O7), "",  'site independent'!O7)</f>
        <v>79</v>
      </c>
      <c r="D7" s="34">
        <f>IF(ISBLANK('site independent'!S7), "",  'site independent'!S7)</f>
        <v>0</v>
      </c>
      <c r="E7" s="34">
        <f>IF('site independent'!Q7&gt;0, 'site independent'!Q7, "")</f>
        <v>4</v>
      </c>
      <c r="F7" s="34">
        <f>IF('site independent'!R7&gt;0, 'site independent'!R7, "")</f>
        <v>3</v>
      </c>
      <c r="G7" s="34">
        <f>IF(ISBLANK('site independent'!L7), "", ('site independent'!L7)*60)</f>
        <v>300</v>
      </c>
      <c r="H7" s="34">
        <f>IF(ISBLANK('site independent'!L7), "", (-1)*('site independent'!L7)*60)</f>
        <v>-300</v>
      </c>
      <c r="I7" s="80">
        <f>IF('site independent'!K7&gt;0, (1/'site independent'!K7), "")</f>
        <v>0.25</v>
      </c>
      <c r="J7" s="81">
        <f>IF(ISBLANK('site independent'!K7), "",  (-1)*(1/'site independent'!K7))</f>
        <v>-0.25</v>
      </c>
      <c r="K7" s="34"/>
      <c r="L7" s="54"/>
      <c r="M7" s="54"/>
      <c r="N7" s="54"/>
      <c r="O7" s="54"/>
    </row>
    <row r="8" spans="1:15">
      <c r="A8" s="78" t="str">
        <f>'site independent'!A8</f>
        <v>NG_CT</v>
      </c>
      <c r="B8" s="79" t="str">
        <f>ROUND(('site independent'!D8*(1/3412)), 5) &amp;"P + "&amp;'site independent'!P8</f>
        <v>0.02403P + 10000</v>
      </c>
      <c r="C8" s="34">
        <f>IF(ISBLANK('site independent'!O8), "",  'site independent'!O8)</f>
        <v>103</v>
      </c>
      <c r="D8" s="34">
        <f>IF(ISBLANK('site independent'!S8), "",  'site independent'!S8)</f>
        <v>0</v>
      </c>
      <c r="E8" s="34">
        <f>IF('site independent'!Q8&gt;0, 'site independent'!Q8, "")</f>
        <v>4</v>
      </c>
      <c r="F8" s="34">
        <f>IF('site independent'!R8&gt;0, 'site independent'!R8, "")</f>
        <v>3</v>
      </c>
      <c r="G8" s="34">
        <f>IF(ISBLANK('site independent'!L8), "", ('site independent'!L8)*60)</f>
        <v>480</v>
      </c>
      <c r="H8" s="34">
        <f>IF(ISBLANK('site independent'!L8), "", (-1)*('site independent'!L8)*60)</f>
        <v>-480</v>
      </c>
      <c r="I8" s="80">
        <f>IF('site independent'!K8&gt;0, (1/'site independent'!K8), "")</f>
        <v>2</v>
      </c>
      <c r="J8" s="81">
        <f>IF(ISBLANK('site independent'!K8), "",  (-1)*(1/'site independent'!K8))</f>
        <v>-2</v>
      </c>
      <c r="K8" s="34"/>
      <c r="L8" s="54"/>
      <c r="M8" s="54"/>
      <c r="N8" s="54"/>
      <c r="O8" s="54"/>
    </row>
    <row r="9" spans="1:15">
      <c r="A9" s="78" t="str">
        <f>'site independent'!A9</f>
        <v>NG_CG</v>
      </c>
      <c r="B9" s="79" t="str">
        <f>ROUND(('site independent'!D9*(1/3412)), 5) &amp;"P + "&amp;'site independent'!P9</f>
        <v>0.02403P + 10000</v>
      </c>
      <c r="C9" s="34">
        <f>IF(ISBLANK('site independent'!O9), "",  'site independent'!O9)</f>
        <v>103</v>
      </c>
      <c r="D9" s="34">
        <f>IF(ISBLANK('site independent'!S9), "",  'site independent'!S9)</f>
        <v>0</v>
      </c>
      <c r="E9" s="34">
        <f>IF('site independent'!Q9&gt;0, 'site independent'!Q9, "")</f>
        <v>4</v>
      </c>
      <c r="F9" s="34">
        <f>IF('site independent'!R9&gt;0, 'site independent'!R9, "")</f>
        <v>3</v>
      </c>
      <c r="G9" s="34">
        <f>IF(ISBLANK('site independent'!L9), "", ('site independent'!L9)*60)</f>
        <v>480</v>
      </c>
      <c r="H9" s="34">
        <f>IF(ISBLANK('site independent'!L9), "", (-1)*('site independent'!L9)*60)</f>
        <v>-480</v>
      </c>
      <c r="I9" s="80">
        <f>IF('site independent'!K9&gt;0, (1/'site independent'!K9), "")</f>
        <v>2</v>
      </c>
      <c r="J9" s="81">
        <f>IF(ISBLANK('site independent'!K9), "",  (-1)*(1/'site independent'!K9))</f>
        <v>-2</v>
      </c>
      <c r="K9" s="34"/>
      <c r="L9" s="54"/>
      <c r="M9" s="54"/>
      <c r="N9" s="54"/>
      <c r="O9" s="54"/>
    </row>
    <row r="10" spans="1:15">
      <c r="A10" s="78" t="str">
        <f>'site independent'!A10</f>
        <v>diesel</v>
      </c>
      <c r="B10" s="79" t="str">
        <f>ROUND(('site independent'!D10*(1/3412)), 5) &amp;"P + "&amp;'site independent'!P10</f>
        <v>0.08441P + 10000</v>
      </c>
      <c r="C10" s="34">
        <f>IF(ISBLANK('site independent'!O10), "",  'site independent'!O10)</f>
        <v>10000000</v>
      </c>
      <c r="D10" s="34">
        <f>IF(ISBLANK('site independent'!S10), "",  'site independent'!S10)</f>
        <v>0</v>
      </c>
      <c r="E10" s="34" t="str">
        <f>IF('site independent'!Q10&gt;0, 'site independent'!Q10, "")</f>
        <v/>
      </c>
      <c r="F10" s="34" t="str">
        <f>IF('site independent'!R10&gt;0, 'site independent'!R10, "")</f>
        <v/>
      </c>
      <c r="G10" s="34" t="str">
        <f>IF(ISBLANK('site independent'!L10), "", ('site independent'!L10)*60)</f>
        <v/>
      </c>
      <c r="H10" s="34" t="str">
        <f>IF(ISBLANK('site independent'!L10), "", (-1)*('site independent'!L10)*60)</f>
        <v/>
      </c>
      <c r="I10" s="80" t="str">
        <f>IF('site independent'!K10&gt;0, (1/'site independent'!K10), "")</f>
        <v/>
      </c>
      <c r="J10" s="81" t="str">
        <f>IF(ISBLANK('site independent'!K10), "",  (-1)*(1/'site independent'!K10))</f>
        <v/>
      </c>
      <c r="K10" s="34"/>
      <c r="L10" s="54"/>
      <c r="M10" s="54"/>
      <c r="N10" s="54"/>
      <c r="O10" s="54"/>
    </row>
    <row r="11" spans="1:15">
      <c r="A11" s="78" t="str">
        <f>'site independent'!A11</f>
        <v>fuel oil</v>
      </c>
      <c r="B11" s="79" t="str">
        <f>ROUND(('site independent'!D11*(1/3412)), 5) &amp;"P + "&amp;'site independent'!P11</f>
        <v>0.05064P + 10000</v>
      </c>
      <c r="C11" s="34">
        <f>IF(ISBLANK('site independent'!O11), "",  'site independent'!O11)</f>
        <v>10000000</v>
      </c>
      <c r="D11" s="34">
        <f>IF(ISBLANK('site independent'!S11), "",  'site independent'!S11)</f>
        <v>0</v>
      </c>
      <c r="E11" s="34" t="str">
        <f>IF('site independent'!Q11&gt;0, 'site independent'!Q11, "")</f>
        <v/>
      </c>
      <c r="F11" s="34" t="str">
        <f>IF('site independent'!R11&gt;0, 'site independent'!R11, "")</f>
        <v/>
      </c>
      <c r="G11" s="34" t="str">
        <f>IF(ISBLANK('site independent'!L11), "", ('site independent'!L11)*60)</f>
        <v/>
      </c>
      <c r="H11" s="34" t="str">
        <f>IF(ISBLANK('site independent'!L11), "", (-1)*('site independent'!L11)*60)</f>
        <v/>
      </c>
      <c r="I11" s="80" t="str">
        <f>IF('site independent'!K11&gt;0, (1/'site independent'!K11), "")</f>
        <v/>
      </c>
      <c r="J11" s="81" t="str">
        <f>IF(ISBLANK('site independent'!K11), "",  (-1)*(1/'site independent'!K11))</f>
        <v/>
      </c>
      <c r="K11" s="34"/>
      <c r="L11" s="54"/>
      <c r="M11" s="54"/>
      <c r="N11" s="54"/>
      <c r="O11" s="54"/>
    </row>
    <row r="12" spans="1:15">
      <c r="A12" s="78" t="str">
        <f>'site independent'!A12</f>
        <v>nuclear</v>
      </c>
      <c r="B12" s="79" t="str">
        <f>ROUND(('site independent'!D12*(1/3412)), 5) &amp;"P + "&amp;'site independent'!P12</f>
        <v>0.00346P + 10000</v>
      </c>
      <c r="C12" s="34">
        <f>IF(ISBLANK('site independent'!O12), "",  'site independent'!O12)</f>
        <v>500</v>
      </c>
      <c r="D12" s="34">
        <f>IF(ISBLANK('site independent'!S12), "",  'site independent'!S12)</f>
        <v>0</v>
      </c>
      <c r="E12" s="34">
        <f>IF('site independent'!Q12&gt;0, 'site independent'!Q12, "")</f>
        <v>10</v>
      </c>
      <c r="F12" s="34">
        <f>IF('site independent'!R12&gt;0, 'site independent'!R12, "")</f>
        <v>3</v>
      </c>
      <c r="G12" s="34">
        <f>IF('site independent'!L12&gt;0, ('site independent'!L12/100)*(1)*60, "")</f>
        <v>3</v>
      </c>
      <c r="H12" s="34"/>
      <c r="I12" s="80">
        <f>IF('site independent'!K12&gt;0, (1/'site independent'!K12), "")</f>
        <v>7.6923076923076927E-2</v>
      </c>
      <c r="J12" s="81">
        <f>IF(ISBLANK('site independent'!K12), "",  (-1)*(1/'site independent'!K12))</f>
        <v>-7.6923076923076927E-2</v>
      </c>
      <c r="K12" s="34"/>
      <c r="L12" s="54"/>
      <c r="M12" s="54"/>
      <c r="N12" s="54"/>
      <c r="O12" s="54"/>
    </row>
    <row r="13" spans="1:15">
      <c r="A13" s="78" t="str">
        <f>'site independent'!A13</f>
        <v>hydro</v>
      </c>
      <c r="B13" s="79" t="str">
        <f>ROUND(('site independent'!D13*(1/3412)), 5) &amp;"P + "&amp;'site independent'!P13</f>
        <v>0.00188P + 10000</v>
      </c>
      <c r="C13" s="34" t="str">
        <f>IF(ISBLANK('site independent'!O13), "",  'site independent'!O13)</f>
        <v/>
      </c>
      <c r="D13" s="34" t="str">
        <f>IF(ISBLANK('site independent'!S13), "",  'site independent'!S13)</f>
        <v/>
      </c>
      <c r="E13" s="34" t="str">
        <f>IF('site independent'!Q13&gt;0, 'site independent'!Q13, "")</f>
        <v/>
      </c>
      <c r="F13" s="34" t="str">
        <f>IF('site independent'!R13&gt;0, 'site independent'!R13, "")</f>
        <v/>
      </c>
      <c r="G13" s="34" t="str">
        <f>IF('site independent'!L13&gt;0, ('site independent'!L13/100)*(1)*60, "")</f>
        <v/>
      </c>
      <c r="H13" s="34"/>
      <c r="I13" s="80" t="str">
        <f>IF('site independent'!K13&gt;0, (1/'site independent'!K13), "")</f>
        <v/>
      </c>
      <c r="J13" s="81" t="str">
        <f>IF(ISBLANK('site independent'!K13), "",  (-1)*(1/'site independent'!K13))</f>
        <v/>
      </c>
      <c r="K13" s="34"/>
      <c r="L13" s="54"/>
      <c r="M13" s="54"/>
      <c r="N13" s="54"/>
      <c r="O13" s="54"/>
    </row>
    <row r="14" spans="1:15">
      <c r="A14" s="78" t="str">
        <f>'site independent'!A14</f>
        <v>hydro_hourly</v>
      </c>
      <c r="B14" s="79" t="str">
        <f>ROUND(('site independent'!D14*(1/3412)), 5) &amp;"P + "&amp;'site independent'!P14</f>
        <v>0.00188P + 10000</v>
      </c>
      <c r="C14" s="34" t="str">
        <f>IF(ISBLANK('site independent'!O14), "",  'site independent'!O14)</f>
        <v/>
      </c>
      <c r="D14" s="34" t="str">
        <f>IF(ISBLANK('site independent'!S14), "",  'site independent'!S14)</f>
        <v/>
      </c>
      <c r="E14" s="34" t="str">
        <f>IF('site independent'!Q14&gt;0, 'site independent'!Q14, "")</f>
        <v/>
      </c>
      <c r="F14" s="34" t="str">
        <f>IF('site independent'!R14&gt;0, 'site independent'!R14, "")</f>
        <v/>
      </c>
      <c r="G14" s="34"/>
      <c r="H14" s="34" t="str">
        <f>IF('site independent'!L14&gt;0, ('site independent'!L14/100)*(1)*60, "")</f>
        <v/>
      </c>
      <c r="I14" s="80" t="str">
        <f>IF('site independent'!K14&gt;0, (1/'site independent'!K14), "")</f>
        <v/>
      </c>
      <c r="J14" s="81" t="str">
        <f>IF(ISBLANK('site independent'!K14), "",  (-1)*(1/'site independent'!K14))</f>
        <v/>
      </c>
      <c r="K14" s="34"/>
      <c r="L14" s="54"/>
      <c r="M14" s="54"/>
      <c r="N14" s="54"/>
      <c r="O14" s="54"/>
    </row>
    <row r="15" spans="1:15" s="185" customFormat="1">
      <c r="A15" s="78" t="str">
        <f>'site independent'!A15</f>
        <v>hydro_daily</v>
      </c>
      <c r="B15" s="79"/>
      <c r="C15" s="34"/>
      <c r="D15" s="34"/>
      <c r="E15" s="34"/>
      <c r="F15" s="34"/>
      <c r="G15" s="34"/>
      <c r="H15" s="34"/>
      <c r="I15" s="80"/>
      <c r="J15" s="81"/>
      <c r="K15" s="34"/>
      <c r="L15" s="54"/>
      <c r="M15" s="54"/>
      <c r="N15" s="54"/>
      <c r="O15" s="54"/>
    </row>
    <row r="16" spans="1:15" s="185" customFormat="1">
      <c r="A16" s="78" t="str">
        <f>'site independent'!A16</f>
        <v>hydro_monthly</v>
      </c>
      <c r="B16" s="79"/>
      <c r="C16" s="34"/>
      <c r="D16" s="34"/>
      <c r="E16" s="34"/>
      <c r="F16" s="34"/>
      <c r="G16" s="34"/>
      <c r="H16" s="34"/>
      <c r="I16" s="80"/>
      <c r="J16" s="81"/>
      <c r="K16" s="34"/>
      <c r="L16" s="54"/>
      <c r="M16" s="54"/>
      <c r="N16" s="54"/>
      <c r="O16" s="54"/>
    </row>
    <row r="17" spans="1:15" s="185" customFormat="1">
      <c r="A17" s="78" t="str">
        <f>'site independent'!A17</f>
        <v>geothermal</v>
      </c>
      <c r="B17" s="79"/>
      <c r="C17" s="34"/>
      <c r="D17" s="34"/>
      <c r="E17" s="34"/>
      <c r="F17" s="34"/>
      <c r="G17" s="34"/>
      <c r="H17" s="34"/>
      <c r="I17" s="80"/>
      <c r="J17" s="81"/>
      <c r="K17" s="34"/>
      <c r="L17" s="54"/>
      <c r="M17" s="54"/>
      <c r="N17" s="54"/>
      <c r="O17" s="54"/>
    </row>
    <row r="18" spans="1:15" s="185" customFormat="1">
      <c r="A18" s="78" t="str">
        <f>'site independent'!A18</f>
        <v>biomass</v>
      </c>
      <c r="B18" s="79"/>
      <c r="C18" s="34"/>
      <c r="D18" s="34"/>
      <c r="E18" s="34"/>
      <c r="F18" s="34"/>
      <c r="G18" s="34"/>
      <c r="H18" s="34"/>
      <c r="I18" s="80"/>
      <c r="J18" s="81"/>
      <c r="K18" s="34"/>
      <c r="L18" s="54"/>
      <c r="M18" s="54"/>
      <c r="N18" s="54"/>
      <c r="O18" s="54"/>
    </row>
    <row r="19" spans="1:15" s="185" customFormat="1">
      <c r="A19" s="78" t="str">
        <f>'site independent'!A19</f>
        <v>biogas</v>
      </c>
      <c r="B19" s="79"/>
      <c r="C19" s="34"/>
      <c r="D19" s="34"/>
      <c r="E19" s="34"/>
      <c r="F19" s="34"/>
      <c r="G19" s="34"/>
      <c r="H19" s="34"/>
      <c r="I19" s="80"/>
      <c r="J19" s="81"/>
      <c r="K19" s="34"/>
      <c r="L19" s="54"/>
      <c r="M19" s="54"/>
      <c r="N19" s="54"/>
      <c r="O19" s="54"/>
    </row>
    <row r="20" spans="1:15">
      <c r="A20" s="78" t="s">
        <v>4</v>
      </c>
      <c r="B20" s="90" t="s">
        <v>297</v>
      </c>
      <c r="C20" s="34"/>
      <c r="D20" s="34"/>
      <c r="E20" s="34"/>
      <c r="F20" s="34"/>
      <c r="G20" s="34"/>
      <c r="H20" s="34"/>
      <c r="I20" s="80"/>
      <c r="J20" s="81"/>
      <c r="K20" s="34"/>
      <c r="L20" s="54"/>
      <c r="M20" s="54"/>
      <c r="N20" s="54"/>
      <c r="O20" s="54"/>
    </row>
    <row r="21" spans="1:15">
      <c r="A21" s="78" t="s">
        <v>334</v>
      </c>
      <c r="B21" s="90" t="s">
        <v>297</v>
      </c>
      <c r="C21" s="34"/>
      <c r="D21" s="34"/>
      <c r="E21" s="34"/>
      <c r="F21" s="34"/>
      <c r="G21" s="34"/>
      <c r="H21" s="34"/>
      <c r="I21" s="80"/>
      <c r="J21" s="81"/>
      <c r="K21" s="34"/>
      <c r="L21" s="54"/>
      <c r="M21" s="54"/>
      <c r="N21" s="54"/>
      <c r="O21" s="54"/>
    </row>
    <row r="22" spans="1:15">
      <c r="A22" s="78" t="s">
        <v>225</v>
      </c>
      <c r="B22" s="90" t="s">
        <v>332</v>
      </c>
      <c r="C22" s="91">
        <v>0</v>
      </c>
      <c r="D22" s="91">
        <v>0</v>
      </c>
      <c r="E22" s="34"/>
      <c r="F22" s="34"/>
      <c r="G22" s="17"/>
      <c r="H22" s="34"/>
      <c r="I22" s="80"/>
      <c r="J22" s="81"/>
      <c r="K22" s="34"/>
      <c r="L22" s="54"/>
      <c r="M22" s="54"/>
      <c r="N22" s="54"/>
      <c r="O22" s="54"/>
    </row>
    <row r="23" spans="1:15">
      <c r="A23" s="78" t="s">
        <v>226</v>
      </c>
      <c r="B23" s="90" t="s">
        <v>332</v>
      </c>
      <c r="C23" s="91">
        <v>0</v>
      </c>
      <c r="D23" s="91">
        <v>0</v>
      </c>
      <c r="E23" s="34"/>
      <c r="F23" s="34"/>
      <c r="G23" s="17"/>
      <c r="H23" s="34"/>
      <c r="I23" s="80"/>
      <c r="J23" s="81"/>
      <c r="K23" s="34"/>
      <c r="L23" s="54"/>
      <c r="M23" s="54"/>
      <c r="N23" s="54"/>
      <c r="O23" s="54"/>
    </row>
    <row r="24" spans="1:15">
      <c r="A24" s="78" t="s">
        <v>331</v>
      </c>
      <c r="B24" s="90" t="s">
        <v>332</v>
      </c>
      <c r="C24" s="91">
        <v>0</v>
      </c>
      <c r="D24" s="91">
        <v>0</v>
      </c>
      <c r="E24" s="34"/>
      <c r="F24" s="34"/>
      <c r="G24" s="34"/>
      <c r="H24" s="34"/>
      <c r="I24" s="34"/>
      <c r="J24" s="92"/>
      <c r="K24" s="54"/>
      <c r="L24" s="54"/>
      <c r="M24" s="54"/>
      <c r="N24" s="54"/>
      <c r="O24" s="54"/>
    </row>
    <row r="25" spans="1:15" ht="15.75" thickBot="1">
      <c r="A25" s="82" t="s">
        <v>281</v>
      </c>
      <c r="B25" s="93" t="s">
        <v>332</v>
      </c>
      <c r="C25" s="94">
        <v>0</v>
      </c>
      <c r="D25" s="94">
        <v>0</v>
      </c>
      <c r="E25" s="83"/>
      <c r="F25" s="83"/>
      <c r="G25" s="83"/>
      <c r="H25" s="83"/>
      <c r="I25" s="83"/>
      <c r="J25" s="95"/>
      <c r="K25" s="54"/>
      <c r="L25" s="54"/>
      <c r="M25" s="54"/>
      <c r="N25" s="54"/>
      <c r="O25" s="54"/>
    </row>
    <row r="26" spans="1:15"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</row>
    <row r="27" spans="1:15">
      <c r="A27" t="s">
        <v>291</v>
      </c>
      <c r="B27" s="54">
        <f t="shared" ref="B27:J27" si="0">COLUMN(B3)-2</f>
        <v>0</v>
      </c>
      <c r="C27" s="54">
        <f t="shared" si="0"/>
        <v>1</v>
      </c>
      <c r="D27" s="54">
        <f t="shared" si="0"/>
        <v>2</v>
      </c>
      <c r="E27" s="54">
        <f t="shared" si="0"/>
        <v>3</v>
      </c>
      <c r="F27" s="54">
        <f t="shared" si="0"/>
        <v>4</v>
      </c>
      <c r="G27" s="54">
        <f t="shared" si="0"/>
        <v>5</v>
      </c>
      <c r="H27" s="54">
        <f t="shared" si="0"/>
        <v>6</v>
      </c>
      <c r="I27" s="54">
        <f t="shared" si="0"/>
        <v>7</v>
      </c>
      <c r="J27" s="54">
        <f t="shared" si="0"/>
        <v>8</v>
      </c>
      <c r="K27" s="54"/>
    </row>
    <row r="29" spans="1:15">
      <c r="A29" t="s">
        <v>304</v>
      </c>
      <c r="B29" s="42" t="s">
        <v>296</v>
      </c>
      <c r="C29" s="42" t="s">
        <v>303</v>
      </c>
      <c r="D29" s="42"/>
      <c r="E29" s="42"/>
      <c r="F29" s="42"/>
    </row>
    <row r="30" spans="1:15">
      <c r="B30" s="42" t="s">
        <v>295</v>
      </c>
      <c r="C30" t="s">
        <v>294</v>
      </c>
    </row>
    <row r="31" spans="1:15">
      <c r="B31" t="s">
        <v>306</v>
      </c>
    </row>
    <row r="32" spans="1:15">
      <c r="B32" s="42" t="s">
        <v>310</v>
      </c>
      <c r="C32" t="s">
        <v>312</v>
      </c>
      <c r="E32" s="58"/>
      <c r="F32" s="58"/>
    </row>
    <row r="33" spans="2:6">
      <c r="B33" s="42" t="s">
        <v>311</v>
      </c>
      <c r="C33" t="s">
        <v>314</v>
      </c>
      <c r="E33" s="58"/>
      <c r="F33" s="58"/>
    </row>
    <row r="34" spans="2:6">
      <c r="B34" s="42" t="s">
        <v>292</v>
      </c>
      <c r="C34" s="42" t="s">
        <v>322</v>
      </c>
      <c r="D34" s="58"/>
    </row>
    <row r="35" spans="2:6">
      <c r="B35" s="42" t="s">
        <v>320</v>
      </c>
      <c r="C35" s="42" t="s">
        <v>323</v>
      </c>
      <c r="D35" s="58"/>
    </row>
    <row r="36" spans="2:6">
      <c r="B36" s="42" t="s">
        <v>293</v>
      </c>
      <c r="C36" s="42" t="s">
        <v>326</v>
      </c>
    </row>
    <row r="37" spans="2:6">
      <c r="B37" s="42" t="s">
        <v>325</v>
      </c>
      <c r="C37" s="42" t="s">
        <v>327</v>
      </c>
    </row>
  </sheetData>
  <mergeCells count="3">
    <mergeCell ref="B2:D2"/>
    <mergeCell ref="E2:F2"/>
    <mergeCell ref="G2: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E38"/>
  <sheetViews>
    <sheetView topLeftCell="A7" workbookViewId="0">
      <selection activeCell="E26" sqref="E26"/>
    </sheetView>
  </sheetViews>
  <sheetFormatPr defaultRowHeight="15"/>
  <cols>
    <col min="3" max="3" width="34.42578125" customWidth="1"/>
    <col min="4" max="4" width="15" customWidth="1"/>
    <col min="5" max="5" width="20.140625" customWidth="1"/>
  </cols>
  <sheetData>
    <row r="2" spans="2:5">
      <c r="B2" t="s">
        <v>273</v>
      </c>
    </row>
    <row r="4" spans="2:5">
      <c r="C4" t="s">
        <v>285</v>
      </c>
      <c r="E4" t="s">
        <v>286</v>
      </c>
    </row>
    <row r="5" spans="2:5">
      <c r="C5" s="35" t="s">
        <v>4</v>
      </c>
      <c r="E5" s="35" t="s">
        <v>225</v>
      </c>
    </row>
    <row r="6" spans="2:5">
      <c r="C6" s="37" t="s">
        <v>224</v>
      </c>
      <c r="E6" s="37" t="s">
        <v>226</v>
      </c>
    </row>
    <row r="7" spans="2:5">
      <c r="C7" s="36" t="s">
        <v>282</v>
      </c>
      <c r="E7" s="36" t="s">
        <v>229</v>
      </c>
    </row>
    <row r="8" spans="2:5">
      <c r="C8" s="36" t="s">
        <v>283</v>
      </c>
      <c r="E8" s="38" t="s">
        <v>275</v>
      </c>
    </row>
    <row r="9" spans="2:5">
      <c r="C9" s="36" t="s">
        <v>284</v>
      </c>
      <c r="E9" s="35" t="s">
        <v>276</v>
      </c>
    </row>
    <row r="10" spans="2:5">
      <c r="C10" s="38" t="s">
        <v>17</v>
      </c>
      <c r="E10" s="37" t="s">
        <v>277</v>
      </c>
    </row>
    <row r="11" spans="2:5">
      <c r="C11" s="35" t="s">
        <v>20</v>
      </c>
      <c r="E11" s="36" t="s">
        <v>278</v>
      </c>
    </row>
    <row r="12" spans="2:5">
      <c r="C12" s="37" t="s">
        <v>259</v>
      </c>
      <c r="E12" s="38" t="s">
        <v>232</v>
      </c>
    </row>
    <row r="13" spans="2:5">
      <c r="C13" s="37" t="s">
        <v>260</v>
      </c>
      <c r="E13" s="35" t="s">
        <v>230</v>
      </c>
    </row>
    <row r="14" spans="2:5">
      <c r="C14" s="36" t="s">
        <v>209</v>
      </c>
      <c r="E14" s="37" t="s">
        <v>234</v>
      </c>
    </row>
    <row r="15" spans="2:5">
      <c r="C15" s="38" t="s">
        <v>228</v>
      </c>
      <c r="E15" s="36" t="s">
        <v>287</v>
      </c>
    </row>
    <row r="16" spans="2:5">
      <c r="C16" s="35" t="s">
        <v>1</v>
      </c>
      <c r="E16" s="38" t="s">
        <v>288</v>
      </c>
    </row>
    <row r="17" spans="3:5">
      <c r="C17" s="37" t="s">
        <v>2</v>
      </c>
      <c r="E17" s="35" t="s">
        <v>233</v>
      </c>
    </row>
    <row r="18" spans="3:5">
      <c r="C18" s="36" t="s">
        <v>9</v>
      </c>
      <c r="E18" s="37" t="s">
        <v>231</v>
      </c>
    </row>
    <row r="19" spans="3:5">
      <c r="C19" s="38" t="s">
        <v>10</v>
      </c>
    </row>
    <row r="22" spans="3:5">
      <c r="C22" s="177" t="s">
        <v>204</v>
      </c>
      <c r="D22" s="1" t="s">
        <v>205</v>
      </c>
      <c r="E22" t="s">
        <v>290</v>
      </c>
    </row>
    <row r="23" spans="3:5">
      <c r="C23" s="177" t="s">
        <v>27</v>
      </c>
      <c r="D23" s="1">
        <v>255</v>
      </c>
    </row>
    <row r="24" spans="3:5">
      <c r="C24" s="177" t="s">
        <v>201</v>
      </c>
      <c r="D24" s="1">
        <v>1.6879999999999999</v>
      </c>
    </row>
    <row r="25" spans="3:5">
      <c r="C25" s="178"/>
    </row>
    <row r="26" spans="3:5">
      <c r="C26" s="177" t="s">
        <v>207</v>
      </c>
      <c r="D26" s="1" t="s">
        <v>206</v>
      </c>
    </row>
    <row r="27" spans="3:5">
      <c r="C27" s="177" t="s">
        <v>27</v>
      </c>
      <c r="D27" s="1">
        <v>225</v>
      </c>
    </row>
    <row r="28" spans="3:5">
      <c r="C28" s="177" t="s">
        <v>201</v>
      </c>
      <c r="D28" s="1">
        <v>1.353</v>
      </c>
    </row>
    <row r="30" spans="3:5">
      <c r="C30" s="177" t="s">
        <v>208</v>
      </c>
      <c r="D30" s="1" t="s">
        <v>203</v>
      </c>
    </row>
    <row r="31" spans="3:5">
      <c r="C31" s="177" t="s">
        <v>27</v>
      </c>
      <c r="D31" s="1">
        <v>95</v>
      </c>
    </row>
    <row r="32" spans="3:5">
      <c r="C32" s="177" t="s">
        <v>202</v>
      </c>
      <c r="D32" s="1">
        <v>0.72</v>
      </c>
    </row>
    <row r="36" spans="3:3">
      <c r="C36" t="s">
        <v>393</v>
      </c>
    </row>
    <row r="38" spans="3:3">
      <c r="C38" t="s">
        <v>405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2"/>
  <sheetViews>
    <sheetView tabSelected="1" workbookViewId="0">
      <selection activeCell="I10" sqref="I10"/>
    </sheetView>
  </sheetViews>
  <sheetFormatPr defaultRowHeight="15"/>
  <cols>
    <col min="1" max="1" width="23" customWidth="1"/>
    <col min="2" max="2" width="15.42578125" customWidth="1"/>
    <col min="3" max="4" width="14" bestFit="1" customWidth="1"/>
    <col min="5" max="5" width="8.5703125" bestFit="1" customWidth="1"/>
    <col min="6" max="6" width="12.5703125" bestFit="1" customWidth="1"/>
  </cols>
  <sheetData>
    <row r="1" spans="1:6">
      <c r="A1" s="40" t="s">
        <v>370</v>
      </c>
    </row>
    <row r="3" spans="1:6">
      <c r="A3" t="s">
        <v>371</v>
      </c>
      <c r="B3" t="s">
        <v>368</v>
      </c>
      <c r="C3" t="s">
        <v>369</v>
      </c>
    </row>
    <row r="4" spans="1:6">
      <c r="B4" s="50" t="s">
        <v>266</v>
      </c>
      <c r="C4" s="135" t="s">
        <v>373</v>
      </c>
    </row>
    <row r="5" spans="1:6">
      <c r="B5" s="50" t="s">
        <v>267</v>
      </c>
      <c r="C5" s="135" t="s">
        <v>375</v>
      </c>
    </row>
    <row r="6" spans="1:6">
      <c r="C6" s="136" t="s">
        <v>374</v>
      </c>
    </row>
    <row r="8" spans="1:6">
      <c r="A8" t="s">
        <v>372</v>
      </c>
      <c r="B8" s="50" t="s">
        <v>266</v>
      </c>
      <c r="C8" s="50" t="s">
        <v>267</v>
      </c>
      <c r="D8" s="135" t="s">
        <v>373</v>
      </c>
      <c r="E8" s="135" t="s">
        <v>375</v>
      </c>
      <c r="F8" s="136" t="s">
        <v>374</v>
      </c>
    </row>
    <row r="9" spans="1:6">
      <c r="B9" s="51" t="s">
        <v>270</v>
      </c>
      <c r="C9" s="51" t="s">
        <v>270</v>
      </c>
      <c r="D9" s="52" t="s">
        <v>271</v>
      </c>
      <c r="E9" s="52" t="s">
        <v>272</v>
      </c>
      <c r="F9" s="52" t="s">
        <v>289</v>
      </c>
    </row>
    <row r="10" spans="1:6">
      <c r="D10" t="s">
        <v>398</v>
      </c>
      <c r="E10" t="s">
        <v>399</v>
      </c>
    </row>
    <row r="11" spans="1:6">
      <c r="D11" t="s">
        <v>401</v>
      </c>
      <c r="E11" t="s">
        <v>400</v>
      </c>
    </row>
    <row r="12" spans="1:6">
      <c r="A12" s="50"/>
    </row>
  </sheetData>
  <dataValidations count="4">
    <dataValidation type="custom" allowBlank="1" showInputMessage="1" showErrorMessage="1" sqref="B9:C9" xr:uid="{00000000-0002-0000-0E00-000000000000}">
      <formula1>E7&lt;M7</formula1>
    </dataValidation>
    <dataValidation type="custom" allowBlank="1" showInputMessage="1" showErrorMessage="1" sqref="D9" xr:uid="{00000000-0002-0000-0E00-000001000000}">
      <formula1>D15&lt;Q25*10^6</formula1>
    </dataValidation>
    <dataValidation type="custom" allowBlank="1" showInputMessage="1" showErrorMessage="1" sqref="F9" xr:uid="{00000000-0002-0000-0E00-000002000000}">
      <formula1>D10&lt;Q20*10^6</formula1>
    </dataValidation>
    <dataValidation type="custom" allowBlank="1" showInputMessage="1" showErrorMessage="1" sqref="E9" xr:uid="{00000000-0002-0000-0E00-000003000000}">
      <formula1>#REF!&lt;Q19*10^6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13</vt:i4>
      </vt:variant>
    </vt:vector>
  </HeadingPairs>
  <TitlesOfParts>
    <vt:vector size="26" baseType="lpstr">
      <vt:lpstr>non-vre plants</vt:lpstr>
      <vt:lpstr>existing transmission</vt:lpstr>
      <vt:lpstr>demand centres</vt:lpstr>
      <vt:lpstr>vre plants</vt:lpstr>
      <vt:lpstr>site independent</vt:lpstr>
      <vt:lpstr>modeled attributes</vt:lpstr>
      <vt:lpstr>scenario analysis</vt:lpstr>
      <vt:lpstr>storage</vt:lpstr>
      <vt:lpstr>EV_aggregator</vt:lpstr>
      <vt:lpstr>demand response</vt:lpstr>
      <vt:lpstr>modeled attributes _original</vt:lpstr>
      <vt:lpstr>excel input instructions</vt:lpstr>
      <vt:lpstr>lists</vt:lpstr>
      <vt:lpstr>mono_c_Si</vt:lpstr>
      <vt:lpstr>mono_tech</vt:lpstr>
      <vt:lpstr>multi_c_Si</vt:lpstr>
      <vt:lpstr>multi_tech</vt:lpstr>
      <vt:lpstr>'site independent'!Print_Area</vt:lpstr>
      <vt:lpstr>Solar</vt:lpstr>
      <vt:lpstr>thin_film</vt:lpstr>
      <vt:lpstr>thin_tech</vt:lpstr>
      <vt:lpstr>VRE</vt:lpstr>
      <vt:lpstr>Wind</vt:lpstr>
      <vt:lpstr>wind_offshore</vt:lpstr>
      <vt:lpstr>wind_onshore</vt:lpstr>
      <vt:lpstr>wind_tech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Nathalin</dc:creator>
  <cp:lastModifiedBy>Mohammadali Saffari</cp:lastModifiedBy>
  <cp:lastPrinted>2015-06-03T16:51:47Z</cp:lastPrinted>
  <dcterms:created xsi:type="dcterms:W3CDTF">2015-05-08T16:44:21Z</dcterms:created>
  <dcterms:modified xsi:type="dcterms:W3CDTF">2021-10-07T04:07:21Z</dcterms:modified>
</cp:coreProperties>
</file>