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codeName="ThisWorkbook"/>
  <mc:AlternateContent xmlns:mc="http://schemas.openxmlformats.org/markup-compatibility/2006">
    <mc:Choice Requires="x15">
      <x15ac:absPath xmlns:x15ac="http://schemas.microsoft.com/office/spreadsheetml/2010/11/ac" url="/Users/home/Files/UoT-PhD/Research/00-CODERS/210516-Internal-Reza/"/>
    </mc:Choice>
  </mc:AlternateContent>
  <xr:revisionPtr revIDLastSave="0" documentId="13_ncr:1_{F38BEEA8-DB43-D142-B23D-5E18FA95900F}" xr6:coauthVersionLast="46" xr6:coauthVersionMax="46" xr10:uidLastSave="{00000000-0000-0000-0000-000000000000}"/>
  <bookViews>
    <workbookView xWindow="0" yWindow="500" windowWidth="28800" windowHeight="16580" activeTab="1" xr2:uid="{00000000-000D-0000-FFFF-FFFF00000000}"/>
  </bookViews>
  <sheets>
    <sheet name="README" sheetId="60" r:id="rId1"/>
    <sheet name="BC-Sources" sheetId="62" r:id="rId2"/>
    <sheet name="Generation" sheetId="39" r:id="rId3"/>
    <sheet name="Storage" sheetId="68" r:id="rId4"/>
    <sheet name="HydroExisting" sheetId="41" r:id="rId5"/>
    <sheet name="HydroRenewals" sheetId="42" r:id="rId6"/>
    <sheet name="HydroGreenfield" sheetId="45" r:id="rId7"/>
    <sheet name="Transmission" sheetId="27" r:id="rId8"/>
    <sheet name="Nodes" sheetId="71" r:id="rId9"/>
    <sheet name="Distribution" sheetId="70" r:id="rId10"/>
    <sheet name="System" sheetId="30" r:id="rId11"/>
    <sheet name="HGWh" sheetId="52" r:id="rId12"/>
    <sheet name="HMW" sheetId="51" r:id="rId13"/>
    <sheet name="FGWh" sheetId="48" r:id="rId14"/>
    <sheet name="FMW" sheetId="54" r:id="rId15"/>
    <sheet name="Hourly" sheetId="55" r:id="rId16"/>
    <sheet name="Inputs" sheetId="66" r:id="rId17"/>
  </sheets>
  <externalReferences>
    <externalReference r:id="rId18"/>
  </externalReferences>
  <definedNames>
    <definedName name="_xlnm._FilterDatabase" localSheetId="1" hidden="1">'BC-Sources'!$B$3:$H$3</definedName>
    <definedName name="_xlnm._FilterDatabase" localSheetId="9" hidden="1">Distribution!$B$3:$R$3</definedName>
    <definedName name="_xlnm._FilterDatabase" localSheetId="2" hidden="1">Generation!$B$3:$AU$3</definedName>
    <definedName name="_xlnm._FilterDatabase" localSheetId="4" hidden="1">HydroExisting!$B$3:$AW$3</definedName>
    <definedName name="_xlnm._FilterDatabase" localSheetId="6" hidden="1">HydroGreenfield!$B$3:$AK$3</definedName>
    <definedName name="_xlnm._FilterDatabase" localSheetId="5" hidden="1">HydroRenewals!$B$3:$AV$3</definedName>
    <definedName name="_xlnm._FilterDatabase" localSheetId="8" hidden="1">Nodes!$B$3:$I$3</definedName>
    <definedName name="_xlnm._FilterDatabase" localSheetId="3" hidden="1">Storage!$B$3:$AF$3</definedName>
    <definedName name="_xlnm._FilterDatabase" localSheetId="7" hidden="1">Transmission!$B$3:$Y$3</definedName>
    <definedName name="code">#REF!</definedName>
    <definedName name="renumber">#REF!</definedName>
    <definedName name="rerank">#REF!</definedName>
    <definedName name="total">#REF!</definedName>
    <definedName name="user">#REF!</definedName>
    <definedName name="VRE">[1]lists!$B$3:$C$3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9" i="54" l="1"/>
  <c r="G39" i="54"/>
  <c r="H39" i="54"/>
  <c r="I39" i="54"/>
  <c r="J39" i="54"/>
  <c r="K39" i="54"/>
  <c r="L39" i="54"/>
  <c r="M39" i="54"/>
  <c r="N39" i="54"/>
  <c r="O39" i="54"/>
  <c r="P39" i="54"/>
  <c r="Q39" i="54"/>
  <c r="R39" i="54"/>
  <c r="S39" i="54"/>
  <c r="T39" i="54"/>
  <c r="U39" i="54"/>
  <c r="V39" i="54"/>
  <c r="W39" i="54"/>
  <c r="F39" i="54"/>
  <c r="H36" i="54"/>
  <c r="I36" i="54"/>
  <c r="J36" i="54"/>
  <c r="K36" i="54"/>
  <c r="L36" i="54"/>
  <c r="M36" i="54"/>
  <c r="N36" i="54"/>
  <c r="O36" i="54"/>
  <c r="P36" i="54"/>
  <c r="Q36" i="54"/>
  <c r="R36" i="54"/>
  <c r="S36" i="54"/>
  <c r="T36" i="54"/>
  <c r="U36" i="54"/>
  <c r="V36" i="54"/>
  <c r="W36" i="54"/>
  <c r="X36" i="54"/>
  <c r="G36" i="54"/>
  <c r="F36" i="54"/>
  <c r="I39" i="48"/>
  <c r="J39" i="48"/>
  <c r="K39" i="48"/>
  <c r="L39" i="48"/>
  <c r="M39" i="48"/>
  <c r="N39" i="48"/>
  <c r="O39" i="48"/>
  <c r="P39" i="48"/>
  <c r="Q39" i="48"/>
  <c r="R39" i="48"/>
  <c r="S39" i="48"/>
  <c r="T39" i="48"/>
  <c r="U39" i="48"/>
  <c r="V39" i="48"/>
  <c r="W39" i="48"/>
  <c r="X39" i="48"/>
  <c r="G39" i="48"/>
  <c r="H39" i="48"/>
  <c r="F39" i="48"/>
  <c r="K36" i="48"/>
  <c r="L36" i="48"/>
  <c r="M36" i="48"/>
  <c r="N36" i="48"/>
  <c r="O36" i="48"/>
  <c r="P36" i="48"/>
  <c r="Q36" i="48"/>
  <c r="R36" i="48"/>
  <c r="S36" i="48"/>
  <c r="T36" i="48"/>
  <c r="U36" i="48"/>
  <c r="V36" i="48"/>
  <c r="W36" i="48"/>
  <c r="X36" i="48"/>
  <c r="H36" i="48"/>
  <c r="I36" i="48"/>
  <c r="J36" i="48"/>
  <c r="G36" i="48"/>
  <c r="F36" i="48"/>
  <c r="O224" i="27" l="1"/>
  <c r="N224" i="27"/>
  <c r="K224" i="27"/>
  <c r="R224" i="27" s="1"/>
  <c r="O284" i="27"/>
  <c r="N284" i="27"/>
  <c r="K284" i="27"/>
  <c r="R284" i="27" s="1"/>
  <c r="O408" i="27"/>
  <c r="N408" i="27"/>
  <c r="K408" i="27"/>
  <c r="R408" i="27" s="1"/>
  <c r="O1131" i="27"/>
  <c r="N1131" i="27"/>
  <c r="K1131" i="27"/>
  <c r="R1131" i="27" s="1"/>
  <c r="O899" i="27"/>
  <c r="N899" i="27"/>
  <c r="K899" i="27"/>
  <c r="R899" i="27" s="1"/>
  <c r="O41" i="27"/>
  <c r="N41" i="27"/>
  <c r="K41" i="27"/>
  <c r="R41" i="27" s="1"/>
  <c r="O333" i="27"/>
  <c r="N333" i="27"/>
  <c r="K333" i="27"/>
  <c r="R333" i="27" s="1"/>
  <c r="O137" i="27"/>
  <c r="N137" i="27"/>
  <c r="K137" i="27"/>
  <c r="R137" i="27" s="1"/>
  <c r="O308" i="27"/>
  <c r="N308" i="27"/>
  <c r="K308" i="27"/>
  <c r="R308" i="27" s="1"/>
  <c r="O363" i="27"/>
  <c r="N363" i="27"/>
  <c r="K363" i="27"/>
  <c r="R363" i="27" s="1"/>
  <c r="O973" i="27"/>
  <c r="N973" i="27"/>
  <c r="K973" i="27"/>
  <c r="R973" i="27" s="1"/>
  <c r="O1071" i="27"/>
  <c r="N1071" i="27"/>
  <c r="K1071" i="27"/>
  <c r="Q1071" i="27" s="1"/>
  <c r="O217" i="27"/>
  <c r="N217" i="27"/>
  <c r="K217" i="27"/>
  <c r="R217" i="27" s="1"/>
  <c r="O366" i="27"/>
  <c r="N366" i="27"/>
  <c r="K366" i="27"/>
  <c r="R366" i="27" s="1"/>
  <c r="O368" i="27"/>
  <c r="N368" i="27"/>
  <c r="K368" i="27"/>
  <c r="R368" i="27" s="1"/>
  <c r="O481" i="27"/>
  <c r="N481" i="27"/>
  <c r="K481" i="27"/>
  <c r="R481" i="27" s="1"/>
  <c r="O657" i="27"/>
  <c r="N657" i="27"/>
  <c r="K657" i="27"/>
  <c r="R657" i="27" s="1"/>
  <c r="O732" i="27"/>
  <c r="N732" i="27"/>
  <c r="K732" i="27"/>
  <c r="Q732" i="27" s="1"/>
  <c r="O1002" i="27"/>
  <c r="N1002" i="27"/>
  <c r="K1002" i="27"/>
  <c r="R1002" i="27" s="1"/>
  <c r="O943" i="27"/>
  <c r="N943" i="27"/>
  <c r="K943" i="27"/>
  <c r="R943" i="27" s="1"/>
  <c r="O198" i="27"/>
  <c r="N198" i="27"/>
  <c r="K198" i="27"/>
  <c r="R198" i="27" s="1"/>
  <c r="O288" i="27"/>
  <c r="N288" i="27"/>
  <c r="K288" i="27"/>
  <c r="Q288" i="27" s="1"/>
  <c r="O762" i="27"/>
  <c r="N762" i="27"/>
  <c r="K762" i="27"/>
  <c r="R762" i="27" s="1"/>
  <c r="O775" i="27"/>
  <c r="N775" i="27"/>
  <c r="K775" i="27"/>
  <c r="R775" i="27" s="1"/>
  <c r="O17" i="27"/>
  <c r="N17" i="27"/>
  <c r="K17" i="27"/>
  <c r="R17" i="27" s="1"/>
  <c r="O336" i="27"/>
  <c r="N336" i="27"/>
  <c r="K336" i="27"/>
  <c r="R336" i="27" s="1"/>
  <c r="O635" i="27"/>
  <c r="N635" i="27"/>
  <c r="K635" i="27"/>
  <c r="R635" i="27" s="1"/>
  <c r="O637" i="27"/>
  <c r="N637" i="27"/>
  <c r="K637" i="27"/>
  <c r="R637" i="27" s="1"/>
  <c r="O328" i="27"/>
  <c r="N328" i="27"/>
  <c r="K328" i="27"/>
  <c r="R328" i="27" s="1"/>
  <c r="O605" i="27"/>
  <c r="N605" i="27"/>
  <c r="K605" i="27"/>
  <c r="R605" i="27" s="1"/>
  <c r="O777" i="27"/>
  <c r="N777" i="27"/>
  <c r="K777" i="27"/>
  <c r="R777" i="27" s="1"/>
  <c r="O570" i="27"/>
  <c r="N570" i="27"/>
  <c r="K570" i="27"/>
  <c r="R570" i="27" s="1"/>
  <c r="O1009" i="27"/>
  <c r="N1009" i="27"/>
  <c r="K1009" i="27"/>
  <c r="R1009" i="27" s="1"/>
  <c r="O1133" i="27"/>
  <c r="N1133" i="27"/>
  <c r="K1133" i="27"/>
  <c r="Q1133" i="27" s="1"/>
  <c r="O192" i="27"/>
  <c r="N192" i="27"/>
  <c r="K192" i="27"/>
  <c r="R192" i="27" s="1"/>
  <c r="O42" i="27"/>
  <c r="N42" i="27"/>
  <c r="K42" i="27"/>
  <c r="R42" i="27" s="1"/>
  <c r="O93" i="27"/>
  <c r="N93" i="27"/>
  <c r="K93" i="27"/>
  <c r="R93" i="27" s="1"/>
  <c r="O356" i="27"/>
  <c r="N356" i="27"/>
  <c r="K356" i="27"/>
  <c r="R356" i="27" s="1"/>
  <c r="O262" i="27"/>
  <c r="N262" i="27"/>
  <c r="K262" i="27"/>
  <c r="R262" i="27" s="1"/>
  <c r="O411" i="27"/>
  <c r="N411" i="27"/>
  <c r="K411" i="27"/>
  <c r="R411" i="27" s="1"/>
  <c r="O413" i="27"/>
  <c r="N413" i="27"/>
  <c r="K413" i="27"/>
  <c r="R413" i="27" s="1"/>
  <c r="O596" i="27"/>
  <c r="N596" i="27"/>
  <c r="K596" i="27"/>
  <c r="R596" i="27" s="1"/>
  <c r="O699" i="27"/>
  <c r="N699" i="27"/>
  <c r="K699" i="27"/>
  <c r="Q699" i="27" s="1"/>
  <c r="O849" i="27"/>
  <c r="N849" i="27"/>
  <c r="K849" i="27"/>
  <c r="R849" i="27" s="1"/>
  <c r="O297" i="27"/>
  <c r="N297" i="27"/>
  <c r="K297" i="27"/>
  <c r="R297" i="27" s="1"/>
  <c r="O552" i="27"/>
  <c r="N552" i="27"/>
  <c r="K552" i="27"/>
  <c r="R552" i="27" s="1"/>
  <c r="O783" i="27"/>
  <c r="N783" i="27"/>
  <c r="K783" i="27"/>
  <c r="R783" i="27" s="1"/>
  <c r="O920" i="27"/>
  <c r="N920" i="27"/>
  <c r="K920" i="27"/>
  <c r="R920" i="27" s="1"/>
  <c r="O372" i="27"/>
  <c r="N372" i="27"/>
  <c r="K372" i="27"/>
  <c r="R372" i="27" s="1"/>
  <c r="O401" i="27"/>
  <c r="N401" i="27"/>
  <c r="K401" i="27"/>
  <c r="R401" i="27" s="1"/>
  <c r="O677" i="27"/>
  <c r="N677" i="27"/>
  <c r="K677" i="27"/>
  <c r="R677" i="27" s="1"/>
  <c r="O219" i="27"/>
  <c r="N219" i="27"/>
  <c r="K219" i="27"/>
  <c r="R219" i="27" s="1"/>
  <c r="O298" i="27"/>
  <c r="N298" i="27"/>
  <c r="K298" i="27"/>
  <c r="R298" i="27" s="1"/>
  <c r="O419" i="27"/>
  <c r="N419" i="27"/>
  <c r="K419" i="27"/>
  <c r="R419" i="27" s="1"/>
  <c r="O643" i="27"/>
  <c r="N643" i="27"/>
  <c r="K643" i="27"/>
  <c r="R643" i="27" s="1"/>
  <c r="O745" i="27"/>
  <c r="N745" i="27"/>
  <c r="K745" i="27"/>
  <c r="R745" i="27" s="1"/>
  <c r="O803" i="27"/>
  <c r="N803" i="27"/>
  <c r="K803" i="27"/>
  <c r="R803" i="27" s="1"/>
  <c r="O935" i="27"/>
  <c r="N935" i="27"/>
  <c r="K935" i="27"/>
  <c r="Q935" i="27" s="1"/>
  <c r="O1000" i="27"/>
  <c r="N1000" i="27"/>
  <c r="K1000" i="27"/>
  <c r="Q1000" i="27" s="1"/>
  <c r="O1084" i="27"/>
  <c r="N1084" i="27"/>
  <c r="K1084" i="27"/>
  <c r="R1084" i="27" s="1"/>
  <c r="O525" i="27"/>
  <c r="N525" i="27"/>
  <c r="K525" i="27"/>
  <c r="R525" i="27" s="1"/>
  <c r="O1111" i="27"/>
  <c r="N1111" i="27"/>
  <c r="K1111" i="27"/>
  <c r="R1111" i="27" s="1"/>
  <c r="O34" i="27"/>
  <c r="N34" i="27"/>
  <c r="K34" i="27"/>
  <c r="R34" i="27" s="1"/>
  <c r="O304" i="27"/>
  <c r="N304" i="27"/>
  <c r="K304" i="27"/>
  <c r="R304" i="27" s="1"/>
  <c r="O306" i="27"/>
  <c r="N306" i="27"/>
  <c r="K306" i="27"/>
  <c r="R306" i="27" s="1"/>
  <c r="O330" i="27"/>
  <c r="N330" i="27"/>
  <c r="K330" i="27"/>
  <c r="R330" i="27" s="1"/>
  <c r="O608" i="27"/>
  <c r="N608" i="27"/>
  <c r="K608" i="27"/>
  <c r="R608" i="27" s="1"/>
  <c r="O323" i="27"/>
  <c r="N323" i="27"/>
  <c r="K323" i="27"/>
  <c r="R323" i="27" s="1"/>
  <c r="O758" i="27"/>
  <c r="N758" i="27"/>
  <c r="K758" i="27"/>
  <c r="R758" i="27" s="1"/>
  <c r="O872" i="27"/>
  <c r="N872" i="27"/>
  <c r="K872" i="27"/>
  <c r="R872" i="27" s="1"/>
  <c r="O26" i="27"/>
  <c r="N26" i="27"/>
  <c r="K26" i="27"/>
  <c r="R26" i="27" s="1"/>
  <c r="O314" i="27"/>
  <c r="N314" i="27"/>
  <c r="K314" i="27"/>
  <c r="R314" i="27" s="1"/>
  <c r="O833" i="27"/>
  <c r="N833" i="27"/>
  <c r="K833" i="27"/>
  <c r="Q833" i="27" s="1"/>
  <c r="O241" i="27"/>
  <c r="N241" i="27"/>
  <c r="K241" i="27"/>
  <c r="Q241" i="27" s="1"/>
  <c r="O318" i="27"/>
  <c r="N318" i="27"/>
  <c r="K318" i="27"/>
  <c r="Q318" i="27" s="1"/>
  <c r="O636" i="27"/>
  <c r="N636" i="27"/>
  <c r="K636" i="27"/>
  <c r="R636" i="27" s="1"/>
  <c r="O960" i="27"/>
  <c r="N960" i="27"/>
  <c r="K960" i="27"/>
  <c r="R960" i="27" s="1"/>
  <c r="O150" i="27"/>
  <c r="N150" i="27"/>
  <c r="K150" i="27"/>
  <c r="R150" i="27" s="1"/>
  <c r="O133" i="27"/>
  <c r="N133" i="27"/>
  <c r="K133" i="27"/>
  <c r="R133" i="27" s="1"/>
  <c r="O1029" i="27"/>
  <c r="N1029" i="27"/>
  <c r="K1029" i="27"/>
  <c r="R1029" i="27" s="1"/>
  <c r="Q1018" i="27"/>
  <c r="O1018" i="27"/>
  <c r="N1018" i="27"/>
  <c r="K1018" i="27"/>
  <c r="R1018" i="27" s="1"/>
  <c r="O1011" i="27"/>
  <c r="N1011" i="27"/>
  <c r="K1011" i="27"/>
  <c r="R1011" i="27" s="1"/>
  <c r="O999" i="27"/>
  <c r="N999" i="27"/>
  <c r="K999" i="27"/>
  <c r="Q999" i="27" s="1"/>
  <c r="O996" i="27"/>
  <c r="N996" i="27"/>
  <c r="K996" i="27"/>
  <c r="R996" i="27" s="1"/>
  <c r="O893" i="27"/>
  <c r="N893" i="27"/>
  <c r="K893" i="27"/>
  <c r="R893" i="27" s="1"/>
  <c r="O890" i="27"/>
  <c r="N890" i="27"/>
  <c r="K890" i="27"/>
  <c r="R890" i="27" s="1"/>
  <c r="O710" i="27"/>
  <c r="N710" i="27"/>
  <c r="K710" i="27"/>
  <c r="Q710" i="27" s="1"/>
  <c r="O688" i="27"/>
  <c r="N688" i="27"/>
  <c r="K688" i="27"/>
  <c r="R688" i="27" s="1"/>
  <c r="O687" i="27"/>
  <c r="N687" i="27"/>
  <c r="K687" i="27"/>
  <c r="R687" i="27" s="1"/>
  <c r="O686" i="27"/>
  <c r="N686" i="27"/>
  <c r="K686" i="27"/>
  <c r="R686" i="27" s="1"/>
  <c r="O685" i="27"/>
  <c r="N685" i="27"/>
  <c r="K685" i="27"/>
  <c r="Q685" i="27" s="1"/>
  <c r="O684" i="27"/>
  <c r="N684" i="27"/>
  <c r="K684" i="27"/>
  <c r="R684" i="27" s="1"/>
  <c r="O545" i="27"/>
  <c r="N545" i="27"/>
  <c r="K545" i="27"/>
  <c r="R545" i="27" s="1"/>
  <c r="O505" i="27"/>
  <c r="N505" i="27"/>
  <c r="K505" i="27"/>
  <c r="R505" i="27" s="1"/>
  <c r="O360" i="27"/>
  <c r="N360" i="27"/>
  <c r="K360" i="27"/>
  <c r="Q360" i="27" s="1"/>
  <c r="O279" i="27"/>
  <c r="N279" i="27"/>
  <c r="K279" i="27"/>
  <c r="R279" i="27" s="1"/>
  <c r="O83" i="27"/>
  <c r="N83" i="27"/>
  <c r="K83" i="27"/>
  <c r="R83" i="27" s="1"/>
  <c r="O582" i="27"/>
  <c r="N582" i="27"/>
  <c r="K582" i="27"/>
  <c r="R582" i="27" s="1"/>
  <c r="O581" i="27"/>
  <c r="N581" i="27"/>
  <c r="K581" i="27"/>
  <c r="R581" i="27" s="1"/>
  <c r="O178" i="27"/>
  <c r="N178" i="27"/>
  <c r="K178" i="27"/>
  <c r="R178" i="27" s="1"/>
  <c r="O781" i="27"/>
  <c r="N781" i="27"/>
  <c r="K781" i="27"/>
  <c r="R781" i="27" s="1"/>
  <c r="O15" i="27"/>
  <c r="N15" i="27"/>
  <c r="K15" i="27"/>
  <c r="R15" i="27" s="1"/>
  <c r="O423" i="27"/>
  <c r="N423" i="27"/>
  <c r="K423" i="27"/>
  <c r="R423" i="27" s="1"/>
  <c r="O447" i="27"/>
  <c r="N447" i="27"/>
  <c r="K447" i="27"/>
  <c r="R447" i="27" s="1"/>
  <c r="O449" i="27"/>
  <c r="N449" i="27"/>
  <c r="K449" i="27"/>
  <c r="R449" i="27" s="1"/>
  <c r="O755" i="27"/>
  <c r="N755" i="27"/>
  <c r="K755" i="27"/>
  <c r="R755" i="27" s="1"/>
  <c r="O906" i="27"/>
  <c r="N906" i="27"/>
  <c r="K906" i="27"/>
  <c r="R906" i="27" s="1"/>
  <c r="O1088" i="27"/>
  <c r="N1088" i="27"/>
  <c r="K1088" i="27"/>
  <c r="R1088" i="27" s="1"/>
  <c r="O240" i="27"/>
  <c r="N240" i="27"/>
  <c r="K240" i="27"/>
  <c r="R240" i="27" s="1"/>
  <c r="O577" i="27"/>
  <c r="N577" i="27"/>
  <c r="K577" i="27"/>
  <c r="R577" i="27" s="1"/>
  <c r="O576" i="27"/>
  <c r="N576" i="27"/>
  <c r="K576" i="27"/>
  <c r="R576" i="27" s="1"/>
  <c r="O907" i="27"/>
  <c r="N907" i="27"/>
  <c r="K907" i="27"/>
  <c r="R907" i="27" s="1"/>
  <c r="O1075" i="27"/>
  <c r="N1075" i="27"/>
  <c r="K1075" i="27"/>
  <c r="R1075" i="27" s="1"/>
  <c r="O989" i="27"/>
  <c r="N989" i="27"/>
  <c r="K989" i="27"/>
  <c r="R989" i="27" s="1"/>
  <c r="O352" i="27"/>
  <c r="N352" i="27"/>
  <c r="K352" i="27"/>
  <c r="R352" i="27" s="1"/>
  <c r="O526" i="27"/>
  <c r="N526" i="27"/>
  <c r="K526" i="27"/>
  <c r="R526" i="27" s="1"/>
  <c r="O22" i="27"/>
  <c r="N22" i="27"/>
  <c r="K22" i="27"/>
  <c r="R22" i="27" s="1"/>
  <c r="O374" i="27"/>
  <c r="N374" i="27"/>
  <c r="K374" i="27"/>
  <c r="R374" i="27" s="1"/>
  <c r="O358" i="27"/>
  <c r="N358" i="27"/>
  <c r="K358" i="27"/>
  <c r="R358" i="27" s="1"/>
  <c r="O855" i="27"/>
  <c r="N855" i="27"/>
  <c r="K855" i="27"/>
  <c r="Q855" i="27" s="1"/>
  <c r="O402" i="27"/>
  <c r="N402" i="27"/>
  <c r="K402" i="27"/>
  <c r="Q402" i="27" s="1"/>
  <c r="O697" i="27"/>
  <c r="N697" i="27"/>
  <c r="K697" i="27"/>
  <c r="R697" i="27" s="1"/>
  <c r="O793" i="27"/>
  <c r="N793" i="27"/>
  <c r="K793" i="27"/>
  <c r="Q793" i="27" s="1"/>
  <c r="O1113" i="27"/>
  <c r="N1113" i="27"/>
  <c r="K1113" i="27"/>
  <c r="R1113" i="27" s="1"/>
  <c r="O1042" i="27"/>
  <c r="N1042" i="27"/>
  <c r="K1042" i="27"/>
  <c r="R1042" i="27" s="1"/>
  <c r="O1059" i="27"/>
  <c r="N1059" i="27"/>
  <c r="K1059" i="27"/>
  <c r="Q1059" i="27" s="1"/>
  <c r="O69" i="27"/>
  <c r="N69" i="27"/>
  <c r="K69" i="27"/>
  <c r="R69" i="27" s="1"/>
  <c r="O937" i="27"/>
  <c r="N937" i="27"/>
  <c r="K937" i="27"/>
  <c r="R937" i="27" s="1"/>
  <c r="O929" i="27"/>
  <c r="N929" i="27"/>
  <c r="K929" i="27"/>
  <c r="R929" i="27" s="1"/>
  <c r="O928" i="27"/>
  <c r="N928" i="27"/>
  <c r="K928" i="27"/>
  <c r="R928" i="27" s="1"/>
  <c r="O633" i="27"/>
  <c r="N633" i="27"/>
  <c r="K633" i="27"/>
  <c r="Q633" i="27" s="1"/>
  <c r="O629" i="27"/>
  <c r="N629" i="27"/>
  <c r="K629" i="27"/>
  <c r="R629" i="27" s="1"/>
  <c r="O628" i="27"/>
  <c r="N628" i="27"/>
  <c r="K628" i="27"/>
  <c r="R628" i="27" s="1"/>
  <c r="O621" i="27"/>
  <c r="N621" i="27"/>
  <c r="K621" i="27"/>
  <c r="R621" i="27" s="1"/>
  <c r="O515" i="27"/>
  <c r="N515" i="27"/>
  <c r="K515" i="27"/>
  <c r="Q515" i="27" s="1"/>
  <c r="O858" i="27"/>
  <c r="N858" i="27"/>
  <c r="K858" i="27"/>
  <c r="R858" i="27" s="1"/>
  <c r="Q857" i="27"/>
  <c r="O857" i="27"/>
  <c r="N857" i="27"/>
  <c r="K857" i="27"/>
  <c r="R857" i="27" s="1"/>
  <c r="O5" i="27"/>
  <c r="N5" i="27"/>
  <c r="K5" i="27"/>
  <c r="Q5" i="27" s="1"/>
  <c r="O236" i="27"/>
  <c r="N236" i="27"/>
  <c r="K236" i="27"/>
  <c r="R236" i="27" s="1"/>
  <c r="O112" i="27"/>
  <c r="N112" i="27"/>
  <c r="K112" i="27"/>
  <c r="R112" i="27" s="1"/>
  <c r="O342" i="27"/>
  <c r="N342" i="27"/>
  <c r="K342" i="27"/>
  <c r="R342" i="27" s="1"/>
  <c r="O961" i="27"/>
  <c r="N961" i="27"/>
  <c r="K961" i="27"/>
  <c r="R961" i="27" s="1"/>
  <c r="O959" i="27"/>
  <c r="N959" i="27"/>
  <c r="K959" i="27"/>
  <c r="R959" i="27" s="1"/>
  <c r="K739" i="27"/>
  <c r="R739" i="27" s="1"/>
  <c r="K740" i="27"/>
  <c r="Q740" i="27" s="1"/>
  <c r="U238" i="39"/>
  <c r="S238" i="39"/>
  <c r="T238" i="39" s="1"/>
  <c r="N253" i="39"/>
  <c r="Q408" i="27" l="1"/>
  <c r="R633" i="27"/>
  <c r="Q928" i="27"/>
  <c r="Q959" i="27"/>
  <c r="Q198" i="27"/>
  <c r="Q34" i="27"/>
  <c r="R740" i="27"/>
  <c r="Q937" i="27"/>
  <c r="Q42" i="27"/>
  <c r="Q576" i="27"/>
  <c r="Q686" i="27"/>
  <c r="Q687" i="27"/>
  <c r="R515" i="27"/>
  <c r="Q621" i="27"/>
  <c r="Q989" i="27"/>
  <c r="Q849" i="27"/>
  <c r="Q739" i="27"/>
  <c r="Q447" i="27"/>
  <c r="Q581" i="27"/>
  <c r="Q368" i="27"/>
  <c r="Q342" i="27"/>
  <c r="Q112" i="27"/>
  <c r="Q629" i="27"/>
  <c r="Q358" i="27"/>
  <c r="R360" i="27"/>
  <c r="Q505" i="27"/>
  <c r="Q545" i="27"/>
  <c r="Q890" i="27"/>
  <c r="Q893" i="27"/>
  <c r="Q133" i="27"/>
  <c r="R1059" i="27"/>
  <c r="Q526" i="27"/>
  <c r="Q240" i="27"/>
  <c r="Q1088" i="27"/>
  <c r="Q783" i="27"/>
  <c r="Q1002" i="27"/>
  <c r="Q224" i="27"/>
  <c r="Q284" i="27"/>
  <c r="Q1131" i="27"/>
  <c r="Q899" i="27"/>
  <c r="Q41" i="27"/>
  <c r="Q333" i="27"/>
  <c r="Q137" i="27"/>
  <c r="Q308" i="27"/>
  <c r="Q363" i="27"/>
  <c r="Q973" i="27"/>
  <c r="R1071" i="27"/>
  <c r="Q217" i="27"/>
  <c r="Q366" i="27"/>
  <c r="Q481" i="27"/>
  <c r="Q657" i="27"/>
  <c r="R732" i="27"/>
  <c r="Q943" i="27"/>
  <c r="R288" i="27"/>
  <c r="Q762" i="27"/>
  <c r="Q775" i="27"/>
  <c r="Q17" i="27"/>
  <c r="Q336" i="27"/>
  <c r="Q635" i="27"/>
  <c r="Q637" i="27"/>
  <c r="Q328" i="27"/>
  <c r="Q605" i="27"/>
  <c r="Q777" i="27"/>
  <c r="Q570" i="27"/>
  <c r="Q1009" i="27"/>
  <c r="R1133" i="27"/>
  <c r="Q192" i="27"/>
  <c r="Q93" i="27"/>
  <c r="Q356" i="27"/>
  <c r="Q262" i="27"/>
  <c r="Q411" i="27"/>
  <c r="Q413" i="27"/>
  <c r="Q596" i="27"/>
  <c r="R699" i="27"/>
  <c r="Q297" i="27"/>
  <c r="Q552" i="27"/>
  <c r="Q920" i="27"/>
  <c r="Q372" i="27"/>
  <c r="Q401" i="27"/>
  <c r="Q677" i="27"/>
  <c r="Q219" i="27"/>
  <c r="Q298" i="27"/>
  <c r="Q419" i="27"/>
  <c r="Q643" i="27"/>
  <c r="Q745" i="27"/>
  <c r="Q803" i="27"/>
  <c r="R935" i="27"/>
  <c r="R1000" i="27"/>
  <c r="Q1084" i="27"/>
  <c r="Q525" i="27"/>
  <c r="Q1111" i="27"/>
  <c r="Q304" i="27"/>
  <c r="Q306" i="27"/>
  <c r="Q330" i="27"/>
  <c r="Q608" i="27"/>
  <c r="Q323" i="27"/>
  <c r="Q758" i="27"/>
  <c r="Q872" i="27"/>
  <c r="Q26" i="27"/>
  <c r="Q314" i="27"/>
  <c r="R833" i="27"/>
  <c r="R241" i="27"/>
  <c r="R318" i="27"/>
  <c r="Q636" i="27"/>
  <c r="Q960" i="27"/>
  <c r="Q150" i="27"/>
  <c r="R710" i="27"/>
  <c r="R999" i="27"/>
  <c r="Q1011" i="27"/>
  <c r="R685" i="27"/>
  <c r="Q279" i="27"/>
  <c r="Q684" i="27"/>
  <c r="Q688" i="27"/>
  <c r="Q996" i="27"/>
  <c r="Q1029" i="27"/>
  <c r="Q83" i="27"/>
  <c r="Q582" i="27"/>
  <c r="Q178" i="27"/>
  <c r="Q781" i="27"/>
  <c r="Q15" i="27"/>
  <c r="Q423" i="27"/>
  <c r="Q449" i="27"/>
  <c r="Q755" i="27"/>
  <c r="Q906" i="27"/>
  <c r="Q577" i="27"/>
  <c r="Q907" i="27"/>
  <c r="Q1075" i="27"/>
  <c r="Q352" i="27"/>
  <c r="Q22" i="27"/>
  <c r="Q374" i="27"/>
  <c r="R855" i="27"/>
  <c r="R402" i="27"/>
  <c r="Q697" i="27"/>
  <c r="R793" i="27"/>
  <c r="Q1113" i="27"/>
  <c r="Q1042" i="27"/>
  <c r="Q69" i="27"/>
  <c r="Q628" i="27"/>
  <c r="Q929" i="27"/>
  <c r="Q858" i="27"/>
  <c r="R5" i="27"/>
  <c r="Q236" i="27"/>
  <c r="Q961" i="27"/>
  <c r="O819" i="70"/>
  <c r="N819" i="70"/>
  <c r="O711" i="70"/>
  <c r="N711" i="70"/>
  <c r="O702" i="70"/>
  <c r="N702" i="70"/>
  <c r="O707" i="70"/>
  <c r="N707" i="70"/>
  <c r="O706" i="70"/>
  <c r="N706" i="70"/>
  <c r="O705" i="70"/>
  <c r="N705" i="70"/>
  <c r="O715" i="70"/>
  <c r="N715" i="70"/>
  <c r="O714" i="70"/>
  <c r="N714" i="70"/>
  <c r="O701" i="70"/>
  <c r="N701" i="70"/>
  <c r="O700" i="70"/>
  <c r="N700" i="70"/>
  <c r="O720" i="70"/>
  <c r="N720" i="70"/>
  <c r="O818" i="70"/>
  <c r="N818" i="70"/>
  <c r="O691" i="70"/>
  <c r="N691" i="70"/>
  <c r="O690" i="70"/>
  <c r="N690" i="70"/>
  <c r="O689" i="70"/>
  <c r="N689" i="70"/>
  <c r="O704" i="70"/>
  <c r="N704" i="70"/>
  <c r="O703" i="70"/>
  <c r="N703" i="70"/>
  <c r="O816" i="70"/>
  <c r="N816" i="70"/>
  <c r="O718" i="70"/>
  <c r="N718" i="70"/>
  <c r="O717" i="70"/>
  <c r="N717" i="70"/>
  <c r="O815" i="70"/>
  <c r="N815" i="70"/>
  <c r="O688" i="70"/>
  <c r="N688" i="70"/>
  <c r="O687" i="70"/>
  <c r="N687" i="70"/>
  <c r="O686" i="70"/>
  <c r="N686" i="70"/>
  <c r="O683" i="70"/>
  <c r="N683" i="70"/>
  <c r="O682" i="70"/>
  <c r="N682" i="70"/>
  <c r="O681" i="70"/>
  <c r="N681" i="70"/>
  <c r="O675" i="70"/>
  <c r="N675" i="70"/>
  <c r="O677" i="70"/>
  <c r="N677" i="70"/>
  <c r="O676" i="70"/>
  <c r="N676" i="70"/>
  <c r="O808" i="70"/>
  <c r="N808" i="70"/>
  <c r="O807" i="70"/>
  <c r="N807" i="70"/>
  <c r="O680" i="70"/>
  <c r="N680" i="70"/>
  <c r="O668" i="70"/>
  <c r="N668" i="70"/>
  <c r="O667" i="70"/>
  <c r="N667" i="70"/>
  <c r="O665" i="70"/>
  <c r="N665" i="70"/>
  <c r="O648" i="70"/>
  <c r="N648" i="70"/>
  <c r="O647" i="70"/>
  <c r="N647" i="70"/>
  <c r="O661" i="70"/>
  <c r="N661" i="70"/>
  <c r="O660" i="70"/>
  <c r="N660" i="70"/>
  <c r="O804" i="70"/>
  <c r="N804" i="70"/>
  <c r="O641" i="70"/>
  <c r="N641" i="70"/>
  <c r="O640" i="70"/>
  <c r="N640" i="70"/>
  <c r="O637" i="70"/>
  <c r="N637" i="70"/>
  <c r="O803" i="70"/>
  <c r="N803" i="70"/>
  <c r="O659" i="70"/>
  <c r="N659" i="70"/>
  <c r="O658" i="70"/>
  <c r="N658" i="70"/>
  <c r="O596" i="70"/>
  <c r="N596" i="70"/>
  <c r="O595" i="70"/>
  <c r="N595" i="70"/>
  <c r="O615" i="70"/>
  <c r="N615" i="70"/>
  <c r="O614" i="70"/>
  <c r="N614" i="70"/>
  <c r="O802" i="70"/>
  <c r="N802" i="70"/>
  <c r="O593" i="70"/>
  <c r="N593" i="70"/>
  <c r="O592" i="70"/>
  <c r="N592" i="70"/>
  <c r="O634" i="70"/>
  <c r="N634" i="70"/>
  <c r="O633" i="70"/>
  <c r="N633" i="70"/>
  <c r="O632" i="70"/>
  <c r="N632" i="70"/>
  <c r="O801" i="70"/>
  <c r="N801" i="70"/>
  <c r="O624" i="70"/>
  <c r="N624" i="70"/>
  <c r="O623" i="70"/>
  <c r="N623" i="70"/>
  <c r="O622" i="70"/>
  <c r="N622" i="70"/>
  <c r="O605" i="70"/>
  <c r="N605" i="70"/>
  <c r="O604" i="70"/>
  <c r="N604" i="70"/>
  <c r="O609" i="70"/>
  <c r="N609" i="70"/>
  <c r="O608" i="70"/>
  <c r="N608" i="70"/>
  <c r="O607" i="70"/>
  <c r="N607" i="70"/>
  <c r="O635" i="70"/>
  <c r="N635" i="70"/>
  <c r="O606" i="70"/>
  <c r="N606" i="70"/>
  <c r="O603" i="70"/>
  <c r="N603" i="70"/>
  <c r="O602" i="70"/>
  <c r="N602" i="70"/>
  <c r="O558" i="70"/>
  <c r="N558" i="70"/>
  <c r="O601" i="70"/>
  <c r="N601" i="70"/>
  <c r="O630" i="70"/>
  <c r="N630" i="70"/>
  <c r="O629" i="70"/>
  <c r="N629" i="70"/>
  <c r="O800" i="70"/>
  <c r="N800" i="70"/>
  <c r="O621" i="70"/>
  <c r="N621" i="70"/>
  <c r="O620" i="70"/>
  <c r="N620" i="70"/>
  <c r="O600" i="70"/>
  <c r="N600" i="70"/>
  <c r="O599" i="70"/>
  <c r="N599" i="70"/>
  <c r="O613" i="70"/>
  <c r="N613" i="70"/>
  <c r="O612" i="70"/>
  <c r="N612" i="70"/>
  <c r="O611" i="70"/>
  <c r="N611" i="70"/>
  <c r="O586" i="70"/>
  <c r="N586" i="70"/>
  <c r="O627" i="70"/>
  <c r="N627" i="70"/>
  <c r="O626" i="70"/>
  <c r="N626" i="70"/>
  <c r="O564" i="70"/>
  <c r="N564" i="70"/>
  <c r="O563" i="70"/>
  <c r="N563" i="70"/>
  <c r="O580" i="70"/>
  <c r="N580" i="70"/>
  <c r="O579" i="70"/>
  <c r="N579" i="70"/>
  <c r="O799" i="70"/>
  <c r="N799" i="70"/>
  <c r="O591" i="70"/>
  <c r="N591" i="70"/>
  <c r="O590" i="70"/>
  <c r="N590" i="70"/>
  <c r="O598" i="70"/>
  <c r="N598" i="70"/>
  <c r="O597" i="70"/>
  <c r="N597" i="70"/>
  <c r="O572" i="70"/>
  <c r="N572" i="70"/>
  <c r="O571" i="70"/>
  <c r="N571" i="70"/>
  <c r="O570" i="70"/>
  <c r="N570" i="70"/>
  <c r="O569" i="70"/>
  <c r="N569" i="70"/>
  <c r="O568" i="70"/>
  <c r="N568" i="70"/>
  <c r="O567" i="70"/>
  <c r="N567" i="70"/>
  <c r="O625" i="70"/>
  <c r="N625" i="70"/>
  <c r="O797" i="70"/>
  <c r="N797" i="70"/>
  <c r="O552" i="70"/>
  <c r="N552" i="70"/>
  <c r="O551" i="70"/>
  <c r="N551" i="70"/>
  <c r="O554" i="70"/>
  <c r="N554" i="70"/>
  <c r="O553" i="70"/>
  <c r="N553" i="70"/>
  <c r="O796" i="70"/>
  <c r="N796" i="70"/>
  <c r="O550" i="70"/>
  <c r="N550" i="70"/>
  <c r="O795" i="70"/>
  <c r="N795" i="70"/>
  <c r="O794" i="70"/>
  <c r="N794" i="70"/>
  <c r="O540" i="70"/>
  <c r="N540" i="70"/>
  <c r="O539" i="70"/>
  <c r="N539" i="70"/>
  <c r="O538" i="70"/>
  <c r="N538" i="70"/>
  <c r="O537" i="70"/>
  <c r="N537" i="70"/>
  <c r="O792" i="70"/>
  <c r="N792" i="70"/>
  <c r="O531" i="70"/>
  <c r="N531" i="70"/>
  <c r="O530" i="70"/>
  <c r="N530" i="70"/>
  <c r="O791" i="70"/>
  <c r="N791" i="70"/>
  <c r="O533" i="70"/>
  <c r="N533" i="70"/>
  <c r="O532" i="70"/>
  <c r="N532" i="70"/>
  <c r="O534" i="70"/>
  <c r="N534" i="70"/>
  <c r="O526" i="70"/>
  <c r="N526" i="70"/>
  <c r="O525" i="70"/>
  <c r="N525" i="70"/>
  <c r="O524" i="70"/>
  <c r="N524" i="70"/>
  <c r="O523" i="70"/>
  <c r="N523" i="70"/>
  <c r="O522" i="70"/>
  <c r="N522" i="70"/>
  <c r="O515" i="70"/>
  <c r="N515" i="70"/>
  <c r="O514" i="70"/>
  <c r="N514" i="70"/>
  <c r="O790" i="70"/>
  <c r="N790" i="70"/>
  <c r="O519" i="70"/>
  <c r="N519" i="70"/>
  <c r="O518" i="70"/>
  <c r="N518" i="70"/>
  <c r="O513" i="70"/>
  <c r="N513" i="70"/>
  <c r="O506" i="70"/>
  <c r="N506" i="70"/>
  <c r="O505" i="70"/>
  <c r="N505" i="70"/>
  <c r="O503" i="70"/>
  <c r="N503" i="70"/>
  <c r="O502" i="70"/>
  <c r="N502" i="70"/>
  <c r="O497" i="70"/>
  <c r="N497" i="70"/>
  <c r="O496" i="70"/>
  <c r="N496" i="70"/>
  <c r="O493" i="70"/>
  <c r="N493" i="70"/>
  <c r="O492" i="70"/>
  <c r="N492" i="70"/>
  <c r="O487" i="70"/>
  <c r="N487" i="70"/>
  <c r="O479" i="70"/>
  <c r="N479" i="70"/>
  <c r="O478" i="70"/>
  <c r="N478" i="70"/>
  <c r="O789" i="70"/>
  <c r="N789" i="70"/>
  <c r="O521" i="70"/>
  <c r="N521" i="70"/>
  <c r="O520" i="70"/>
  <c r="N520" i="70"/>
  <c r="O788" i="70"/>
  <c r="N788" i="70"/>
  <c r="O787" i="70"/>
  <c r="N787" i="70"/>
  <c r="O491" i="70"/>
  <c r="N491" i="70"/>
  <c r="O490" i="70"/>
  <c r="N490" i="70"/>
  <c r="O489" i="70"/>
  <c r="N489" i="70"/>
  <c r="O488" i="70"/>
  <c r="N488" i="70"/>
  <c r="O480" i="70"/>
  <c r="N480" i="70"/>
  <c r="O484" i="70"/>
  <c r="N484" i="70"/>
  <c r="O483" i="70"/>
  <c r="N483" i="70"/>
  <c r="O482" i="70"/>
  <c r="N482" i="70"/>
  <c r="O786" i="70"/>
  <c r="N786" i="70"/>
  <c r="O511" i="70"/>
  <c r="N511" i="70"/>
  <c r="O517" i="70"/>
  <c r="N517" i="70"/>
  <c r="O516" i="70"/>
  <c r="N516" i="70"/>
  <c r="O477" i="70"/>
  <c r="N477" i="70"/>
  <c r="O476" i="70"/>
  <c r="N476" i="70"/>
  <c r="O785" i="70"/>
  <c r="N785" i="70"/>
  <c r="O784" i="70"/>
  <c r="N784" i="70"/>
  <c r="O783" i="70"/>
  <c r="N783" i="70"/>
  <c r="O782" i="70"/>
  <c r="N782" i="70"/>
  <c r="O475" i="70"/>
  <c r="N475" i="70"/>
  <c r="O474" i="70"/>
  <c r="N474" i="70"/>
  <c r="O473" i="70"/>
  <c r="N473" i="70"/>
  <c r="O472" i="70"/>
  <c r="N472" i="70"/>
  <c r="O781" i="70"/>
  <c r="N781" i="70"/>
  <c r="O780" i="70"/>
  <c r="N780" i="70"/>
  <c r="O779" i="70"/>
  <c r="N779" i="70"/>
  <c r="O459" i="70"/>
  <c r="N459" i="70"/>
  <c r="O458" i="70"/>
  <c r="N458" i="70"/>
  <c r="O457" i="70"/>
  <c r="N457" i="70"/>
  <c r="O444" i="70"/>
  <c r="N444" i="70"/>
  <c r="O443" i="70"/>
  <c r="N443" i="70"/>
  <c r="O442" i="70"/>
  <c r="N442" i="70"/>
  <c r="O464" i="70"/>
  <c r="N464" i="70"/>
  <c r="O463" i="70"/>
  <c r="N463" i="70"/>
  <c r="O778" i="70"/>
  <c r="N778" i="70"/>
  <c r="O451" i="70"/>
  <c r="N451" i="70"/>
  <c r="O450" i="70"/>
  <c r="N450" i="70"/>
  <c r="O449" i="70"/>
  <c r="N449" i="70"/>
  <c r="O440" i="70"/>
  <c r="N440" i="70"/>
  <c r="O439" i="70"/>
  <c r="N439" i="70"/>
  <c r="O438" i="70"/>
  <c r="N438" i="70"/>
  <c r="O469" i="70"/>
  <c r="N469" i="70"/>
  <c r="O468" i="70"/>
  <c r="N468" i="70"/>
  <c r="O467" i="70"/>
  <c r="N467" i="70"/>
  <c r="O437" i="70"/>
  <c r="N437" i="70"/>
  <c r="O436" i="70"/>
  <c r="N436" i="70"/>
  <c r="O435" i="70"/>
  <c r="N435" i="70"/>
  <c r="O434" i="70"/>
  <c r="N434" i="70"/>
  <c r="O429" i="70"/>
  <c r="N429" i="70"/>
  <c r="O428" i="70"/>
  <c r="N428" i="70"/>
  <c r="O427" i="70"/>
  <c r="N427" i="70"/>
  <c r="O433" i="70"/>
  <c r="N433" i="70"/>
  <c r="O415" i="70"/>
  <c r="N415" i="70"/>
  <c r="O414" i="70"/>
  <c r="N414" i="70"/>
  <c r="O406" i="70"/>
  <c r="N406" i="70"/>
  <c r="O405" i="70"/>
  <c r="N405" i="70"/>
  <c r="O393" i="70"/>
  <c r="N393" i="70"/>
  <c r="O425" i="70"/>
  <c r="N425" i="70"/>
  <c r="O413" i="70"/>
  <c r="N413" i="70"/>
  <c r="O412" i="70"/>
  <c r="N412" i="70"/>
  <c r="O402" i="70"/>
  <c r="N402" i="70"/>
  <c r="O401" i="70"/>
  <c r="N401" i="70"/>
  <c r="O400" i="70"/>
  <c r="N400" i="70"/>
  <c r="O399" i="70"/>
  <c r="N399" i="70"/>
  <c r="O388" i="70"/>
  <c r="N388" i="70"/>
  <c r="O392" i="70"/>
  <c r="N392" i="70"/>
  <c r="O422" i="70"/>
  <c r="N422" i="70"/>
  <c r="O421" i="70"/>
  <c r="N421" i="70"/>
  <c r="O408" i="70"/>
  <c r="N408" i="70"/>
  <c r="O407" i="70"/>
  <c r="N407" i="70"/>
  <c r="O432" i="70"/>
  <c r="N432" i="70"/>
  <c r="O389" i="70"/>
  <c r="N389" i="70"/>
  <c r="O431" i="70"/>
  <c r="N431" i="70"/>
  <c r="O430" i="70"/>
  <c r="N430" i="70"/>
  <c r="O395" i="70"/>
  <c r="N395" i="70"/>
  <c r="O419" i="70"/>
  <c r="N419" i="70"/>
  <c r="O418" i="70"/>
  <c r="N418" i="70"/>
  <c r="O417" i="70"/>
  <c r="N417" i="70"/>
  <c r="O387" i="70"/>
  <c r="N387" i="70"/>
  <c r="O386" i="70"/>
  <c r="N386" i="70"/>
  <c r="O385" i="70"/>
  <c r="N385" i="70"/>
  <c r="O382" i="70"/>
  <c r="N382" i="70"/>
  <c r="O381" i="70"/>
  <c r="N381" i="70"/>
  <c r="O380" i="70"/>
  <c r="N380" i="70"/>
  <c r="O379" i="70"/>
  <c r="N379" i="70"/>
  <c r="O375" i="70"/>
  <c r="N375" i="70"/>
  <c r="O374" i="70"/>
  <c r="N374" i="70"/>
  <c r="O355" i="70"/>
  <c r="N355" i="70"/>
  <c r="O354" i="70"/>
  <c r="N354" i="70"/>
  <c r="O357" i="70"/>
  <c r="N357" i="70"/>
  <c r="O356" i="70"/>
  <c r="N356" i="70"/>
  <c r="O378" i="70"/>
  <c r="N378" i="70"/>
  <c r="O377" i="70"/>
  <c r="N377" i="70"/>
  <c r="O362" i="70"/>
  <c r="N362" i="70"/>
  <c r="O361" i="70"/>
  <c r="N361" i="70"/>
  <c r="O350" i="70"/>
  <c r="N350" i="70"/>
  <c r="O365" i="70"/>
  <c r="N365" i="70"/>
  <c r="O364" i="70"/>
  <c r="N364" i="70"/>
  <c r="O344" i="70"/>
  <c r="N344" i="70"/>
  <c r="O343" i="70"/>
  <c r="N343" i="70"/>
  <c r="O335" i="70"/>
  <c r="N335" i="70"/>
  <c r="O334" i="70"/>
  <c r="N334" i="70"/>
  <c r="O333" i="70"/>
  <c r="N333" i="70"/>
  <c r="O332" i="70"/>
  <c r="N332" i="70"/>
  <c r="O331" i="70"/>
  <c r="N331" i="70"/>
  <c r="O330" i="70"/>
  <c r="N330" i="70"/>
  <c r="O770" i="70"/>
  <c r="N770" i="70"/>
  <c r="O769" i="70"/>
  <c r="N769" i="70"/>
  <c r="O327" i="70"/>
  <c r="N327" i="70"/>
  <c r="O326" i="70"/>
  <c r="N326" i="70"/>
  <c r="O325" i="70"/>
  <c r="N325" i="70"/>
  <c r="O323" i="70"/>
  <c r="N323" i="70"/>
  <c r="O346" i="70"/>
  <c r="N346" i="70"/>
  <c r="O345" i="70"/>
  <c r="N345" i="70"/>
  <c r="O768" i="70"/>
  <c r="N768" i="70"/>
  <c r="O319" i="70"/>
  <c r="N319" i="70"/>
  <c r="O318" i="70"/>
  <c r="N318" i="70"/>
  <c r="O767" i="70"/>
  <c r="N767" i="70"/>
  <c r="O312" i="70"/>
  <c r="N312" i="70"/>
  <c r="O311" i="70"/>
  <c r="N311" i="70"/>
  <c r="O314" i="70"/>
  <c r="N314" i="70"/>
  <c r="O313" i="70"/>
  <c r="N313" i="70"/>
  <c r="O308" i="70"/>
  <c r="N308" i="70"/>
  <c r="O307" i="70"/>
  <c r="N307" i="70"/>
  <c r="O766" i="70"/>
  <c r="N766" i="70"/>
  <c r="O305" i="70"/>
  <c r="N305" i="70"/>
  <c r="O303" i="70"/>
  <c r="N303" i="70"/>
  <c r="O301" i="70"/>
  <c r="N301" i="70"/>
  <c r="O300" i="70"/>
  <c r="N300" i="70"/>
  <c r="O765" i="70"/>
  <c r="N765" i="70"/>
  <c r="O764" i="70"/>
  <c r="N764" i="70"/>
  <c r="O270" i="70"/>
  <c r="N270" i="70"/>
  <c r="O269" i="70"/>
  <c r="N269" i="70"/>
  <c r="O292" i="70"/>
  <c r="N292" i="70"/>
  <c r="O291" i="70"/>
  <c r="N291" i="70"/>
  <c r="O285" i="70"/>
  <c r="N285" i="70"/>
  <c r="O284" i="70"/>
  <c r="N284" i="70"/>
  <c r="O290" i="70"/>
  <c r="N290" i="70"/>
  <c r="O289" i="70"/>
  <c r="N289" i="70"/>
  <c r="O288" i="70"/>
  <c r="N288" i="70"/>
  <c r="O287" i="70"/>
  <c r="N287" i="70"/>
  <c r="O280" i="70"/>
  <c r="N280" i="70"/>
  <c r="O279" i="70"/>
  <c r="N279" i="70"/>
  <c r="O278" i="70"/>
  <c r="N278" i="70"/>
  <c r="O277" i="70"/>
  <c r="N277" i="70"/>
  <c r="O276" i="70"/>
  <c r="N276" i="70"/>
  <c r="O275" i="70"/>
  <c r="N275" i="70"/>
  <c r="O274" i="70"/>
  <c r="N274" i="70"/>
  <c r="O763" i="70"/>
  <c r="N763" i="70"/>
  <c r="O762" i="70"/>
  <c r="N762" i="70"/>
  <c r="O264" i="70"/>
  <c r="N264" i="70"/>
  <c r="O263" i="70"/>
  <c r="N263" i="70"/>
  <c r="O267" i="70"/>
  <c r="N267" i="70"/>
  <c r="O266" i="70"/>
  <c r="N266" i="70"/>
  <c r="O265" i="70"/>
  <c r="N265" i="70"/>
  <c r="O761" i="70"/>
  <c r="N761" i="70"/>
  <c r="O760" i="70"/>
  <c r="N760" i="70"/>
  <c r="O298" i="70"/>
  <c r="N298" i="70"/>
  <c r="O297" i="70"/>
  <c r="N297" i="70"/>
  <c r="O283" i="70"/>
  <c r="N283" i="70"/>
  <c r="O282" i="70"/>
  <c r="N282" i="70"/>
  <c r="O295" i="70"/>
  <c r="N295" i="70"/>
  <c r="O294" i="70"/>
  <c r="N294" i="70"/>
  <c r="O273" i="70"/>
  <c r="N273" i="70"/>
  <c r="O272" i="70"/>
  <c r="N272" i="70"/>
  <c r="O250" i="70"/>
  <c r="N250" i="70"/>
  <c r="O249" i="70"/>
  <c r="N249" i="70"/>
  <c r="O248" i="70"/>
  <c r="N248" i="70"/>
  <c r="O253" i="70"/>
  <c r="N253" i="70"/>
  <c r="O759" i="70"/>
  <c r="N759" i="70"/>
  <c r="O247" i="70"/>
  <c r="N247" i="70"/>
  <c r="O246" i="70"/>
  <c r="N246" i="70"/>
  <c r="O235" i="70"/>
  <c r="N235" i="70"/>
  <c r="O234" i="70"/>
  <c r="N234" i="70"/>
  <c r="O239" i="70"/>
  <c r="N239" i="70"/>
  <c r="O238" i="70"/>
  <c r="N238" i="70"/>
  <c r="O244" i="70"/>
  <c r="N244" i="70"/>
  <c r="O758" i="70"/>
  <c r="N758" i="70"/>
  <c r="O757" i="70"/>
  <c r="N757" i="70"/>
  <c r="O242" i="70"/>
  <c r="N242" i="70"/>
  <c r="O241" i="70"/>
  <c r="N241" i="70"/>
  <c r="O756" i="70"/>
  <c r="N756" i="70"/>
  <c r="O237" i="70"/>
  <c r="N237" i="70"/>
  <c r="O236" i="70"/>
  <c r="N236" i="70"/>
  <c r="O259" i="70"/>
  <c r="N259" i="70"/>
  <c r="O258" i="70"/>
  <c r="N258" i="70"/>
  <c r="O257" i="70"/>
  <c r="N257" i="70"/>
  <c r="O233" i="70"/>
  <c r="N233" i="70"/>
  <c r="O232" i="70"/>
  <c r="N232" i="70"/>
  <c r="O260" i="70"/>
  <c r="N260" i="70"/>
  <c r="O243" i="70"/>
  <c r="N243" i="70"/>
  <c r="O219" i="70"/>
  <c r="N219" i="70"/>
  <c r="O194" i="70"/>
  <c r="N194" i="70"/>
  <c r="O193" i="70"/>
  <c r="N193" i="70"/>
  <c r="O755" i="70"/>
  <c r="N755" i="70"/>
  <c r="O223" i="70"/>
  <c r="N223" i="70"/>
  <c r="O217" i="70"/>
  <c r="N217" i="70"/>
  <c r="O216" i="70"/>
  <c r="N216" i="70"/>
  <c r="O225" i="70"/>
  <c r="N225" i="70"/>
  <c r="O202" i="70"/>
  <c r="N202" i="70"/>
  <c r="O201" i="70"/>
  <c r="N201" i="70"/>
  <c r="O200" i="70"/>
  <c r="N200" i="70"/>
  <c r="O208" i="70"/>
  <c r="N208" i="70"/>
  <c r="O207" i="70"/>
  <c r="N207" i="70"/>
  <c r="O227" i="70"/>
  <c r="N227" i="70"/>
  <c r="O226" i="70"/>
  <c r="N226" i="70"/>
  <c r="O199" i="70"/>
  <c r="N199" i="70"/>
  <c r="O198" i="70"/>
  <c r="N198" i="70"/>
  <c r="O206" i="70"/>
  <c r="N206" i="70"/>
  <c r="O205" i="70"/>
  <c r="N205" i="70"/>
  <c r="O214" i="70"/>
  <c r="N214" i="70"/>
  <c r="O213" i="70"/>
  <c r="N213" i="70"/>
  <c r="O211" i="70"/>
  <c r="N211" i="70"/>
  <c r="O210" i="70"/>
  <c r="N210" i="70"/>
  <c r="O754" i="70"/>
  <c r="N754" i="70"/>
  <c r="O185" i="70"/>
  <c r="N185" i="70"/>
  <c r="O184" i="70"/>
  <c r="N184" i="70"/>
  <c r="O180" i="70"/>
  <c r="N180" i="70"/>
  <c r="O179" i="70"/>
  <c r="N179" i="70"/>
  <c r="O752" i="70"/>
  <c r="N752" i="70"/>
  <c r="O175" i="70"/>
  <c r="N175" i="70"/>
  <c r="O174" i="70"/>
  <c r="N174" i="70"/>
  <c r="O751" i="70"/>
  <c r="N751" i="70"/>
  <c r="O170" i="70"/>
  <c r="N170" i="70"/>
  <c r="O169" i="70"/>
  <c r="N169" i="70"/>
  <c r="O168" i="70"/>
  <c r="N168" i="70"/>
  <c r="O160" i="70"/>
  <c r="N160" i="70"/>
  <c r="O750" i="70"/>
  <c r="N750" i="70"/>
  <c r="O153" i="70"/>
  <c r="N153" i="70"/>
  <c r="O152" i="70"/>
  <c r="N152" i="70"/>
  <c r="O151" i="70"/>
  <c r="N151" i="70"/>
  <c r="O150" i="70"/>
  <c r="N150" i="70"/>
  <c r="O149" i="70"/>
  <c r="N149" i="70"/>
  <c r="O159" i="70"/>
  <c r="N159" i="70"/>
  <c r="O158" i="70"/>
  <c r="N158" i="70"/>
  <c r="O157" i="70"/>
  <c r="N157" i="70"/>
  <c r="O156" i="70"/>
  <c r="N156" i="70"/>
  <c r="O749" i="70"/>
  <c r="N749" i="70"/>
  <c r="O748" i="70"/>
  <c r="N748" i="70"/>
  <c r="O747" i="70"/>
  <c r="N747" i="70"/>
  <c r="O746" i="70"/>
  <c r="N746" i="70"/>
  <c r="O131" i="70"/>
  <c r="N131" i="70"/>
  <c r="O130" i="70"/>
  <c r="N130" i="70"/>
  <c r="O119" i="70"/>
  <c r="N119" i="70"/>
  <c r="O118" i="70"/>
  <c r="N118" i="70"/>
  <c r="O126" i="70"/>
  <c r="N126" i="70"/>
  <c r="O125" i="70"/>
  <c r="N125" i="70"/>
  <c r="O124" i="70"/>
  <c r="N124" i="70"/>
  <c r="O123" i="70"/>
  <c r="N123" i="70"/>
  <c r="O111" i="70"/>
  <c r="N111" i="70"/>
  <c r="O110" i="70"/>
  <c r="N110" i="70"/>
  <c r="O109" i="70"/>
  <c r="N109" i="70"/>
  <c r="O108" i="70"/>
  <c r="N108" i="70"/>
  <c r="O744" i="70"/>
  <c r="N744" i="70"/>
  <c r="O113" i="70"/>
  <c r="N113" i="70"/>
  <c r="O114" i="70"/>
  <c r="N114" i="70"/>
  <c r="O96" i="70"/>
  <c r="N96" i="70"/>
  <c r="O95" i="70"/>
  <c r="N95" i="70"/>
  <c r="O743" i="70"/>
  <c r="N743" i="70"/>
  <c r="O104" i="70"/>
  <c r="N104" i="70"/>
  <c r="O103" i="70"/>
  <c r="N103" i="70"/>
  <c r="O102" i="70"/>
  <c r="N102" i="70"/>
  <c r="O101" i="70"/>
  <c r="N101" i="70"/>
  <c r="O147" i="70"/>
  <c r="N147" i="70"/>
  <c r="O146" i="70"/>
  <c r="N146" i="70"/>
  <c r="O107" i="70"/>
  <c r="N107" i="70"/>
  <c r="O106" i="70"/>
  <c r="N106" i="70"/>
  <c r="O117" i="70"/>
  <c r="N117" i="70"/>
  <c r="O105" i="70"/>
  <c r="N105" i="70"/>
  <c r="O141" i="70"/>
  <c r="N141" i="70"/>
  <c r="O140" i="70"/>
  <c r="N140" i="70"/>
  <c r="O139" i="70"/>
  <c r="N139" i="70"/>
  <c r="O742" i="70"/>
  <c r="N742" i="70"/>
  <c r="O741" i="70"/>
  <c r="N741" i="70"/>
  <c r="O90" i="70"/>
  <c r="N90" i="70"/>
  <c r="O89" i="70"/>
  <c r="N89" i="70"/>
  <c r="O122" i="70"/>
  <c r="N122" i="70"/>
  <c r="O94" i="70"/>
  <c r="N94" i="70"/>
  <c r="O93" i="70"/>
  <c r="N93" i="70"/>
  <c r="O92" i="70"/>
  <c r="N92" i="70"/>
  <c r="O138" i="70"/>
  <c r="N138" i="70"/>
  <c r="O137" i="70"/>
  <c r="N137" i="70"/>
  <c r="O87" i="70"/>
  <c r="N87" i="70"/>
  <c r="O86" i="70"/>
  <c r="N86" i="70"/>
  <c r="O85" i="70"/>
  <c r="N85" i="70"/>
  <c r="O76" i="70"/>
  <c r="N76" i="70"/>
  <c r="O75" i="70"/>
  <c r="N75" i="70"/>
  <c r="O352" i="70"/>
  <c r="N352" i="70"/>
  <c r="O51" i="70"/>
  <c r="N51" i="70"/>
  <c r="O50" i="70"/>
  <c r="N50" i="70"/>
  <c r="O53" i="70"/>
  <c r="N53" i="70"/>
  <c r="O52" i="70"/>
  <c r="N52" i="70"/>
  <c r="O80" i="70"/>
  <c r="N80" i="70"/>
  <c r="O68" i="70"/>
  <c r="N68" i="70"/>
  <c r="O37" i="70"/>
  <c r="N37" i="70"/>
  <c r="O735" i="70"/>
  <c r="N735" i="70"/>
  <c r="O57" i="70"/>
  <c r="N57" i="70"/>
  <c r="O734" i="70"/>
  <c r="N734" i="70"/>
  <c r="O733" i="70"/>
  <c r="N733" i="70"/>
  <c r="O39" i="70"/>
  <c r="N39" i="70"/>
  <c r="O38" i="70"/>
  <c r="N38" i="70"/>
  <c r="O732" i="70"/>
  <c r="N732" i="70"/>
  <c r="O84" i="70"/>
  <c r="N84" i="70"/>
  <c r="O83" i="70"/>
  <c r="N83" i="70"/>
  <c r="O730" i="70"/>
  <c r="N730" i="70"/>
  <c r="O36" i="70"/>
  <c r="N36" i="70"/>
  <c r="O64" i="70"/>
  <c r="N64" i="70"/>
  <c r="O63" i="70"/>
  <c r="N63" i="70"/>
  <c r="O35" i="70"/>
  <c r="N35" i="70"/>
  <c r="O34" i="70"/>
  <c r="N34" i="70"/>
  <c r="O33" i="70"/>
  <c r="N33" i="70"/>
  <c r="O29" i="70"/>
  <c r="N29" i="70"/>
  <c r="O28" i="70"/>
  <c r="N28" i="70"/>
  <c r="O27" i="70"/>
  <c r="N27" i="70"/>
  <c r="O26" i="70"/>
  <c r="N26" i="70"/>
  <c r="O16" i="70"/>
  <c r="N16" i="70"/>
  <c r="O15" i="70"/>
  <c r="N15" i="70"/>
  <c r="O14" i="70"/>
  <c r="N14" i="70"/>
  <c r="O13" i="70"/>
  <c r="N13" i="70"/>
  <c r="O11" i="70"/>
  <c r="N11" i="70"/>
  <c r="O23" i="70"/>
  <c r="N23" i="70"/>
  <c r="O22" i="70"/>
  <c r="N22" i="70"/>
  <c r="O21" i="70"/>
  <c r="N21" i="70"/>
  <c r="O20" i="70"/>
  <c r="N20" i="70"/>
  <c r="O726" i="70"/>
  <c r="N726" i="70"/>
  <c r="O19" i="70"/>
  <c r="N19" i="70"/>
  <c r="O18" i="70"/>
  <c r="N18" i="70"/>
  <c r="O17" i="70"/>
  <c r="N17" i="70"/>
  <c r="O32" i="70"/>
  <c r="N32" i="70"/>
  <c r="O725" i="70"/>
  <c r="N725" i="70"/>
  <c r="H13" i="42" l="1"/>
  <c r="G13" i="42"/>
  <c r="H4" i="42"/>
  <c r="G4" i="42"/>
  <c r="H14" i="42"/>
  <c r="G14" i="42"/>
  <c r="H12" i="42"/>
  <c r="G12" i="42"/>
  <c r="H15" i="42"/>
  <c r="G15" i="42"/>
  <c r="H8" i="42"/>
  <c r="G8" i="42"/>
  <c r="H9" i="42"/>
  <c r="G9" i="42"/>
  <c r="H11" i="42"/>
  <c r="G11" i="42"/>
  <c r="H16" i="42"/>
  <c r="G16" i="42"/>
  <c r="H5" i="42"/>
  <c r="G5" i="42"/>
  <c r="H7" i="42"/>
  <c r="G7" i="42"/>
  <c r="H10" i="42"/>
  <c r="G10" i="42"/>
  <c r="H6" i="42" l="1"/>
  <c r="G6" i="42"/>
  <c r="P17" i="66" l="1"/>
  <c r="S17" i="66" s="1"/>
  <c r="O17" i="66"/>
  <c r="Q17" i="66" s="1"/>
  <c r="T17" i="66" s="1"/>
  <c r="Q16" i="66"/>
  <c r="T16" i="66" s="1"/>
  <c r="P16" i="66"/>
  <c r="S16" i="66" s="1"/>
  <c r="O16" i="66"/>
  <c r="S15" i="66"/>
  <c r="Q15" i="66"/>
  <c r="T15" i="66" s="1"/>
  <c r="P15" i="66"/>
  <c r="O15" i="66"/>
  <c r="S14" i="66"/>
  <c r="P14" i="66"/>
  <c r="O14" i="66"/>
  <c r="Q14" i="66" s="1"/>
  <c r="T14" i="66" s="1"/>
  <c r="P13" i="66"/>
  <c r="S13" i="66" s="1"/>
  <c r="O13" i="66"/>
  <c r="Q13" i="66" s="1"/>
  <c r="T13" i="66" s="1"/>
  <c r="Q12" i="66"/>
  <c r="T12" i="66" s="1"/>
  <c r="P12" i="66"/>
  <c r="S12" i="66" s="1"/>
  <c r="O12" i="66"/>
  <c r="S11" i="66"/>
  <c r="Q11" i="66"/>
  <c r="T11" i="66" s="1"/>
  <c r="P11" i="66"/>
  <c r="O11" i="66"/>
  <c r="S10" i="66"/>
  <c r="P10" i="66"/>
  <c r="O10" i="66"/>
  <c r="Q10" i="66" s="1"/>
  <c r="T10" i="66" s="1"/>
  <c r="P9" i="66"/>
  <c r="S9" i="66" s="1"/>
  <c r="O9" i="66"/>
  <c r="Q9" i="66" s="1"/>
  <c r="T9" i="66" s="1"/>
  <c r="Q8" i="66"/>
  <c r="T8" i="66" s="1"/>
  <c r="P8" i="66"/>
  <c r="S8" i="66" s="1"/>
  <c r="O8" i="66"/>
  <c r="S7" i="66"/>
  <c r="Q7" i="66"/>
  <c r="T7" i="66" s="1"/>
  <c r="P7" i="66"/>
  <c r="O7" i="66"/>
  <c r="S6" i="66"/>
  <c r="P6" i="66"/>
  <c r="O6" i="66"/>
  <c r="Q6" i="66" s="1"/>
  <c r="T6" i="66" s="1"/>
  <c r="K947" i="27" l="1"/>
  <c r="G23" i="66" l="1"/>
  <c r="C23" i="66"/>
  <c r="K22" i="66"/>
  <c r="J22" i="66"/>
  <c r="G22" i="66"/>
  <c r="C22" i="66"/>
  <c r="G21" i="66"/>
  <c r="C21" i="66"/>
  <c r="K20" i="66"/>
  <c r="J20" i="66"/>
  <c r="G20" i="66"/>
  <c r="C20" i="66"/>
  <c r="G19" i="66"/>
  <c r="C19" i="66"/>
  <c r="K18" i="66"/>
  <c r="J18" i="66"/>
  <c r="G18" i="66"/>
  <c r="C18" i="66"/>
  <c r="K17" i="66"/>
  <c r="J17" i="66"/>
  <c r="G17" i="66"/>
  <c r="C17" i="66"/>
  <c r="K16" i="66"/>
  <c r="J16" i="66"/>
  <c r="G16" i="66"/>
  <c r="C16" i="66"/>
  <c r="G15" i="66"/>
  <c r="C15" i="66"/>
  <c r="D19" i="66" s="1"/>
  <c r="K14" i="66"/>
  <c r="J14" i="66"/>
  <c r="G14" i="66"/>
  <c r="C14" i="66"/>
  <c r="K13" i="66"/>
  <c r="J13" i="66"/>
  <c r="G13" i="66"/>
  <c r="C13" i="66"/>
  <c r="G12" i="66"/>
  <c r="C12" i="66"/>
  <c r="K11" i="66"/>
  <c r="J11" i="66"/>
  <c r="G11" i="66"/>
  <c r="C11" i="66"/>
  <c r="K10" i="66"/>
  <c r="J10" i="66"/>
  <c r="G10" i="66"/>
  <c r="C10" i="66"/>
  <c r="K9" i="66"/>
  <c r="J9" i="66"/>
  <c r="G9" i="66"/>
  <c r="C9" i="66"/>
  <c r="G8" i="66"/>
  <c r="C8" i="66"/>
  <c r="K7" i="66"/>
  <c r="J7" i="66"/>
  <c r="G7" i="66"/>
  <c r="C7" i="66"/>
  <c r="D7" i="66" s="1"/>
  <c r="K6" i="66"/>
  <c r="J6" i="66"/>
  <c r="G6" i="66"/>
  <c r="C6" i="66"/>
  <c r="J981" i="27" l="1"/>
  <c r="J195" i="27"/>
  <c r="J802" i="27"/>
  <c r="J453" i="27"/>
  <c r="J212" i="27"/>
  <c r="J960" i="27"/>
  <c r="J260" i="27"/>
  <c r="J654" i="27"/>
  <c r="J1119" i="27"/>
  <c r="J1103" i="27"/>
  <c r="J266" i="27"/>
  <c r="J113" i="27"/>
  <c r="J806" i="27"/>
  <c r="J542" i="27"/>
  <c r="J1094" i="27"/>
  <c r="J521" i="27"/>
  <c r="J164" i="27"/>
  <c r="J69" i="27"/>
  <c r="J928" i="27"/>
  <c r="J321" i="27"/>
  <c r="J472" i="27"/>
  <c r="J70" i="27"/>
  <c r="J1055" i="27"/>
  <c r="J168" i="27"/>
  <c r="J516" i="27"/>
  <c r="J96" i="27"/>
  <c r="J627" i="27"/>
  <c r="J478" i="27"/>
  <c r="J114" i="27"/>
  <c r="J261" i="27"/>
  <c r="J1049" i="27"/>
  <c r="J290" i="27"/>
  <c r="J400" i="27"/>
  <c r="J110" i="27"/>
  <c r="J21" i="27"/>
  <c r="J867" i="27"/>
  <c r="J601" i="27"/>
  <c r="J964" i="27"/>
  <c r="J1050" i="27"/>
  <c r="J293" i="27"/>
  <c r="J1140" i="27"/>
  <c r="J739" i="27"/>
  <c r="J475" i="27"/>
  <c r="J13" i="27"/>
  <c r="J738" i="27"/>
  <c r="J506" i="27"/>
  <c r="J169" i="27"/>
  <c r="J649" i="27"/>
  <c r="J1033" i="27"/>
  <c r="J91" i="27"/>
  <c r="J535" i="27"/>
  <c r="J888" i="27"/>
  <c r="J746" i="27"/>
  <c r="J142" i="27"/>
  <c r="J949" i="27"/>
  <c r="J101" i="27"/>
  <c r="J593" i="27"/>
  <c r="J30" i="27"/>
  <c r="J918" i="27"/>
  <c r="J631" i="27"/>
  <c r="J454" i="27"/>
  <c r="J445" i="27"/>
  <c r="J434" i="27"/>
  <c r="J952" i="27"/>
  <c r="J194" i="27"/>
  <c r="J388" i="27"/>
  <c r="J1095" i="27"/>
  <c r="J443" i="27"/>
  <c r="J515" i="27"/>
  <c r="J633" i="27"/>
  <c r="J937" i="27"/>
  <c r="J1145" i="27"/>
  <c r="J1063" i="27"/>
  <c r="J1021" i="27"/>
  <c r="J1056" i="27"/>
  <c r="J286" i="27"/>
  <c r="J630" i="27"/>
  <c r="J634" i="27"/>
  <c r="J626" i="27"/>
  <c r="J162" i="27"/>
  <c r="J446" i="27"/>
  <c r="J487" i="27"/>
  <c r="J880" i="27"/>
  <c r="J750" i="27"/>
  <c r="J123" i="27"/>
  <c r="J344" i="27"/>
  <c r="J818" i="27"/>
  <c r="J227" i="27"/>
  <c r="J962" i="27"/>
  <c r="J961" i="27"/>
  <c r="J463" i="27"/>
  <c r="J391" i="27"/>
  <c r="J1120" i="27"/>
  <c r="J740" i="27"/>
  <c r="J672" i="27"/>
  <c r="J603" i="27"/>
  <c r="J1122" i="27"/>
  <c r="J175" i="27"/>
  <c r="J1143" i="27"/>
  <c r="J532" i="27"/>
  <c r="J676" i="27"/>
  <c r="J720" i="27"/>
  <c r="J1124" i="27"/>
  <c r="J132" i="27"/>
  <c r="J805" i="27"/>
  <c r="J745" i="27"/>
  <c r="J528" i="27"/>
  <c r="J950" i="27"/>
  <c r="J35" i="27"/>
  <c r="J29" i="27"/>
  <c r="J919" i="27"/>
  <c r="J257" i="27"/>
  <c r="J533" i="27"/>
  <c r="J522" i="27"/>
  <c r="J844" i="27"/>
  <c r="J287" i="27"/>
  <c r="J832" i="27"/>
  <c r="J801" i="27"/>
  <c r="J589" i="27"/>
  <c r="J163" i="27"/>
  <c r="J868" i="27"/>
  <c r="J629" i="27"/>
  <c r="J621" i="27"/>
  <c r="J151" i="27"/>
  <c r="J701" i="27"/>
  <c r="J804" i="27"/>
  <c r="J852" i="27"/>
  <c r="J694" i="27"/>
  <c r="J910" i="27"/>
  <c r="J620" i="27"/>
  <c r="J799" i="27"/>
  <c r="J985" i="27"/>
  <c r="J444" i="27"/>
  <c r="J320" i="27"/>
  <c r="J325" i="27"/>
  <c r="J881" i="27"/>
  <c r="J466" i="27"/>
  <c r="J751" i="27"/>
  <c r="J623" i="27"/>
  <c r="J174" i="27"/>
  <c r="J228" i="27"/>
  <c r="J959" i="27"/>
  <c r="J31" i="27"/>
  <c r="J464" i="27"/>
  <c r="J984" i="27"/>
  <c r="J1121" i="27"/>
  <c r="J196" i="27"/>
  <c r="J673" i="27"/>
  <c r="J14" i="27"/>
  <c r="J530" i="27"/>
  <c r="J474" i="27"/>
  <c r="J1144" i="27"/>
  <c r="J675" i="27"/>
  <c r="J604" i="27"/>
  <c r="J89" i="27"/>
  <c r="J148" i="27"/>
  <c r="J803" i="27"/>
  <c r="J141" i="27"/>
  <c r="J529" i="27"/>
  <c r="J851" i="27"/>
  <c r="J34" i="27"/>
  <c r="J963" i="27"/>
  <c r="J259" i="27"/>
  <c r="J594" i="27"/>
  <c r="J455" i="27"/>
  <c r="J945" i="27"/>
  <c r="J1104" i="27"/>
  <c r="J664" i="27"/>
  <c r="J831" i="27"/>
  <c r="J541" i="27"/>
  <c r="J1105" i="27"/>
  <c r="J161" i="27"/>
  <c r="J869" i="27"/>
  <c r="J628" i="27"/>
  <c r="J929" i="27"/>
  <c r="J982" i="27"/>
  <c r="J841" i="27"/>
  <c r="J71" i="27"/>
  <c r="J800" i="27"/>
  <c r="J4" i="27"/>
  <c r="J903" i="27"/>
  <c r="J619" i="27"/>
  <c r="J547" i="27"/>
  <c r="J966" i="27"/>
  <c r="J517" i="27"/>
  <c r="J632" i="27"/>
  <c r="J650" i="27"/>
  <c r="J465" i="27"/>
  <c r="J291" i="27"/>
  <c r="J109" i="27"/>
  <c r="J622" i="27"/>
  <c r="J866" i="27"/>
  <c r="J600" i="27"/>
  <c r="J28" i="27"/>
  <c r="J1048" i="27"/>
  <c r="J292" i="27"/>
  <c r="J889" i="27"/>
  <c r="J509" i="27"/>
  <c r="J602" i="27"/>
  <c r="J674" i="27"/>
  <c r="J473" i="27"/>
  <c r="J531" i="27"/>
  <c r="J12" i="27"/>
  <c r="J648" i="27"/>
  <c r="J870" i="27"/>
  <c r="J947" i="27"/>
  <c r="J166" i="27"/>
  <c r="J131" i="27"/>
  <c r="J824" i="27"/>
  <c r="J188" i="27"/>
  <c r="J825" i="27"/>
  <c r="J189" i="27"/>
  <c r="J1090" i="27"/>
  <c r="J1092" i="27"/>
  <c r="J75" i="27"/>
  <c r="J76" i="27"/>
  <c r="J550" i="27"/>
  <c r="J232" i="27"/>
  <c r="J898" i="27"/>
  <c r="J167" i="27"/>
  <c r="J235" i="27"/>
  <c r="J234" i="27"/>
  <c r="J244" i="27"/>
  <c r="J226" i="27"/>
  <c r="J766" i="27"/>
  <c r="J1073" i="27"/>
  <c r="J811" i="27"/>
  <c r="J718" i="27"/>
  <c r="J384" i="27"/>
  <c r="J1034" i="27"/>
  <c r="J1036" i="27"/>
  <c r="J1057" i="27"/>
  <c r="J129" i="27"/>
  <c r="J255" i="27"/>
  <c r="J130" i="27"/>
  <c r="J256" i="27"/>
  <c r="J1067" i="27"/>
  <c r="J1069" i="27"/>
  <c r="J729" i="27"/>
  <c r="J365" i="27"/>
  <c r="J1030" i="27"/>
  <c r="J233" i="27"/>
  <c r="J92" i="27"/>
  <c r="J536" i="27"/>
  <c r="J819" i="27"/>
  <c r="J690" i="27"/>
  <c r="J1015" i="27"/>
  <c r="J716" i="27"/>
  <c r="J722" i="27"/>
  <c r="J1079" i="27"/>
  <c r="J812" i="27"/>
  <c r="J719" i="27"/>
  <c r="J507" i="27"/>
  <c r="J278" i="27"/>
  <c r="J154" i="27"/>
  <c r="J1058" i="27"/>
  <c r="J822" i="27"/>
  <c r="J253" i="27"/>
  <c r="J823" i="27"/>
  <c r="J254" i="27"/>
  <c r="J1091" i="27"/>
  <c r="J1093" i="27"/>
  <c r="J1032" i="27"/>
  <c r="J428" i="27"/>
  <c r="J551" i="27"/>
  <c r="J969" i="27"/>
  <c r="J721" i="27"/>
  <c r="J1125" i="27"/>
  <c r="J691" i="27"/>
  <c r="J225" i="27"/>
  <c r="J1130" i="27"/>
  <c r="J501" i="27"/>
  <c r="J1080" i="27"/>
  <c r="J998" i="27"/>
  <c r="J322" i="27"/>
  <c r="J896" i="27"/>
  <c r="J36" i="27"/>
  <c r="J695" i="27"/>
  <c r="J813" i="27"/>
  <c r="J155" i="27"/>
  <c r="J149" i="27"/>
  <c r="J190" i="27"/>
  <c r="J1128" i="27"/>
  <c r="J191" i="27"/>
  <c r="J1129" i="27"/>
  <c r="J1068" i="27"/>
  <c r="J1070" i="27"/>
  <c r="J390" i="27"/>
  <c r="J901" i="27"/>
  <c r="J1031" i="27"/>
  <c r="J757" i="27"/>
  <c r="J90" i="27"/>
  <c r="J1135" i="27"/>
  <c r="J689" i="27"/>
  <c r="J249" i="27"/>
  <c r="J502" i="27"/>
  <c r="J457" i="27"/>
  <c r="J44" i="27"/>
  <c r="J948" i="27"/>
  <c r="J683" i="27"/>
  <c r="J897" i="27"/>
  <c r="J383" i="27"/>
  <c r="J1146" i="27"/>
  <c r="J1035" i="27"/>
  <c r="J147" i="27"/>
  <c r="J871" i="27"/>
  <c r="D16" i="66"/>
  <c r="D13" i="66"/>
  <c r="D20" i="66"/>
  <c r="J1064" i="27" s="1"/>
  <c r="D9" i="66"/>
  <c r="D10" i="66"/>
  <c r="D11" i="66"/>
  <c r="D12" i="66"/>
  <c r="J456" i="27" s="1"/>
  <c r="D17" i="66"/>
  <c r="J970" i="27" s="1"/>
  <c r="D18" i="66"/>
  <c r="D8" i="66"/>
  <c r="J106" i="27" s="1"/>
  <c r="D23" i="66"/>
  <c r="J566" i="27" l="1"/>
  <c r="J440" i="27"/>
  <c r="J495" i="27"/>
  <c r="J427" i="27"/>
  <c r="J78" i="27"/>
  <c r="J614" i="27"/>
  <c r="J468" i="27"/>
  <c r="J460" i="27"/>
  <c r="J268" i="27"/>
  <c r="J882" i="27"/>
  <c r="J1081" i="27"/>
  <c r="J724" i="27"/>
  <c r="J471" i="27"/>
  <c r="J85" i="27"/>
  <c r="J126" i="27"/>
  <c r="J214" i="27"/>
  <c r="J913" i="27"/>
  <c r="J88" i="27"/>
  <c r="J16" i="27"/>
  <c r="J884" i="27"/>
  <c r="J490" i="27"/>
  <c r="J728" i="27"/>
  <c r="J145" i="27"/>
  <c r="J6" i="27"/>
  <c r="J561" i="27"/>
  <c r="J352" i="27"/>
  <c r="J671" i="27"/>
  <c r="J302" i="27"/>
  <c r="J86" i="27"/>
  <c r="J470" i="27"/>
  <c r="J684" i="27"/>
  <c r="J826" i="27"/>
  <c r="J469" i="27"/>
  <c r="J764" i="27"/>
  <c r="J269" i="27"/>
  <c r="J415" i="27"/>
  <c r="J782" i="27"/>
  <c r="J173" i="27"/>
  <c r="J311" i="27"/>
  <c r="J83" i="27"/>
  <c r="J1029" i="27"/>
  <c r="J323" i="27"/>
  <c r="J494" i="27"/>
  <c r="J436" i="27"/>
  <c r="J111" i="27"/>
  <c r="J787" i="27"/>
  <c r="J857" i="27"/>
  <c r="J793" i="27"/>
  <c r="J810" i="27"/>
  <c r="J51" i="27"/>
  <c r="J170" i="27"/>
  <c r="J1061" i="27"/>
  <c r="J82" i="27"/>
  <c r="J356" i="27"/>
  <c r="J263" i="27"/>
  <c r="J403" i="27"/>
  <c r="J564" i="27"/>
  <c r="J305" i="27"/>
  <c r="J873" i="27"/>
  <c r="J314" i="27"/>
  <c r="J613" i="27"/>
  <c r="J505" i="27"/>
  <c r="J43" i="27"/>
  <c r="J974" i="27"/>
  <c r="J568" i="27"/>
  <c r="J1044" i="27"/>
  <c r="J575" i="27"/>
  <c r="J206" i="27"/>
  <c r="J556" i="27"/>
  <c r="J432" i="27"/>
  <c r="J399" i="27"/>
  <c r="J902" i="27"/>
  <c r="J669" i="27"/>
  <c r="J340" i="27"/>
  <c r="J462" i="27"/>
  <c r="J133" i="27"/>
  <c r="J97" i="27"/>
  <c r="J364" i="27"/>
  <c r="J52" i="27"/>
  <c r="J395" i="27"/>
  <c r="J328" i="27"/>
  <c r="J59" i="27"/>
  <c r="J79" i="27"/>
  <c r="J1038" i="27"/>
  <c r="J1085" i="27"/>
  <c r="J157" i="27"/>
  <c r="J599" i="27"/>
  <c r="J770" i="27"/>
  <c r="J1004" i="27"/>
  <c r="J890" i="27"/>
  <c r="J125" i="27"/>
  <c r="J733" i="27"/>
  <c r="J407" i="27"/>
  <c r="J1052" i="27"/>
  <c r="J569" i="27"/>
  <c r="J467" i="27"/>
  <c r="J992" i="27"/>
  <c r="J767" i="27"/>
  <c r="J972" i="27"/>
  <c r="J940" i="27"/>
  <c r="J759" i="27"/>
  <c r="J833" i="27"/>
  <c r="J710" i="27"/>
  <c r="J670" i="27"/>
  <c r="J658" i="27"/>
  <c r="J171" i="27"/>
  <c r="J587" i="27"/>
  <c r="J81" i="27"/>
  <c r="J94" i="27"/>
  <c r="J262" i="27"/>
  <c r="J401" i="27"/>
  <c r="J791" i="27"/>
  <c r="J304" i="27"/>
  <c r="J872" i="27"/>
  <c r="J27" i="27"/>
  <c r="J565" i="27"/>
  <c r="J688" i="27"/>
  <c r="J986" i="27"/>
  <c r="J973" i="27"/>
  <c r="J943" i="27"/>
  <c r="J379" i="27"/>
  <c r="J1110" i="27"/>
  <c r="J42" i="27"/>
  <c r="J1016" i="27"/>
  <c r="J983" i="27"/>
  <c r="J955" i="27"/>
  <c r="J307" i="27"/>
  <c r="J331" i="27"/>
  <c r="J979" i="27"/>
  <c r="J492" i="27"/>
  <c r="J999" i="27"/>
  <c r="J572" i="27"/>
  <c r="J309" i="27"/>
  <c r="J139" i="27"/>
  <c r="J776" i="27"/>
  <c r="J1053" i="27"/>
  <c r="J944" i="27"/>
  <c r="J850" i="27"/>
  <c r="J58" i="27"/>
  <c r="J843" i="27"/>
  <c r="J514" i="27"/>
  <c r="J941" i="27"/>
  <c r="J461" i="27"/>
  <c r="J1054" i="27"/>
  <c r="J1018" i="27"/>
  <c r="J942" i="27"/>
  <c r="J308" i="27"/>
  <c r="J997" i="27"/>
  <c r="J775" i="27"/>
  <c r="J1139" i="27"/>
  <c r="J840" i="27"/>
  <c r="J865" i="27"/>
  <c r="J274" i="27"/>
  <c r="J99" i="27"/>
  <c r="J1112" i="27"/>
  <c r="J939" i="27"/>
  <c r="J666" i="27"/>
  <c r="J124" i="27"/>
  <c r="J360" i="27"/>
  <c r="J385" i="27"/>
  <c r="J732" i="27"/>
  <c r="J642" i="27"/>
  <c r="J588" i="27"/>
  <c r="J193" i="27"/>
  <c r="J747" i="27"/>
  <c r="J995" i="27"/>
  <c r="J678" i="27"/>
  <c r="J1012" i="27"/>
  <c r="J938" i="27"/>
  <c r="J758" i="27"/>
  <c r="J836" i="27"/>
  <c r="J996" i="27"/>
  <c r="J316" i="27"/>
  <c r="J657" i="27"/>
  <c r="J786" i="27"/>
  <c r="J585" i="27"/>
  <c r="J574" i="27"/>
  <c r="J93" i="27"/>
  <c r="J854" i="27"/>
  <c r="J373" i="27"/>
  <c r="J493" i="27"/>
  <c r="J524" i="27"/>
  <c r="J324" i="27"/>
  <c r="J26" i="27"/>
  <c r="J1047" i="27"/>
  <c r="J687" i="27"/>
  <c r="J1037" i="27"/>
  <c r="J363" i="27"/>
  <c r="J1109" i="27"/>
  <c r="J839" i="27"/>
  <c r="J606" i="27"/>
  <c r="J275" i="27"/>
  <c r="J134" i="27"/>
  <c r="J554" i="27"/>
  <c r="J1084" i="27"/>
  <c r="J543" i="27"/>
  <c r="J598" i="27"/>
  <c r="J355" i="27"/>
  <c r="J1138" i="27"/>
  <c r="J987" i="27"/>
  <c r="J1141" i="27"/>
  <c r="J769" i="27"/>
  <c r="J838" i="27"/>
  <c r="J605" i="27"/>
  <c r="J98" i="27"/>
  <c r="J80" i="27"/>
  <c r="J208" i="27"/>
  <c r="J398" i="27"/>
  <c r="J525" i="27"/>
  <c r="J608" i="27"/>
  <c r="J354" i="27"/>
  <c r="J1137" i="27"/>
  <c r="J1011" i="27"/>
  <c r="J429" i="27"/>
  <c r="J406" i="27"/>
  <c r="J930" i="27"/>
  <c r="J335" i="27"/>
  <c r="J329" i="27"/>
  <c r="J430" i="27"/>
  <c r="J849" i="27"/>
  <c r="J207" i="27"/>
  <c r="J607" i="27"/>
  <c r="J1111" i="27"/>
  <c r="J341" i="27"/>
  <c r="J433" i="27"/>
  <c r="J209" i="27"/>
  <c r="J279" i="27"/>
  <c r="J641" i="27"/>
  <c r="J555" i="27"/>
  <c r="J140" i="27"/>
  <c r="J498" i="27"/>
  <c r="J586" i="27"/>
  <c r="J192" i="27"/>
  <c r="J647" i="27"/>
  <c r="J994" i="27"/>
  <c r="J677" i="27"/>
  <c r="J765" i="27"/>
  <c r="J971" i="27"/>
  <c r="J270" i="27"/>
  <c r="J835" i="27"/>
  <c r="J545" i="27"/>
  <c r="J717" i="27"/>
  <c r="J874" i="27"/>
  <c r="J276" i="27"/>
  <c r="J730" i="27"/>
  <c r="J809" i="27"/>
  <c r="J143" i="27"/>
  <c r="J112" i="27"/>
  <c r="J612" i="27"/>
  <c r="J526" i="27"/>
  <c r="J87" i="27"/>
  <c r="J954" i="27"/>
  <c r="J582" i="27"/>
  <c r="J172" i="27"/>
  <c r="J686" i="27"/>
  <c r="J611" i="27"/>
  <c r="J1051" i="27"/>
  <c r="J404" i="27"/>
  <c r="J538" i="27"/>
  <c r="J73" i="27"/>
  <c r="J748" i="27"/>
  <c r="J795" i="27"/>
  <c r="J725" i="27"/>
  <c r="J1020" i="27"/>
  <c r="J749" i="27"/>
  <c r="J459" i="27"/>
  <c r="J1123" i="27"/>
  <c r="J301" i="27"/>
  <c r="J953" i="27"/>
  <c r="J789" i="27"/>
  <c r="J723" i="27"/>
  <c r="J144" i="27"/>
  <c r="J236" i="27"/>
  <c r="J560" i="27"/>
  <c r="J353" i="27"/>
  <c r="J1062" i="27"/>
  <c r="J846" i="27"/>
  <c r="J491" i="27"/>
  <c r="J484" i="27"/>
  <c r="J685" i="27"/>
  <c r="J956" i="27"/>
  <c r="J330" i="27"/>
  <c r="J790" i="27"/>
  <c r="J774" i="27"/>
  <c r="J946" i="27"/>
  <c r="J665" i="27"/>
  <c r="J41" i="27"/>
  <c r="J934" i="27"/>
  <c r="J224" i="27"/>
  <c r="J609" i="27"/>
  <c r="J853" i="27"/>
  <c r="J205" i="27"/>
  <c r="J761" i="27"/>
  <c r="J327" i="27"/>
  <c r="J452" i="27"/>
  <c r="J203" i="27"/>
  <c r="J778" i="27"/>
  <c r="J504" i="27"/>
  <c r="J580" i="27"/>
  <c r="J570" i="27"/>
  <c r="J891" i="27"/>
  <c r="J1078" i="27"/>
  <c r="J553" i="27"/>
  <c r="J644" i="27"/>
  <c r="J243" i="27"/>
  <c r="J829" i="27"/>
  <c r="J312" i="27"/>
  <c r="J957" i="27"/>
  <c r="J1089" i="27"/>
  <c r="J1076" i="27"/>
  <c r="J1132" i="27"/>
  <c r="J899" i="27"/>
  <c r="J1098" i="27"/>
  <c r="J366" i="27"/>
  <c r="J288" i="27"/>
  <c r="J976" i="27"/>
  <c r="J548" i="27"/>
  <c r="J181" i="27"/>
  <c r="J503" i="27"/>
  <c r="J988" i="27"/>
  <c r="J1134" i="27"/>
  <c r="J771" i="27"/>
  <c r="J221" i="27"/>
  <c r="J362" i="27"/>
  <c r="J1000" i="27"/>
  <c r="J230" i="27"/>
  <c r="J1065" i="27"/>
  <c r="J1114" i="27"/>
  <c r="J1006" i="27"/>
  <c r="J755" i="27"/>
  <c r="J229" i="27"/>
  <c r="J54" i="27"/>
  <c r="J245" i="27"/>
  <c r="J9" i="27"/>
  <c r="J1017" i="27"/>
  <c r="J199" i="27"/>
  <c r="J479" i="27"/>
  <c r="J480" i="27"/>
  <c r="J319" i="27"/>
  <c r="J371" i="27"/>
  <c r="J706" i="27"/>
  <c r="J377" i="27"/>
  <c r="J743" i="27"/>
  <c r="J597" i="27"/>
  <c r="J977" i="27"/>
  <c r="J936" i="27"/>
  <c r="J115" i="27"/>
  <c r="J862" i="27"/>
  <c r="J380" i="27"/>
  <c r="J1127" i="27"/>
  <c r="J449" i="27"/>
  <c r="J617" i="27"/>
  <c r="J1096" i="27"/>
  <c r="J285" i="27"/>
  <c r="J779" i="27"/>
  <c r="J904" i="27"/>
  <c r="J481" i="27"/>
  <c r="J1040" i="27"/>
  <c r="J128" i="27"/>
  <c r="J264" i="27"/>
  <c r="J715" i="27"/>
  <c r="J1066" i="27"/>
  <c r="J927" i="27"/>
  <c r="J792" i="27"/>
  <c r="J700" i="27"/>
  <c r="J19" i="27"/>
  <c r="J48" i="27"/>
  <c r="J219" i="27"/>
  <c r="J438" i="27"/>
  <c r="J57" i="27"/>
  <c r="J122" i="27"/>
  <c r="J239" i="27"/>
  <c r="J187" i="27"/>
  <c r="J578" i="27"/>
  <c r="J1118" i="27"/>
  <c r="J374" i="27"/>
  <c r="J358" i="27"/>
  <c r="J104" i="27"/>
  <c r="J523" i="27"/>
  <c r="J338" i="27"/>
  <c r="J616" i="27"/>
  <c r="J827" i="27"/>
  <c r="J37" i="27"/>
  <c r="J1023" i="27"/>
  <c r="J103" i="27"/>
  <c r="J422" i="27"/>
  <c r="J680" i="27"/>
  <c r="J615" i="27"/>
  <c r="J8" i="27"/>
  <c r="J848" i="27"/>
  <c r="J855" i="27"/>
  <c r="J418" i="27"/>
  <c r="J247" i="27"/>
  <c r="J990" i="27"/>
  <c r="J426" i="27"/>
  <c r="J579" i="27"/>
  <c r="J303" i="27"/>
  <c r="J737" i="27"/>
  <c r="J820" i="27"/>
  <c r="J284" i="27"/>
  <c r="J370" i="27"/>
  <c r="J46" i="27"/>
  <c r="J1041" i="27"/>
  <c r="J1039" i="27"/>
  <c r="J500" i="27"/>
  <c r="J925" i="27"/>
  <c r="J590" i="27"/>
  <c r="J510" i="27"/>
  <c r="J887" i="27"/>
  <c r="J159" i="27"/>
  <c r="J699" i="27"/>
  <c r="J417" i="27"/>
  <c r="J346" i="27"/>
  <c r="J549" i="27"/>
  <c r="J118" i="27"/>
  <c r="J120" i="27"/>
  <c r="J908" i="27"/>
  <c r="J392" i="27"/>
  <c r="J448" i="27"/>
  <c r="J252" i="27"/>
  <c r="J1116" i="27"/>
  <c r="J807" i="27"/>
  <c r="J204" i="27"/>
  <c r="J345" i="27"/>
  <c r="J135" i="27"/>
  <c r="J1014" i="27"/>
  <c r="J250" i="27"/>
  <c r="J777" i="27"/>
  <c r="J1108" i="27"/>
  <c r="J573" i="27"/>
  <c r="J1100" i="27"/>
  <c r="J1028" i="27"/>
  <c r="J127" i="27"/>
  <c r="J552" i="27"/>
  <c r="J643" i="27"/>
  <c r="J241" i="27"/>
  <c r="J40" i="27"/>
  <c r="J56" i="27"/>
  <c r="J425" i="27"/>
  <c r="J186" i="27"/>
  <c r="J1075" i="27"/>
  <c r="J1131" i="27"/>
  <c r="J875" i="27"/>
  <c r="J1097" i="27"/>
  <c r="J369" i="27"/>
  <c r="J45" i="27"/>
  <c r="J336" i="27"/>
  <c r="J640" i="27"/>
  <c r="J20" i="27"/>
  <c r="J916" i="27"/>
  <c r="J742" i="27"/>
  <c r="J1133" i="27"/>
  <c r="J821" i="27"/>
  <c r="J557" i="27"/>
  <c r="J784" i="27"/>
  <c r="J420" i="27"/>
  <c r="J117" i="27"/>
  <c r="J1077" i="27"/>
  <c r="J921" i="27"/>
  <c r="J296" i="27"/>
  <c r="J754" i="27"/>
  <c r="J437" i="27"/>
  <c r="J662" i="27"/>
  <c r="J136" i="27"/>
  <c r="J1072" i="27"/>
  <c r="J1115" i="27"/>
  <c r="J499" i="27"/>
  <c r="J222" i="27"/>
  <c r="J242" i="27"/>
  <c r="J760" i="27"/>
  <c r="J917" i="27"/>
  <c r="J60" i="27"/>
  <c r="J281" i="27"/>
  <c r="J185" i="27"/>
  <c r="J24" i="27"/>
  <c r="J421" i="27"/>
  <c r="J47" i="27"/>
  <c r="J660" i="27"/>
  <c r="J294" i="27"/>
  <c r="J912" i="27"/>
  <c r="J1007" i="27"/>
  <c r="J1024" i="27"/>
  <c r="J424" i="27"/>
  <c r="J577" i="27"/>
  <c r="J476" i="27"/>
  <c r="J709" i="27"/>
  <c r="J958" i="27"/>
  <c r="J698" i="27"/>
  <c r="J497" i="27"/>
  <c r="J860" i="27"/>
  <c r="J863" i="27"/>
  <c r="J576" i="27"/>
  <c r="J22" i="27"/>
  <c r="J376" i="27"/>
  <c r="J681" i="27"/>
  <c r="J734" i="27"/>
  <c r="J518" i="27"/>
  <c r="J736" i="27"/>
  <c r="J177" i="27"/>
  <c r="J1106" i="27"/>
  <c r="J1102" i="27"/>
  <c r="J153" i="27"/>
  <c r="J1083" i="27"/>
  <c r="J349" i="27"/>
  <c r="J933" i="27"/>
  <c r="J176" i="27"/>
  <c r="J989" i="27"/>
  <c r="J50" i="27"/>
  <c r="J1026" i="27"/>
  <c r="J378" i="27"/>
  <c r="J67" i="27"/>
  <c r="J1060" i="27"/>
  <c r="J317" i="27"/>
  <c r="J182" i="27"/>
  <c r="J343" i="27"/>
  <c r="J1071" i="27"/>
  <c r="J218" i="27"/>
  <c r="J763" i="27"/>
  <c r="J351" i="27"/>
  <c r="J741" i="27"/>
  <c r="J968" i="27"/>
  <c r="J915" i="27"/>
  <c r="J441" i="27"/>
  <c r="J282" i="27"/>
  <c r="J975" i="27"/>
  <c r="J414" i="27"/>
  <c r="J920" i="27"/>
  <c r="J299" i="27"/>
  <c r="J923" i="27"/>
  <c r="J197" i="27"/>
  <c r="J830" i="27"/>
  <c r="J1005" i="27"/>
  <c r="J817" i="27"/>
  <c r="J393" i="27"/>
  <c r="J663" i="27"/>
  <c r="J409" i="27"/>
  <c r="J138" i="27"/>
  <c r="J435" i="27"/>
  <c r="J1003" i="27"/>
  <c r="J895" i="27"/>
  <c r="J638" i="27"/>
  <c r="J780" i="27"/>
  <c r="J1022" i="27"/>
  <c r="J61" i="27"/>
  <c r="J511" i="27"/>
  <c r="J339" i="27"/>
  <c r="J412" i="27"/>
  <c r="J1082" i="27"/>
  <c r="J347" i="27"/>
  <c r="J546" i="27"/>
  <c r="J179" i="27"/>
  <c r="J911" i="27"/>
  <c r="J906" i="27"/>
  <c r="J856" i="27"/>
  <c r="J447" i="27"/>
  <c r="J659" i="27"/>
  <c r="J102" i="27"/>
  <c r="J924" i="27"/>
  <c r="J905" i="27"/>
  <c r="J482" i="27"/>
  <c r="J693" i="27"/>
  <c r="J1013" i="27"/>
  <c r="J879" i="27"/>
  <c r="J714" i="27"/>
  <c r="J1107" i="27"/>
  <c r="J926" i="27"/>
  <c r="J158" i="27"/>
  <c r="J202" i="27"/>
  <c r="J180" i="27"/>
  <c r="J451" i="27"/>
  <c r="J220" i="27"/>
  <c r="J231" i="27"/>
  <c r="J808" i="27"/>
  <c r="J121" i="27"/>
  <c r="J423" i="27"/>
  <c r="J1088" i="27"/>
  <c r="J1136" i="27"/>
  <c r="J931" i="27"/>
  <c r="J334" i="27"/>
  <c r="J211" i="27"/>
  <c r="J105" i="27"/>
  <c r="J198" i="27"/>
  <c r="J18" i="27"/>
  <c r="J878" i="27"/>
  <c r="J152" i="27"/>
  <c r="J656" i="27"/>
  <c r="J107" i="27"/>
  <c r="J1010" i="27"/>
  <c r="J892" i="27"/>
  <c r="J596" i="27"/>
  <c r="J877" i="27"/>
  <c r="J935" i="27"/>
  <c r="J639" i="27"/>
  <c r="J271" i="27"/>
  <c r="J258" i="27"/>
  <c r="J1126" i="27"/>
  <c r="J753" i="27"/>
  <c r="J951" i="27"/>
  <c r="J909" i="27"/>
  <c r="J477" i="27"/>
  <c r="J165" i="27"/>
  <c r="J712" i="27"/>
  <c r="J65" i="27"/>
  <c r="J1059" i="27"/>
  <c r="J711" i="27"/>
  <c r="J814" i="27"/>
  <c r="J25" i="27"/>
  <c r="J705" i="27"/>
  <c r="J704" i="27"/>
  <c r="J697" i="27"/>
  <c r="J1043" i="27"/>
  <c r="J858" i="27"/>
  <c r="J273" i="27"/>
  <c r="J108" i="27"/>
  <c r="J49" i="27"/>
  <c r="J967" i="27"/>
  <c r="J703" i="27"/>
  <c r="J794" i="27"/>
  <c r="J519" i="27"/>
  <c r="J859" i="27"/>
  <c r="J682" i="27"/>
  <c r="J63" i="27"/>
  <c r="J847" i="27"/>
  <c r="J816" i="27"/>
  <c r="J652" i="27"/>
  <c r="J68" i="27"/>
  <c r="J991" i="27"/>
  <c r="J624" i="27"/>
  <c r="J932" i="27"/>
  <c r="J900" i="27"/>
  <c r="J210" i="27"/>
  <c r="J367" i="27"/>
  <c r="J289" i="27"/>
  <c r="J17" i="27"/>
  <c r="J116" i="27"/>
  <c r="J350" i="27"/>
  <c r="J655" i="27"/>
  <c r="J567" i="27"/>
  <c r="J1009" i="27"/>
  <c r="J772" i="27"/>
  <c r="J410" i="27"/>
  <c r="J496" i="27"/>
  <c r="J1001" i="27"/>
  <c r="J636" i="27"/>
  <c r="J512" i="27"/>
  <c r="J178" i="27"/>
  <c r="J1008" i="27"/>
  <c r="J756" i="27"/>
  <c r="J240" i="27"/>
  <c r="J53" i="27"/>
  <c r="J894" i="27"/>
  <c r="J10" i="27"/>
  <c r="J217" i="27"/>
  <c r="J762" i="27"/>
  <c r="J39" i="27"/>
  <c r="J886" i="27"/>
  <c r="J637" i="27"/>
  <c r="J702" i="27"/>
  <c r="J876" i="27"/>
  <c r="J283" i="27"/>
  <c r="J744" i="27"/>
  <c r="J413" i="27"/>
  <c r="J978" i="27"/>
  <c r="J298" i="27"/>
  <c r="J489" i="27"/>
  <c r="J861" i="27"/>
  <c r="J922" i="27"/>
  <c r="J295" i="27"/>
  <c r="J450" i="27"/>
  <c r="J382" i="27"/>
  <c r="J661" i="27"/>
  <c r="J408" i="27"/>
  <c r="J137" i="27"/>
  <c r="J361" i="27"/>
  <c r="J1002" i="27"/>
  <c r="J246" i="27"/>
  <c r="J635" i="27"/>
  <c r="J381" i="27"/>
  <c r="J38" i="27"/>
  <c r="J965" i="27"/>
  <c r="J280" i="27"/>
  <c r="J337" i="27"/>
  <c r="J411" i="27"/>
  <c r="J692" i="27"/>
  <c r="J297" i="27"/>
  <c r="J238" i="27"/>
  <c r="J1027" i="27"/>
  <c r="J62" i="27"/>
  <c r="J7" i="27"/>
  <c r="J592" i="27"/>
  <c r="J442" i="27"/>
  <c r="J223" i="27"/>
  <c r="J651" i="27"/>
  <c r="J333" i="27"/>
  <c r="J11" i="27"/>
  <c r="J368" i="27"/>
  <c r="J559" i="27"/>
  <c r="J251" i="27"/>
  <c r="J731" i="27"/>
  <c r="J845" i="27"/>
  <c r="J488" i="27"/>
  <c r="J1025" i="27"/>
  <c r="J571" i="27"/>
  <c r="J1101" i="27"/>
  <c r="J396" i="27"/>
  <c r="J783" i="27"/>
  <c r="J419" i="27"/>
  <c r="J318" i="27"/>
  <c r="J828" i="27"/>
  <c r="J397" i="27"/>
  <c r="J708" i="27"/>
  <c r="J272" i="27"/>
  <c r="J55" i="27"/>
  <c r="J486" i="27"/>
  <c r="J752" i="27"/>
  <c r="J591" i="27"/>
  <c r="J1113" i="27"/>
  <c r="J66" i="27"/>
  <c r="J1117" i="27"/>
  <c r="J625" i="27"/>
  <c r="J907" i="27"/>
  <c r="J1087" i="27"/>
  <c r="J32" i="27"/>
  <c r="J653" i="27"/>
  <c r="J348" i="27"/>
  <c r="J696" i="27"/>
  <c r="J267" i="27"/>
  <c r="J815" i="27"/>
  <c r="J23" i="27"/>
  <c r="J707" i="27"/>
  <c r="J610" i="27"/>
  <c r="J735" i="27"/>
  <c r="J1042" i="27"/>
  <c r="J713" i="27"/>
  <c r="J119" i="27"/>
  <c r="J679" i="27"/>
  <c r="J375" i="27"/>
  <c r="J389" i="27"/>
  <c r="J160" i="27"/>
  <c r="J513" i="27"/>
  <c r="J842" i="27"/>
  <c r="J277" i="27"/>
  <c r="J74" i="27"/>
  <c r="J837" i="27"/>
  <c r="J667" i="27"/>
  <c r="J200" i="27"/>
  <c r="J646" i="27"/>
  <c r="J15" i="27"/>
  <c r="J539" i="27"/>
  <c r="J798" i="27"/>
  <c r="J562" i="27"/>
  <c r="J146" i="27"/>
  <c r="J5" i="27"/>
  <c r="J405" i="27"/>
  <c r="J1142" i="27"/>
  <c r="J431" i="27"/>
  <c r="J544" i="27"/>
  <c r="J726" i="27"/>
  <c r="J310" i="27"/>
  <c r="J1086" i="27"/>
  <c r="J342" i="27"/>
  <c r="J213" i="27"/>
  <c r="J914" i="27"/>
  <c r="J416" i="27"/>
  <c r="J394" i="27"/>
  <c r="J387" i="27"/>
  <c r="J581" i="27"/>
  <c r="J785" i="27"/>
  <c r="J1019" i="27"/>
  <c r="J668" i="27"/>
  <c r="J201" i="27"/>
  <c r="J645" i="27"/>
  <c r="J993" i="27"/>
  <c r="J537" i="27"/>
  <c r="J796" i="27"/>
  <c r="J563" i="27"/>
  <c r="J893" i="27"/>
  <c r="J834" i="27"/>
  <c r="J265" i="27"/>
  <c r="J372" i="27"/>
  <c r="J100" i="27"/>
  <c r="J980" i="27"/>
  <c r="J508" i="27"/>
  <c r="J864" i="27"/>
  <c r="J520" i="27"/>
  <c r="J558" i="27"/>
  <c r="J95" i="27"/>
  <c r="J595" i="27"/>
  <c r="J439" i="27"/>
  <c r="J313" i="27"/>
  <c r="J300" i="27"/>
  <c r="J773" i="27"/>
  <c r="J64" i="27"/>
  <c r="J534" i="27"/>
  <c r="J1045" i="27"/>
  <c r="J402" i="27"/>
  <c r="J885" i="27"/>
  <c r="J72" i="27"/>
  <c r="J183" i="27"/>
  <c r="J788" i="27"/>
  <c r="J483" i="27"/>
  <c r="J237" i="27"/>
  <c r="J458" i="27"/>
  <c r="J527" i="27"/>
  <c r="J1099" i="27"/>
  <c r="J84" i="27"/>
  <c r="J584" i="27"/>
  <c r="J216" i="27"/>
  <c r="J326" i="27"/>
  <c r="J77" i="27"/>
  <c r="J156" i="27"/>
  <c r="J540" i="27"/>
  <c r="J781" i="27"/>
  <c r="J485" i="27"/>
  <c r="J797" i="27"/>
  <c r="J215" i="27"/>
  <c r="J1046" i="27"/>
  <c r="J768" i="27"/>
  <c r="J883" i="27"/>
  <c r="J1074" i="27"/>
  <c r="J184" i="27"/>
  <c r="J583" i="27"/>
  <c r="J727" i="27"/>
  <c r="J150" i="27"/>
  <c r="J315" i="27"/>
  <c r="J306" i="27"/>
  <c r="J386" i="27"/>
  <c r="J357" i="27"/>
  <c r="J33" i="27"/>
  <c r="J332" i="27"/>
  <c r="J618" i="27"/>
  <c r="J248" i="27"/>
  <c r="J359" i="27"/>
  <c r="K131" i="27" l="1"/>
  <c r="K132" i="27"/>
  <c r="K896" i="27"/>
  <c r="K897" i="27"/>
  <c r="K1067" i="27"/>
  <c r="K1068" i="27"/>
  <c r="K1069" i="27"/>
  <c r="K1070" i="27"/>
  <c r="K550" i="27"/>
  <c r="K551" i="27"/>
  <c r="K232" i="27"/>
  <c r="K233" i="27"/>
  <c r="K898" i="27"/>
  <c r="K536" i="27"/>
  <c r="K234" i="27"/>
  <c r="K1015" i="27"/>
  <c r="K91" i="27"/>
  <c r="K824" i="27"/>
  <c r="K190" i="27"/>
  <c r="K255" i="27"/>
  <c r="K825" i="27"/>
  <c r="K191" i="27"/>
  <c r="K256" i="27"/>
  <c r="K92" i="27"/>
  <c r="K691" i="27"/>
  <c r="K720" i="27"/>
  <c r="K89" i="27"/>
  <c r="K166" i="27"/>
  <c r="K1124" i="27"/>
  <c r="K148" i="27"/>
  <c r="K149" i="27"/>
  <c r="K129" i="27"/>
  <c r="K822" i="27"/>
  <c r="K188" i="27"/>
  <c r="K253" i="27"/>
  <c r="K1128" i="27"/>
  <c r="K130" i="27"/>
  <c r="K823" i="27"/>
  <c r="K189" i="27"/>
  <c r="K254" i="27"/>
  <c r="K1129" i="27"/>
  <c r="K1090" i="27"/>
  <c r="K1091" i="27"/>
  <c r="K1092" i="27"/>
  <c r="K1093" i="27"/>
  <c r="K75" i="27"/>
  <c r="K729" i="27"/>
  <c r="K1032" i="27"/>
  <c r="K390" i="27"/>
  <c r="K76" i="27"/>
  <c r="K365" i="27"/>
  <c r="K428" i="27"/>
  <c r="K901" i="27"/>
  <c r="K1030" i="27"/>
  <c r="K1031" i="27"/>
  <c r="K969" i="27"/>
  <c r="K757" i="27"/>
  <c r="K721" i="27"/>
  <c r="K90" i="27"/>
  <c r="K167" i="27"/>
  <c r="K1125" i="27"/>
  <c r="K1135" i="27"/>
  <c r="K235" i="27"/>
  <c r="K819" i="27"/>
  <c r="K689" i="27"/>
  <c r="K690" i="27"/>
  <c r="K225" i="27"/>
  <c r="K249" i="27"/>
  <c r="K244" i="27"/>
  <c r="K1130" i="27"/>
  <c r="K502" i="27"/>
  <c r="K226" i="27"/>
  <c r="K716" i="27"/>
  <c r="K501" i="27"/>
  <c r="K457" i="27"/>
  <c r="K766" i="27"/>
  <c r="K722" i="27"/>
  <c r="K1080" i="27"/>
  <c r="K44" i="27"/>
  <c r="K1073" i="27"/>
  <c r="K1079" i="27"/>
  <c r="K998" i="27"/>
  <c r="K948" i="27"/>
  <c r="K811" i="27"/>
  <c r="K812" i="27"/>
  <c r="K322" i="27"/>
  <c r="K683" i="27"/>
  <c r="K718" i="27"/>
  <c r="K719" i="27"/>
  <c r="K440" i="27"/>
  <c r="K64" i="27"/>
  <c r="K427" i="27"/>
  <c r="K513" i="27"/>
  <c r="K595" i="27"/>
  <c r="K74" i="27"/>
  <c r="K300" i="27"/>
  <c r="K874" i="27"/>
  <c r="K389" i="27"/>
  <c r="K809" i="27"/>
  <c r="K842" i="27"/>
  <c r="K717" i="27"/>
  <c r="K78" i="27"/>
  <c r="K276" i="27"/>
  <c r="K439" i="27"/>
  <c r="K566" i="27"/>
  <c r="K773" i="27"/>
  <c r="K495" i="27"/>
  <c r="K160" i="27"/>
  <c r="K95" i="27"/>
  <c r="K277" i="27"/>
  <c r="K313" i="27"/>
  <c r="K36" i="27"/>
  <c r="K383" i="27"/>
  <c r="K384" i="27"/>
  <c r="K507" i="27"/>
  <c r="K147" i="27"/>
  <c r="K1034" i="27"/>
  <c r="K695" i="27"/>
  <c r="K1057" i="27"/>
  <c r="K278" i="27"/>
  <c r="K813" i="27"/>
  <c r="K1058" i="27"/>
  <c r="K1035" i="27"/>
  <c r="K1036" i="27"/>
  <c r="K154" i="27"/>
  <c r="K155" i="27"/>
  <c r="K871" i="27"/>
  <c r="K535" i="27"/>
  <c r="Q1058" i="27" l="1"/>
  <c r="R1058" i="27"/>
  <c r="R695" i="27"/>
  <c r="Q695" i="27"/>
  <c r="Q507" i="27"/>
  <c r="R507" i="27"/>
  <c r="Q313" i="27"/>
  <c r="R313" i="27"/>
  <c r="Q495" i="27"/>
  <c r="R495" i="27"/>
  <c r="Q276" i="27"/>
  <c r="R276" i="27"/>
  <c r="R809" i="27"/>
  <c r="Q809" i="27"/>
  <c r="R74" i="27"/>
  <c r="Q74" i="27"/>
  <c r="R64" i="27"/>
  <c r="Q64" i="27"/>
  <c r="Q683" i="27"/>
  <c r="R683" i="27"/>
  <c r="Q948" i="27"/>
  <c r="R948" i="27"/>
  <c r="Q44" i="27"/>
  <c r="R44" i="27"/>
  <c r="Q457" i="27"/>
  <c r="R457" i="27"/>
  <c r="Q502" i="27"/>
  <c r="R502" i="27"/>
  <c r="R225" i="27"/>
  <c r="Q225" i="27"/>
  <c r="R235" i="27"/>
  <c r="Q235" i="27"/>
  <c r="Q90" i="27"/>
  <c r="R90" i="27"/>
  <c r="Q1031" i="27"/>
  <c r="R1031" i="27"/>
  <c r="Q365" i="27"/>
  <c r="R365" i="27"/>
  <c r="Q729" i="27"/>
  <c r="R729" i="27"/>
  <c r="R1091" i="27"/>
  <c r="Q1091" i="27"/>
  <c r="R189" i="27"/>
  <c r="Q189" i="27"/>
  <c r="R253" i="27"/>
  <c r="Q253" i="27"/>
  <c r="R149" i="27"/>
  <c r="Q149" i="27"/>
  <c r="R89" i="27"/>
  <c r="Q89" i="27"/>
  <c r="Q256" i="27"/>
  <c r="R256" i="27"/>
  <c r="Q190" i="27"/>
  <c r="R190" i="27"/>
  <c r="R234" i="27"/>
  <c r="Q234" i="27"/>
  <c r="R232" i="27"/>
  <c r="Q232" i="27"/>
  <c r="Q1069" i="27"/>
  <c r="R1069" i="27"/>
  <c r="R896" i="27"/>
  <c r="Q896" i="27"/>
  <c r="R535" i="27"/>
  <c r="Q535" i="27"/>
  <c r="Q154" i="27"/>
  <c r="R154" i="27"/>
  <c r="R813" i="27"/>
  <c r="Q813" i="27"/>
  <c r="R1034" i="27"/>
  <c r="Q1034" i="27"/>
  <c r="R384" i="27"/>
  <c r="Q384" i="27"/>
  <c r="R277" i="27"/>
  <c r="Q277" i="27"/>
  <c r="R773" i="27"/>
  <c r="Q773" i="27"/>
  <c r="R78" i="27"/>
  <c r="Q78" i="27"/>
  <c r="Q389" i="27"/>
  <c r="R389" i="27"/>
  <c r="Q595" i="27"/>
  <c r="R595" i="27"/>
  <c r="R440" i="27"/>
  <c r="Q440" i="27"/>
  <c r="R322" i="27"/>
  <c r="Q322" i="27"/>
  <c r="R998" i="27"/>
  <c r="Q998" i="27"/>
  <c r="R1080" i="27"/>
  <c r="Q1080" i="27"/>
  <c r="R501" i="27"/>
  <c r="Q501" i="27"/>
  <c r="R1130" i="27"/>
  <c r="Q1130" i="27"/>
  <c r="Q690" i="27"/>
  <c r="R690" i="27"/>
  <c r="Q1135" i="27"/>
  <c r="R1135" i="27"/>
  <c r="R721" i="27"/>
  <c r="Q721" i="27"/>
  <c r="Q1030" i="27"/>
  <c r="R1030" i="27"/>
  <c r="R76" i="27"/>
  <c r="Q76" i="27"/>
  <c r="R75" i="27"/>
  <c r="Q75" i="27"/>
  <c r="R1090" i="27"/>
  <c r="Q1090" i="27"/>
  <c r="R823" i="27"/>
  <c r="Q823" i="27"/>
  <c r="R188" i="27"/>
  <c r="Q188" i="27"/>
  <c r="R148" i="27"/>
  <c r="Q148" i="27"/>
  <c r="Q720" i="27"/>
  <c r="R720" i="27"/>
  <c r="Q191" i="27"/>
  <c r="R191" i="27"/>
  <c r="R824" i="27"/>
  <c r="Q824" i="27"/>
  <c r="Q536" i="27"/>
  <c r="R536" i="27"/>
  <c r="R551" i="27"/>
  <c r="Q551" i="27"/>
  <c r="Q1068" i="27"/>
  <c r="R1068" i="27"/>
  <c r="Q132" i="27"/>
  <c r="R132" i="27"/>
  <c r="Q871" i="27"/>
  <c r="R871" i="27"/>
  <c r="R1036" i="27"/>
  <c r="Q1036" i="27"/>
  <c r="Q278" i="27"/>
  <c r="R278" i="27"/>
  <c r="Q383" i="27"/>
  <c r="R383" i="27"/>
  <c r="Q95" i="27"/>
  <c r="R95" i="27"/>
  <c r="Q566" i="27"/>
  <c r="R566" i="27"/>
  <c r="Q717" i="27"/>
  <c r="R717" i="27"/>
  <c r="R874" i="27"/>
  <c r="Q874" i="27"/>
  <c r="R513" i="27"/>
  <c r="Q513" i="27"/>
  <c r="Q719" i="27"/>
  <c r="R719" i="27"/>
  <c r="Q812" i="27"/>
  <c r="R812" i="27"/>
  <c r="Q1079" i="27"/>
  <c r="R1079" i="27"/>
  <c r="Q722" i="27"/>
  <c r="R722" i="27"/>
  <c r="Q716" i="27"/>
  <c r="R716" i="27"/>
  <c r="R244" i="27"/>
  <c r="Q244" i="27"/>
  <c r="Q689" i="27"/>
  <c r="R689" i="27"/>
  <c r="R1125" i="27"/>
  <c r="Q1125" i="27"/>
  <c r="Q757" i="27"/>
  <c r="R757" i="27"/>
  <c r="Q901" i="27"/>
  <c r="R901" i="27"/>
  <c r="Q390" i="27"/>
  <c r="R390" i="27"/>
  <c r="R1093" i="27"/>
  <c r="Q1093" i="27"/>
  <c r="Q1129" i="27"/>
  <c r="R1129" i="27"/>
  <c r="Q130" i="27"/>
  <c r="R130" i="27"/>
  <c r="R822" i="27"/>
  <c r="Q822" i="27"/>
  <c r="Q1124" i="27"/>
  <c r="R1124" i="27"/>
  <c r="R691" i="27"/>
  <c r="Q691" i="27"/>
  <c r="R825" i="27"/>
  <c r="Q825" i="27"/>
  <c r="R91" i="27"/>
  <c r="Q91" i="27"/>
  <c r="R898" i="27"/>
  <c r="Q898" i="27"/>
  <c r="R550" i="27"/>
  <c r="Q550" i="27"/>
  <c r="Q1067" i="27"/>
  <c r="R1067" i="27"/>
  <c r="Q131" i="27"/>
  <c r="R131" i="27"/>
  <c r="R155" i="27"/>
  <c r="Q155" i="27"/>
  <c r="Q1035" i="27"/>
  <c r="R1035" i="27"/>
  <c r="R1057" i="27"/>
  <c r="Q1057" i="27"/>
  <c r="Q147" i="27"/>
  <c r="R147" i="27"/>
  <c r="R36" i="27"/>
  <c r="Q36" i="27"/>
  <c r="R160" i="27"/>
  <c r="Q160" i="27"/>
  <c r="R439" i="27"/>
  <c r="Q439" i="27"/>
  <c r="Q842" i="27"/>
  <c r="R842" i="27"/>
  <c r="Q300" i="27"/>
  <c r="R300" i="27"/>
  <c r="Q427" i="27"/>
  <c r="R427" i="27"/>
  <c r="R718" i="27"/>
  <c r="Q718" i="27"/>
  <c r="R811" i="27"/>
  <c r="Q811" i="27"/>
  <c r="R1073" i="27"/>
  <c r="Q1073" i="27"/>
  <c r="R766" i="27"/>
  <c r="Q766" i="27"/>
  <c r="R226" i="27"/>
  <c r="Q226" i="27"/>
  <c r="Q249" i="27"/>
  <c r="R249" i="27"/>
  <c r="Q819" i="27"/>
  <c r="R819" i="27"/>
  <c r="R167" i="27"/>
  <c r="Q167" i="27"/>
  <c r="R969" i="27"/>
  <c r="Q969" i="27"/>
  <c r="R428" i="27"/>
  <c r="Q428" i="27"/>
  <c r="R1032" i="27"/>
  <c r="Q1032" i="27"/>
  <c r="R1092" i="27"/>
  <c r="Q1092" i="27"/>
  <c r="R254" i="27"/>
  <c r="Q254" i="27"/>
  <c r="Q1128" i="27"/>
  <c r="R1128" i="27"/>
  <c r="Q129" i="27"/>
  <c r="R129" i="27"/>
  <c r="Q166" i="27"/>
  <c r="R166" i="27"/>
  <c r="Q92" i="27"/>
  <c r="R92" i="27"/>
  <c r="Q255" i="27"/>
  <c r="R255" i="27"/>
  <c r="Q1015" i="27"/>
  <c r="R1015" i="27"/>
  <c r="Q233" i="27"/>
  <c r="R233" i="27"/>
  <c r="Q1070" i="27"/>
  <c r="R1070" i="27"/>
  <c r="Q897" i="27"/>
  <c r="R897" i="27"/>
  <c r="R947" i="27"/>
  <c r="Q947" i="27"/>
  <c r="S5" i="45" l="1"/>
  <c r="S6" i="45"/>
  <c r="S7" i="45"/>
  <c r="S8" i="45"/>
  <c r="S9" i="45"/>
  <c r="S10" i="45"/>
  <c r="S11" i="45"/>
  <c r="S12" i="45"/>
  <c r="S13" i="45"/>
  <c r="S14" i="45"/>
  <c r="S15" i="45"/>
  <c r="S16" i="45"/>
  <c r="S17" i="45"/>
  <c r="S4" i="45"/>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F49" i="41"/>
  <c r="F48" i="41"/>
  <c r="F47" i="41"/>
  <c r="F46" i="41"/>
  <c r="F45" i="41"/>
  <c r="F44" i="41"/>
  <c r="F43" i="41"/>
  <c r="F42" i="41"/>
  <c r="F41" i="41"/>
  <c r="F40" i="41"/>
  <c r="F39" i="41"/>
  <c r="F38" i="41"/>
  <c r="F37" i="41"/>
  <c r="F36" i="41"/>
  <c r="F35" i="41"/>
  <c r="F34" i="41"/>
  <c r="F33" i="41"/>
  <c r="F32" i="41"/>
  <c r="F31" i="41"/>
  <c r="F30" i="41"/>
  <c r="F29" i="41"/>
  <c r="F28" i="41"/>
  <c r="F27" i="41"/>
  <c r="F26" i="41"/>
  <c r="F25" i="41"/>
  <c r="F24" i="41"/>
  <c r="F23" i="41"/>
  <c r="F22" i="41"/>
  <c r="F21" i="41"/>
  <c r="F20" i="41"/>
  <c r="F19" i="41"/>
  <c r="F18" i="41"/>
  <c r="F17" i="41"/>
  <c r="F5" i="41"/>
  <c r="F6" i="41"/>
  <c r="F7" i="41"/>
  <c r="F8" i="41"/>
  <c r="F10" i="41"/>
  <c r="F9" i="41"/>
  <c r="F11" i="41"/>
  <c r="F12" i="41"/>
  <c r="F13" i="41"/>
  <c r="F14" i="41"/>
  <c r="F15" i="41"/>
  <c r="F4" i="41"/>
  <c r="G5" i="41"/>
  <c r="G6" i="41"/>
  <c r="G7" i="41"/>
  <c r="G8" i="41"/>
  <c r="G10" i="41"/>
  <c r="G9" i="41"/>
  <c r="G11" i="41"/>
  <c r="G12" i="41"/>
  <c r="G13" i="41"/>
  <c r="G14" i="41"/>
  <c r="G15" i="41"/>
  <c r="G4" i="41"/>
  <c r="O827" i="27" l="1"/>
  <c r="R827" i="27" s="1"/>
  <c r="N827" i="27"/>
  <c r="Q827" i="27" s="1"/>
  <c r="O500" i="27"/>
  <c r="R500" i="27" s="1"/>
  <c r="N500" i="27"/>
  <c r="Q500" i="27" s="1"/>
  <c r="O715" i="27"/>
  <c r="R715" i="27" s="1"/>
  <c r="N715" i="27"/>
  <c r="Q715" i="27" s="1"/>
  <c r="O821" i="27"/>
  <c r="R821" i="27" s="1"/>
  <c r="N821" i="27"/>
  <c r="Q821" i="27" s="1"/>
  <c r="O771" i="27"/>
  <c r="R771" i="27" s="1"/>
  <c r="N771" i="27"/>
  <c r="Q771" i="27" s="1"/>
  <c r="O772" i="27"/>
  <c r="R772" i="27" s="1"/>
  <c r="N772" i="27"/>
  <c r="Q772" i="27" s="1"/>
  <c r="O891" i="27"/>
  <c r="R891" i="27" s="1"/>
  <c r="N891" i="27"/>
  <c r="Q891" i="27" s="1"/>
  <c r="O892" i="27"/>
  <c r="R892" i="27" s="1"/>
  <c r="N892" i="27"/>
  <c r="Q892" i="27" s="1"/>
  <c r="O743" i="27"/>
  <c r="R743" i="27" s="1"/>
  <c r="N743" i="27"/>
  <c r="Q743" i="27" s="1"/>
  <c r="O744" i="27"/>
  <c r="R744" i="27" s="1"/>
  <c r="N744" i="27"/>
  <c r="Q744" i="27" s="1"/>
  <c r="O714" i="27"/>
  <c r="R714" i="27" s="1"/>
  <c r="N714" i="27"/>
  <c r="Q714" i="27" s="1"/>
  <c r="O778" i="27"/>
  <c r="R778" i="27" s="1"/>
  <c r="N778" i="27"/>
  <c r="Q778" i="27" s="1"/>
  <c r="O343" i="27"/>
  <c r="R343" i="27" s="1"/>
  <c r="N343" i="27"/>
  <c r="Q343" i="27" s="1"/>
  <c r="O135" i="27"/>
  <c r="R135" i="27" s="1"/>
  <c r="N135" i="27"/>
  <c r="Q135" i="27" s="1"/>
  <c r="O136" i="27"/>
  <c r="R136" i="27" s="1"/>
  <c r="N136" i="27"/>
  <c r="Q136" i="27" s="1"/>
  <c r="O409" i="27"/>
  <c r="R409" i="27" s="1"/>
  <c r="N409" i="27"/>
  <c r="Q409" i="27" s="1"/>
  <c r="O285" i="27"/>
  <c r="R285" i="27" s="1"/>
  <c r="N285" i="27"/>
  <c r="Q285" i="27" s="1"/>
  <c r="O499" i="27"/>
  <c r="R499" i="27" s="1"/>
  <c r="N499" i="27"/>
  <c r="Q499" i="27" s="1"/>
  <c r="O1003" i="27"/>
  <c r="R1003" i="27" s="1"/>
  <c r="N1003" i="27"/>
  <c r="Q1003" i="27" s="1"/>
  <c r="O975" i="27"/>
  <c r="R975" i="27" s="1"/>
  <c r="N975" i="27"/>
  <c r="Q975" i="27" s="1"/>
  <c r="O976" i="27"/>
  <c r="R976" i="27" s="1"/>
  <c r="N976" i="27"/>
  <c r="Q976" i="27" s="1"/>
  <c r="O18" i="27"/>
  <c r="R18" i="27" s="1"/>
  <c r="N18" i="27"/>
  <c r="Q18" i="27" s="1"/>
  <c r="O1041" i="27"/>
  <c r="R1041" i="27" s="1"/>
  <c r="N1041" i="27"/>
  <c r="Q1041" i="27" s="1"/>
  <c r="O482" i="27"/>
  <c r="R482" i="27" s="1"/>
  <c r="N482" i="27"/>
  <c r="Q482" i="27" s="1"/>
  <c r="O736" i="27"/>
  <c r="R736" i="27" s="1"/>
  <c r="N736" i="27"/>
  <c r="Q736" i="27" s="1"/>
  <c r="O338" i="27"/>
  <c r="R338" i="27" s="1"/>
  <c r="N338" i="27"/>
  <c r="Q338" i="27" s="1"/>
  <c r="O737" i="27"/>
  <c r="R737" i="27" s="1"/>
  <c r="N737" i="27"/>
  <c r="Q737" i="27" s="1"/>
  <c r="O185" i="27"/>
  <c r="R185" i="27" s="1"/>
  <c r="N185" i="27"/>
  <c r="Q185" i="27" s="1"/>
  <c r="O337" i="27"/>
  <c r="R337" i="27" s="1"/>
  <c r="N337" i="27"/>
  <c r="Q337" i="27" s="1"/>
  <c r="O339" i="27"/>
  <c r="R339" i="27" s="1"/>
  <c r="N339" i="27"/>
  <c r="Q339" i="27" s="1"/>
  <c r="O312" i="27"/>
  <c r="R312" i="27" s="1"/>
  <c r="N312" i="27"/>
  <c r="Q312" i="27" s="1"/>
  <c r="O159" i="27"/>
  <c r="R159" i="27" s="1"/>
  <c r="N159" i="27"/>
  <c r="Q159" i="27" s="1"/>
  <c r="O345" i="27"/>
  <c r="R345" i="27" s="1"/>
  <c r="N345" i="27"/>
  <c r="Q345" i="27" s="1"/>
  <c r="O761" i="27"/>
  <c r="R761" i="27" s="1"/>
  <c r="N761" i="27"/>
  <c r="Q761" i="27" s="1"/>
  <c r="O369" i="27"/>
  <c r="R369" i="27" s="1"/>
  <c r="N369" i="27"/>
  <c r="Q369" i="27" s="1"/>
  <c r="O367" i="27"/>
  <c r="R367" i="27" s="1"/>
  <c r="N367" i="27"/>
  <c r="Q367" i="27" s="1"/>
  <c r="O705" i="27"/>
  <c r="R705" i="27" s="1"/>
  <c r="N705" i="27"/>
  <c r="Q705" i="27" s="1"/>
  <c r="O105" i="27"/>
  <c r="R105" i="27" s="1"/>
  <c r="N105" i="27"/>
  <c r="Q105" i="27" s="1"/>
  <c r="O289" i="27"/>
  <c r="R289" i="27" s="1"/>
  <c r="N289" i="27"/>
  <c r="Q289" i="27" s="1"/>
  <c r="O199" i="27"/>
  <c r="R199" i="27" s="1"/>
  <c r="N199" i="27"/>
  <c r="Q199" i="27" s="1"/>
  <c r="O763" i="27"/>
  <c r="R763" i="27" s="1"/>
  <c r="N763" i="27"/>
  <c r="Q763" i="27" s="1"/>
  <c r="O248" i="27"/>
  <c r="R248" i="27" s="1"/>
  <c r="N248" i="27"/>
  <c r="Q248" i="27" s="1"/>
  <c r="O347" i="27"/>
  <c r="R347" i="27" s="1"/>
  <c r="N347" i="27"/>
  <c r="Q347" i="27" s="1"/>
  <c r="O349" i="27"/>
  <c r="R349" i="27" s="1"/>
  <c r="N349" i="27"/>
  <c r="Q349" i="27" s="1"/>
  <c r="O421" i="27"/>
  <c r="R421" i="27" s="1"/>
  <c r="N421" i="27"/>
  <c r="Q421" i="27" s="1"/>
  <c r="O422" i="27"/>
  <c r="R422" i="27" s="1"/>
  <c r="N422" i="27"/>
  <c r="Q422" i="27" s="1"/>
  <c r="O66" i="27"/>
  <c r="R66" i="27" s="1"/>
  <c r="N66" i="27"/>
  <c r="Q66" i="27" s="1"/>
  <c r="O68" i="27"/>
  <c r="R68" i="27" s="1"/>
  <c r="N68" i="27"/>
  <c r="Q68" i="27" s="1"/>
  <c r="O1017" i="27"/>
  <c r="R1017" i="27" s="1"/>
  <c r="N1017" i="27"/>
  <c r="Q1017" i="27" s="1"/>
  <c r="O218" i="27"/>
  <c r="R218" i="27" s="1"/>
  <c r="N218" i="27"/>
  <c r="Q218" i="27" s="1"/>
  <c r="O247" i="27"/>
  <c r="R247" i="27" s="1"/>
  <c r="N247" i="27"/>
  <c r="Q247" i="27" s="1"/>
  <c r="O346" i="27"/>
  <c r="R346" i="27" s="1"/>
  <c r="N346" i="27"/>
  <c r="Q346" i="27" s="1"/>
  <c r="O348" i="27"/>
  <c r="R348" i="27" s="1"/>
  <c r="N348" i="27"/>
  <c r="Q348" i="27" s="1"/>
  <c r="O65" i="27"/>
  <c r="R65" i="27" s="1"/>
  <c r="N65" i="27"/>
  <c r="Q65" i="27" s="1"/>
  <c r="O67" i="27"/>
  <c r="R67" i="27" s="1"/>
  <c r="N67" i="27"/>
  <c r="Q67" i="27" s="1"/>
  <c r="O735" i="27"/>
  <c r="R735" i="27" s="1"/>
  <c r="N735" i="27"/>
  <c r="Q735" i="27" s="1"/>
  <c r="O698" i="27"/>
  <c r="R698" i="27" s="1"/>
  <c r="N698" i="27"/>
  <c r="Q698" i="27" s="1"/>
  <c r="O794" i="27"/>
  <c r="R794" i="27" s="1"/>
  <c r="N794" i="27"/>
  <c r="Q794" i="27" s="1"/>
  <c r="O734" i="27"/>
  <c r="R734" i="27" s="1"/>
  <c r="N734" i="27"/>
  <c r="Q734" i="27" s="1"/>
  <c r="O792" i="27"/>
  <c r="R792" i="27" s="1"/>
  <c r="N792" i="27"/>
  <c r="Q792" i="27" s="1"/>
  <c r="O1039" i="27"/>
  <c r="R1039" i="27" s="1"/>
  <c r="N1039" i="27"/>
  <c r="Q1039" i="27" s="1"/>
  <c r="O1040" i="27"/>
  <c r="R1040" i="27" s="1"/>
  <c r="N1040" i="27"/>
  <c r="Q1040" i="27" s="1"/>
  <c r="O692" i="27"/>
  <c r="R692" i="27" s="1"/>
  <c r="N692" i="27"/>
  <c r="Q692" i="27" s="1"/>
  <c r="O693" i="27"/>
  <c r="R693" i="27" s="1"/>
  <c r="N693" i="27"/>
  <c r="Q693" i="27" s="1"/>
  <c r="O967" i="27"/>
  <c r="R967" i="27" s="1"/>
  <c r="N967" i="27"/>
  <c r="Q967" i="27" s="1"/>
  <c r="O968" i="27"/>
  <c r="R968" i="27" s="1"/>
  <c r="N968" i="27"/>
  <c r="Q968" i="27" s="1"/>
  <c r="O760" i="27"/>
  <c r="R760" i="27" s="1"/>
  <c r="N760" i="27"/>
  <c r="Q760" i="27" s="1"/>
  <c r="O158" i="27"/>
  <c r="R158" i="27" s="1"/>
  <c r="N158" i="27"/>
  <c r="Q158" i="27" s="1"/>
  <c r="O376" i="27"/>
  <c r="R376" i="27" s="1"/>
  <c r="N376" i="27"/>
  <c r="Q376" i="27" s="1"/>
  <c r="O375" i="27"/>
  <c r="R375" i="27" s="1"/>
  <c r="N375" i="27"/>
  <c r="Q375" i="27" s="1"/>
  <c r="O1102" i="27"/>
  <c r="R1102" i="27" s="1"/>
  <c r="N1102" i="27"/>
  <c r="Q1102" i="27" s="1"/>
  <c r="O1101" i="27"/>
  <c r="R1101" i="27" s="1"/>
  <c r="N1101" i="27"/>
  <c r="Q1101" i="27" s="1"/>
  <c r="O104" i="27"/>
  <c r="R104" i="27" s="1"/>
  <c r="N104" i="27"/>
  <c r="Q104" i="27" s="1"/>
  <c r="O106" i="27"/>
  <c r="R106" i="27" s="1"/>
  <c r="N106" i="27"/>
  <c r="Q106" i="27" s="1"/>
  <c r="O1082" i="27"/>
  <c r="R1082" i="27" s="1"/>
  <c r="N1082" i="27"/>
  <c r="Q1082" i="27" s="1"/>
  <c r="O1083" i="27"/>
  <c r="R1083" i="27" s="1"/>
  <c r="N1083" i="27"/>
  <c r="Q1083" i="27" s="1"/>
  <c r="O103" i="27"/>
  <c r="R103" i="27" s="1"/>
  <c r="N103" i="27"/>
  <c r="Q103" i="27" s="1"/>
  <c r="O1114" i="27"/>
  <c r="R1114" i="27" s="1"/>
  <c r="N1114" i="27"/>
  <c r="Q1114" i="27" s="1"/>
  <c r="O179" i="27"/>
  <c r="R179" i="27" s="1"/>
  <c r="N179" i="27"/>
  <c r="Q179" i="27" s="1"/>
  <c r="O1100" i="27"/>
  <c r="R1100" i="27" s="1"/>
  <c r="N1100" i="27"/>
  <c r="Q1100" i="27" s="1"/>
  <c r="O571" i="27"/>
  <c r="R571" i="27" s="1"/>
  <c r="N571" i="27"/>
  <c r="Q571" i="27" s="1"/>
  <c r="O1134" i="27"/>
  <c r="R1134" i="27" s="1"/>
  <c r="N1134" i="27"/>
  <c r="Q1134" i="27" s="1"/>
  <c r="O1010" i="27"/>
  <c r="R1010" i="27" s="1"/>
  <c r="N1010" i="27"/>
  <c r="Q1010" i="27" s="1"/>
  <c r="O435" i="27"/>
  <c r="R435" i="27" s="1"/>
  <c r="N435" i="27"/>
  <c r="Q435" i="27" s="1"/>
  <c r="O45" i="27"/>
  <c r="R45" i="27" s="1"/>
  <c r="N45" i="27"/>
  <c r="Q45" i="27" s="1"/>
  <c r="O46" i="27"/>
  <c r="R46" i="27" s="1"/>
  <c r="N46" i="27"/>
  <c r="Q46" i="27" s="1"/>
  <c r="O904" i="27"/>
  <c r="R904" i="27" s="1"/>
  <c r="N904" i="27"/>
  <c r="Q904" i="27" s="1"/>
  <c r="O905" i="27"/>
  <c r="R905" i="27" s="1"/>
  <c r="N905" i="27"/>
  <c r="Q905" i="27" s="1"/>
  <c r="O204" i="27"/>
  <c r="R204" i="27" s="1"/>
  <c r="N204" i="27"/>
  <c r="Q204" i="27" s="1"/>
  <c r="O205" i="27"/>
  <c r="R205" i="27" s="1"/>
  <c r="N205" i="27"/>
  <c r="Q205" i="27" s="1"/>
  <c r="O102" i="27"/>
  <c r="R102" i="27" s="1"/>
  <c r="N102" i="27"/>
  <c r="Q102" i="27" s="1"/>
  <c r="O1115" i="27"/>
  <c r="R1115" i="27" s="1"/>
  <c r="N1115" i="27"/>
  <c r="Q1115" i="27" s="1"/>
  <c r="O1116" i="27"/>
  <c r="R1116" i="27" s="1"/>
  <c r="N1116" i="27"/>
  <c r="Q1116" i="27" s="1"/>
  <c r="O377" i="27"/>
  <c r="R377" i="27" s="1"/>
  <c r="N377" i="27"/>
  <c r="Q377" i="27" s="1"/>
  <c r="O378" i="27"/>
  <c r="R378" i="27" s="1"/>
  <c r="N378" i="27"/>
  <c r="Q378" i="27" s="1"/>
  <c r="O609" i="27"/>
  <c r="R609" i="27" s="1"/>
  <c r="N609" i="27"/>
  <c r="Q609" i="27" s="1"/>
  <c r="O610" i="27"/>
  <c r="R610" i="27" s="1"/>
  <c r="N610" i="27"/>
  <c r="Q610" i="27" s="1"/>
  <c r="O417" i="27"/>
  <c r="R417" i="27" s="1"/>
  <c r="N417" i="27"/>
  <c r="Q417" i="27" s="1"/>
  <c r="O652" i="27"/>
  <c r="R652" i="27" s="1"/>
  <c r="N652" i="27"/>
  <c r="Q652" i="27" s="1"/>
  <c r="O418" i="27"/>
  <c r="R418" i="27" s="1"/>
  <c r="N418" i="27"/>
  <c r="Q418" i="27" s="1"/>
  <c r="O653" i="27"/>
  <c r="R653" i="27" s="1"/>
  <c r="N653" i="27"/>
  <c r="Q653" i="27" s="1"/>
  <c r="O489" i="27"/>
  <c r="R489" i="27" s="1"/>
  <c r="N489" i="27"/>
  <c r="Q489" i="27" s="1"/>
  <c r="O504" i="27"/>
  <c r="R504" i="27" s="1"/>
  <c r="N504" i="27"/>
  <c r="Q504" i="27" s="1"/>
  <c r="O923" i="27"/>
  <c r="R923" i="27" s="1"/>
  <c r="N923" i="27"/>
  <c r="Q923" i="27" s="1"/>
  <c r="O488" i="27"/>
  <c r="R488" i="27" s="1"/>
  <c r="N488" i="27"/>
  <c r="Q488" i="27" s="1"/>
  <c r="O11" i="27"/>
  <c r="R11" i="27" s="1"/>
  <c r="N11" i="27"/>
  <c r="Q11" i="27" s="1"/>
  <c r="O1097" i="27"/>
  <c r="R1097" i="27" s="1"/>
  <c r="N1097" i="27"/>
  <c r="Q1097" i="27" s="1"/>
  <c r="O1098" i="27"/>
  <c r="R1098" i="27" s="1"/>
  <c r="N1098" i="27"/>
  <c r="Q1098" i="27" s="1"/>
  <c r="O252" i="27"/>
  <c r="R252" i="27" s="1"/>
  <c r="N252" i="27"/>
  <c r="Q252" i="27" s="1"/>
  <c r="O223" i="27"/>
  <c r="R223" i="27" s="1"/>
  <c r="N223" i="27"/>
  <c r="Q223" i="27" s="1"/>
  <c r="O210" i="27"/>
  <c r="R210" i="27" s="1"/>
  <c r="N210" i="27"/>
  <c r="Q210" i="27" s="1"/>
  <c r="O211" i="27"/>
  <c r="R211" i="27" s="1"/>
  <c r="N211" i="27"/>
  <c r="Q211" i="27" s="1"/>
  <c r="O1096" i="27"/>
  <c r="R1096" i="27" s="1"/>
  <c r="N1096" i="27"/>
  <c r="Q1096" i="27" s="1"/>
  <c r="O9" i="27"/>
  <c r="R9" i="27" s="1"/>
  <c r="N9" i="27"/>
  <c r="Q9" i="27" s="1"/>
  <c r="O10" i="27"/>
  <c r="R10" i="27" s="1"/>
  <c r="N10" i="27"/>
  <c r="Q10" i="27" s="1"/>
  <c r="O1072" i="27"/>
  <c r="R1072" i="27" s="1"/>
  <c r="N1072" i="27"/>
  <c r="Q1072" i="27" s="1"/>
  <c r="O138" i="27"/>
  <c r="R138" i="27" s="1"/>
  <c r="N138" i="27"/>
  <c r="Q138" i="27" s="1"/>
  <c r="O327" i="27"/>
  <c r="R327" i="27" s="1"/>
  <c r="N327" i="27"/>
  <c r="Q327" i="27" s="1"/>
  <c r="O182" i="27"/>
  <c r="R182" i="27" s="1"/>
  <c r="N182" i="27"/>
  <c r="Q182" i="27" s="1"/>
  <c r="O916" i="27"/>
  <c r="R916" i="27" s="1"/>
  <c r="N916" i="27"/>
  <c r="Q916" i="27" s="1"/>
  <c r="O659" i="27"/>
  <c r="R659" i="27" s="1"/>
  <c r="N659" i="27"/>
  <c r="Q659" i="27" s="1"/>
  <c r="O660" i="27"/>
  <c r="R660" i="27" s="1"/>
  <c r="N660" i="27"/>
  <c r="Q660" i="27" s="1"/>
  <c r="O503" i="27"/>
  <c r="R503" i="27" s="1"/>
  <c r="N503" i="27"/>
  <c r="Q503" i="27" s="1"/>
  <c r="O655" i="27"/>
  <c r="R655" i="27" s="1"/>
  <c r="N655" i="27"/>
  <c r="Q655" i="27" s="1"/>
  <c r="O656" i="27"/>
  <c r="R656" i="27" s="1"/>
  <c r="N656" i="27"/>
  <c r="Q656" i="27" s="1"/>
  <c r="O370" i="27"/>
  <c r="R370" i="27" s="1"/>
  <c r="N370" i="27"/>
  <c r="Q370" i="27" s="1"/>
  <c r="O371" i="27"/>
  <c r="R371" i="27" s="1"/>
  <c r="N371" i="27"/>
  <c r="Q371" i="27" s="1"/>
  <c r="O702" i="27"/>
  <c r="R702" i="27" s="1"/>
  <c r="N702" i="27"/>
  <c r="Q702" i="27" s="1"/>
  <c r="O915" i="27"/>
  <c r="R915" i="27" s="1"/>
  <c r="N915" i="27"/>
  <c r="Q915" i="27" s="1"/>
  <c r="O917" i="27"/>
  <c r="R917" i="27" s="1"/>
  <c r="N917" i="27"/>
  <c r="Q917" i="27" s="1"/>
  <c r="O382" i="27"/>
  <c r="R382" i="27" s="1"/>
  <c r="N382" i="27"/>
  <c r="Q382" i="27" s="1"/>
  <c r="O381" i="27"/>
  <c r="R381" i="27" s="1"/>
  <c r="N381" i="27"/>
  <c r="Q381" i="27" s="1"/>
  <c r="O779" i="27"/>
  <c r="R779" i="27" s="1"/>
  <c r="N779" i="27"/>
  <c r="Q779" i="27" s="1"/>
  <c r="O780" i="27"/>
  <c r="R780" i="27" s="1"/>
  <c r="N780" i="27"/>
  <c r="Q780" i="27" s="1"/>
  <c r="O924" i="27"/>
  <c r="R924" i="27" s="1"/>
  <c r="N924" i="27"/>
  <c r="Q924" i="27" s="1"/>
  <c r="O925" i="27"/>
  <c r="R925" i="27" s="1"/>
  <c r="N925" i="27"/>
  <c r="Q925" i="27" s="1"/>
  <c r="O807" i="27"/>
  <c r="R807" i="27" s="1"/>
  <c r="N807" i="27"/>
  <c r="Q807" i="27" s="1"/>
  <c r="O808" i="27"/>
  <c r="R808" i="27" s="1"/>
  <c r="N808" i="27"/>
  <c r="Q808" i="27" s="1"/>
  <c r="O38" i="27"/>
  <c r="R38" i="27" s="1"/>
  <c r="N38" i="27"/>
  <c r="Q38" i="27" s="1"/>
  <c r="O40" i="27"/>
  <c r="R40" i="27" s="1"/>
  <c r="N40" i="27"/>
  <c r="Q40" i="27" s="1"/>
  <c r="O479" i="27"/>
  <c r="R479" i="27" s="1"/>
  <c r="N479" i="27"/>
  <c r="Q479" i="27" s="1"/>
  <c r="O37" i="27"/>
  <c r="R37" i="27" s="1"/>
  <c r="N37" i="27"/>
  <c r="Q37" i="27" s="1"/>
  <c r="O39" i="27"/>
  <c r="R39" i="27" s="1"/>
  <c r="N39" i="27"/>
  <c r="Q39" i="27" s="1"/>
  <c r="O350" i="27"/>
  <c r="R350" i="27" s="1"/>
  <c r="N350" i="27"/>
  <c r="Q350" i="27" s="1"/>
  <c r="O351" i="27"/>
  <c r="R351" i="27" s="1"/>
  <c r="N351" i="27"/>
  <c r="Q351" i="27" s="1"/>
  <c r="O221" i="27"/>
  <c r="R221" i="27" s="1"/>
  <c r="N221" i="27"/>
  <c r="Q221" i="27" s="1"/>
  <c r="O222" i="27"/>
  <c r="R222" i="27" s="1"/>
  <c r="N222" i="27"/>
  <c r="Q222" i="27" s="1"/>
  <c r="O245" i="27"/>
  <c r="R245" i="27" s="1"/>
  <c r="N245" i="27"/>
  <c r="Q245" i="27" s="1"/>
  <c r="O246" i="27"/>
  <c r="R246" i="27" s="1"/>
  <c r="N246" i="27"/>
  <c r="Q246" i="27" s="1"/>
  <c r="O251" i="27"/>
  <c r="R251" i="27" s="1"/>
  <c r="N251" i="27"/>
  <c r="Q251" i="27" s="1"/>
  <c r="O894" i="27"/>
  <c r="R894" i="27" s="1"/>
  <c r="N894" i="27"/>
  <c r="Q894" i="27" s="1"/>
  <c r="O895" i="27"/>
  <c r="R895" i="27" s="1"/>
  <c r="N895" i="27"/>
  <c r="Q895" i="27" s="1"/>
  <c r="O410" i="27"/>
  <c r="R410" i="27" s="1"/>
  <c r="N410" i="27"/>
  <c r="Q410" i="27" s="1"/>
  <c r="O597" i="27"/>
  <c r="R597" i="27" s="1"/>
  <c r="N597" i="27"/>
  <c r="Q597" i="27" s="1"/>
  <c r="O414" i="27"/>
  <c r="R414" i="27" s="1"/>
  <c r="N414" i="27"/>
  <c r="Q414" i="27" s="1"/>
  <c r="O752" i="27"/>
  <c r="R752" i="27" s="1"/>
  <c r="N752" i="27"/>
  <c r="Q752" i="27" s="1"/>
  <c r="O847" i="27"/>
  <c r="R847" i="27" s="1"/>
  <c r="N847" i="27"/>
  <c r="Q847" i="27" s="1"/>
  <c r="O848" i="27"/>
  <c r="R848" i="27" s="1"/>
  <c r="N848" i="27"/>
  <c r="Q848" i="27" s="1"/>
  <c r="O1087" i="27"/>
  <c r="R1087" i="27" s="1"/>
  <c r="N1087" i="27"/>
  <c r="Q1087" i="27" s="1"/>
  <c r="O662" i="27"/>
  <c r="R662" i="27" s="1"/>
  <c r="N662" i="27"/>
  <c r="Q662" i="27" s="1"/>
  <c r="O661" i="27"/>
  <c r="R661" i="27" s="1"/>
  <c r="N661" i="27"/>
  <c r="Q661" i="27" s="1"/>
  <c r="O663" i="27"/>
  <c r="R663" i="27" s="1"/>
  <c r="N663" i="27"/>
  <c r="Q663" i="27" s="1"/>
  <c r="O853" i="27"/>
  <c r="R853" i="27" s="1"/>
  <c r="N853" i="27"/>
  <c r="Q853" i="27" s="1"/>
  <c r="O334" i="27"/>
  <c r="R334" i="27" s="1"/>
  <c r="N334" i="27"/>
  <c r="Q334" i="27" s="1"/>
  <c r="O651" i="27"/>
  <c r="R651" i="27" s="1"/>
  <c r="N651" i="27"/>
  <c r="Q651" i="27" s="1"/>
  <c r="O1132" i="27"/>
  <c r="R1132" i="27" s="1"/>
  <c r="N1132" i="27"/>
  <c r="Q1132" i="27" s="1"/>
  <c r="O549" i="27"/>
  <c r="R549" i="27" s="1"/>
  <c r="N549" i="27"/>
  <c r="Q549" i="27" s="1"/>
  <c r="O220" i="27"/>
  <c r="R220" i="27" s="1"/>
  <c r="N220" i="27"/>
  <c r="Q220" i="27" s="1"/>
  <c r="O644" i="27"/>
  <c r="R644" i="27" s="1"/>
  <c r="N644" i="27"/>
  <c r="Q644" i="27" s="1"/>
  <c r="O420" i="27"/>
  <c r="R420" i="27" s="1"/>
  <c r="N420" i="27"/>
  <c r="Q420" i="27" s="1"/>
  <c r="O1001" i="27"/>
  <c r="R1001" i="27" s="1"/>
  <c r="N1001" i="27"/>
  <c r="Q1001" i="27" s="1"/>
  <c r="O936" i="27"/>
  <c r="R936" i="27" s="1"/>
  <c r="N936" i="27"/>
  <c r="Q936" i="27" s="1"/>
  <c r="O299" i="27"/>
  <c r="R299" i="27" s="1"/>
  <c r="N299" i="27"/>
  <c r="Q299" i="27" s="1"/>
  <c r="O559" i="27"/>
  <c r="R559" i="27" s="1"/>
  <c r="N559" i="27"/>
  <c r="Q559" i="27" s="1"/>
  <c r="O1118" i="27"/>
  <c r="R1118" i="27" s="1"/>
  <c r="N1118" i="27"/>
  <c r="Q1118" i="27" s="1"/>
  <c r="O680" i="27"/>
  <c r="R680" i="27" s="1"/>
  <c r="N680" i="27"/>
  <c r="Q680" i="27" s="1"/>
  <c r="O682" i="27"/>
  <c r="R682" i="27" s="1"/>
  <c r="N682" i="27"/>
  <c r="Q682" i="27" s="1"/>
  <c r="O393" i="27"/>
  <c r="R393" i="27" s="1"/>
  <c r="N393" i="27"/>
  <c r="Q393" i="27" s="1"/>
  <c r="O424" i="27"/>
  <c r="R424" i="27" s="1"/>
  <c r="N424" i="27"/>
  <c r="Q424" i="27" s="1"/>
  <c r="O426" i="27"/>
  <c r="R426" i="27" s="1"/>
  <c r="N426" i="27"/>
  <c r="Q426" i="27" s="1"/>
  <c r="O197" i="27"/>
  <c r="R197" i="27" s="1"/>
  <c r="N197" i="27"/>
  <c r="Q197" i="27" s="1"/>
  <c r="O486" i="27"/>
  <c r="R486" i="27" s="1"/>
  <c r="N486" i="27"/>
  <c r="Q486" i="27" s="1"/>
  <c r="O442" i="27"/>
  <c r="R442" i="27" s="1"/>
  <c r="N442" i="27"/>
  <c r="Q442" i="27" s="1"/>
  <c r="O448" i="27"/>
  <c r="R448" i="27" s="1"/>
  <c r="N448" i="27"/>
  <c r="Q448" i="27" s="1"/>
  <c r="O187" i="27"/>
  <c r="R187" i="27" s="1"/>
  <c r="N187" i="27"/>
  <c r="Q187" i="27" s="1"/>
  <c r="O1065" i="27"/>
  <c r="R1065" i="27" s="1"/>
  <c r="N1065" i="27"/>
  <c r="Q1065" i="27" s="1"/>
  <c r="O511" i="27"/>
  <c r="R511" i="27" s="1"/>
  <c r="N511" i="27"/>
  <c r="Q511" i="27" s="1"/>
  <c r="O512" i="27"/>
  <c r="R512" i="27" s="1"/>
  <c r="N512" i="27"/>
  <c r="Q512" i="27" s="1"/>
  <c r="O186" i="27"/>
  <c r="R186" i="27" s="1"/>
  <c r="N186" i="27"/>
  <c r="Q186" i="27" s="1"/>
  <c r="O1089" i="27"/>
  <c r="R1089" i="27" s="1"/>
  <c r="N1089" i="27"/>
  <c r="Q1089" i="27" s="1"/>
  <c r="O272" i="27"/>
  <c r="R272" i="27" s="1"/>
  <c r="N272" i="27"/>
  <c r="Q272" i="27" s="1"/>
  <c r="O712" i="27"/>
  <c r="R712" i="27" s="1"/>
  <c r="N712" i="27"/>
  <c r="Q712" i="27" s="1"/>
  <c r="O711" i="27"/>
  <c r="R711" i="27" s="1"/>
  <c r="N711" i="27"/>
  <c r="Q711" i="27" s="1"/>
  <c r="O317" i="27"/>
  <c r="R317" i="27" s="1"/>
  <c r="N317" i="27"/>
  <c r="Q317" i="27" s="1"/>
  <c r="O713" i="27"/>
  <c r="R713" i="27" s="1"/>
  <c r="N713" i="27"/>
  <c r="Q713" i="27" s="1"/>
  <c r="O271" i="27"/>
  <c r="R271" i="27" s="1"/>
  <c r="N271" i="27"/>
  <c r="Q271" i="27" s="1"/>
  <c r="O273" i="27"/>
  <c r="R273" i="27" s="1"/>
  <c r="N273" i="27"/>
  <c r="Q273" i="27" s="1"/>
  <c r="O452" i="27"/>
  <c r="R452" i="27" s="1"/>
  <c r="N452" i="27"/>
  <c r="Q452" i="27" s="1"/>
  <c r="O912" i="27"/>
  <c r="R912" i="27" s="1"/>
  <c r="N912" i="27"/>
  <c r="Q912" i="27" s="1"/>
  <c r="O63" i="27"/>
  <c r="R63" i="27" s="1"/>
  <c r="N63" i="27"/>
  <c r="Q63" i="27" s="1"/>
  <c r="O911" i="27"/>
  <c r="R911" i="27" s="1"/>
  <c r="N911" i="27"/>
  <c r="Q911" i="27" s="1"/>
  <c r="O951" i="27"/>
  <c r="R951" i="27" s="1"/>
  <c r="N951" i="27"/>
  <c r="Q951" i="27" s="1"/>
  <c r="O754" i="27"/>
  <c r="R754" i="27" s="1"/>
  <c r="N754" i="27"/>
  <c r="Q754" i="27" s="1"/>
  <c r="O756" i="27"/>
  <c r="R756" i="27" s="1"/>
  <c r="N756" i="27"/>
  <c r="Q756" i="27" s="1"/>
  <c r="O860" i="27"/>
  <c r="R860" i="27" s="1"/>
  <c r="N860" i="27"/>
  <c r="Q860" i="27" s="1"/>
  <c r="O753" i="27"/>
  <c r="R753" i="27" s="1"/>
  <c r="N753" i="27"/>
  <c r="Q753" i="27" s="1"/>
  <c r="O450" i="27"/>
  <c r="R450" i="27" s="1"/>
  <c r="N450" i="27"/>
  <c r="Q450" i="27" s="1"/>
  <c r="O859" i="27"/>
  <c r="R859" i="27" s="1"/>
  <c r="N859" i="27"/>
  <c r="Q859" i="27" s="1"/>
  <c r="O1022" i="27"/>
  <c r="R1022" i="27" s="1"/>
  <c r="N1022" i="27"/>
  <c r="Q1022" i="27" s="1"/>
  <c r="O817" i="27"/>
  <c r="R817" i="27" s="1"/>
  <c r="N817" i="27"/>
  <c r="Q817" i="27" s="1"/>
  <c r="O264" i="27"/>
  <c r="R264" i="27" s="1"/>
  <c r="N264" i="27"/>
  <c r="Q264" i="27" s="1"/>
  <c r="O887" i="27"/>
  <c r="R887" i="27" s="1"/>
  <c r="N887" i="27"/>
  <c r="Q887" i="27" s="1"/>
  <c r="O679" i="27"/>
  <c r="R679" i="27" s="1"/>
  <c r="N679" i="27"/>
  <c r="Q679" i="27" s="1"/>
  <c r="O681" i="27"/>
  <c r="R681" i="27" s="1"/>
  <c r="N681" i="27"/>
  <c r="Q681" i="27" s="1"/>
  <c r="O932" i="27"/>
  <c r="R932" i="27" s="1"/>
  <c r="N932" i="27"/>
  <c r="Q932" i="27" s="1"/>
  <c r="O934" i="27"/>
  <c r="R934" i="27" s="1"/>
  <c r="N934" i="27"/>
  <c r="Q934" i="27" s="1"/>
  <c r="O1117" i="27"/>
  <c r="R1117" i="27" s="1"/>
  <c r="N1117" i="27"/>
  <c r="Q1117" i="27" s="1"/>
  <c r="O931" i="27"/>
  <c r="R931" i="27" s="1"/>
  <c r="N931" i="27"/>
  <c r="Q931" i="27" s="1"/>
  <c r="O933" i="27"/>
  <c r="R933" i="27" s="1"/>
  <c r="N933" i="27"/>
  <c r="Q933" i="27" s="1"/>
  <c r="O590" i="27"/>
  <c r="R590" i="27" s="1"/>
  <c r="N590" i="27"/>
  <c r="Q590" i="27" s="1"/>
  <c r="O477" i="27"/>
  <c r="R477" i="27" s="1"/>
  <c r="N477" i="27"/>
  <c r="Q477" i="27" s="1"/>
  <c r="O48" i="27"/>
  <c r="R48" i="27" s="1"/>
  <c r="N48" i="27"/>
  <c r="Q48" i="27" s="1"/>
  <c r="O50" i="27"/>
  <c r="R50" i="27" s="1"/>
  <c r="N50" i="27"/>
  <c r="Q50" i="27" s="1"/>
  <c r="O23" i="27"/>
  <c r="R23" i="27" s="1"/>
  <c r="N23" i="27"/>
  <c r="Q23" i="27" s="1"/>
  <c r="O25" i="27"/>
  <c r="R25" i="27" s="1"/>
  <c r="N25" i="27"/>
  <c r="Q25" i="27" s="1"/>
  <c r="O927" i="27"/>
  <c r="R927" i="27" s="1"/>
  <c r="N927" i="27"/>
  <c r="Q927" i="27" s="1"/>
  <c r="O1024" i="27"/>
  <c r="R1024" i="27" s="1"/>
  <c r="N1024" i="27"/>
  <c r="Q1024" i="27" s="1"/>
  <c r="O592" i="27"/>
  <c r="R592" i="27" s="1"/>
  <c r="N592" i="27"/>
  <c r="Q592" i="27" s="1"/>
  <c r="O451" i="27"/>
  <c r="R451" i="27" s="1"/>
  <c r="N451" i="27"/>
  <c r="Q451" i="27" s="1"/>
  <c r="O553" i="27"/>
  <c r="R553" i="27" s="1"/>
  <c r="N553" i="27"/>
  <c r="Q553" i="27" s="1"/>
  <c r="O784" i="27"/>
  <c r="R784" i="27" s="1"/>
  <c r="N784" i="27"/>
  <c r="Q784" i="27" s="1"/>
  <c r="O361" i="27"/>
  <c r="R361" i="27" s="1"/>
  <c r="N361" i="27"/>
  <c r="Q361" i="27" s="1"/>
  <c r="O362" i="27"/>
  <c r="R362" i="27" s="1"/>
  <c r="N362" i="27"/>
  <c r="Q362" i="27" s="1"/>
  <c r="O359" i="27"/>
  <c r="R359" i="27" s="1"/>
  <c r="N359" i="27"/>
  <c r="Q359" i="27" s="1"/>
  <c r="O152" i="27"/>
  <c r="R152" i="27" s="1"/>
  <c r="N152" i="27"/>
  <c r="Q152" i="27" s="1"/>
  <c r="O153" i="27"/>
  <c r="R153" i="27" s="1"/>
  <c r="N153" i="27"/>
  <c r="Q153" i="27" s="1"/>
  <c r="O926" i="27"/>
  <c r="R926" i="27" s="1"/>
  <c r="N926" i="27"/>
  <c r="Q926" i="27" s="1"/>
  <c r="O1023" i="27"/>
  <c r="R1023" i="27" s="1"/>
  <c r="N1023" i="27"/>
  <c r="Q1023" i="27" s="1"/>
  <c r="O591" i="27"/>
  <c r="R591" i="27" s="1"/>
  <c r="N591" i="27"/>
  <c r="Q591" i="27" s="1"/>
  <c r="O816" i="27"/>
  <c r="R816" i="27" s="1"/>
  <c r="N816" i="27"/>
  <c r="Q816" i="27" s="1"/>
  <c r="O856" i="27"/>
  <c r="R856" i="27" s="1"/>
  <c r="N856" i="27"/>
  <c r="Q856" i="27" s="1"/>
  <c r="O392" i="27"/>
  <c r="R392" i="27" s="1"/>
  <c r="N392" i="27"/>
  <c r="Q392" i="27" s="1"/>
  <c r="O238" i="27"/>
  <c r="R238" i="27" s="1"/>
  <c r="N238" i="27"/>
  <c r="Q238" i="27" s="1"/>
  <c r="O239" i="27"/>
  <c r="R239" i="27" s="1"/>
  <c r="N239" i="27"/>
  <c r="Q239" i="27" s="1"/>
  <c r="O267" i="27"/>
  <c r="R267" i="27" s="1"/>
  <c r="N267" i="27"/>
  <c r="Q267" i="27" s="1"/>
  <c r="O425" i="27"/>
  <c r="R425" i="27" s="1"/>
  <c r="N425" i="27"/>
  <c r="Q425" i="27" s="1"/>
  <c r="O1106" i="27"/>
  <c r="R1106" i="27" s="1"/>
  <c r="N1106" i="27"/>
  <c r="Q1106" i="27" s="1"/>
  <c r="O696" i="27"/>
  <c r="R696" i="27" s="1"/>
  <c r="N696" i="27"/>
  <c r="Q696" i="27" s="1"/>
  <c r="O1060" i="27"/>
  <c r="R1060" i="27" s="1"/>
  <c r="N1060" i="27"/>
  <c r="Q1060" i="27" s="1"/>
  <c r="O1043" i="27"/>
  <c r="R1043" i="27" s="1"/>
  <c r="N1043" i="27"/>
  <c r="Q1043" i="27" s="1"/>
  <c r="O496" i="27"/>
  <c r="R496" i="27" s="1"/>
  <c r="N496" i="27"/>
  <c r="Q496" i="27" s="1"/>
  <c r="O497" i="27"/>
  <c r="R497" i="27" s="1"/>
  <c r="N497" i="27"/>
  <c r="Q497" i="27" s="1"/>
  <c r="O704" i="27"/>
  <c r="R704" i="27" s="1"/>
  <c r="N704" i="27"/>
  <c r="Q704" i="27" s="1"/>
  <c r="O957" i="27"/>
  <c r="R957" i="27" s="1"/>
  <c r="N957" i="27"/>
  <c r="Q957" i="27" s="1"/>
  <c r="O958" i="27"/>
  <c r="R958" i="27" s="1"/>
  <c r="N958" i="27"/>
  <c r="Q958" i="27" s="1"/>
  <c r="O557" i="27"/>
  <c r="R557" i="27" s="1"/>
  <c r="N557" i="27"/>
  <c r="Q557" i="27" s="1"/>
  <c r="O558" i="27"/>
  <c r="R558" i="27" s="1"/>
  <c r="N558" i="27"/>
  <c r="Q558" i="27" s="1"/>
  <c r="O703" i="27"/>
  <c r="R703" i="27" s="1"/>
  <c r="N703" i="27"/>
  <c r="Q703" i="27" s="1"/>
  <c r="O708" i="27"/>
  <c r="R708" i="27" s="1"/>
  <c r="N708" i="27"/>
  <c r="Q708" i="27" s="1"/>
  <c r="O296" i="27"/>
  <c r="R296" i="27" s="1"/>
  <c r="N296" i="27"/>
  <c r="Q296" i="27" s="1"/>
  <c r="O1006" i="27"/>
  <c r="R1006" i="27" s="1"/>
  <c r="N1006" i="27"/>
  <c r="Q1006" i="27" s="1"/>
  <c r="O1008" i="27"/>
  <c r="R1008" i="27" s="1"/>
  <c r="N1008" i="27"/>
  <c r="Q1008" i="27" s="1"/>
  <c r="O32" i="27"/>
  <c r="R32" i="27" s="1"/>
  <c r="N32" i="27"/>
  <c r="Q32" i="27" s="1"/>
  <c r="O165" i="27"/>
  <c r="R165" i="27" s="1"/>
  <c r="N165" i="27"/>
  <c r="Q165" i="27" s="1"/>
  <c r="O573" i="27"/>
  <c r="R573" i="27" s="1"/>
  <c r="N573" i="27"/>
  <c r="Q573" i="27" s="1"/>
  <c r="O580" i="27"/>
  <c r="R580" i="27" s="1"/>
  <c r="N580" i="27"/>
  <c r="Q580" i="27" s="1"/>
  <c r="O1126" i="27"/>
  <c r="R1126" i="27" s="1"/>
  <c r="N1126" i="27"/>
  <c r="Q1126" i="27" s="1"/>
  <c r="O1127" i="27"/>
  <c r="R1127" i="27" s="1"/>
  <c r="N1127" i="27"/>
  <c r="Q1127" i="27" s="1"/>
  <c r="O294" i="27"/>
  <c r="R294" i="27" s="1"/>
  <c r="N294" i="27"/>
  <c r="Q294" i="27" s="1"/>
  <c r="O295" i="27"/>
  <c r="R295" i="27" s="1"/>
  <c r="N295" i="27"/>
  <c r="Q295" i="27" s="1"/>
  <c r="O1005" i="27"/>
  <c r="R1005" i="27" s="1"/>
  <c r="N1005" i="27"/>
  <c r="Q1005" i="27" s="1"/>
  <c r="O1007" i="27"/>
  <c r="R1007" i="27" s="1"/>
  <c r="N1007" i="27"/>
  <c r="Q1007" i="27" s="1"/>
  <c r="O1028" i="27"/>
  <c r="R1028" i="27" s="1"/>
  <c r="N1028" i="27"/>
  <c r="Q1028" i="27" s="1"/>
  <c r="O1025" i="27"/>
  <c r="R1025" i="27" s="1"/>
  <c r="N1025" i="27"/>
  <c r="Q1025" i="27" s="1"/>
  <c r="O1026" i="27"/>
  <c r="R1026" i="27" s="1"/>
  <c r="N1026" i="27"/>
  <c r="Q1026" i="27" s="1"/>
  <c r="O258" i="27"/>
  <c r="R258" i="27" s="1"/>
  <c r="N258" i="27"/>
  <c r="Q258" i="27" s="1"/>
  <c r="O1027" i="27"/>
  <c r="R1027" i="27" s="1"/>
  <c r="N1027" i="27"/>
  <c r="Q1027" i="27" s="1"/>
  <c r="O546" i="27"/>
  <c r="R546" i="27" s="1"/>
  <c r="N546" i="27"/>
  <c r="Q546" i="27" s="1"/>
  <c r="O742" i="27"/>
  <c r="R742" i="27" s="1"/>
  <c r="N742" i="27"/>
  <c r="Q742" i="27" s="1"/>
  <c r="O877" i="27"/>
  <c r="R877" i="27" s="1"/>
  <c r="N877" i="27"/>
  <c r="Q877" i="27" s="1"/>
  <c r="O879" i="27"/>
  <c r="R879" i="27" s="1"/>
  <c r="N879" i="27"/>
  <c r="Q879" i="27" s="1"/>
  <c r="O283" i="27"/>
  <c r="R283" i="27" s="1"/>
  <c r="N283" i="27"/>
  <c r="Q283" i="27" s="1"/>
  <c r="O282" i="27"/>
  <c r="R282" i="27" s="1"/>
  <c r="N282" i="27"/>
  <c r="Q282" i="27" s="1"/>
  <c r="O281" i="27"/>
  <c r="R281" i="27" s="1"/>
  <c r="N281" i="27"/>
  <c r="Q281" i="27" s="1"/>
  <c r="O280" i="27"/>
  <c r="R280" i="27" s="1"/>
  <c r="N280" i="27"/>
  <c r="Q280" i="27" s="1"/>
  <c r="O8" i="27"/>
  <c r="R8" i="27" s="1"/>
  <c r="N8" i="27"/>
  <c r="Q8" i="27" s="1"/>
  <c r="O909" i="27"/>
  <c r="R909" i="27" s="1"/>
  <c r="N909" i="27"/>
  <c r="Q909" i="27" s="1"/>
  <c r="O991" i="27"/>
  <c r="R991" i="27" s="1"/>
  <c r="N991" i="27"/>
  <c r="Q991" i="27" s="1"/>
  <c r="O7" i="27"/>
  <c r="R7" i="27" s="1"/>
  <c r="N7" i="27"/>
  <c r="Q7" i="27" s="1"/>
  <c r="O908" i="27"/>
  <c r="R908" i="27" s="1"/>
  <c r="N908" i="27"/>
  <c r="Q908" i="27" s="1"/>
  <c r="O988" i="27"/>
  <c r="R988" i="27" s="1"/>
  <c r="N988" i="27"/>
  <c r="Q988" i="27" s="1"/>
  <c r="O990" i="27"/>
  <c r="R990" i="27" s="1"/>
  <c r="N990" i="27"/>
  <c r="Q990" i="27" s="1"/>
  <c r="O520" i="27"/>
  <c r="R520" i="27" s="1"/>
  <c r="N520" i="27"/>
  <c r="Q520" i="27" s="1"/>
  <c r="O519" i="27"/>
  <c r="R519" i="27" s="1"/>
  <c r="N519" i="27"/>
  <c r="Q519" i="27" s="1"/>
  <c r="O815" i="27"/>
  <c r="R815" i="27" s="1"/>
  <c r="N815" i="27"/>
  <c r="Q815" i="27" s="1"/>
  <c r="O862" i="27"/>
  <c r="R862" i="27" s="1"/>
  <c r="N862" i="27"/>
  <c r="Q862" i="27" s="1"/>
  <c r="O864" i="27"/>
  <c r="R864" i="27" s="1"/>
  <c r="N864" i="27"/>
  <c r="Q864" i="27" s="1"/>
  <c r="O814" i="27"/>
  <c r="R814" i="27" s="1"/>
  <c r="N814" i="27"/>
  <c r="Q814" i="27" s="1"/>
  <c r="O861" i="27"/>
  <c r="R861" i="27" s="1"/>
  <c r="N861" i="27"/>
  <c r="Q861" i="27" s="1"/>
  <c r="O863" i="27"/>
  <c r="R863" i="27" s="1"/>
  <c r="N863" i="27"/>
  <c r="Q863" i="27" s="1"/>
  <c r="O567" i="27"/>
  <c r="R567" i="27" s="1"/>
  <c r="N567" i="27"/>
  <c r="Q567" i="27" s="1"/>
  <c r="O820" i="27"/>
  <c r="R820" i="27" s="1"/>
  <c r="N820" i="27"/>
  <c r="Q820" i="27" s="1"/>
  <c r="O122" i="27"/>
  <c r="R122" i="27" s="1"/>
  <c r="N122" i="27"/>
  <c r="Q122" i="27" s="1"/>
  <c r="O579" i="27"/>
  <c r="R579" i="27" s="1"/>
  <c r="N579" i="27"/>
  <c r="Q579" i="27" s="1"/>
  <c r="O107" i="27"/>
  <c r="R107" i="27" s="1"/>
  <c r="N107" i="27"/>
  <c r="Q107" i="27" s="1"/>
  <c r="O121" i="27"/>
  <c r="R121" i="27" s="1"/>
  <c r="N121" i="27"/>
  <c r="Q121" i="27" s="1"/>
  <c r="O108" i="27"/>
  <c r="R108" i="27" s="1"/>
  <c r="N108" i="27"/>
  <c r="Q108" i="27" s="1"/>
  <c r="O578" i="27"/>
  <c r="R578" i="27" s="1"/>
  <c r="N578" i="27"/>
  <c r="Q578" i="27" s="1"/>
  <c r="O518" i="27"/>
  <c r="R518" i="27" s="1"/>
  <c r="N518" i="27"/>
  <c r="Q518" i="27" s="1"/>
  <c r="O523" i="27"/>
  <c r="R523" i="27" s="1"/>
  <c r="N523" i="27"/>
  <c r="Q523" i="27" s="1"/>
  <c r="O120" i="27"/>
  <c r="R120" i="27" s="1"/>
  <c r="N120" i="27"/>
  <c r="Q120" i="27" s="1"/>
  <c r="O707" i="27"/>
  <c r="R707" i="27" s="1"/>
  <c r="N707" i="27"/>
  <c r="Q707" i="27" s="1"/>
  <c r="O119" i="27"/>
  <c r="R119" i="27" s="1"/>
  <c r="N119" i="27"/>
  <c r="Q119" i="27" s="1"/>
  <c r="O1136" i="27"/>
  <c r="R1136" i="27" s="1"/>
  <c r="N1136" i="27"/>
  <c r="Q1136" i="27" s="1"/>
  <c r="O62" i="27"/>
  <c r="R62" i="27" s="1"/>
  <c r="N62" i="27"/>
  <c r="Q62" i="27" s="1"/>
  <c r="O1076" i="27"/>
  <c r="R1076" i="27" s="1"/>
  <c r="N1076" i="27"/>
  <c r="Q1076" i="27" s="1"/>
  <c r="O476" i="27"/>
  <c r="R476" i="27" s="1"/>
  <c r="N476" i="27"/>
  <c r="Q476" i="27" s="1"/>
  <c r="O303" i="27"/>
  <c r="R303" i="27" s="1"/>
  <c r="N303" i="27"/>
  <c r="Q303" i="27" s="1"/>
  <c r="O47" i="27"/>
  <c r="R47" i="27" s="1"/>
  <c r="N47" i="27"/>
  <c r="Q47" i="27" s="1"/>
  <c r="O49" i="27"/>
  <c r="R49" i="27" s="1"/>
  <c r="N49" i="27"/>
  <c r="Q49" i="27" s="1"/>
  <c r="O24" i="27"/>
  <c r="R24" i="27" s="1"/>
  <c r="N24" i="27"/>
  <c r="Q24" i="27" s="1"/>
  <c r="O977" i="27"/>
  <c r="R977" i="27" s="1"/>
  <c r="N977" i="27"/>
  <c r="Q977" i="27" s="1"/>
  <c r="O978" i="27"/>
  <c r="R978" i="27" s="1"/>
  <c r="N978" i="27"/>
  <c r="Q978" i="27" s="1"/>
  <c r="O380" i="27"/>
  <c r="R380" i="27" s="1"/>
  <c r="N380" i="27"/>
  <c r="Q380" i="27" s="1"/>
  <c r="O845" i="27"/>
  <c r="R845" i="27" s="1"/>
  <c r="N845" i="27"/>
  <c r="Q845" i="27" s="1"/>
  <c r="O19" i="27"/>
  <c r="R19" i="27" s="1"/>
  <c r="N19" i="27"/>
  <c r="Q19" i="27" s="1"/>
  <c r="O20" i="27"/>
  <c r="R20" i="27" s="1"/>
  <c r="N20" i="27"/>
  <c r="Q20" i="27" s="1"/>
  <c r="O180" i="27"/>
  <c r="R180" i="27" s="1"/>
  <c r="N180" i="27"/>
  <c r="Q180" i="27" s="1"/>
  <c r="O181" i="27"/>
  <c r="R181" i="27" s="1"/>
  <c r="N181" i="27"/>
  <c r="Q181" i="27" s="1"/>
  <c r="O922" i="27"/>
  <c r="R922" i="27" s="1"/>
  <c r="N922" i="27"/>
  <c r="Q922" i="27" s="1"/>
  <c r="O921" i="27"/>
  <c r="R921" i="27" s="1"/>
  <c r="N921" i="27"/>
  <c r="Q921" i="27" s="1"/>
  <c r="O118" i="27"/>
  <c r="R118" i="27" s="1"/>
  <c r="N118" i="27"/>
  <c r="Q118" i="27" s="1"/>
  <c r="O438" i="27"/>
  <c r="R438" i="27" s="1"/>
  <c r="N438" i="27"/>
  <c r="Q438" i="27" s="1"/>
  <c r="O128" i="27"/>
  <c r="R128" i="27" s="1"/>
  <c r="N128" i="27"/>
  <c r="Q128" i="27" s="1"/>
  <c r="O1013" i="27"/>
  <c r="R1013" i="27" s="1"/>
  <c r="N1013" i="27"/>
  <c r="Q1013" i="27" s="1"/>
  <c r="O1014" i="27"/>
  <c r="R1014" i="27" s="1"/>
  <c r="N1014" i="27"/>
  <c r="Q1014" i="27" s="1"/>
  <c r="O127" i="27"/>
  <c r="R127" i="27" s="1"/>
  <c r="N127" i="27"/>
  <c r="Q127" i="27" s="1"/>
  <c r="O1077" i="27"/>
  <c r="R1077" i="27" s="1"/>
  <c r="N1077" i="27"/>
  <c r="Q1077" i="27" s="1"/>
  <c r="O1078" i="27"/>
  <c r="R1078" i="27" s="1"/>
  <c r="N1078" i="27"/>
  <c r="Q1078" i="27" s="1"/>
  <c r="O250" i="27"/>
  <c r="R250" i="27" s="1"/>
  <c r="N250" i="27"/>
  <c r="Q250" i="27" s="1"/>
  <c r="O202" i="27"/>
  <c r="R202" i="27" s="1"/>
  <c r="N202" i="27"/>
  <c r="Q202" i="27" s="1"/>
  <c r="O203" i="27"/>
  <c r="R203" i="27" s="1"/>
  <c r="N203" i="27"/>
  <c r="Q203" i="27" s="1"/>
  <c r="O730" i="27"/>
  <c r="R730" i="27" s="1"/>
  <c r="N730" i="27"/>
  <c r="Q730" i="27" s="1"/>
  <c r="O731" i="27"/>
  <c r="R731" i="27" s="1"/>
  <c r="N731" i="27"/>
  <c r="Q731" i="27" s="1"/>
  <c r="O437" i="27"/>
  <c r="R437" i="27" s="1"/>
  <c r="N437" i="27"/>
  <c r="Q437" i="27" s="1"/>
  <c r="O231" i="27"/>
  <c r="R231" i="27" s="1"/>
  <c r="N231" i="27"/>
  <c r="Q231" i="27" s="1"/>
  <c r="O243" i="27"/>
  <c r="R243" i="27" s="1"/>
  <c r="N243" i="27"/>
  <c r="Q243" i="27" s="1"/>
  <c r="O319" i="27"/>
  <c r="R319" i="27" s="1"/>
  <c r="N319" i="27"/>
  <c r="Q319" i="27" s="1"/>
  <c r="O640" i="27"/>
  <c r="R640" i="27" s="1"/>
  <c r="N640" i="27"/>
  <c r="Q640" i="27" s="1"/>
  <c r="O706" i="27"/>
  <c r="R706" i="27" s="1"/>
  <c r="N706" i="27"/>
  <c r="Q706" i="27" s="1"/>
  <c r="O412" i="27"/>
  <c r="R412" i="27" s="1"/>
  <c r="N412" i="27"/>
  <c r="Q412" i="27" s="1"/>
  <c r="O700" i="27"/>
  <c r="R700" i="27" s="1"/>
  <c r="N700" i="27"/>
  <c r="Q700" i="27" s="1"/>
  <c r="O117" i="27"/>
  <c r="R117" i="27" s="1"/>
  <c r="N117" i="27"/>
  <c r="Q117" i="27" s="1"/>
  <c r="O709" i="27"/>
  <c r="R709" i="27" s="1"/>
  <c r="N709" i="27"/>
  <c r="Q709" i="27" s="1"/>
  <c r="O548" i="27"/>
  <c r="R548" i="27" s="1"/>
  <c r="N548" i="27"/>
  <c r="Q548" i="27" s="1"/>
  <c r="O830" i="27"/>
  <c r="R830" i="27" s="1"/>
  <c r="N830" i="27"/>
  <c r="Q830" i="27" s="1"/>
  <c r="O177" i="27"/>
  <c r="R177" i="27" s="1"/>
  <c r="N177" i="27"/>
  <c r="Q177" i="27" s="1"/>
  <c r="O616" i="27"/>
  <c r="R616" i="27" s="1"/>
  <c r="N616" i="27"/>
  <c r="Q616" i="27" s="1"/>
  <c r="O618" i="27"/>
  <c r="R618" i="27" s="1"/>
  <c r="N618" i="27"/>
  <c r="Q618" i="27" s="1"/>
  <c r="O875" i="27"/>
  <c r="R875" i="27" s="1"/>
  <c r="N875" i="27"/>
  <c r="Q875" i="27" s="1"/>
  <c r="O900" i="27"/>
  <c r="R900" i="27" s="1"/>
  <c r="N900" i="27"/>
  <c r="Q900" i="27" s="1"/>
  <c r="O176" i="27"/>
  <c r="R176" i="27" s="1"/>
  <c r="N176" i="27"/>
  <c r="Q176" i="27" s="1"/>
  <c r="O615" i="27"/>
  <c r="R615" i="27" s="1"/>
  <c r="N615" i="27"/>
  <c r="Q615" i="27" s="1"/>
  <c r="O617" i="27"/>
  <c r="R617" i="27" s="1"/>
  <c r="N617" i="27"/>
  <c r="Q617" i="27" s="1"/>
  <c r="O116" i="27"/>
  <c r="R116" i="27" s="1"/>
  <c r="N116" i="27"/>
  <c r="Q116" i="27" s="1"/>
  <c r="O876" i="27"/>
  <c r="R876" i="27" s="1"/>
  <c r="N876" i="27"/>
  <c r="Q876" i="27" s="1"/>
  <c r="O878" i="27"/>
  <c r="R878" i="27" s="1"/>
  <c r="N878" i="27"/>
  <c r="Q878" i="27" s="1"/>
  <c r="O441" i="27"/>
  <c r="R441" i="27" s="1"/>
  <c r="N441" i="27"/>
  <c r="Q441" i="27" s="1"/>
  <c r="O60" i="27"/>
  <c r="R60" i="27" s="1"/>
  <c r="N60" i="27"/>
  <c r="Q60" i="27" s="1"/>
  <c r="O965" i="27"/>
  <c r="R965" i="27" s="1"/>
  <c r="N965" i="27"/>
  <c r="Q965" i="27" s="1"/>
  <c r="O61" i="27"/>
  <c r="R61" i="27" s="1"/>
  <c r="N61" i="27"/>
  <c r="Q61" i="27" s="1"/>
  <c r="O510" i="27"/>
  <c r="R510" i="27" s="1"/>
  <c r="N510" i="27"/>
  <c r="Q510" i="27" s="1"/>
  <c r="O1066" i="27"/>
  <c r="R1066" i="27" s="1"/>
  <c r="N1066" i="27"/>
  <c r="Q1066" i="27" s="1"/>
  <c r="O57" i="27"/>
  <c r="R57" i="27" s="1"/>
  <c r="N57" i="27"/>
  <c r="Q57" i="27" s="1"/>
  <c r="O1107" i="27"/>
  <c r="R1107" i="27" s="1"/>
  <c r="N1107" i="27"/>
  <c r="Q1107" i="27" s="1"/>
  <c r="O1108" i="27"/>
  <c r="R1108" i="27" s="1"/>
  <c r="N1108" i="27"/>
  <c r="Q1108" i="27" s="1"/>
  <c r="O396" i="27"/>
  <c r="R396" i="27" s="1"/>
  <c r="N396" i="27"/>
  <c r="Q396" i="27" s="1"/>
  <c r="O397" i="27"/>
  <c r="R397" i="27" s="1"/>
  <c r="N397" i="27"/>
  <c r="Q397" i="27" s="1"/>
  <c r="O829" i="27"/>
  <c r="R829" i="27" s="1"/>
  <c r="N829" i="27"/>
  <c r="Q829" i="27" s="1"/>
  <c r="O625" i="27"/>
  <c r="R625" i="27" s="1"/>
  <c r="N625" i="27"/>
  <c r="Q625" i="27" s="1"/>
  <c r="O54" i="27"/>
  <c r="R54" i="27" s="1"/>
  <c r="N54" i="27"/>
  <c r="Q54" i="27" s="1"/>
  <c r="O56" i="27"/>
  <c r="R56" i="27" s="1"/>
  <c r="N56" i="27"/>
  <c r="Q56" i="27" s="1"/>
  <c r="O828" i="27"/>
  <c r="R828" i="27" s="1"/>
  <c r="N828" i="27"/>
  <c r="Q828" i="27" s="1"/>
  <c r="O624" i="27"/>
  <c r="R624" i="27" s="1"/>
  <c r="N624" i="27"/>
  <c r="Q624" i="27" s="1"/>
  <c r="O53" i="27"/>
  <c r="R53" i="27" s="1"/>
  <c r="N53" i="27"/>
  <c r="Q53" i="27" s="1"/>
  <c r="O55" i="27"/>
  <c r="R55" i="27" s="1"/>
  <c r="N55" i="27"/>
  <c r="Q55" i="27" s="1"/>
  <c r="O480" i="27"/>
  <c r="R480" i="27" s="1"/>
  <c r="N480" i="27"/>
  <c r="Q480" i="27" s="1"/>
  <c r="O886" i="27"/>
  <c r="R886" i="27" s="1"/>
  <c r="N886" i="27"/>
  <c r="Q886" i="27" s="1"/>
  <c r="O741" i="27"/>
  <c r="R741" i="27" s="1"/>
  <c r="N741" i="27"/>
  <c r="Q741" i="27" s="1"/>
  <c r="O230" i="27"/>
  <c r="R230" i="27" s="1"/>
  <c r="N230" i="27"/>
  <c r="Q230" i="27" s="1"/>
  <c r="O639" i="27"/>
  <c r="R639" i="27" s="1"/>
  <c r="N639" i="27"/>
  <c r="Q639" i="27" s="1"/>
  <c r="O229" i="27"/>
  <c r="R229" i="27" s="1"/>
  <c r="N229" i="27"/>
  <c r="Q229" i="27" s="1"/>
  <c r="O242" i="27"/>
  <c r="R242" i="27" s="1"/>
  <c r="N242" i="27"/>
  <c r="Q242" i="27" s="1"/>
  <c r="O638" i="27"/>
  <c r="R638" i="27" s="1"/>
  <c r="N638" i="27"/>
  <c r="Q638" i="27" s="1"/>
  <c r="O115" i="27"/>
  <c r="R115" i="27" s="1"/>
  <c r="N115" i="27"/>
  <c r="Q115" i="27" s="1"/>
  <c r="O1033" i="27"/>
  <c r="R1033" i="27" s="1"/>
  <c r="N1033" i="27"/>
  <c r="Q1033" i="27" s="1"/>
  <c r="O870" i="27"/>
  <c r="R870" i="27" s="1"/>
  <c r="N870" i="27"/>
  <c r="Q870" i="27" s="1"/>
  <c r="O1140" i="27"/>
  <c r="R1140" i="27" s="1"/>
  <c r="N1140" i="27"/>
  <c r="Q1140" i="27" s="1"/>
  <c r="O169" i="27"/>
  <c r="R169" i="27" s="1"/>
  <c r="N169" i="27"/>
  <c r="Q169" i="27" s="1"/>
  <c r="O14" i="27"/>
  <c r="R14" i="27" s="1"/>
  <c r="N14" i="27"/>
  <c r="Q14" i="27" s="1"/>
  <c r="O676" i="27"/>
  <c r="R676" i="27" s="1"/>
  <c r="N676" i="27"/>
  <c r="Q676" i="27" s="1"/>
  <c r="O604" i="27"/>
  <c r="R604" i="27" s="1"/>
  <c r="N604" i="27"/>
  <c r="Q604" i="27" s="1"/>
  <c r="O603" i="27"/>
  <c r="R603" i="27" s="1"/>
  <c r="N603" i="27"/>
  <c r="Q603" i="27" s="1"/>
  <c r="O475" i="27"/>
  <c r="R475" i="27" s="1"/>
  <c r="N475" i="27"/>
  <c r="Q475" i="27" s="1"/>
  <c r="O675" i="27"/>
  <c r="R675" i="27" s="1"/>
  <c r="N675" i="27"/>
  <c r="Q675" i="27" s="1"/>
  <c r="O13" i="27"/>
  <c r="R13" i="27" s="1"/>
  <c r="N13" i="27"/>
  <c r="Q13" i="27" s="1"/>
  <c r="O674" i="27"/>
  <c r="R674" i="27" s="1"/>
  <c r="N674" i="27"/>
  <c r="Q674" i="27" s="1"/>
  <c r="O12" i="27"/>
  <c r="R12" i="27" s="1"/>
  <c r="N12" i="27"/>
  <c r="Q12" i="27" s="1"/>
  <c r="O673" i="27"/>
  <c r="R673" i="27" s="1"/>
  <c r="N673" i="27"/>
  <c r="Q673" i="27" s="1"/>
  <c r="O672" i="27"/>
  <c r="R672" i="27" s="1"/>
  <c r="N672" i="27"/>
  <c r="Q672" i="27" s="1"/>
  <c r="O889" i="27"/>
  <c r="R889" i="27" s="1"/>
  <c r="N889" i="27"/>
  <c r="Q889" i="27" s="1"/>
  <c r="O984" i="27"/>
  <c r="R984" i="27" s="1"/>
  <c r="N984" i="27"/>
  <c r="Q984" i="27" s="1"/>
  <c r="O391" i="27"/>
  <c r="R391" i="27" s="1"/>
  <c r="N391" i="27"/>
  <c r="Q391" i="27" s="1"/>
  <c r="O602" i="27"/>
  <c r="R602" i="27" s="1"/>
  <c r="N602" i="27"/>
  <c r="Q602" i="27" s="1"/>
  <c r="O474" i="27"/>
  <c r="R474" i="27" s="1"/>
  <c r="N474" i="27"/>
  <c r="Q474" i="27" s="1"/>
  <c r="O196" i="27"/>
  <c r="R196" i="27" s="1"/>
  <c r="N196" i="27"/>
  <c r="Q196" i="27" s="1"/>
  <c r="O175" i="27"/>
  <c r="R175" i="27" s="1"/>
  <c r="N175" i="27"/>
  <c r="Q175" i="27" s="1"/>
  <c r="O506" i="27"/>
  <c r="R506" i="27" s="1"/>
  <c r="N506" i="27"/>
  <c r="Q506" i="27" s="1"/>
  <c r="O473" i="27"/>
  <c r="R473" i="27" s="1"/>
  <c r="N473" i="27"/>
  <c r="Q473" i="27" s="1"/>
  <c r="O649" i="27"/>
  <c r="R649" i="27" s="1"/>
  <c r="N649" i="27"/>
  <c r="Q649" i="27" s="1"/>
  <c r="O293" i="27"/>
  <c r="R293" i="27" s="1"/>
  <c r="N293" i="27"/>
  <c r="Q293" i="27" s="1"/>
  <c r="O648" i="27"/>
  <c r="R648" i="27" s="1"/>
  <c r="N648" i="27"/>
  <c r="Q648" i="27" s="1"/>
  <c r="O292" i="27"/>
  <c r="R292" i="27" s="1"/>
  <c r="N292" i="27"/>
  <c r="Q292" i="27" s="1"/>
  <c r="O532" i="27"/>
  <c r="R532" i="27" s="1"/>
  <c r="N532" i="27"/>
  <c r="Q532" i="27" s="1"/>
  <c r="O531" i="27"/>
  <c r="R531" i="27" s="1"/>
  <c r="N531" i="27"/>
  <c r="Q531" i="27" s="1"/>
  <c r="O530" i="27"/>
  <c r="R530" i="27" s="1"/>
  <c r="N530" i="27"/>
  <c r="Q530" i="27" s="1"/>
  <c r="O1122" i="27"/>
  <c r="R1122" i="27" s="1"/>
  <c r="N1122" i="27"/>
  <c r="Q1122" i="27" s="1"/>
  <c r="O740" i="27"/>
  <c r="N740" i="27"/>
  <c r="O739" i="27"/>
  <c r="N739" i="27"/>
  <c r="O738" i="27"/>
  <c r="R738" i="27" s="1"/>
  <c r="N738" i="27"/>
  <c r="Q738" i="27" s="1"/>
  <c r="O509" i="27"/>
  <c r="R509" i="27" s="1"/>
  <c r="N509" i="27"/>
  <c r="Q509" i="27" s="1"/>
  <c r="O1121" i="27"/>
  <c r="R1121" i="27" s="1"/>
  <c r="N1121" i="27"/>
  <c r="Q1121" i="27" s="1"/>
  <c r="O1120" i="27"/>
  <c r="R1120" i="27" s="1"/>
  <c r="N1120" i="27"/>
  <c r="Q1120" i="27" s="1"/>
  <c r="O146" i="27"/>
  <c r="R146" i="27" s="1"/>
  <c r="N146" i="27"/>
  <c r="Q146" i="27" s="1"/>
  <c r="O145" i="27"/>
  <c r="R145" i="27" s="1"/>
  <c r="N145" i="27"/>
  <c r="Q145" i="27" s="1"/>
  <c r="O144" i="27"/>
  <c r="R144" i="27" s="1"/>
  <c r="N144" i="27"/>
  <c r="Q144" i="27" s="1"/>
  <c r="O143" i="27"/>
  <c r="R143" i="27" s="1"/>
  <c r="N143" i="27"/>
  <c r="Q143" i="27" s="1"/>
  <c r="O1020" i="27"/>
  <c r="R1020" i="27" s="1"/>
  <c r="N1020" i="27"/>
  <c r="Q1020" i="27" s="1"/>
  <c r="O1064" i="27"/>
  <c r="R1064" i="27" s="1"/>
  <c r="N1064" i="27"/>
  <c r="Q1064" i="27" s="1"/>
  <c r="O1019" i="27"/>
  <c r="R1019" i="27" s="1"/>
  <c r="N1019" i="27"/>
  <c r="Q1019" i="27" s="1"/>
  <c r="O837" i="27"/>
  <c r="R837" i="27" s="1"/>
  <c r="N837" i="27"/>
  <c r="Q837" i="27" s="1"/>
  <c r="O970" i="27"/>
  <c r="R970" i="27" s="1"/>
  <c r="N970" i="27"/>
  <c r="Q970" i="27" s="1"/>
  <c r="O101" i="27"/>
  <c r="R101" i="27" s="1"/>
  <c r="N101" i="27"/>
  <c r="Q101" i="27" s="1"/>
  <c r="O966" i="27"/>
  <c r="R966" i="27" s="1"/>
  <c r="N966" i="27"/>
  <c r="Q966" i="27" s="1"/>
  <c r="O852" i="27"/>
  <c r="R852" i="27" s="1"/>
  <c r="N852" i="27"/>
  <c r="Q852" i="27" s="1"/>
  <c r="O881" i="27"/>
  <c r="R881" i="27" s="1"/>
  <c r="N881" i="27"/>
  <c r="Q881" i="27" s="1"/>
  <c r="O880" i="27"/>
  <c r="R880" i="27" s="1"/>
  <c r="N880" i="27"/>
  <c r="Q880" i="27" s="1"/>
  <c r="O985" i="27"/>
  <c r="R985" i="27" s="1"/>
  <c r="N985" i="27"/>
  <c r="Q985" i="27" s="1"/>
  <c r="O626" i="27"/>
  <c r="R626" i="27" s="1"/>
  <c r="N626" i="27"/>
  <c r="Q626" i="27" s="1"/>
  <c r="O627" i="27"/>
  <c r="R627" i="27" s="1"/>
  <c r="N627" i="27"/>
  <c r="Q627" i="27" s="1"/>
  <c r="O110" i="27"/>
  <c r="R110" i="27" s="1"/>
  <c r="N110" i="27"/>
  <c r="Q110" i="27" s="1"/>
  <c r="O547" i="27"/>
  <c r="R547" i="27" s="1"/>
  <c r="N547" i="27"/>
  <c r="Q547" i="27" s="1"/>
  <c r="O109" i="27"/>
  <c r="R109" i="27" s="1"/>
  <c r="N109" i="27"/>
  <c r="Q109" i="27" s="1"/>
  <c r="O799" i="27"/>
  <c r="R799" i="27" s="1"/>
  <c r="N799" i="27"/>
  <c r="Q799" i="27" s="1"/>
  <c r="O634" i="27"/>
  <c r="R634" i="27" s="1"/>
  <c r="N634" i="27"/>
  <c r="Q634" i="27" s="1"/>
  <c r="O96" i="27"/>
  <c r="R96" i="27" s="1"/>
  <c r="N96" i="27"/>
  <c r="Q96" i="27" s="1"/>
  <c r="O533" i="27"/>
  <c r="R533" i="27" s="1"/>
  <c r="N533" i="27"/>
  <c r="Q533" i="27" s="1"/>
  <c r="O801" i="27"/>
  <c r="R801" i="27" s="1"/>
  <c r="N801" i="27"/>
  <c r="Q801" i="27" s="1"/>
  <c r="O287" i="27"/>
  <c r="R287" i="27" s="1"/>
  <c r="N287" i="27"/>
  <c r="Q287" i="27" s="1"/>
  <c r="O619" i="27"/>
  <c r="R619" i="27" s="1"/>
  <c r="N619" i="27"/>
  <c r="Q619" i="27" s="1"/>
  <c r="O620" i="27"/>
  <c r="R620" i="27" s="1"/>
  <c r="N620" i="27"/>
  <c r="Q620" i="27" s="1"/>
  <c r="O630" i="27"/>
  <c r="R630" i="27" s="1"/>
  <c r="N630" i="27"/>
  <c r="Q630" i="27" s="1"/>
  <c r="O516" i="27"/>
  <c r="R516" i="27" s="1"/>
  <c r="N516" i="27"/>
  <c r="Q516" i="27" s="1"/>
  <c r="O903" i="27"/>
  <c r="R903" i="27" s="1"/>
  <c r="N903" i="27"/>
  <c r="Q903" i="27" s="1"/>
  <c r="O910" i="27"/>
  <c r="R910" i="27" s="1"/>
  <c r="N910" i="27"/>
  <c r="Q910" i="27" s="1"/>
  <c r="O286" i="27"/>
  <c r="R286" i="27" s="1"/>
  <c r="N286" i="27"/>
  <c r="Q286" i="27" s="1"/>
  <c r="O800" i="27"/>
  <c r="R800" i="27" s="1"/>
  <c r="N800" i="27"/>
  <c r="Q800" i="27" s="1"/>
  <c r="O869" i="27"/>
  <c r="R869" i="27" s="1"/>
  <c r="N869" i="27"/>
  <c r="Q869" i="27" s="1"/>
  <c r="O868" i="27"/>
  <c r="R868" i="27" s="1"/>
  <c r="N868" i="27"/>
  <c r="Q868" i="27" s="1"/>
  <c r="O168" i="27"/>
  <c r="R168" i="27" s="1"/>
  <c r="N168" i="27"/>
  <c r="Q168" i="27" s="1"/>
  <c r="O4" i="27"/>
  <c r="R4" i="27" s="1"/>
  <c r="N4" i="27"/>
  <c r="Q4" i="27" s="1"/>
  <c r="O694" i="27"/>
  <c r="R694" i="27" s="1"/>
  <c r="N694" i="27"/>
  <c r="Q694" i="27" s="1"/>
  <c r="O1063" i="27"/>
  <c r="R1063" i="27" s="1"/>
  <c r="N1063" i="27"/>
  <c r="Q1063" i="27" s="1"/>
  <c r="O517" i="27"/>
  <c r="R517" i="27" s="1"/>
  <c r="N517" i="27"/>
  <c r="Q517" i="27" s="1"/>
  <c r="O478" i="27"/>
  <c r="R478" i="27" s="1"/>
  <c r="N478" i="27"/>
  <c r="Q478" i="27" s="1"/>
  <c r="O1056" i="27"/>
  <c r="R1056" i="27" s="1"/>
  <c r="N1056" i="27"/>
  <c r="Q1056" i="27" s="1"/>
  <c r="O1055" i="27"/>
  <c r="R1055" i="27" s="1"/>
  <c r="N1055" i="27"/>
  <c r="Q1055" i="27" s="1"/>
  <c r="O472" i="27"/>
  <c r="R472" i="27" s="1"/>
  <c r="N472" i="27"/>
  <c r="Q472" i="27" s="1"/>
  <c r="O841" i="27"/>
  <c r="R841" i="27" s="1"/>
  <c r="N841" i="27"/>
  <c r="Q841" i="27" s="1"/>
  <c r="O867" i="27"/>
  <c r="R867" i="27" s="1"/>
  <c r="N867" i="27"/>
  <c r="Q867" i="27" s="1"/>
  <c r="O866" i="27"/>
  <c r="R866" i="27" s="1"/>
  <c r="N866" i="27"/>
  <c r="Q866" i="27" s="1"/>
  <c r="O751" i="27"/>
  <c r="R751" i="27" s="1"/>
  <c r="N751" i="27"/>
  <c r="Q751" i="27" s="1"/>
  <c r="O388" i="27"/>
  <c r="R388" i="27" s="1"/>
  <c r="N388" i="27"/>
  <c r="Q388" i="27" s="1"/>
  <c r="O455" i="27"/>
  <c r="R455" i="27" s="1"/>
  <c r="N455" i="27"/>
  <c r="Q455" i="27" s="1"/>
  <c r="O321" i="27"/>
  <c r="R321" i="27" s="1"/>
  <c r="N321" i="27"/>
  <c r="Q321" i="27" s="1"/>
  <c r="O123" i="27"/>
  <c r="R123" i="27" s="1"/>
  <c r="N123" i="27"/>
  <c r="Q123" i="27" s="1"/>
  <c r="O400" i="27"/>
  <c r="R400" i="27" s="1"/>
  <c r="N400" i="27"/>
  <c r="Q400" i="27" s="1"/>
  <c r="O320" i="27"/>
  <c r="R320" i="27" s="1"/>
  <c r="N320" i="27"/>
  <c r="Q320" i="27" s="1"/>
  <c r="O454" i="27"/>
  <c r="R454" i="27" s="1"/>
  <c r="N454" i="27"/>
  <c r="Q454" i="27" s="1"/>
  <c r="O542" i="27"/>
  <c r="R542" i="27" s="1"/>
  <c r="N542" i="27"/>
  <c r="Q542" i="27" s="1"/>
  <c r="O541" i="27"/>
  <c r="R541" i="27" s="1"/>
  <c r="N541" i="27"/>
  <c r="Q541" i="27" s="1"/>
  <c r="O1050" i="27"/>
  <c r="R1050" i="27" s="1"/>
  <c r="N1050" i="27"/>
  <c r="Q1050" i="27" s="1"/>
  <c r="O1049" i="27"/>
  <c r="R1049" i="27" s="1"/>
  <c r="N1049" i="27"/>
  <c r="Q1049" i="27" s="1"/>
  <c r="O291" i="27"/>
  <c r="R291" i="27" s="1"/>
  <c r="N291" i="27"/>
  <c r="Q291" i="27" s="1"/>
  <c r="O464" i="27"/>
  <c r="R464" i="27" s="1"/>
  <c r="N464" i="27"/>
  <c r="Q464" i="27" s="1"/>
  <c r="O466" i="27"/>
  <c r="R466" i="27" s="1"/>
  <c r="N466" i="27"/>
  <c r="Q466" i="27" s="1"/>
  <c r="O750" i="27"/>
  <c r="R750" i="27" s="1"/>
  <c r="N750" i="27"/>
  <c r="Q750" i="27" s="1"/>
  <c r="O1048" i="27"/>
  <c r="R1048" i="27" s="1"/>
  <c r="N1048" i="27"/>
  <c r="Q1048" i="27" s="1"/>
  <c r="O290" i="27"/>
  <c r="R290" i="27" s="1"/>
  <c r="N290" i="27"/>
  <c r="Q290" i="27" s="1"/>
  <c r="O463" i="27"/>
  <c r="R463" i="27" s="1"/>
  <c r="N463" i="27"/>
  <c r="Q463" i="27" s="1"/>
  <c r="O465" i="27"/>
  <c r="R465" i="27" s="1"/>
  <c r="N465" i="27"/>
  <c r="Q465" i="27" s="1"/>
  <c r="O701" i="27"/>
  <c r="R701" i="27" s="1"/>
  <c r="N701" i="27"/>
  <c r="Q701" i="27" s="1"/>
  <c r="O326" i="27"/>
  <c r="R326" i="27" s="1"/>
  <c r="N326" i="27"/>
  <c r="Q326" i="27" s="1"/>
  <c r="O614" i="27"/>
  <c r="R614" i="27" s="1"/>
  <c r="N614" i="27"/>
  <c r="Q614" i="27" s="1"/>
  <c r="O126" i="27"/>
  <c r="R126" i="27" s="1"/>
  <c r="N126" i="27"/>
  <c r="Q126" i="27" s="1"/>
  <c r="O826" i="27"/>
  <c r="R826" i="27" s="1"/>
  <c r="N826" i="27"/>
  <c r="Q826" i="27" s="1"/>
  <c r="O534" i="27"/>
  <c r="R534" i="27" s="1"/>
  <c r="N534" i="27"/>
  <c r="Q534" i="27" s="1"/>
  <c r="O611" i="27"/>
  <c r="R611" i="27" s="1"/>
  <c r="N611" i="27"/>
  <c r="Q611" i="27" s="1"/>
  <c r="O888" i="27"/>
  <c r="R888" i="27" s="1"/>
  <c r="N888" i="27"/>
  <c r="Q888" i="27" s="1"/>
  <c r="O952" i="27"/>
  <c r="R952" i="27" s="1"/>
  <c r="N952" i="27"/>
  <c r="Q952" i="27" s="1"/>
  <c r="O1119" i="27"/>
  <c r="R1119" i="27" s="1"/>
  <c r="N1119" i="27"/>
  <c r="Q1119" i="27" s="1"/>
  <c r="O802" i="27"/>
  <c r="R802" i="27" s="1"/>
  <c r="N802" i="27"/>
  <c r="Q802" i="27" s="1"/>
  <c r="O851" i="27"/>
  <c r="R851" i="27" s="1"/>
  <c r="N851" i="27"/>
  <c r="Q851" i="27" s="1"/>
  <c r="O950" i="27"/>
  <c r="R950" i="27" s="1"/>
  <c r="N950" i="27"/>
  <c r="Q950" i="27" s="1"/>
  <c r="O949" i="27"/>
  <c r="R949" i="27" s="1"/>
  <c r="N949" i="27"/>
  <c r="Q949" i="27" s="1"/>
  <c r="O529" i="27"/>
  <c r="R529" i="27" s="1"/>
  <c r="N529" i="27"/>
  <c r="Q529" i="27" s="1"/>
  <c r="O528" i="27"/>
  <c r="R528" i="27" s="1"/>
  <c r="N528" i="27"/>
  <c r="Q528" i="27" s="1"/>
  <c r="O434" i="27"/>
  <c r="R434" i="27" s="1"/>
  <c r="N434" i="27"/>
  <c r="Q434" i="27" s="1"/>
  <c r="O174" i="27"/>
  <c r="R174" i="27" s="1"/>
  <c r="N174" i="27"/>
  <c r="Q174" i="27" s="1"/>
  <c r="O818" i="27"/>
  <c r="R818" i="27" s="1"/>
  <c r="N818" i="27"/>
  <c r="Q818" i="27" s="1"/>
  <c r="O21" i="27"/>
  <c r="R21" i="27" s="1"/>
  <c r="N21" i="27"/>
  <c r="Q21" i="27" s="1"/>
  <c r="O622" i="27"/>
  <c r="R622" i="27" s="1"/>
  <c r="N622" i="27"/>
  <c r="Q622" i="27" s="1"/>
  <c r="O623" i="27"/>
  <c r="R623" i="27" s="1"/>
  <c r="N623" i="27"/>
  <c r="Q623" i="27" s="1"/>
  <c r="O344" i="27"/>
  <c r="R344" i="27" s="1"/>
  <c r="N344" i="27"/>
  <c r="Q344" i="27" s="1"/>
  <c r="O919" i="27"/>
  <c r="R919" i="27" s="1"/>
  <c r="N919" i="27"/>
  <c r="Q919" i="27" s="1"/>
  <c r="O31" i="27"/>
  <c r="R31" i="27" s="1"/>
  <c r="N31" i="27"/>
  <c r="Q31" i="27" s="1"/>
  <c r="O964" i="27"/>
  <c r="R964" i="27" s="1"/>
  <c r="N964" i="27"/>
  <c r="Q964" i="27" s="1"/>
  <c r="O945" i="27"/>
  <c r="R945" i="27" s="1"/>
  <c r="N945" i="27"/>
  <c r="Q945" i="27" s="1"/>
  <c r="O601" i="27"/>
  <c r="R601" i="27" s="1"/>
  <c r="N601" i="27"/>
  <c r="Q601" i="27" s="1"/>
  <c r="O522" i="27"/>
  <c r="R522" i="27" s="1"/>
  <c r="N522" i="27"/>
  <c r="Q522" i="27" s="1"/>
  <c r="O30" i="27"/>
  <c r="R30" i="27" s="1"/>
  <c r="N30" i="27"/>
  <c r="Q30" i="27" s="1"/>
  <c r="O963" i="27"/>
  <c r="R963" i="27" s="1"/>
  <c r="N963" i="27"/>
  <c r="Q963" i="27" s="1"/>
  <c r="O594" i="27"/>
  <c r="R594" i="27" s="1"/>
  <c r="N594" i="27"/>
  <c r="Q594" i="27" s="1"/>
  <c r="O162" i="27"/>
  <c r="R162" i="27" s="1"/>
  <c r="N162" i="27"/>
  <c r="Q162" i="27" s="1"/>
  <c r="O164" i="27"/>
  <c r="R164" i="27" s="1"/>
  <c r="N164" i="27"/>
  <c r="Q164" i="27" s="1"/>
  <c r="O257" i="27"/>
  <c r="R257" i="27" s="1"/>
  <c r="N257" i="27"/>
  <c r="Q257" i="27" s="1"/>
  <c r="O600" i="27"/>
  <c r="R600" i="27" s="1"/>
  <c r="N600" i="27"/>
  <c r="Q600" i="27" s="1"/>
  <c r="O593" i="27"/>
  <c r="R593" i="27" s="1"/>
  <c r="N593" i="27"/>
  <c r="Q593" i="27" s="1"/>
  <c r="O228" i="27"/>
  <c r="R228" i="27" s="1"/>
  <c r="N228" i="27"/>
  <c r="Q228" i="27" s="1"/>
  <c r="O446" i="27"/>
  <c r="R446" i="27" s="1"/>
  <c r="N446" i="27"/>
  <c r="Q446" i="27" s="1"/>
  <c r="O114" i="27"/>
  <c r="R114" i="27" s="1"/>
  <c r="N114" i="27"/>
  <c r="Q114" i="27" s="1"/>
  <c r="O654" i="27"/>
  <c r="R654" i="27" s="1"/>
  <c r="N654" i="27"/>
  <c r="Q654" i="27" s="1"/>
  <c r="O445" i="27"/>
  <c r="R445" i="27" s="1"/>
  <c r="N445" i="27"/>
  <c r="Q445" i="27" s="1"/>
  <c r="O844" i="27"/>
  <c r="R844" i="27" s="1"/>
  <c r="N844" i="27"/>
  <c r="Q844" i="27" s="1"/>
  <c r="O453" i="27"/>
  <c r="R453" i="27" s="1"/>
  <c r="N453" i="27"/>
  <c r="Q453" i="27" s="1"/>
  <c r="O918" i="27"/>
  <c r="R918" i="27" s="1"/>
  <c r="N918" i="27"/>
  <c r="Q918" i="27" s="1"/>
  <c r="O632" i="27"/>
  <c r="R632" i="27" s="1"/>
  <c r="N632" i="27"/>
  <c r="Q632" i="27" s="1"/>
  <c r="O1021" i="27"/>
  <c r="R1021" i="27" s="1"/>
  <c r="N1021" i="27"/>
  <c r="Q1021" i="27" s="1"/>
  <c r="O70" i="27"/>
  <c r="R70" i="27" s="1"/>
  <c r="N70" i="27"/>
  <c r="Q70" i="27" s="1"/>
  <c r="O71" i="27"/>
  <c r="R71" i="27" s="1"/>
  <c r="N71" i="27"/>
  <c r="Q71" i="27" s="1"/>
  <c r="O982" i="27"/>
  <c r="R982" i="27" s="1"/>
  <c r="N982" i="27"/>
  <c r="Q982" i="27" s="1"/>
  <c r="O151" i="27"/>
  <c r="R151" i="27" s="1"/>
  <c r="N151" i="27"/>
  <c r="Q151" i="27" s="1"/>
  <c r="O113" i="27"/>
  <c r="R113" i="27" s="1"/>
  <c r="N113" i="27"/>
  <c r="Q113" i="27" s="1"/>
  <c r="O664" i="27"/>
  <c r="R664" i="27" s="1"/>
  <c r="N664" i="27"/>
  <c r="Q664" i="27" s="1"/>
  <c r="O227" i="27"/>
  <c r="R227" i="27" s="1"/>
  <c r="N227" i="27"/>
  <c r="Q227" i="27" s="1"/>
  <c r="O261" i="27"/>
  <c r="R261" i="27" s="1"/>
  <c r="N261" i="27"/>
  <c r="Q261" i="27" s="1"/>
  <c r="O444" i="27"/>
  <c r="R444" i="27" s="1"/>
  <c r="N444" i="27"/>
  <c r="Q444" i="27" s="1"/>
  <c r="O260" i="27"/>
  <c r="R260" i="27" s="1"/>
  <c r="N260" i="27"/>
  <c r="Q260" i="27" s="1"/>
  <c r="O259" i="27"/>
  <c r="R259" i="27" s="1"/>
  <c r="N259" i="27"/>
  <c r="Q259" i="27" s="1"/>
  <c r="O650" i="27"/>
  <c r="R650" i="27" s="1"/>
  <c r="N650" i="27"/>
  <c r="Q650" i="27" s="1"/>
  <c r="O325" i="27"/>
  <c r="R325" i="27" s="1"/>
  <c r="N325" i="27"/>
  <c r="Q325" i="27" s="1"/>
  <c r="O487" i="27"/>
  <c r="R487" i="27" s="1"/>
  <c r="N487" i="27"/>
  <c r="Q487" i="27" s="1"/>
  <c r="O1095" i="27"/>
  <c r="R1095" i="27" s="1"/>
  <c r="N1095" i="27"/>
  <c r="Q1095" i="27" s="1"/>
  <c r="O1094" i="27"/>
  <c r="R1094" i="27" s="1"/>
  <c r="N1094" i="27"/>
  <c r="Q1094" i="27" s="1"/>
  <c r="O631" i="27"/>
  <c r="R631" i="27" s="1"/>
  <c r="N631" i="27"/>
  <c r="Q631" i="27" s="1"/>
  <c r="O142" i="27"/>
  <c r="R142" i="27" s="1"/>
  <c r="N142" i="27"/>
  <c r="Q142" i="27" s="1"/>
  <c r="O1105" i="27"/>
  <c r="R1105" i="27" s="1"/>
  <c r="N1105" i="27"/>
  <c r="Q1105" i="27" s="1"/>
  <c r="O1104" i="27"/>
  <c r="R1104" i="27" s="1"/>
  <c r="N1104" i="27"/>
  <c r="Q1104" i="27" s="1"/>
  <c r="O266" i="27"/>
  <c r="R266" i="27" s="1"/>
  <c r="N266" i="27"/>
  <c r="Q266" i="27" s="1"/>
  <c r="O212" i="27"/>
  <c r="R212" i="27" s="1"/>
  <c r="N212" i="27"/>
  <c r="Q212" i="27" s="1"/>
  <c r="O35" i="27"/>
  <c r="R35" i="27" s="1"/>
  <c r="N35" i="27"/>
  <c r="Q35" i="27" s="1"/>
  <c r="O1103" i="27"/>
  <c r="R1103" i="27" s="1"/>
  <c r="N1103" i="27"/>
  <c r="Q1103" i="27" s="1"/>
  <c r="O29" i="27"/>
  <c r="R29" i="27" s="1"/>
  <c r="N29" i="27"/>
  <c r="Q29" i="27" s="1"/>
  <c r="O589" i="27"/>
  <c r="R589" i="27" s="1"/>
  <c r="N589" i="27"/>
  <c r="Q589" i="27" s="1"/>
  <c r="O28" i="27"/>
  <c r="R28" i="27" s="1"/>
  <c r="N28" i="27"/>
  <c r="Q28" i="27" s="1"/>
  <c r="O962" i="27"/>
  <c r="R962" i="27" s="1"/>
  <c r="N962" i="27"/>
  <c r="Q962" i="27" s="1"/>
  <c r="O195" i="27"/>
  <c r="R195" i="27" s="1"/>
  <c r="N195" i="27"/>
  <c r="Q195" i="27" s="1"/>
  <c r="O521" i="27"/>
  <c r="R521" i="27" s="1"/>
  <c r="N521" i="27"/>
  <c r="Q521" i="27" s="1"/>
  <c r="O161" i="27"/>
  <c r="R161" i="27" s="1"/>
  <c r="N161" i="27"/>
  <c r="Q161" i="27" s="1"/>
  <c r="O163" i="27"/>
  <c r="R163" i="27" s="1"/>
  <c r="N163" i="27"/>
  <c r="Q163" i="27" s="1"/>
  <c r="O443" i="27"/>
  <c r="R443" i="27" s="1"/>
  <c r="N443" i="27"/>
  <c r="Q443" i="27" s="1"/>
  <c r="O194" i="27"/>
  <c r="R194" i="27" s="1"/>
  <c r="N194" i="27"/>
  <c r="Q194" i="27" s="1"/>
  <c r="O804" i="27"/>
  <c r="R804" i="27" s="1"/>
  <c r="N804" i="27"/>
  <c r="Q804" i="27" s="1"/>
  <c r="O806" i="27"/>
  <c r="R806" i="27" s="1"/>
  <c r="N806" i="27"/>
  <c r="Q806" i="27" s="1"/>
  <c r="O831" i="27"/>
  <c r="R831" i="27" s="1"/>
  <c r="N831" i="27"/>
  <c r="Q831" i="27" s="1"/>
  <c r="O832" i="27"/>
  <c r="R832" i="27" s="1"/>
  <c r="N832" i="27"/>
  <c r="Q832" i="27" s="1"/>
  <c r="O141" i="27"/>
  <c r="R141" i="27" s="1"/>
  <c r="N141" i="27"/>
  <c r="Q141" i="27" s="1"/>
  <c r="O746" i="27"/>
  <c r="R746" i="27" s="1"/>
  <c r="N746" i="27"/>
  <c r="Q746" i="27" s="1"/>
  <c r="O981" i="27"/>
  <c r="R981" i="27" s="1"/>
  <c r="N981" i="27"/>
  <c r="Q981" i="27" s="1"/>
  <c r="O805" i="27"/>
  <c r="R805" i="27" s="1"/>
  <c r="N805" i="27"/>
  <c r="Q805" i="27" s="1"/>
  <c r="O574" i="27"/>
  <c r="R574" i="27" s="1"/>
  <c r="N574" i="27"/>
  <c r="Q574" i="27" s="1"/>
  <c r="O81" i="27"/>
  <c r="R81" i="27" s="1"/>
  <c r="N81" i="27"/>
  <c r="Q81" i="27" s="1"/>
  <c r="O82" i="27"/>
  <c r="R82" i="27" s="1"/>
  <c r="N82" i="27"/>
  <c r="Q82" i="27" s="1"/>
  <c r="O946" i="27"/>
  <c r="R946" i="27" s="1"/>
  <c r="N946" i="27"/>
  <c r="Q946" i="27" s="1"/>
  <c r="O1109" i="27"/>
  <c r="R1109" i="27" s="1"/>
  <c r="N1109" i="27"/>
  <c r="Q1109" i="27" s="1"/>
  <c r="O1110" i="27"/>
  <c r="R1110" i="27" s="1"/>
  <c r="N1110" i="27"/>
  <c r="Q1110" i="27" s="1"/>
  <c r="O456" i="27"/>
  <c r="R456" i="27" s="1"/>
  <c r="N456" i="27"/>
  <c r="Q456" i="27" s="1"/>
  <c r="O983" i="27"/>
  <c r="R983" i="27" s="1"/>
  <c r="N983" i="27"/>
  <c r="Q983" i="27" s="1"/>
  <c r="O316" i="27"/>
  <c r="R316" i="27" s="1"/>
  <c r="N316" i="27"/>
  <c r="Q316" i="27" s="1"/>
  <c r="O670" i="27"/>
  <c r="R670" i="27" s="1"/>
  <c r="N670" i="27"/>
  <c r="Q670" i="27" s="1"/>
  <c r="O467" i="27"/>
  <c r="R467" i="27" s="1"/>
  <c r="N467" i="27"/>
  <c r="Q467" i="27" s="1"/>
  <c r="O436" i="27"/>
  <c r="R436" i="27" s="1"/>
  <c r="N436" i="27"/>
  <c r="Q436" i="27" s="1"/>
  <c r="O52" i="27"/>
  <c r="R52" i="27" s="1"/>
  <c r="N52" i="27"/>
  <c r="Q52" i="27" s="1"/>
  <c r="O51" i="27"/>
  <c r="R51" i="27" s="1"/>
  <c r="N51" i="27"/>
  <c r="Q51" i="27" s="1"/>
  <c r="O930" i="27"/>
  <c r="R930" i="27" s="1"/>
  <c r="N930" i="27"/>
  <c r="Q930" i="27" s="1"/>
  <c r="O997" i="27"/>
  <c r="R997" i="27" s="1"/>
  <c r="N997" i="27"/>
  <c r="Q997" i="27" s="1"/>
  <c r="O139" i="27"/>
  <c r="R139" i="27" s="1"/>
  <c r="N139" i="27"/>
  <c r="Q139" i="27" s="1"/>
  <c r="O140" i="27"/>
  <c r="R140" i="27" s="1"/>
  <c r="N140" i="27"/>
  <c r="Q140" i="27" s="1"/>
  <c r="O733" i="27"/>
  <c r="R733" i="27" s="1"/>
  <c r="N733" i="27"/>
  <c r="Q733" i="27" s="1"/>
  <c r="O575" i="27"/>
  <c r="R575" i="27" s="1"/>
  <c r="N575" i="27"/>
  <c r="Q575" i="27" s="1"/>
  <c r="O606" i="27"/>
  <c r="R606" i="27" s="1"/>
  <c r="N606" i="27"/>
  <c r="Q606" i="27" s="1"/>
  <c r="O329" i="27"/>
  <c r="R329" i="27" s="1"/>
  <c r="N329" i="27"/>
  <c r="Q329" i="27" s="1"/>
  <c r="O270" i="27"/>
  <c r="R270" i="27" s="1"/>
  <c r="N270" i="27"/>
  <c r="Q270" i="27" s="1"/>
  <c r="O759" i="27"/>
  <c r="R759" i="27" s="1"/>
  <c r="N759" i="27"/>
  <c r="Q759" i="27" s="1"/>
  <c r="O324" i="27"/>
  <c r="R324" i="27" s="1"/>
  <c r="N324" i="27"/>
  <c r="Q324" i="27" s="1"/>
  <c r="O873" i="27"/>
  <c r="R873" i="27" s="1"/>
  <c r="N873" i="27"/>
  <c r="Q873" i="27" s="1"/>
  <c r="O331" i="27"/>
  <c r="R331" i="27" s="1"/>
  <c r="N331" i="27"/>
  <c r="Q331" i="27" s="1"/>
  <c r="O669" i="27"/>
  <c r="R669" i="27" s="1"/>
  <c r="N669" i="27"/>
  <c r="Q669" i="27" s="1"/>
  <c r="O598" i="27"/>
  <c r="R598" i="27" s="1"/>
  <c r="N598" i="27"/>
  <c r="Q598" i="27" s="1"/>
  <c r="O599" i="27"/>
  <c r="R599" i="27" s="1"/>
  <c r="N599" i="27"/>
  <c r="Q599" i="27" s="1"/>
  <c r="O341" i="27"/>
  <c r="R341" i="27" s="1"/>
  <c r="N341" i="27"/>
  <c r="Q341" i="27" s="1"/>
  <c r="O939" i="27"/>
  <c r="R939" i="27" s="1"/>
  <c r="N939" i="27"/>
  <c r="Q939" i="27" s="1"/>
  <c r="O941" i="27"/>
  <c r="R941" i="27" s="1"/>
  <c r="N941" i="27"/>
  <c r="Q941" i="27" s="1"/>
  <c r="O607" i="27"/>
  <c r="R607" i="27" s="1"/>
  <c r="N607" i="27"/>
  <c r="Q607" i="27" s="1"/>
  <c r="O1012" i="27"/>
  <c r="R1012" i="27" s="1"/>
  <c r="N1012" i="27"/>
  <c r="Q1012" i="27" s="1"/>
  <c r="O335" i="27"/>
  <c r="R335" i="27" s="1"/>
  <c r="N335" i="27"/>
  <c r="Q335" i="27" s="1"/>
  <c r="O776" i="27"/>
  <c r="R776" i="27" s="1"/>
  <c r="N776" i="27"/>
  <c r="Q776" i="27" s="1"/>
  <c r="O972" i="27"/>
  <c r="R972" i="27" s="1"/>
  <c r="N972" i="27"/>
  <c r="Q972" i="27" s="1"/>
  <c r="O332" i="27"/>
  <c r="R332" i="27" s="1"/>
  <c r="N332" i="27"/>
  <c r="Q332" i="27" s="1"/>
  <c r="O974" i="27"/>
  <c r="R974" i="27" s="1"/>
  <c r="N974" i="27"/>
  <c r="Q974" i="27" s="1"/>
  <c r="O508" i="27"/>
  <c r="R508" i="27" s="1"/>
  <c r="N508" i="27"/>
  <c r="Q508" i="27" s="1"/>
  <c r="O658" i="27"/>
  <c r="R658" i="27" s="1"/>
  <c r="N658" i="27"/>
  <c r="Q658" i="27" s="1"/>
  <c r="O340" i="27"/>
  <c r="R340" i="27" s="1"/>
  <c r="N340" i="27"/>
  <c r="Q340" i="27" s="1"/>
  <c r="O354" i="27"/>
  <c r="R354" i="27" s="1"/>
  <c r="N354" i="27"/>
  <c r="Q354" i="27" s="1"/>
  <c r="O355" i="27"/>
  <c r="R355" i="27" s="1"/>
  <c r="N355" i="27"/>
  <c r="Q355" i="27" s="1"/>
  <c r="O769" i="27"/>
  <c r="R769" i="27" s="1"/>
  <c r="N769" i="27"/>
  <c r="Q769" i="27" s="1"/>
  <c r="O770" i="27"/>
  <c r="R770" i="27" s="1"/>
  <c r="N770" i="27"/>
  <c r="Q770" i="27" s="1"/>
  <c r="O265" i="27"/>
  <c r="R265" i="27" s="1"/>
  <c r="N265" i="27"/>
  <c r="Q265" i="27" s="1"/>
  <c r="O971" i="27"/>
  <c r="R971" i="27" s="1"/>
  <c r="N971" i="27"/>
  <c r="Q971" i="27" s="1"/>
  <c r="O938" i="27"/>
  <c r="R938" i="27" s="1"/>
  <c r="N938" i="27"/>
  <c r="Q938" i="27" s="1"/>
  <c r="O940" i="27"/>
  <c r="R940" i="27" s="1"/>
  <c r="N940" i="27"/>
  <c r="Q940" i="27" s="1"/>
  <c r="O1142" i="27"/>
  <c r="R1142" i="27" s="1"/>
  <c r="N1142" i="27"/>
  <c r="Q1142" i="27" s="1"/>
  <c r="O353" i="27"/>
  <c r="R353" i="27" s="1"/>
  <c r="N353" i="27"/>
  <c r="Q353" i="27" s="1"/>
  <c r="O527" i="27"/>
  <c r="R527" i="27" s="1"/>
  <c r="N527" i="27"/>
  <c r="Q527" i="27" s="1"/>
  <c r="O524" i="27"/>
  <c r="R524" i="27" s="1"/>
  <c r="N524" i="27"/>
  <c r="Q524" i="27" s="1"/>
  <c r="O305" i="27"/>
  <c r="R305" i="27" s="1"/>
  <c r="N305" i="27"/>
  <c r="Q305" i="27" s="1"/>
  <c r="O307" i="27"/>
  <c r="R307" i="27" s="1"/>
  <c r="N307" i="27"/>
  <c r="Q307" i="27" s="1"/>
  <c r="O1123" i="27"/>
  <c r="R1123" i="27" s="1"/>
  <c r="N1123" i="27"/>
  <c r="Q1123" i="27" s="1"/>
  <c r="O111" i="27"/>
  <c r="R111" i="27" s="1"/>
  <c r="N111" i="27"/>
  <c r="Q111" i="27" s="1"/>
  <c r="O269" i="27"/>
  <c r="R269" i="27" s="1"/>
  <c r="N269" i="27"/>
  <c r="Q269" i="27" s="1"/>
  <c r="O902" i="27"/>
  <c r="R902" i="27" s="1"/>
  <c r="N902" i="27"/>
  <c r="Q902" i="27" s="1"/>
  <c r="O268" i="27"/>
  <c r="R268" i="27" s="1"/>
  <c r="N268" i="27"/>
  <c r="Q268" i="27" s="1"/>
  <c r="O1139" i="27"/>
  <c r="R1139" i="27" s="1"/>
  <c r="N1139" i="27"/>
  <c r="Q1139" i="27" s="1"/>
  <c r="O1141" i="27"/>
  <c r="R1141" i="27" s="1"/>
  <c r="N1141" i="27"/>
  <c r="Q1141" i="27" s="1"/>
  <c r="O364" i="27"/>
  <c r="R364" i="27" s="1"/>
  <c r="N364" i="27"/>
  <c r="Q364" i="27" s="1"/>
  <c r="O405" i="27"/>
  <c r="R405" i="27" s="1"/>
  <c r="N405" i="27"/>
  <c r="Q405" i="27" s="1"/>
  <c r="O406" i="27"/>
  <c r="R406" i="27" s="1"/>
  <c r="N406" i="27"/>
  <c r="Q406" i="27" s="1"/>
  <c r="O309" i="27"/>
  <c r="R309" i="27" s="1"/>
  <c r="N309" i="27"/>
  <c r="Q309" i="27" s="1"/>
  <c r="O554" i="27"/>
  <c r="R554" i="27" s="1"/>
  <c r="N554" i="27"/>
  <c r="Q554" i="27" s="1"/>
  <c r="O555" i="27"/>
  <c r="R555" i="27" s="1"/>
  <c r="N555" i="27"/>
  <c r="Q555" i="27" s="1"/>
  <c r="O646" i="27"/>
  <c r="R646" i="27" s="1"/>
  <c r="N646" i="27"/>
  <c r="Q646" i="27" s="1"/>
  <c r="O854" i="27"/>
  <c r="R854" i="27" s="1"/>
  <c r="N854" i="27"/>
  <c r="Q854" i="27" s="1"/>
  <c r="O263" i="27"/>
  <c r="R263" i="27" s="1"/>
  <c r="N263" i="27"/>
  <c r="Q263" i="27" s="1"/>
  <c r="O774" i="27"/>
  <c r="R774" i="27" s="1"/>
  <c r="N774" i="27"/>
  <c r="Q774" i="27" s="1"/>
  <c r="O645" i="27"/>
  <c r="R645" i="27" s="1"/>
  <c r="N645" i="27"/>
  <c r="Q645" i="27" s="1"/>
  <c r="O1086" i="27"/>
  <c r="R1086" i="27" s="1"/>
  <c r="N1086" i="27"/>
  <c r="Q1086" i="27" s="1"/>
  <c r="O1074" i="27"/>
  <c r="R1074" i="27" s="1"/>
  <c r="N1074" i="27"/>
  <c r="Q1074" i="27" s="1"/>
  <c r="O72" i="27"/>
  <c r="R72" i="27" s="1"/>
  <c r="N72" i="27"/>
  <c r="Q72" i="27" s="1"/>
  <c r="O73" i="27"/>
  <c r="R73" i="27" s="1"/>
  <c r="N73" i="27"/>
  <c r="Q73" i="27" s="1"/>
  <c r="O782" i="27"/>
  <c r="R782" i="27" s="1"/>
  <c r="N782" i="27"/>
  <c r="Q782" i="27" s="1"/>
  <c r="O671" i="27"/>
  <c r="R671" i="27" s="1"/>
  <c r="N671" i="27"/>
  <c r="Q671" i="27" s="1"/>
  <c r="O1062" i="27"/>
  <c r="R1062" i="27" s="1"/>
  <c r="N1062" i="27"/>
  <c r="Q1062" i="27" s="1"/>
  <c r="O88" i="27"/>
  <c r="R88" i="27" s="1"/>
  <c r="N88" i="27"/>
  <c r="Q88" i="27" s="1"/>
  <c r="O1051" i="27"/>
  <c r="R1051" i="27" s="1"/>
  <c r="N1051" i="27"/>
  <c r="Q1051" i="27" s="1"/>
  <c r="O6" i="27"/>
  <c r="R6" i="27" s="1"/>
  <c r="N6" i="27"/>
  <c r="Q6" i="27" s="1"/>
  <c r="O237" i="27"/>
  <c r="R237" i="27" s="1"/>
  <c r="N237" i="27"/>
  <c r="Q237" i="27" s="1"/>
  <c r="O87" i="27"/>
  <c r="R87" i="27" s="1"/>
  <c r="N87" i="27"/>
  <c r="Q87" i="27" s="1"/>
  <c r="O1081" i="27"/>
  <c r="R1081" i="27" s="1"/>
  <c r="N1081" i="27"/>
  <c r="Q1081" i="27" s="1"/>
  <c r="O544" i="27"/>
  <c r="R544" i="27" s="1"/>
  <c r="N544" i="27"/>
  <c r="Q544" i="27" s="1"/>
  <c r="O302" i="27"/>
  <c r="R302" i="27" s="1"/>
  <c r="N302" i="27"/>
  <c r="Q302" i="27" s="1"/>
  <c r="O1054" i="27"/>
  <c r="R1054" i="27" s="1"/>
  <c r="N1054" i="27"/>
  <c r="Q1054" i="27" s="1"/>
  <c r="O835" i="27"/>
  <c r="R835" i="27" s="1"/>
  <c r="N835" i="27"/>
  <c r="Q835" i="27" s="1"/>
  <c r="O836" i="27"/>
  <c r="R836" i="27" s="1"/>
  <c r="N836" i="27"/>
  <c r="Q836" i="27" s="1"/>
  <c r="O834" i="27"/>
  <c r="R834" i="27" s="1"/>
  <c r="N834" i="27"/>
  <c r="Q834" i="27" s="1"/>
  <c r="O27" i="27"/>
  <c r="R27" i="27" s="1"/>
  <c r="N27" i="27"/>
  <c r="Q27" i="27" s="1"/>
  <c r="O315" i="27"/>
  <c r="R315" i="27" s="1"/>
  <c r="N315" i="27"/>
  <c r="Q315" i="27" s="1"/>
  <c r="O1061" i="27"/>
  <c r="R1061" i="27" s="1"/>
  <c r="N1061" i="27"/>
  <c r="Q1061" i="27" s="1"/>
  <c r="O810" i="27"/>
  <c r="R810" i="27" s="1"/>
  <c r="N810" i="27"/>
  <c r="Q810" i="27" s="1"/>
  <c r="O77" i="27"/>
  <c r="R77" i="27" s="1"/>
  <c r="N77" i="27"/>
  <c r="Q77" i="27" s="1"/>
  <c r="O99" i="27"/>
  <c r="R99" i="27" s="1"/>
  <c r="N99" i="27"/>
  <c r="Q99" i="27" s="1"/>
  <c r="O100" i="27"/>
  <c r="R100" i="27" s="1"/>
  <c r="N100" i="27"/>
  <c r="Q100" i="27" s="1"/>
  <c r="O94" i="27"/>
  <c r="R94" i="27" s="1"/>
  <c r="N94" i="27"/>
  <c r="Q94" i="27" s="1"/>
  <c r="O357" i="27"/>
  <c r="R357" i="27" s="1"/>
  <c r="N357" i="27"/>
  <c r="Q357" i="27" s="1"/>
  <c r="O986" i="27"/>
  <c r="R986" i="27" s="1"/>
  <c r="N986" i="27"/>
  <c r="Q986" i="27" s="1"/>
  <c r="O43" i="27"/>
  <c r="R43" i="27" s="1"/>
  <c r="N43" i="27"/>
  <c r="Q43" i="27" s="1"/>
  <c r="O987" i="27"/>
  <c r="R987" i="27" s="1"/>
  <c r="N987" i="27"/>
  <c r="Q987" i="27" s="1"/>
  <c r="O1037" i="27"/>
  <c r="R1037" i="27" s="1"/>
  <c r="N1037" i="27"/>
  <c r="Q1037" i="27" s="1"/>
  <c r="O1038" i="27"/>
  <c r="R1038" i="27" s="1"/>
  <c r="N1038" i="27"/>
  <c r="Q1038" i="27" s="1"/>
  <c r="O206" i="27"/>
  <c r="R206" i="27" s="1"/>
  <c r="N206" i="27"/>
  <c r="Q206" i="27" s="1"/>
  <c r="O207" i="27"/>
  <c r="R207" i="27" s="1"/>
  <c r="N207" i="27"/>
  <c r="Q207" i="27" s="1"/>
  <c r="O97" i="27"/>
  <c r="R97" i="27" s="1"/>
  <c r="N97" i="27"/>
  <c r="Q97" i="27" s="1"/>
  <c r="O98" i="27"/>
  <c r="R98" i="27" s="1"/>
  <c r="N98" i="27"/>
  <c r="Q98" i="27" s="1"/>
  <c r="O274" i="27"/>
  <c r="R274" i="27" s="1"/>
  <c r="N274" i="27"/>
  <c r="Q274" i="27" s="1"/>
  <c r="O275" i="27"/>
  <c r="R275" i="27" s="1"/>
  <c r="N275" i="27"/>
  <c r="Q275" i="27" s="1"/>
  <c r="O58" i="27"/>
  <c r="R58" i="27" s="1"/>
  <c r="N58" i="27"/>
  <c r="Q58" i="27" s="1"/>
  <c r="O59" i="27"/>
  <c r="R59" i="27" s="1"/>
  <c r="N59" i="27"/>
  <c r="Q59" i="27" s="1"/>
  <c r="O429" i="27"/>
  <c r="R429" i="27" s="1"/>
  <c r="N429" i="27"/>
  <c r="Q429" i="27" s="1"/>
  <c r="O430" i="27"/>
  <c r="R430" i="27" s="1"/>
  <c r="N430" i="27"/>
  <c r="Q430" i="27" s="1"/>
  <c r="O994" i="27"/>
  <c r="R994" i="27" s="1"/>
  <c r="N994" i="27"/>
  <c r="Q994" i="27" s="1"/>
  <c r="O995" i="27"/>
  <c r="R995" i="27" s="1"/>
  <c r="N995" i="27"/>
  <c r="Q995" i="27" s="1"/>
  <c r="O840" i="27"/>
  <c r="R840" i="27" s="1"/>
  <c r="N840" i="27"/>
  <c r="Q840" i="27" s="1"/>
  <c r="O944" i="27"/>
  <c r="R944" i="27" s="1"/>
  <c r="N944" i="27"/>
  <c r="Q944" i="27" s="1"/>
  <c r="O193" i="27"/>
  <c r="R193" i="27" s="1"/>
  <c r="N193" i="27"/>
  <c r="Q193" i="27" s="1"/>
  <c r="O568" i="27"/>
  <c r="R568" i="27" s="1"/>
  <c r="N568" i="27"/>
  <c r="Q568" i="27" s="1"/>
  <c r="O569" i="27"/>
  <c r="R569" i="27" s="1"/>
  <c r="N569" i="27"/>
  <c r="Q569" i="27" s="1"/>
  <c r="O1099" i="27"/>
  <c r="R1099" i="27" s="1"/>
  <c r="N1099" i="27"/>
  <c r="Q1099" i="27" s="1"/>
  <c r="O432" i="27"/>
  <c r="R432" i="27" s="1"/>
  <c r="N432" i="27"/>
  <c r="Q432" i="27" s="1"/>
  <c r="O301" i="27"/>
  <c r="R301" i="27" s="1"/>
  <c r="N301" i="27"/>
  <c r="Q301" i="27" s="1"/>
  <c r="O992" i="27"/>
  <c r="R992" i="27" s="1"/>
  <c r="N992" i="27"/>
  <c r="Q992" i="27" s="1"/>
  <c r="O993" i="27"/>
  <c r="R993" i="27" s="1"/>
  <c r="N993" i="27"/>
  <c r="Q993" i="27" s="1"/>
  <c r="O16" i="27"/>
  <c r="R16" i="27" s="1"/>
  <c r="N16" i="27"/>
  <c r="Q16" i="27" s="1"/>
  <c r="O431" i="27"/>
  <c r="R431" i="27" s="1"/>
  <c r="N431" i="27"/>
  <c r="Q431" i="27" s="1"/>
  <c r="O1053" i="27"/>
  <c r="R1053" i="27" s="1"/>
  <c r="N1053" i="27"/>
  <c r="Q1053" i="27" s="1"/>
  <c r="O586" i="27"/>
  <c r="R586" i="27" s="1"/>
  <c r="N586" i="27"/>
  <c r="Q586" i="27" s="1"/>
  <c r="O588" i="27"/>
  <c r="R588" i="27" s="1"/>
  <c r="N588" i="27"/>
  <c r="Q588" i="27" s="1"/>
  <c r="O1052" i="27"/>
  <c r="R1052" i="27" s="1"/>
  <c r="N1052" i="27"/>
  <c r="Q1052" i="27" s="1"/>
  <c r="O979" i="27"/>
  <c r="R979" i="27" s="1"/>
  <c r="N979" i="27"/>
  <c r="Q979" i="27" s="1"/>
  <c r="O980" i="27"/>
  <c r="R980" i="27" s="1"/>
  <c r="N980" i="27"/>
  <c r="Q980" i="27" s="1"/>
  <c r="O585" i="27"/>
  <c r="R585" i="27" s="1"/>
  <c r="N585" i="27"/>
  <c r="Q585" i="27" s="1"/>
  <c r="O587" i="27"/>
  <c r="R587" i="27" s="1"/>
  <c r="N587" i="27"/>
  <c r="Q587" i="27" s="1"/>
  <c r="O543" i="27"/>
  <c r="R543" i="27" s="1"/>
  <c r="N543" i="27"/>
  <c r="Q543" i="27" s="1"/>
  <c r="O156" i="27"/>
  <c r="R156" i="27" s="1"/>
  <c r="N156" i="27"/>
  <c r="Q156" i="27" s="1"/>
  <c r="O157" i="27"/>
  <c r="R157" i="27" s="1"/>
  <c r="N157" i="27"/>
  <c r="Q157" i="27" s="1"/>
  <c r="O1112" i="27"/>
  <c r="R1112" i="27" s="1"/>
  <c r="N1112" i="27"/>
  <c r="Q1112" i="27" s="1"/>
  <c r="O668" i="27"/>
  <c r="R668" i="27" s="1"/>
  <c r="N668" i="27"/>
  <c r="Q668" i="27" s="1"/>
  <c r="O201" i="27"/>
  <c r="R201" i="27" s="1"/>
  <c r="N201" i="27"/>
  <c r="Q201" i="27" s="1"/>
  <c r="O200" i="27"/>
  <c r="R200" i="27" s="1"/>
  <c r="N200" i="27"/>
  <c r="Q200" i="27" s="1"/>
  <c r="O913" i="27"/>
  <c r="R913" i="27" s="1"/>
  <c r="N913" i="27"/>
  <c r="Q913" i="27" s="1"/>
  <c r="O914" i="27"/>
  <c r="R914" i="27" s="1"/>
  <c r="N914" i="27"/>
  <c r="Q914" i="27" s="1"/>
  <c r="O33" i="27"/>
  <c r="R33" i="27" s="1"/>
  <c r="N33" i="27"/>
  <c r="Q33" i="27" s="1"/>
  <c r="O749" i="27"/>
  <c r="R749" i="27" s="1"/>
  <c r="N749" i="27"/>
  <c r="Q749" i="27" s="1"/>
  <c r="O184" i="27"/>
  <c r="R184" i="27" s="1"/>
  <c r="N184" i="27"/>
  <c r="Q184" i="27" s="1"/>
  <c r="O183" i="27"/>
  <c r="R183" i="27" s="1"/>
  <c r="N183" i="27"/>
  <c r="Q183" i="27" s="1"/>
  <c r="O1047" i="27"/>
  <c r="R1047" i="27" s="1"/>
  <c r="N1047" i="27"/>
  <c r="Q1047" i="27" s="1"/>
  <c r="O563" i="27"/>
  <c r="R563" i="27" s="1"/>
  <c r="N563" i="27"/>
  <c r="Q563" i="27" s="1"/>
  <c r="O565" i="27"/>
  <c r="R565" i="27" s="1"/>
  <c r="N565" i="27"/>
  <c r="Q565" i="27" s="1"/>
  <c r="O612" i="27"/>
  <c r="R612" i="27" s="1"/>
  <c r="N612" i="27"/>
  <c r="Q612" i="27" s="1"/>
  <c r="O613" i="27"/>
  <c r="R613" i="27" s="1"/>
  <c r="N613" i="27"/>
  <c r="Q613" i="27" s="1"/>
  <c r="O954" i="27"/>
  <c r="R954" i="27" s="1"/>
  <c r="N954" i="27"/>
  <c r="Q954" i="27" s="1"/>
  <c r="O956" i="27"/>
  <c r="R956" i="27" s="1"/>
  <c r="N956" i="27"/>
  <c r="Q956" i="27" s="1"/>
  <c r="O748" i="27"/>
  <c r="R748" i="27" s="1"/>
  <c r="N748" i="27"/>
  <c r="Q748" i="27" s="1"/>
  <c r="O407" i="27"/>
  <c r="R407" i="27" s="1"/>
  <c r="N407" i="27"/>
  <c r="Q407" i="27" s="1"/>
  <c r="O1137" i="27"/>
  <c r="R1137" i="27" s="1"/>
  <c r="N1137" i="27"/>
  <c r="Q1137" i="27" s="1"/>
  <c r="O1138" i="27"/>
  <c r="R1138" i="27" s="1"/>
  <c r="N1138" i="27"/>
  <c r="Q1138" i="27" s="1"/>
  <c r="O1004" i="27"/>
  <c r="R1004" i="27" s="1"/>
  <c r="N1004" i="27"/>
  <c r="Q1004" i="27" s="1"/>
  <c r="O208" i="27"/>
  <c r="R208" i="27" s="1"/>
  <c r="N208" i="27"/>
  <c r="Q208" i="27" s="1"/>
  <c r="O209" i="27"/>
  <c r="R209" i="27" s="1"/>
  <c r="N209" i="27"/>
  <c r="Q209" i="27" s="1"/>
  <c r="O498" i="27"/>
  <c r="R498" i="27" s="1"/>
  <c r="N498" i="27"/>
  <c r="Q498" i="27" s="1"/>
  <c r="O641" i="27"/>
  <c r="R641" i="27" s="1"/>
  <c r="N641" i="27"/>
  <c r="Q641" i="27" s="1"/>
  <c r="O642" i="27"/>
  <c r="R642" i="27" s="1"/>
  <c r="N642" i="27"/>
  <c r="Q642" i="27" s="1"/>
  <c r="O494" i="27"/>
  <c r="R494" i="27" s="1"/>
  <c r="N494" i="27"/>
  <c r="Q494" i="27" s="1"/>
  <c r="O379" i="27"/>
  <c r="R379" i="27" s="1"/>
  <c r="N379" i="27"/>
  <c r="Q379" i="27" s="1"/>
  <c r="O514" i="27"/>
  <c r="R514" i="27" s="1"/>
  <c r="N514" i="27"/>
  <c r="Q514" i="27" s="1"/>
  <c r="O764" i="27"/>
  <c r="R764" i="27" s="1"/>
  <c r="N764" i="27"/>
  <c r="Q764" i="27" s="1"/>
  <c r="O765" i="27"/>
  <c r="R765" i="27" s="1"/>
  <c r="N765" i="27"/>
  <c r="Q765" i="27" s="1"/>
  <c r="O493" i="27"/>
  <c r="R493" i="27" s="1"/>
  <c r="N493" i="27"/>
  <c r="Q493" i="27" s="1"/>
  <c r="O492" i="27"/>
  <c r="R492" i="27" s="1"/>
  <c r="N492" i="27"/>
  <c r="Q492" i="27" s="1"/>
  <c r="O460" i="27"/>
  <c r="R460" i="27" s="1"/>
  <c r="N460" i="27"/>
  <c r="Q460" i="27" s="1"/>
  <c r="O462" i="27"/>
  <c r="R462" i="27" s="1"/>
  <c r="N462" i="27"/>
  <c r="Q462" i="27" s="1"/>
  <c r="O1046" i="27"/>
  <c r="R1046" i="27" s="1"/>
  <c r="N1046" i="27"/>
  <c r="Q1046" i="27" s="1"/>
  <c r="O791" i="27"/>
  <c r="R791" i="27" s="1"/>
  <c r="N791" i="27"/>
  <c r="Q791" i="27" s="1"/>
  <c r="O562" i="27"/>
  <c r="R562" i="27" s="1"/>
  <c r="N562" i="27"/>
  <c r="Q562" i="27" s="1"/>
  <c r="O564" i="27"/>
  <c r="R564" i="27" s="1"/>
  <c r="N564" i="27"/>
  <c r="Q564" i="27" s="1"/>
  <c r="O846" i="27"/>
  <c r="R846" i="27" s="1"/>
  <c r="N846" i="27"/>
  <c r="Q846" i="27" s="1"/>
  <c r="O387" i="27"/>
  <c r="R387" i="27" s="1"/>
  <c r="N387" i="27"/>
  <c r="Q387" i="27" s="1"/>
  <c r="O485" i="27"/>
  <c r="R485" i="27" s="1"/>
  <c r="N485" i="27"/>
  <c r="Q485" i="27" s="1"/>
  <c r="O171" i="27"/>
  <c r="R171" i="27" s="1"/>
  <c r="N171" i="27"/>
  <c r="Q171" i="27" s="1"/>
  <c r="O173" i="27"/>
  <c r="R173" i="27" s="1"/>
  <c r="N173" i="27"/>
  <c r="Q173" i="27" s="1"/>
  <c r="O724" i="27"/>
  <c r="R724" i="27" s="1"/>
  <c r="N724" i="27"/>
  <c r="Q724" i="27" s="1"/>
  <c r="O726" i="27"/>
  <c r="R726" i="27" s="1"/>
  <c r="N726" i="27"/>
  <c r="Q726" i="27" s="1"/>
  <c r="O84" i="27"/>
  <c r="R84" i="27" s="1"/>
  <c r="N84" i="27"/>
  <c r="Q84" i="27" s="1"/>
  <c r="O86" i="27"/>
  <c r="R86" i="27" s="1"/>
  <c r="N86" i="27"/>
  <c r="Q86" i="27" s="1"/>
  <c r="O561" i="27"/>
  <c r="R561" i="27" s="1"/>
  <c r="N561" i="27"/>
  <c r="Q561" i="27" s="1"/>
  <c r="O560" i="27"/>
  <c r="R560" i="27" s="1"/>
  <c r="N560" i="27"/>
  <c r="Q560" i="27" s="1"/>
  <c r="O491" i="27"/>
  <c r="R491" i="27" s="1"/>
  <c r="N491" i="27"/>
  <c r="Q491" i="27" s="1"/>
  <c r="O584" i="27"/>
  <c r="R584" i="27" s="1"/>
  <c r="N584" i="27"/>
  <c r="Q584" i="27" s="1"/>
  <c r="O787" i="27"/>
  <c r="R787" i="27" s="1"/>
  <c r="N787" i="27"/>
  <c r="Q787" i="27" s="1"/>
  <c r="O789" i="27"/>
  <c r="R789" i="27" s="1"/>
  <c r="N789" i="27"/>
  <c r="Q789" i="27" s="1"/>
  <c r="O796" i="27"/>
  <c r="R796" i="27" s="1"/>
  <c r="N796" i="27"/>
  <c r="Q796" i="27" s="1"/>
  <c r="O798" i="27"/>
  <c r="R798" i="27" s="1"/>
  <c r="N798" i="27"/>
  <c r="Q798" i="27" s="1"/>
  <c r="O490" i="27"/>
  <c r="R490" i="27" s="1"/>
  <c r="N490" i="27"/>
  <c r="Q490" i="27" s="1"/>
  <c r="O583" i="27"/>
  <c r="R583" i="27" s="1"/>
  <c r="N583" i="27"/>
  <c r="Q583" i="27" s="1"/>
  <c r="O786" i="27"/>
  <c r="R786" i="27" s="1"/>
  <c r="N786" i="27"/>
  <c r="Q786" i="27" s="1"/>
  <c r="O788" i="27"/>
  <c r="R788" i="27" s="1"/>
  <c r="N788" i="27"/>
  <c r="Q788" i="27" s="1"/>
  <c r="O795" i="27"/>
  <c r="R795" i="27" s="1"/>
  <c r="N795" i="27"/>
  <c r="Q795" i="27" s="1"/>
  <c r="O797" i="27"/>
  <c r="R797" i="27" s="1"/>
  <c r="N797" i="27"/>
  <c r="Q797" i="27" s="1"/>
  <c r="O728" i="27"/>
  <c r="R728" i="27" s="1"/>
  <c r="N728" i="27"/>
  <c r="Q728" i="27" s="1"/>
  <c r="O433" i="27"/>
  <c r="R433" i="27" s="1"/>
  <c r="N433" i="27"/>
  <c r="Q433" i="27" s="1"/>
  <c r="O665" i="27"/>
  <c r="R665" i="27" s="1"/>
  <c r="N665" i="27"/>
  <c r="Q665" i="27" s="1"/>
  <c r="O666" i="27"/>
  <c r="R666" i="27" s="1"/>
  <c r="N666" i="27"/>
  <c r="Q666" i="27" s="1"/>
  <c r="O461" i="27"/>
  <c r="R461" i="27" s="1"/>
  <c r="N461" i="27"/>
  <c r="Q461" i="27" s="1"/>
  <c r="O667" i="27"/>
  <c r="R667" i="27" s="1"/>
  <c r="N667" i="27"/>
  <c r="Q667" i="27" s="1"/>
  <c r="O1045" i="27"/>
  <c r="R1045" i="27" s="1"/>
  <c r="N1045" i="27"/>
  <c r="Q1045" i="27" s="1"/>
  <c r="O790" i="27"/>
  <c r="R790" i="27" s="1"/>
  <c r="N790" i="27"/>
  <c r="Q790" i="27" s="1"/>
  <c r="O953" i="27"/>
  <c r="R953" i="27" s="1"/>
  <c r="N953" i="27"/>
  <c r="Q953" i="27" s="1"/>
  <c r="O955" i="27"/>
  <c r="R955" i="27" s="1"/>
  <c r="N955" i="27"/>
  <c r="Q955" i="27" s="1"/>
  <c r="O785" i="27"/>
  <c r="R785" i="27" s="1"/>
  <c r="N785" i="27"/>
  <c r="Q785" i="27" s="1"/>
  <c r="O727" i="27"/>
  <c r="R727" i="27" s="1"/>
  <c r="N727" i="27"/>
  <c r="Q727" i="27" s="1"/>
  <c r="O311" i="27"/>
  <c r="R311" i="27" s="1"/>
  <c r="N311" i="27"/>
  <c r="Q311" i="27" s="1"/>
  <c r="O469" i="27"/>
  <c r="R469" i="27" s="1"/>
  <c r="N469" i="27"/>
  <c r="Q469" i="27" s="1"/>
  <c r="O471" i="27"/>
  <c r="R471" i="27" s="1"/>
  <c r="N471" i="27"/>
  <c r="Q471" i="27" s="1"/>
  <c r="O310" i="27"/>
  <c r="R310" i="27" s="1"/>
  <c r="N310" i="27"/>
  <c r="Q310" i="27" s="1"/>
  <c r="O468" i="27"/>
  <c r="R468" i="27" s="1"/>
  <c r="N468" i="27"/>
  <c r="Q468" i="27" s="1"/>
  <c r="O470" i="27"/>
  <c r="R470" i="27" s="1"/>
  <c r="N470" i="27"/>
  <c r="Q470" i="27" s="1"/>
  <c r="O170" i="27"/>
  <c r="R170" i="27" s="1"/>
  <c r="N170" i="27"/>
  <c r="Q170" i="27" s="1"/>
  <c r="O484" i="27"/>
  <c r="R484" i="27" s="1"/>
  <c r="N484" i="27"/>
  <c r="Q484" i="27" s="1"/>
  <c r="O172" i="27"/>
  <c r="R172" i="27" s="1"/>
  <c r="N172" i="27"/>
  <c r="Q172" i="27" s="1"/>
  <c r="O214" i="27"/>
  <c r="R214" i="27" s="1"/>
  <c r="N214" i="27"/>
  <c r="Q214" i="27" s="1"/>
  <c r="O216" i="27"/>
  <c r="R216" i="27" s="1"/>
  <c r="N216" i="27"/>
  <c r="Q216" i="27" s="1"/>
  <c r="O483" i="27"/>
  <c r="R483" i="27" s="1"/>
  <c r="N483" i="27"/>
  <c r="Q483" i="27" s="1"/>
  <c r="O723" i="27"/>
  <c r="R723" i="27" s="1"/>
  <c r="N723" i="27"/>
  <c r="Q723" i="27" s="1"/>
  <c r="O725" i="27"/>
  <c r="R725" i="27" s="1"/>
  <c r="N725" i="27"/>
  <c r="Q725" i="27" s="1"/>
  <c r="O213" i="27"/>
  <c r="R213" i="27" s="1"/>
  <c r="N213" i="27"/>
  <c r="Q213" i="27" s="1"/>
  <c r="O215" i="27"/>
  <c r="R215" i="27" s="1"/>
  <c r="N215" i="27"/>
  <c r="Q215" i="27" s="1"/>
  <c r="O85" i="27"/>
  <c r="R85" i="27" s="1"/>
  <c r="N85" i="27"/>
  <c r="Q85" i="27" s="1"/>
  <c r="O942" i="27"/>
  <c r="R942" i="27" s="1"/>
  <c r="N942" i="27"/>
  <c r="Q942" i="27" s="1"/>
  <c r="O572" i="27"/>
  <c r="R572" i="27" s="1"/>
  <c r="N572" i="27"/>
  <c r="Q572" i="27" s="1"/>
  <c r="O458" i="27"/>
  <c r="R458" i="27" s="1"/>
  <c r="N458" i="27"/>
  <c r="Q458" i="27" s="1"/>
  <c r="O459" i="27"/>
  <c r="R459" i="27" s="1"/>
  <c r="N459" i="27"/>
  <c r="Q459" i="27" s="1"/>
  <c r="O768" i="27"/>
  <c r="R768" i="27" s="1"/>
  <c r="N768" i="27"/>
  <c r="Q768" i="27" s="1"/>
  <c r="O404" i="27"/>
  <c r="R404" i="27" s="1"/>
  <c r="N404" i="27"/>
  <c r="Q404" i="27" s="1"/>
  <c r="O1016" i="27"/>
  <c r="R1016" i="27" s="1"/>
  <c r="N1016" i="27"/>
  <c r="Q1016" i="27" s="1"/>
  <c r="O556" i="27"/>
  <c r="R556" i="27" s="1"/>
  <c r="N556" i="27"/>
  <c r="Q556" i="27" s="1"/>
  <c r="O80" i="27"/>
  <c r="R80" i="27" s="1"/>
  <c r="N80" i="27"/>
  <c r="Q80" i="27" s="1"/>
  <c r="O134" i="27"/>
  <c r="R134" i="27" s="1"/>
  <c r="N134" i="27"/>
  <c r="Q134" i="27" s="1"/>
  <c r="O79" i="27"/>
  <c r="R79" i="27" s="1"/>
  <c r="N79" i="27"/>
  <c r="Q79" i="27" s="1"/>
  <c r="O865" i="27"/>
  <c r="R865" i="27" s="1"/>
  <c r="N865" i="27"/>
  <c r="Q865" i="27" s="1"/>
  <c r="O850" i="27"/>
  <c r="R850" i="27" s="1"/>
  <c r="N850" i="27"/>
  <c r="Q850" i="27" s="1"/>
  <c r="O843" i="27"/>
  <c r="R843" i="27" s="1"/>
  <c r="N843" i="27"/>
  <c r="Q843" i="27" s="1"/>
  <c r="O678" i="27"/>
  <c r="R678" i="27" s="1"/>
  <c r="N678" i="27"/>
  <c r="Q678" i="27" s="1"/>
  <c r="O647" i="27"/>
  <c r="R647" i="27" s="1"/>
  <c r="N647" i="27"/>
  <c r="Q647" i="27" s="1"/>
  <c r="O747" i="27"/>
  <c r="R747" i="27" s="1"/>
  <c r="N747" i="27"/>
  <c r="Q747" i="27" s="1"/>
  <c r="O767" i="27"/>
  <c r="R767" i="27" s="1"/>
  <c r="N767" i="27"/>
  <c r="Q767" i="27" s="1"/>
  <c r="O373" i="27"/>
  <c r="R373" i="27" s="1"/>
  <c r="N373" i="27"/>
  <c r="Q373" i="27" s="1"/>
  <c r="O403" i="27"/>
  <c r="R403" i="27" s="1"/>
  <c r="N403" i="27"/>
  <c r="Q403" i="27" s="1"/>
  <c r="O386" i="27"/>
  <c r="R386" i="27" s="1"/>
  <c r="N386" i="27"/>
  <c r="Q386" i="27" s="1"/>
  <c r="O385" i="27"/>
  <c r="R385" i="27" s="1"/>
  <c r="N385" i="27"/>
  <c r="Q385" i="27" s="1"/>
  <c r="O124" i="27"/>
  <c r="R124" i="27" s="1"/>
  <c r="N124" i="27"/>
  <c r="Q124" i="27" s="1"/>
  <c r="O125" i="27"/>
  <c r="R125" i="27" s="1"/>
  <c r="N125" i="27"/>
  <c r="Q125" i="27" s="1"/>
  <c r="O1085" i="27"/>
  <c r="R1085" i="27" s="1"/>
  <c r="N1085" i="27"/>
  <c r="Q1085" i="27" s="1"/>
  <c r="O1044" i="27"/>
  <c r="R1044" i="27" s="1"/>
  <c r="N1044" i="27"/>
  <c r="Q1044" i="27" s="1"/>
  <c r="O838" i="27"/>
  <c r="R838" i="27" s="1"/>
  <c r="N838" i="27"/>
  <c r="Q838" i="27" s="1"/>
  <c r="O839" i="27"/>
  <c r="R839" i="27" s="1"/>
  <c r="N839" i="27"/>
  <c r="Q839" i="27" s="1"/>
  <c r="O394" i="27"/>
  <c r="R394" i="27" s="1"/>
  <c r="N394" i="27"/>
  <c r="Q394" i="27" s="1"/>
  <c r="O395" i="27"/>
  <c r="R395" i="27" s="1"/>
  <c r="N395" i="27"/>
  <c r="Q395" i="27" s="1"/>
  <c r="O416" i="27"/>
  <c r="R416" i="27" s="1"/>
  <c r="N416" i="27"/>
  <c r="Q416" i="27" s="1"/>
  <c r="O883" i="27"/>
  <c r="R883" i="27" s="1"/>
  <c r="N883" i="27"/>
  <c r="Q883" i="27" s="1"/>
  <c r="O885" i="27"/>
  <c r="R885" i="27" s="1"/>
  <c r="N885" i="27"/>
  <c r="Q885" i="27" s="1"/>
  <c r="O538" i="27"/>
  <c r="R538" i="27" s="1"/>
  <c r="N538" i="27"/>
  <c r="Q538" i="27" s="1"/>
  <c r="O540" i="27"/>
  <c r="R540" i="27" s="1"/>
  <c r="N540" i="27"/>
  <c r="Q540" i="27" s="1"/>
  <c r="O415" i="27"/>
  <c r="R415" i="27" s="1"/>
  <c r="N415" i="27"/>
  <c r="Q415" i="27" s="1"/>
  <c r="O399" i="27"/>
  <c r="R399" i="27" s="1"/>
  <c r="N399" i="27"/>
  <c r="Q399" i="27" s="1"/>
  <c r="O537" i="27"/>
  <c r="R537" i="27" s="1"/>
  <c r="N537" i="27"/>
  <c r="Q537" i="27" s="1"/>
  <c r="O539" i="27"/>
  <c r="R539" i="27" s="1"/>
  <c r="N539" i="27"/>
  <c r="Q539" i="27" s="1"/>
  <c r="O398" i="27"/>
  <c r="R398" i="27" s="1"/>
  <c r="N398" i="27"/>
  <c r="Q398" i="27" s="1"/>
  <c r="O882" i="27"/>
  <c r="R882" i="27" s="1"/>
  <c r="N882" i="27"/>
  <c r="Q882" i="27" s="1"/>
  <c r="O884" i="27"/>
  <c r="R884" i="27" s="1"/>
  <c r="N884" i="27"/>
  <c r="Q884" i="27" s="1"/>
  <c r="E9" i="30" l="1"/>
  <c r="S179" i="39" s="1"/>
  <c r="S266" i="39"/>
  <c r="T266" i="39" s="1"/>
  <c r="S267" i="39"/>
  <c r="T267" i="39" s="1"/>
  <c r="S268" i="39"/>
  <c r="T268" i="39" s="1"/>
  <c r="S269" i="39"/>
  <c r="T269" i="39" s="1"/>
  <c r="S270" i="39"/>
  <c r="T270" i="39" s="1"/>
  <c r="S271" i="39"/>
  <c r="T271" i="39" s="1"/>
  <c r="S272" i="39"/>
  <c r="T272" i="39" s="1"/>
  <c r="S265" i="39"/>
  <c r="T265" i="39" s="1"/>
  <c r="S264" i="39"/>
  <c r="T264" i="39" s="1"/>
  <c r="S263" i="39"/>
  <c r="T263" i="39" s="1"/>
  <c r="S262" i="39"/>
  <c r="T262" i="39" s="1"/>
  <c r="S259" i="39"/>
  <c r="T259" i="39" s="1"/>
  <c r="S260" i="39"/>
  <c r="T260" i="39" s="1"/>
  <c r="S261" i="39"/>
  <c r="T261" i="39" s="1"/>
  <c r="S257" i="39"/>
  <c r="T257" i="39" s="1"/>
  <c r="S258" i="39"/>
  <c r="T258" i="39" s="1"/>
  <c r="S181" i="39" l="1"/>
  <c r="T181" i="39" s="1"/>
  <c r="S182" i="39"/>
  <c r="T182" i="39" s="1"/>
  <c r="S184" i="39"/>
  <c r="T184" i="39" s="1"/>
  <c r="S185" i="39"/>
  <c r="T185" i="39" s="1"/>
  <c r="S186" i="39"/>
  <c r="T186" i="39" s="1"/>
  <c r="S188" i="39"/>
  <c r="T188" i="39" s="1"/>
  <c r="S200" i="39"/>
  <c r="T200" i="39" s="1"/>
  <c r="S192" i="39"/>
  <c r="T192" i="39" s="1"/>
  <c r="S194" i="39"/>
  <c r="T194" i="39" s="1"/>
  <c r="S195" i="39"/>
  <c r="T195" i="39" s="1"/>
  <c r="S196" i="39"/>
  <c r="T196" i="39" s="1"/>
  <c r="S197" i="39"/>
  <c r="T197" i="39" s="1"/>
  <c r="S230" i="39"/>
  <c r="T230" i="39" s="1"/>
  <c r="S199" i="39"/>
  <c r="T199" i="39" s="1"/>
  <c r="S201" i="39"/>
  <c r="T201" i="39" s="1"/>
  <c r="S202" i="39"/>
  <c r="T202" i="39" s="1"/>
  <c r="S203" i="39"/>
  <c r="T203" i="39" s="1"/>
  <c r="S204" i="39"/>
  <c r="T204" i="39" s="1"/>
  <c r="S205" i="39"/>
  <c r="T205" i="39" s="1"/>
  <c r="S206" i="39"/>
  <c r="T206" i="39" s="1"/>
  <c r="S207" i="39"/>
  <c r="T207" i="39" s="1"/>
  <c r="S208" i="39"/>
  <c r="T208" i="39" s="1"/>
  <c r="S209" i="39"/>
  <c r="T209" i="39" s="1"/>
  <c r="S226" i="39"/>
  <c r="T226" i="39" s="1"/>
  <c r="S254" i="39"/>
  <c r="T254" i="39" s="1"/>
  <c r="S187" i="39"/>
  <c r="T187" i="39" s="1"/>
  <c r="S210" i="39"/>
  <c r="T210" i="39" s="1"/>
  <c r="S227" i="39"/>
  <c r="T227" i="39" s="1"/>
  <c r="S193" i="39"/>
  <c r="T193" i="39" s="1"/>
  <c r="S228" i="39"/>
  <c r="T228" i="39" s="1"/>
  <c r="S211" i="39"/>
  <c r="T211" i="39" s="1"/>
  <c r="S256" i="39"/>
  <c r="T256" i="39" s="1"/>
  <c r="S178" i="39"/>
  <c r="T178" i="39" s="1"/>
  <c r="S243" i="39"/>
  <c r="T243" i="39" s="1"/>
  <c r="S215" i="39"/>
  <c r="T215" i="39" s="1"/>
  <c r="S216" i="39"/>
  <c r="T216" i="39" s="1"/>
  <c r="S217" i="39"/>
  <c r="T217" i="39" s="1"/>
  <c r="S218" i="39"/>
  <c r="T218" i="39" s="1"/>
  <c r="S221" i="39"/>
  <c r="T221" i="39" s="1"/>
  <c r="S222" i="39"/>
  <c r="T222" i="39" s="1"/>
  <c r="S231" i="39"/>
  <c r="T231" i="39" s="1"/>
  <c r="S223" i="39"/>
  <c r="T223" i="39" s="1"/>
  <c r="S224" i="39"/>
  <c r="T224" i="39" s="1"/>
  <c r="S183" i="39"/>
  <c r="T183" i="39" s="1"/>
  <c r="S232" i="39"/>
  <c r="T232" i="39" s="1"/>
  <c r="S191" i="39"/>
  <c r="T191" i="39" s="1"/>
  <c r="S233" i="39"/>
  <c r="T233" i="39" s="1"/>
  <c r="S190" i="39"/>
  <c r="T190" i="39" s="1"/>
  <c r="S234" i="39"/>
  <c r="T234" i="39" s="1"/>
  <c r="S189" i="39"/>
  <c r="T189" i="39" s="1"/>
  <c r="S212" i="39"/>
  <c r="T212" i="39" s="1"/>
  <c r="S225" i="39"/>
  <c r="T225" i="39" s="1"/>
  <c r="S237" i="39"/>
  <c r="T237" i="39" s="1"/>
  <c r="S236" i="39"/>
  <c r="T236" i="39" s="1"/>
  <c r="S219" i="39"/>
  <c r="T219" i="39" s="1"/>
  <c r="S239" i="39"/>
  <c r="T239" i="39" s="1"/>
  <c r="S241" i="39"/>
  <c r="T241" i="39" s="1"/>
  <c r="S242" i="39"/>
  <c r="T242" i="39" s="1"/>
  <c r="S244" i="39"/>
  <c r="T244" i="39" s="1"/>
  <c r="S180" i="39"/>
  <c r="T180" i="39" s="1"/>
  <c r="S245" i="39"/>
  <c r="T245" i="39" s="1"/>
  <c r="S229" i="39"/>
  <c r="T229" i="39" s="1"/>
  <c r="S240" i="39"/>
  <c r="T240" i="39" s="1"/>
  <c r="S246" i="39"/>
  <c r="T246" i="39" s="1"/>
  <c r="S247" i="39"/>
  <c r="T247" i="39" s="1"/>
  <c r="S248" i="39"/>
  <c r="T248" i="39" s="1"/>
  <c r="S249" i="39"/>
  <c r="T249" i="39" s="1"/>
  <c r="S250" i="39"/>
  <c r="T250" i="39" s="1"/>
  <c r="S251" i="39"/>
  <c r="T251" i="39" s="1"/>
  <c r="S252" i="39"/>
  <c r="T252" i="39" s="1"/>
  <c r="S253" i="39"/>
  <c r="T253" i="39" s="1"/>
  <c r="S214" i="39"/>
  <c r="T214" i="39" s="1"/>
  <c r="S213" i="39"/>
  <c r="T213" i="39" s="1"/>
  <c r="S220" i="39"/>
  <c r="T220" i="39" s="1"/>
  <c r="S255" i="39"/>
  <c r="T255" i="39" s="1"/>
  <c r="S198" i="39"/>
  <c r="T198" i="39" s="1"/>
  <c r="S235" i="39"/>
  <c r="T235" i="39" s="1"/>
  <c r="T179" i="39"/>
  <c r="S140" i="39"/>
  <c r="T140" i="39" s="1"/>
  <c r="S141" i="39"/>
  <c r="T141" i="39" s="1"/>
  <c r="S142" i="39"/>
  <c r="T142" i="39" s="1"/>
  <c r="S143" i="39"/>
  <c r="T143" i="39" s="1"/>
  <c r="S144" i="39"/>
  <c r="T144" i="39" s="1"/>
  <c r="S145" i="39"/>
  <c r="T145" i="39" s="1"/>
  <c r="S146" i="39"/>
  <c r="T146" i="39" s="1"/>
  <c r="S147" i="39"/>
  <c r="T147" i="39" s="1"/>
  <c r="S148" i="39"/>
  <c r="T148" i="39" s="1"/>
  <c r="S149" i="39"/>
  <c r="T149" i="39" s="1"/>
  <c r="S150" i="39"/>
  <c r="T150" i="39" s="1"/>
  <c r="S151" i="39"/>
  <c r="T151" i="39" s="1"/>
  <c r="S152" i="39"/>
  <c r="T152" i="39" s="1"/>
  <c r="S153" i="39"/>
  <c r="T153" i="39" s="1"/>
  <c r="S154" i="39"/>
  <c r="T154" i="39" s="1"/>
  <c r="S155" i="39"/>
  <c r="T155" i="39" s="1"/>
  <c r="S156" i="39"/>
  <c r="T156" i="39" s="1"/>
  <c r="S157" i="39"/>
  <c r="T157" i="39" s="1"/>
  <c r="S158" i="39"/>
  <c r="T158" i="39" s="1"/>
  <c r="S159" i="39"/>
  <c r="T159" i="39" s="1"/>
  <c r="S160" i="39"/>
  <c r="T160" i="39" s="1"/>
  <c r="S161" i="39"/>
  <c r="T161" i="39" s="1"/>
  <c r="S162" i="39"/>
  <c r="T162" i="39" s="1"/>
  <c r="S163" i="39"/>
  <c r="T163" i="39" s="1"/>
  <c r="S164" i="39"/>
  <c r="T164" i="39" s="1"/>
  <c r="S165" i="39"/>
  <c r="T165" i="39" s="1"/>
  <c r="S166" i="39"/>
  <c r="T166" i="39" s="1"/>
  <c r="S167" i="39"/>
  <c r="T167" i="39" s="1"/>
  <c r="S168" i="39"/>
  <c r="T168" i="39" s="1"/>
  <c r="S169" i="39"/>
  <c r="T169" i="39" s="1"/>
  <c r="S170" i="39"/>
  <c r="T170" i="39" s="1"/>
  <c r="S171" i="39"/>
  <c r="T171" i="39" s="1"/>
  <c r="S172" i="39"/>
  <c r="T172" i="39" s="1"/>
  <c r="S173" i="39"/>
  <c r="T173" i="39" s="1"/>
  <c r="S174" i="39"/>
  <c r="T174" i="39" s="1"/>
  <c r="S175" i="39"/>
  <c r="T175" i="39" s="1"/>
  <c r="S176" i="39"/>
  <c r="T176" i="39" s="1"/>
  <c r="S177" i="39"/>
  <c r="T177" i="39" s="1"/>
  <c r="S139" i="39"/>
  <c r="T139" i="39" s="1"/>
  <c r="S52" i="39"/>
  <c r="T52" i="39" s="1"/>
  <c r="S53" i="39"/>
  <c r="T53" i="39" s="1"/>
  <c r="S54" i="39"/>
  <c r="T54" i="39" s="1"/>
  <c r="S55" i="39"/>
  <c r="T55" i="39" s="1"/>
  <c r="S56" i="39"/>
  <c r="T56" i="39" s="1"/>
  <c r="S57" i="39"/>
  <c r="T57" i="39" s="1"/>
  <c r="S111" i="39"/>
  <c r="T111" i="39" s="1"/>
  <c r="S58" i="39"/>
  <c r="T58" i="39" s="1"/>
  <c r="S59" i="39"/>
  <c r="T59" i="39" s="1"/>
  <c r="S60" i="39"/>
  <c r="T60" i="39" s="1"/>
  <c r="S61" i="39"/>
  <c r="T61" i="39" s="1"/>
  <c r="S62" i="39"/>
  <c r="T62" i="39" s="1"/>
  <c r="S63" i="39"/>
  <c r="T63" i="39" s="1"/>
  <c r="S64" i="39"/>
  <c r="T64" i="39" s="1"/>
  <c r="S65" i="39"/>
  <c r="T65" i="39" s="1"/>
  <c r="S66" i="39"/>
  <c r="T66" i="39" s="1"/>
  <c r="S67" i="39"/>
  <c r="T67" i="39" s="1"/>
  <c r="S68" i="39"/>
  <c r="T68" i="39" s="1"/>
  <c r="S69" i="39"/>
  <c r="T69" i="39" s="1"/>
  <c r="S70" i="39"/>
  <c r="T70" i="39" s="1"/>
  <c r="S71" i="39"/>
  <c r="T71" i="39" s="1"/>
  <c r="S94" i="39"/>
  <c r="T94" i="39" s="1"/>
  <c r="S72" i="39"/>
  <c r="T72" i="39" s="1"/>
  <c r="S73" i="39"/>
  <c r="T73" i="39" s="1"/>
  <c r="S74" i="39"/>
  <c r="T74" i="39" s="1"/>
  <c r="S75" i="39"/>
  <c r="T75" i="39" s="1"/>
  <c r="S76" i="39"/>
  <c r="T76" i="39" s="1"/>
  <c r="S77" i="39"/>
  <c r="T77" i="39" s="1"/>
  <c r="S79" i="39"/>
  <c r="T79" i="39" s="1"/>
  <c r="S80" i="39"/>
  <c r="T80" i="39" s="1"/>
  <c r="S78" i="39"/>
  <c r="T78" i="39" s="1"/>
  <c r="S81" i="39"/>
  <c r="T81" i="39" s="1"/>
  <c r="S82" i="39"/>
  <c r="T82" i="39" s="1"/>
  <c r="S101" i="39"/>
  <c r="T101" i="39" s="1"/>
  <c r="S102" i="39"/>
  <c r="T102" i="39" s="1"/>
  <c r="S83" i="39"/>
  <c r="T83" i="39" s="1"/>
  <c r="S84" i="39"/>
  <c r="T84" i="39" s="1"/>
  <c r="S85" i="39"/>
  <c r="T85" i="39" s="1"/>
  <c r="S86" i="39"/>
  <c r="T86" i="39" s="1"/>
  <c r="S87" i="39"/>
  <c r="T87" i="39" s="1"/>
  <c r="S88" i="39"/>
  <c r="T88" i="39" s="1"/>
  <c r="S89" i="39"/>
  <c r="T89" i="39" s="1"/>
  <c r="S90" i="39"/>
  <c r="T90" i="39" s="1"/>
  <c r="S91" i="39"/>
  <c r="T91" i="39" s="1"/>
  <c r="S92" i="39"/>
  <c r="T92" i="39" s="1"/>
  <c r="S93" i="39"/>
  <c r="T93" i="39" s="1"/>
  <c r="S95" i="39"/>
  <c r="T95" i="39" s="1"/>
  <c r="S96" i="39"/>
  <c r="T96" i="39" s="1"/>
  <c r="S97" i="39"/>
  <c r="T97" i="39" s="1"/>
  <c r="S98" i="39"/>
  <c r="T98" i="39" s="1"/>
  <c r="S99" i="39"/>
  <c r="T99" i="39" s="1"/>
  <c r="S119" i="39"/>
  <c r="T119" i="39" s="1"/>
  <c r="S100" i="39"/>
  <c r="T100" i="39" s="1"/>
  <c r="S103" i="39"/>
  <c r="T103" i="39" s="1"/>
  <c r="S104" i="39"/>
  <c r="T104" i="39" s="1"/>
  <c r="S105" i="39"/>
  <c r="T105" i="39" s="1"/>
  <c r="S106" i="39"/>
  <c r="T106" i="39" s="1"/>
  <c r="S107" i="39"/>
  <c r="T107" i="39" s="1"/>
  <c r="S108" i="39"/>
  <c r="T108" i="39" s="1"/>
  <c r="S109" i="39"/>
  <c r="T109" i="39" s="1"/>
  <c r="S110" i="39"/>
  <c r="T110" i="39" s="1"/>
  <c r="S112" i="39"/>
  <c r="T112" i="39" s="1"/>
  <c r="S113" i="39"/>
  <c r="T113" i="39" s="1"/>
  <c r="S114" i="39"/>
  <c r="T114" i="39" s="1"/>
  <c r="S115" i="39"/>
  <c r="T115" i="39" s="1"/>
  <c r="S116" i="39"/>
  <c r="T116" i="39" s="1"/>
  <c r="S117" i="39"/>
  <c r="T117" i="39" s="1"/>
  <c r="S118" i="39"/>
  <c r="T118" i="39" s="1"/>
  <c r="S120" i="39"/>
  <c r="T120" i="39" s="1"/>
  <c r="S121" i="39"/>
  <c r="T121" i="39" s="1"/>
  <c r="S122" i="39"/>
  <c r="T122" i="39" s="1"/>
  <c r="S123" i="39"/>
  <c r="T123" i="39" s="1"/>
  <c r="S124" i="39"/>
  <c r="T124" i="39" s="1"/>
  <c r="S125" i="39"/>
  <c r="T125" i="39" s="1"/>
  <c r="S126" i="39"/>
  <c r="T126" i="39" s="1"/>
  <c r="S127" i="39"/>
  <c r="T127" i="39" s="1"/>
  <c r="S128" i="39"/>
  <c r="T128" i="39" s="1"/>
  <c r="S129" i="39"/>
  <c r="T129" i="39" s="1"/>
  <c r="S130" i="39"/>
  <c r="T130" i="39" s="1"/>
  <c r="S131" i="39"/>
  <c r="T131" i="39" s="1"/>
  <c r="S132" i="39"/>
  <c r="T132" i="39" s="1"/>
  <c r="S133" i="39"/>
  <c r="T133" i="39" s="1"/>
  <c r="S134" i="39"/>
  <c r="T134" i="39" s="1"/>
  <c r="S135" i="39"/>
  <c r="T135" i="39" s="1"/>
  <c r="S136" i="39"/>
  <c r="T136" i="39" s="1"/>
  <c r="S137" i="39"/>
  <c r="T137" i="39" s="1"/>
  <c r="S138" i="39"/>
  <c r="T138" i="39" s="1"/>
  <c r="S51" i="39"/>
  <c r="T51" i="39" s="1"/>
  <c r="S11" i="39"/>
  <c r="T11" i="39" s="1"/>
  <c r="S12" i="39"/>
  <c r="T12" i="39" s="1"/>
  <c r="S13" i="39"/>
  <c r="T13" i="39" s="1"/>
  <c r="S17" i="39"/>
  <c r="T17" i="39" s="1"/>
  <c r="S45" i="39"/>
  <c r="T45" i="39" s="1"/>
  <c r="S19" i="39"/>
  <c r="T19" i="39" s="1"/>
  <c r="S48" i="39"/>
  <c r="T48" i="39" s="1"/>
  <c r="S30" i="39"/>
  <c r="T30" i="39" s="1"/>
  <c r="S31" i="39"/>
  <c r="T31" i="39" s="1"/>
  <c r="S32" i="39"/>
  <c r="T32" i="39" s="1"/>
  <c r="S20" i="39"/>
  <c r="T20" i="39" s="1"/>
  <c r="S21" i="39"/>
  <c r="T21" i="39" s="1"/>
  <c r="S22" i="39"/>
  <c r="T22" i="39" s="1"/>
  <c r="S23" i="39"/>
  <c r="T23" i="39" s="1"/>
  <c r="S25" i="39"/>
  <c r="T25" i="39" s="1"/>
  <c r="S26" i="39"/>
  <c r="T26" i="39" s="1"/>
  <c r="S27" i="39"/>
  <c r="T27" i="39" s="1"/>
  <c r="S42" i="39"/>
  <c r="T42" i="39" s="1"/>
  <c r="S44" i="39"/>
  <c r="T44" i="39" s="1"/>
  <c r="S39" i="39"/>
  <c r="T39" i="39" s="1"/>
  <c r="S24" i="39"/>
  <c r="T24" i="39" s="1"/>
  <c r="S29" i="39"/>
  <c r="T29" i="39" s="1"/>
  <c r="S15" i="39"/>
  <c r="T15" i="39" s="1"/>
  <c r="S16" i="39"/>
  <c r="T16" i="39" s="1"/>
  <c r="S33" i="39"/>
  <c r="T33" i="39" s="1"/>
  <c r="S34" i="39"/>
  <c r="T34" i="39" s="1"/>
  <c r="S37" i="39"/>
  <c r="T37" i="39" s="1"/>
  <c r="S36" i="39"/>
  <c r="T36" i="39" s="1"/>
  <c r="S18" i="39"/>
  <c r="T18" i="39" s="1"/>
  <c r="S14" i="39"/>
  <c r="T14" i="39" s="1"/>
  <c r="S40" i="39"/>
  <c r="T40" i="39" s="1"/>
  <c r="S41" i="39"/>
  <c r="T41" i="39" s="1"/>
  <c r="S38" i="39"/>
  <c r="T38" i="39" s="1"/>
  <c r="S43" i="39"/>
  <c r="T43" i="39" s="1"/>
  <c r="S10" i="39"/>
  <c r="T10" i="39" s="1"/>
  <c r="S35" i="39"/>
  <c r="T35" i="39" s="1"/>
  <c r="S47" i="39"/>
  <c r="T47" i="39" s="1"/>
  <c r="S28" i="39"/>
  <c r="T28" i="39" s="1"/>
  <c r="S50" i="39"/>
  <c r="T50" i="39" s="1"/>
  <c r="S46" i="39"/>
  <c r="T46" i="39" s="1"/>
  <c r="S49" i="39"/>
  <c r="T49" i="39" s="1"/>
  <c r="S9" i="39"/>
  <c r="T9" i="39" s="1"/>
  <c r="S7" i="39"/>
  <c r="T7" i="39" s="1"/>
  <c r="S5" i="39"/>
  <c r="T5" i="39" s="1"/>
  <c r="S4" i="39"/>
  <c r="T4" i="39" s="1"/>
  <c r="S6" i="39"/>
  <c r="T6" i="39" s="1"/>
  <c r="S8" i="39"/>
  <c r="T8" i="39" s="1"/>
  <c r="U38" i="39" l="1"/>
  <c r="U247" i="39"/>
  <c r="N247" i="39"/>
  <c r="U258" i="39" l="1"/>
  <c r="U257" i="39"/>
  <c r="N4" i="52" l="1"/>
  <c r="W20" i="45" l="1"/>
  <c r="W19" i="45" s="1"/>
  <c r="AF21" i="45"/>
  <c r="AH21" i="45" s="1"/>
  <c r="AE21" i="45"/>
  <c r="AF20" i="45"/>
  <c r="AH20" i="45" s="1"/>
  <c r="AE20" i="45"/>
  <c r="AM13" i="42"/>
  <c r="AM4" i="42"/>
  <c r="AM14" i="42"/>
  <c r="AM12" i="42"/>
  <c r="AM15" i="42"/>
  <c r="AM8" i="42"/>
  <c r="AM9" i="42"/>
  <c r="AM11" i="42"/>
  <c r="AM16" i="42"/>
  <c r="AM5" i="42"/>
  <c r="AM7" i="42"/>
  <c r="AM10" i="42"/>
  <c r="AM6" i="42"/>
  <c r="X21" i="45" l="1"/>
  <c r="Y21" i="45" s="1"/>
  <c r="X20" i="45"/>
  <c r="Y20" i="45" s="1"/>
  <c r="Z21" i="45" l="1"/>
  <c r="Z20" i="45"/>
  <c r="AA21" i="45" l="1"/>
  <c r="AB21" i="45" s="1"/>
  <c r="AC21" i="45" s="1"/>
  <c r="AD21" i="45" s="1"/>
  <c r="AA20" i="45"/>
  <c r="AB20" i="45" s="1"/>
  <c r="AC20" i="45" s="1"/>
  <c r="AD20" i="45" s="1"/>
  <c r="AE7" i="45" l="1"/>
  <c r="AE4" i="45"/>
  <c r="AE5" i="45"/>
  <c r="AE13" i="45"/>
  <c r="AE14" i="45"/>
  <c r="AE12" i="45"/>
  <c r="AE8" i="45"/>
  <c r="AE15" i="45"/>
  <c r="AE17" i="45"/>
  <c r="AE16" i="45"/>
  <c r="AE10" i="45"/>
  <c r="AE6" i="45"/>
  <c r="AE11" i="45"/>
  <c r="AE9" i="45"/>
  <c r="AL13" i="42"/>
  <c r="AL4" i="42"/>
  <c r="AL14" i="42"/>
  <c r="AN14" i="42" s="1"/>
  <c r="AL12" i="42"/>
  <c r="AL15" i="42"/>
  <c r="AL8" i="42"/>
  <c r="AL9" i="42"/>
  <c r="AL11" i="42"/>
  <c r="AL16" i="42"/>
  <c r="AL5" i="42"/>
  <c r="AN5" i="42" s="1"/>
  <c r="AL7" i="42"/>
  <c r="AL10" i="42"/>
  <c r="AL6" i="42"/>
  <c r="AN6" i="42" l="1"/>
  <c r="AN4" i="42"/>
  <c r="AN16" i="42"/>
  <c r="AN8" i="42"/>
  <c r="AN10" i="42"/>
  <c r="AN11" i="42"/>
  <c r="AN15" i="42"/>
  <c r="AN13" i="42"/>
  <c r="AN7" i="42"/>
  <c r="AN9" i="42"/>
  <c r="AN12" i="42"/>
  <c r="AF7" i="45" l="1"/>
  <c r="AH7" i="45" s="1"/>
  <c r="W7" i="45"/>
  <c r="X7" i="45" l="1"/>
  <c r="Y7" i="45" s="1"/>
  <c r="Z7" i="45" l="1"/>
  <c r="AA7" i="45" l="1"/>
  <c r="AB7" i="45" s="1"/>
  <c r="AC7" i="45" s="1"/>
  <c r="AD7" i="45" s="1"/>
  <c r="U138" i="39" l="1"/>
  <c r="U137" i="39"/>
  <c r="U136" i="39"/>
  <c r="U256" i="39"/>
  <c r="U135" i="39"/>
  <c r="U134" i="39"/>
  <c r="U133" i="39"/>
  <c r="U132" i="39"/>
  <c r="U131" i="39"/>
  <c r="U130" i="39"/>
  <c r="U129" i="39"/>
  <c r="U128" i="39"/>
  <c r="U127" i="39"/>
  <c r="U255" i="39"/>
  <c r="U126" i="39"/>
  <c r="U254" i="39"/>
  <c r="U9" i="39"/>
  <c r="U253" i="39"/>
  <c r="U252" i="39"/>
  <c r="U251" i="39"/>
  <c r="U250" i="39"/>
  <c r="U249" i="39"/>
  <c r="U125" i="39"/>
  <c r="U124" i="39"/>
  <c r="U123" i="39"/>
  <c r="U122" i="39"/>
  <c r="U121" i="39"/>
  <c r="U120" i="39"/>
  <c r="U248" i="39"/>
  <c r="U50" i="39"/>
  <c r="U49" i="39"/>
  <c r="U119" i="39"/>
  <c r="U246" i="39"/>
  <c r="U48" i="39"/>
  <c r="U245" i="39"/>
  <c r="U264" i="39"/>
  <c r="U118" i="39"/>
  <c r="U117" i="39"/>
  <c r="U244" i="39"/>
  <c r="U116" i="39"/>
  <c r="U115" i="39"/>
  <c r="U46" i="39"/>
  <c r="U243" i="39"/>
  <c r="U242" i="39"/>
  <c r="U114" i="39"/>
  <c r="U113" i="39"/>
  <c r="U112" i="39"/>
  <c r="U241" i="39"/>
  <c r="U240" i="39"/>
  <c r="U45" i="39"/>
  <c r="U239" i="39"/>
  <c r="U177" i="39"/>
  <c r="U176" i="39"/>
  <c r="U175" i="39"/>
  <c r="U174" i="39"/>
  <c r="U173" i="39"/>
  <c r="U172" i="39"/>
  <c r="U111" i="39"/>
  <c r="U272" i="39"/>
  <c r="U110" i="39"/>
  <c r="U109" i="39"/>
  <c r="U108" i="39"/>
  <c r="U107" i="39"/>
  <c r="U106" i="39"/>
  <c r="U44" i="39"/>
  <c r="U43" i="39"/>
  <c r="U237" i="39"/>
  <c r="U236" i="39"/>
  <c r="U105" i="39"/>
  <c r="U104" i="39"/>
  <c r="U103" i="39"/>
  <c r="U171" i="39"/>
  <c r="U170" i="39"/>
  <c r="U169" i="39"/>
  <c r="U168" i="39"/>
  <c r="U167" i="39"/>
  <c r="U42" i="39"/>
  <c r="U102" i="39"/>
  <c r="U101" i="39"/>
  <c r="U271" i="39"/>
  <c r="U100" i="39"/>
  <c r="U235" i="39"/>
  <c r="U263" i="39"/>
  <c r="U262" i="39"/>
  <c r="U41" i="39"/>
  <c r="U40" i="39"/>
  <c r="U234" i="39"/>
  <c r="U39" i="39"/>
  <c r="U233" i="39"/>
  <c r="U270" i="39"/>
  <c r="U166" i="39"/>
  <c r="U165" i="39"/>
  <c r="U164" i="39"/>
  <c r="U163" i="39"/>
  <c r="U37" i="39"/>
  <c r="U36" i="39"/>
  <c r="U232" i="39"/>
  <c r="U35" i="39"/>
  <c r="U231" i="39"/>
  <c r="U269" i="39"/>
  <c r="U230" i="39"/>
  <c r="U229" i="39"/>
  <c r="U162" i="39"/>
  <c r="U161" i="39"/>
  <c r="U160" i="39"/>
  <c r="U159" i="39"/>
  <c r="U158" i="39"/>
  <c r="U157" i="39"/>
  <c r="U34" i="39"/>
  <c r="U268" i="39"/>
  <c r="U228" i="39"/>
  <c r="U227" i="39"/>
  <c r="U261" i="39"/>
  <c r="U260" i="39"/>
  <c r="U226" i="39"/>
  <c r="U225" i="39"/>
  <c r="U224" i="39"/>
  <c r="U223" i="39"/>
  <c r="U222" i="39"/>
  <c r="U99" i="39"/>
  <c r="U98" i="39"/>
  <c r="U97" i="39"/>
  <c r="U221" i="39"/>
  <c r="U220" i="39"/>
  <c r="U96" i="39"/>
  <c r="U95" i="39"/>
  <c r="U219" i="39"/>
  <c r="U93" i="39"/>
  <c r="U92" i="39"/>
  <c r="U91" i="39"/>
  <c r="U218" i="39"/>
  <c r="U33" i="39"/>
  <c r="U90" i="39"/>
  <c r="U89" i="39"/>
  <c r="U88" i="39"/>
  <c r="U87" i="39"/>
  <c r="U217" i="39"/>
  <c r="U156" i="39"/>
  <c r="U155" i="39"/>
  <c r="U154" i="39"/>
  <c r="U153" i="39"/>
  <c r="U152" i="39"/>
  <c r="U151" i="39"/>
  <c r="U150" i="39"/>
  <c r="U149" i="39"/>
  <c r="U32" i="39"/>
  <c r="U31" i="39"/>
  <c r="U30" i="39"/>
  <c r="U86" i="39"/>
  <c r="U85" i="39"/>
  <c r="U84" i="39"/>
  <c r="U83" i="39"/>
  <c r="U216" i="39"/>
  <c r="U215" i="39"/>
  <c r="U259" i="39"/>
  <c r="U29" i="39"/>
  <c r="U28" i="39"/>
  <c r="U214" i="39"/>
  <c r="U213" i="39"/>
  <c r="U27" i="39"/>
  <c r="U26" i="39"/>
  <c r="U8" i="39"/>
  <c r="U212" i="39"/>
  <c r="U7" i="39"/>
  <c r="U25" i="39"/>
  <c r="U211" i="39"/>
  <c r="U24" i="39"/>
  <c r="U23" i="39"/>
  <c r="U148" i="39"/>
  <c r="U147" i="39"/>
  <c r="U146" i="39"/>
  <c r="U145" i="39"/>
  <c r="U144" i="39"/>
  <c r="U143" i="39"/>
  <c r="U142" i="39"/>
  <c r="U141" i="39"/>
  <c r="U140" i="39"/>
  <c r="U139" i="39"/>
  <c r="U210" i="39"/>
  <c r="U6" i="39"/>
  <c r="U22" i="39"/>
  <c r="U21" i="39"/>
  <c r="U20" i="39"/>
  <c r="U209" i="39"/>
  <c r="U208" i="39"/>
  <c r="U207" i="39"/>
  <c r="U206" i="39"/>
  <c r="U205" i="39"/>
  <c r="U204" i="39"/>
  <c r="U203" i="39"/>
  <c r="U202" i="39"/>
  <c r="U201" i="39"/>
  <c r="U200" i="39"/>
  <c r="U199" i="39"/>
  <c r="U82" i="39"/>
  <c r="U81" i="39"/>
  <c r="U80" i="39"/>
  <c r="U79" i="39"/>
  <c r="U78" i="39"/>
  <c r="U198" i="39"/>
  <c r="U197" i="39"/>
  <c r="U196" i="39"/>
  <c r="U195" i="39"/>
  <c r="U267" i="39"/>
  <c r="U194" i="39"/>
  <c r="U193" i="39"/>
  <c r="U192" i="39"/>
  <c r="U19" i="39"/>
  <c r="U191" i="39"/>
  <c r="U77" i="39"/>
  <c r="U76" i="39"/>
  <c r="U75" i="39"/>
  <c r="U18" i="39"/>
  <c r="U74" i="39"/>
  <c r="U190" i="39"/>
  <c r="U17" i="39"/>
  <c r="U73" i="39"/>
  <c r="U72" i="39"/>
  <c r="U16" i="39"/>
  <c r="U15" i="39"/>
  <c r="U5" i="39"/>
  <c r="U14" i="39"/>
  <c r="U13" i="39"/>
  <c r="U189" i="39"/>
  <c r="U12" i="39"/>
  <c r="U11" i="39"/>
  <c r="U266" i="39"/>
  <c r="U188" i="39"/>
  <c r="U4" i="39"/>
  <c r="U94" i="39"/>
  <c r="U71" i="39"/>
  <c r="U70" i="39"/>
  <c r="U69" i="39"/>
  <c r="U68" i="39"/>
  <c r="U67" i="39"/>
  <c r="U66" i="39"/>
  <c r="U65" i="39"/>
  <c r="U64" i="39"/>
  <c r="U63" i="39"/>
  <c r="U62" i="39"/>
  <c r="U61" i="39"/>
  <c r="U60" i="39"/>
  <c r="U59" i="39"/>
  <c r="U58" i="39"/>
  <c r="U187" i="39"/>
  <c r="U186" i="39"/>
  <c r="U185" i="39"/>
  <c r="U184" i="39"/>
  <c r="U183" i="39"/>
  <c r="U182" i="39"/>
  <c r="U181" i="39"/>
  <c r="U265" i="39"/>
  <c r="U180" i="39"/>
  <c r="U179" i="39"/>
  <c r="U57" i="39"/>
  <c r="U56" i="39"/>
  <c r="U55" i="39"/>
  <c r="U47" i="39"/>
  <c r="U54" i="39"/>
  <c r="U178" i="39"/>
  <c r="U53" i="39"/>
  <c r="U52" i="39"/>
  <c r="U51" i="39"/>
  <c r="U10" i="39"/>
  <c r="AF4" i="45"/>
  <c r="AH4" i="45" s="1"/>
  <c r="AF5" i="45"/>
  <c r="AH5" i="45" s="1"/>
  <c r="AF13" i="45"/>
  <c r="AH13" i="45" s="1"/>
  <c r="AF14" i="45"/>
  <c r="AH14" i="45" s="1"/>
  <c r="AF12" i="45"/>
  <c r="AH12" i="45" s="1"/>
  <c r="AF8" i="45"/>
  <c r="AH8" i="45" s="1"/>
  <c r="AF15" i="45"/>
  <c r="AH15" i="45" s="1"/>
  <c r="AF17" i="45"/>
  <c r="AH17" i="45" s="1"/>
  <c r="AF16" i="45"/>
  <c r="AH16" i="45" s="1"/>
  <c r="AF10" i="45"/>
  <c r="AH10" i="45" s="1"/>
  <c r="AF6" i="45"/>
  <c r="AH6" i="45" s="1"/>
  <c r="AF11" i="45"/>
  <c r="AH11" i="45" s="1"/>
  <c r="AF9" i="45"/>
  <c r="AH9" i="45" s="1"/>
  <c r="AO8" i="42"/>
  <c r="AQ8" i="42" s="1"/>
  <c r="AO10" i="42"/>
  <c r="AQ10" i="42" s="1"/>
  <c r="AO12" i="42"/>
  <c r="AQ12" i="42" s="1"/>
  <c r="AO9" i="42"/>
  <c r="AQ9" i="42" s="1"/>
  <c r="AO5" i="42"/>
  <c r="AQ5" i="42" s="1"/>
  <c r="AO7" i="42"/>
  <c r="AQ7" i="42" s="1"/>
  <c r="AO6" i="42"/>
  <c r="AQ6" i="42" s="1"/>
  <c r="AO14" i="42"/>
  <c r="AQ14" i="42" s="1"/>
  <c r="AO4" i="42"/>
  <c r="AQ4" i="42" s="1"/>
  <c r="AO11" i="42"/>
  <c r="AQ11" i="42" s="1"/>
  <c r="AO15" i="42"/>
  <c r="AQ15" i="42" s="1"/>
  <c r="AO13" i="42"/>
  <c r="AQ13" i="42" s="1"/>
  <c r="AO16" i="42"/>
  <c r="AQ16" i="42" s="1"/>
  <c r="N256" i="39" l="1"/>
  <c r="N255" i="39"/>
  <c r="N254" i="39"/>
  <c r="N252" i="39"/>
  <c r="N251" i="39"/>
  <c r="N250" i="39"/>
  <c r="N249" i="39"/>
  <c r="N248" i="39"/>
  <c r="N246" i="39"/>
  <c r="N245" i="39"/>
  <c r="N244" i="39"/>
  <c r="N242" i="39"/>
  <c r="N241" i="39"/>
  <c r="N240" i="39"/>
  <c r="N237" i="39"/>
  <c r="N236" i="39"/>
  <c r="N235" i="39"/>
  <c r="N233" i="39"/>
  <c r="N232" i="39"/>
  <c r="N231" i="39"/>
  <c r="N230" i="39"/>
  <c r="N229" i="39"/>
  <c r="N228" i="39"/>
  <c r="N227" i="39"/>
  <c r="N226" i="39"/>
  <c r="N225" i="39"/>
  <c r="N224" i="39"/>
  <c r="N223" i="39"/>
  <c r="N222" i="39"/>
  <c r="N221" i="39"/>
  <c r="N220" i="39"/>
  <c r="N218" i="39"/>
  <c r="N217" i="39"/>
  <c r="N216" i="39"/>
  <c r="N215" i="39"/>
  <c r="N214" i="39"/>
  <c r="N213" i="39"/>
  <c r="N212" i="39"/>
  <c r="N211" i="39"/>
  <c r="N210" i="39"/>
  <c r="N209" i="39"/>
  <c r="N208" i="39"/>
  <c r="N207" i="39"/>
  <c r="N206" i="39"/>
  <c r="N205" i="39"/>
  <c r="N204" i="39"/>
  <c r="N203" i="39"/>
  <c r="N202" i="39"/>
  <c r="N201" i="39"/>
  <c r="N200" i="39"/>
  <c r="N199" i="39"/>
  <c r="N198" i="39"/>
  <c r="N197" i="39"/>
  <c r="N196" i="39"/>
  <c r="N195" i="39"/>
  <c r="N194" i="39"/>
  <c r="N193" i="39"/>
  <c r="N192" i="39"/>
  <c r="N191" i="39"/>
  <c r="N190" i="39"/>
  <c r="N189" i="39"/>
  <c r="N188" i="39"/>
  <c r="N187" i="39"/>
  <c r="N186" i="39"/>
  <c r="N185" i="39"/>
  <c r="N184" i="39"/>
  <c r="N182" i="39"/>
  <c r="N181" i="39"/>
  <c r="N180" i="39"/>
  <c r="N179" i="39"/>
  <c r="N178" i="39"/>
  <c r="N138" i="39"/>
  <c r="N137" i="39"/>
  <c r="N136" i="39"/>
  <c r="N130" i="39"/>
  <c r="N129" i="39"/>
  <c r="N119" i="39"/>
  <c r="N102" i="39"/>
  <c r="N101" i="39"/>
  <c r="N96" i="39"/>
  <c r="N95" i="39"/>
  <c r="N78" i="39"/>
  <c r="N71" i="39"/>
  <c r="N66" i="39"/>
  <c r="N56" i="39"/>
  <c r="N55" i="39"/>
  <c r="N26" i="39"/>
  <c r="N36" i="39"/>
  <c r="N25" i="39"/>
  <c r="N27" i="39"/>
  <c r="N15" i="39"/>
  <c r="N34" i="39"/>
  <c r="N20" i="39"/>
  <c r="N41" i="39"/>
  <c r="N16" i="39"/>
  <c r="N18" i="39"/>
  <c r="N32" i="39"/>
  <c r="N28" i="39"/>
  <c r="N12" i="39"/>
  <c r="N11" i="39"/>
  <c r="N30" i="39"/>
  <c r="N47" i="39"/>
  <c r="N31" i="39"/>
  <c r="N48" i="39"/>
  <c r="N17" i="39"/>
  <c r="N19" i="39"/>
  <c r="N40" i="39"/>
  <c r="N24" i="39"/>
  <c r="N10" i="39"/>
  <c r="N22" i="39"/>
  <c r="N21" i="39"/>
  <c r="N43" i="39"/>
  <c r="N46" i="39"/>
  <c r="X30" i="54" l="1"/>
  <c r="W30" i="54"/>
  <c r="V30" i="54"/>
  <c r="U30" i="54"/>
  <c r="V31" i="54" s="1"/>
  <c r="T30" i="54"/>
  <c r="S30" i="54"/>
  <c r="R30" i="54"/>
  <c r="Q30" i="54"/>
  <c r="R31" i="54" s="1"/>
  <c r="P30" i="54"/>
  <c r="O30" i="54"/>
  <c r="N30" i="54"/>
  <c r="M30" i="54"/>
  <c r="M31" i="54" s="1"/>
  <c r="L30" i="54"/>
  <c r="K30" i="54"/>
  <c r="J30" i="54"/>
  <c r="I30" i="54"/>
  <c r="J31" i="54" s="1"/>
  <c r="H30" i="54"/>
  <c r="G30" i="54"/>
  <c r="F30" i="54"/>
  <c r="E30" i="54"/>
  <c r="F31" i="54" s="1"/>
  <c r="D30" i="54"/>
  <c r="X21" i="54"/>
  <c r="X32" i="54" s="1"/>
  <c r="W21" i="54"/>
  <c r="V21" i="54"/>
  <c r="V32" i="54" s="1"/>
  <c r="U21" i="54"/>
  <c r="U32" i="54" s="1"/>
  <c r="T21" i="54"/>
  <c r="S21" i="54"/>
  <c r="R21" i="54"/>
  <c r="R32" i="54" s="1"/>
  <c r="Q21" i="54"/>
  <c r="Q32" i="54" s="1"/>
  <c r="P21" i="54"/>
  <c r="O21" i="54"/>
  <c r="N21" i="54"/>
  <c r="M21" i="54"/>
  <c r="L21" i="54"/>
  <c r="L32" i="54" s="1"/>
  <c r="K21" i="54"/>
  <c r="J21" i="54"/>
  <c r="I21" i="54"/>
  <c r="I32" i="54" s="1"/>
  <c r="H21" i="54"/>
  <c r="G21" i="54"/>
  <c r="F21" i="54"/>
  <c r="F32" i="54" s="1"/>
  <c r="E16" i="54"/>
  <c r="E21" i="54" s="1"/>
  <c r="D16" i="54"/>
  <c r="D21" i="54" s="1"/>
  <c r="E11" i="54"/>
  <c r="D11" i="54"/>
  <c r="X9" i="54"/>
  <c r="X11" i="54" s="1"/>
  <c r="W9" i="54"/>
  <c r="W11" i="54" s="1"/>
  <c r="W23" i="54" s="1"/>
  <c r="V9" i="54"/>
  <c r="V11" i="54" s="1"/>
  <c r="V24" i="54" s="1"/>
  <c r="U9" i="54"/>
  <c r="U11" i="54" s="1"/>
  <c r="T9" i="54"/>
  <c r="T11" i="54" s="1"/>
  <c r="S9" i="54"/>
  <c r="S11" i="54" s="1"/>
  <c r="R9" i="54"/>
  <c r="R11" i="54" s="1"/>
  <c r="Q9" i="54"/>
  <c r="Q11" i="54" s="1"/>
  <c r="P9" i="54"/>
  <c r="P11" i="54" s="1"/>
  <c r="O9" i="54"/>
  <c r="O11" i="54" s="1"/>
  <c r="N9" i="54"/>
  <c r="N11" i="54" s="1"/>
  <c r="M9" i="54"/>
  <c r="M11" i="54" s="1"/>
  <c r="L9" i="54"/>
  <c r="L11" i="54" s="1"/>
  <c r="K9" i="54"/>
  <c r="K11" i="54" s="1"/>
  <c r="J9" i="54"/>
  <c r="J11" i="54" s="1"/>
  <c r="I9" i="54"/>
  <c r="I11" i="54" s="1"/>
  <c r="H9" i="54"/>
  <c r="H11" i="54" s="1"/>
  <c r="G9" i="54"/>
  <c r="G11" i="54" s="1"/>
  <c r="F9" i="54"/>
  <c r="F11" i="54" s="1"/>
  <c r="Z33" i="54" l="1"/>
  <c r="Z34" i="54" s="1"/>
  <c r="Y31" i="54"/>
  <c r="Z31" i="54"/>
  <c r="L24" i="54"/>
  <c r="X24" i="54"/>
  <c r="H31" i="54"/>
  <c r="T31" i="54"/>
  <c r="Z37" i="54"/>
  <c r="H32" i="54"/>
  <c r="I33" i="54" s="1"/>
  <c r="T32" i="54"/>
  <c r="G23" i="54"/>
  <c r="M32" i="54"/>
  <c r="M33" i="54" s="1"/>
  <c r="R33" i="54"/>
  <c r="V33" i="54"/>
  <c r="I31" i="54"/>
  <c r="N31" i="54"/>
  <c r="N40" i="54"/>
  <c r="N24" i="54"/>
  <c r="N23" i="54"/>
  <c r="K40" i="54"/>
  <c r="I24" i="54"/>
  <c r="I23" i="54"/>
  <c r="J40" i="54"/>
  <c r="R40" i="54"/>
  <c r="R24" i="54"/>
  <c r="R37" i="54"/>
  <c r="R23" i="54"/>
  <c r="H23" i="54"/>
  <c r="H24" i="54"/>
  <c r="N32" i="54"/>
  <c r="Y37" i="54"/>
  <c r="O24" i="54"/>
  <c r="O23" i="54"/>
  <c r="G32" i="54"/>
  <c r="G33" i="54" s="1"/>
  <c r="W32" i="54"/>
  <c r="W33" i="54" s="1"/>
  <c r="K23" i="54"/>
  <c r="V23" i="54"/>
  <c r="S32" i="54"/>
  <c r="S33" i="54" s="1"/>
  <c r="V40" i="54"/>
  <c r="L23" i="54"/>
  <c r="P23" i="54"/>
  <c r="P37" i="54"/>
  <c r="P24" i="54"/>
  <c r="M23" i="54"/>
  <c r="M24" i="54"/>
  <c r="G31" i="54"/>
  <c r="K31" i="54"/>
  <c r="L31" i="54"/>
  <c r="O31" i="54"/>
  <c r="S31" i="54"/>
  <c r="W31" i="54"/>
  <c r="X31" i="54"/>
  <c r="U33" i="54"/>
  <c r="U24" i="54"/>
  <c r="U23" i="54"/>
  <c r="D23" i="54"/>
  <c r="D24" i="54"/>
  <c r="F23" i="54"/>
  <c r="Q23" i="54"/>
  <c r="F24" i="54"/>
  <c r="Q24" i="54"/>
  <c r="O32" i="54"/>
  <c r="Y33" i="54" s="1"/>
  <c r="Y34" i="54" s="1"/>
  <c r="J24" i="54"/>
  <c r="J23" i="54"/>
  <c r="E24" i="54"/>
  <c r="E23" i="54"/>
  <c r="S24" i="54"/>
  <c r="S40" i="54"/>
  <c r="S23" i="54"/>
  <c r="J32" i="54"/>
  <c r="J33" i="54" s="1"/>
  <c r="W24" i="54"/>
  <c r="K32" i="54"/>
  <c r="T24" i="54"/>
  <c r="P31" i="54"/>
  <c r="U31" i="54"/>
  <c r="P32" i="54"/>
  <c r="T23" i="54"/>
  <c r="Z40" i="54"/>
  <c r="X23" i="54"/>
  <c r="G37" i="54"/>
  <c r="G24" i="54"/>
  <c r="K24" i="54"/>
  <c r="Q31" i="54"/>
  <c r="G40" i="54" l="1"/>
  <c r="Y40" i="54"/>
  <c r="U37" i="54"/>
  <c r="K33" i="54"/>
  <c r="W37" i="54"/>
  <c r="J37" i="54"/>
  <c r="T33" i="54"/>
  <c r="N33" i="54"/>
  <c r="H33" i="54"/>
  <c r="K37" i="54"/>
  <c r="I40" i="54"/>
  <c r="T40" i="54"/>
  <c r="X33" i="54"/>
  <c r="L37" i="54"/>
  <c r="P40" i="54"/>
  <c r="H40" i="54"/>
  <c r="P33" i="54"/>
  <c r="Q33" i="54"/>
  <c r="X37" i="54"/>
  <c r="O37" i="54"/>
  <c r="H37" i="54"/>
  <c r="N37" i="54"/>
  <c r="L33" i="54"/>
  <c r="X40" i="54"/>
  <c r="W40" i="54"/>
  <c r="U40" i="54"/>
  <c r="S37" i="54"/>
  <c r="T37" i="54"/>
  <c r="M37" i="54"/>
  <c r="O40" i="54"/>
  <c r="L40" i="54"/>
  <c r="M40" i="54"/>
  <c r="O33" i="54"/>
  <c r="V37" i="54"/>
  <c r="Q37" i="54"/>
  <c r="I37" i="54"/>
  <c r="Q40" i="54"/>
  <c r="AD13" i="42" l="1"/>
  <c r="AD4" i="42"/>
  <c r="AE4" i="42" s="1"/>
  <c r="AF4" i="42" s="1"/>
  <c r="AG4" i="42" s="1"/>
  <c r="AH4" i="42" s="1"/>
  <c r="AD14" i="42"/>
  <c r="AE14" i="42" s="1"/>
  <c r="AD12" i="42"/>
  <c r="AE12" i="42" s="1"/>
  <c r="AF12" i="42" s="1"/>
  <c r="AD15" i="42"/>
  <c r="AE15" i="42" s="1"/>
  <c r="AD8" i="42"/>
  <c r="AE8" i="42" s="1"/>
  <c r="AF8" i="42" s="1"/>
  <c r="AG8" i="42" s="1"/>
  <c r="AH8" i="42" s="1"/>
  <c r="AD9" i="42"/>
  <c r="AE9" i="42" s="1"/>
  <c r="AD11" i="42"/>
  <c r="AD5" i="42"/>
  <c r="AE5" i="42" s="1"/>
  <c r="AD7" i="42"/>
  <c r="AD10" i="42"/>
  <c r="AE10" i="42" s="1"/>
  <c r="AD6" i="42"/>
  <c r="AE6" i="42" l="1"/>
  <c r="AF6" i="42" s="1"/>
  <c r="AF15" i="42"/>
  <c r="AG15" i="42" s="1"/>
  <c r="AH15" i="42" s="1"/>
  <c r="AE13" i="42"/>
  <c r="AF13" i="42" s="1"/>
  <c r="AG13" i="42" s="1"/>
  <c r="AH13" i="42" s="1"/>
  <c r="AE7" i="42"/>
  <c r="AF7" i="42" s="1"/>
  <c r="AG7" i="42" s="1"/>
  <c r="AH7" i="42" s="1"/>
  <c r="AE11" i="42"/>
  <c r="AF11" i="42" s="1"/>
  <c r="AG11" i="42" s="1"/>
  <c r="AH11" i="42" s="1"/>
  <c r="AI8" i="42"/>
  <c r="AI4" i="42"/>
  <c r="AF5" i="42"/>
  <c r="AG5" i="42" s="1"/>
  <c r="AH5" i="42" s="1"/>
  <c r="AF9" i="42"/>
  <c r="AG9" i="42" s="1"/>
  <c r="AH9" i="42" s="1"/>
  <c r="AF10" i="42"/>
  <c r="AG10" i="42" s="1"/>
  <c r="AH10" i="42" s="1"/>
  <c r="AG12" i="42"/>
  <c r="AH12" i="42" s="1"/>
  <c r="AF14" i="42"/>
  <c r="AG14" i="42" s="1"/>
  <c r="AH14" i="42" s="1"/>
  <c r="AI15" i="42" l="1"/>
  <c r="AI7" i="42"/>
  <c r="AI11" i="42"/>
  <c r="AI13" i="42"/>
  <c r="AG6" i="42"/>
  <c r="AH6" i="42" s="1"/>
  <c r="AI9" i="42"/>
  <c r="AI5" i="42"/>
  <c r="AI10" i="42"/>
  <c r="AI14" i="42"/>
  <c r="AI12" i="42"/>
  <c r="M3" i="52" l="1"/>
  <c r="M4" i="52" s="1"/>
  <c r="L3" i="52"/>
  <c r="L4" i="52" s="1"/>
  <c r="K3" i="52"/>
  <c r="K4" i="52" s="1"/>
  <c r="J3" i="52"/>
  <c r="J4" i="52" s="1"/>
  <c r="I3" i="52"/>
  <c r="I4" i="52" s="1"/>
  <c r="H3" i="52"/>
  <c r="M3" i="51"/>
  <c r="M4" i="51" s="1"/>
  <c r="L3" i="51"/>
  <c r="L4" i="51" s="1"/>
  <c r="K3" i="51"/>
  <c r="K4" i="51" s="1"/>
  <c r="J3" i="51"/>
  <c r="J4" i="51" s="1"/>
  <c r="I3" i="51"/>
  <c r="I4" i="51" s="1"/>
  <c r="H3" i="51"/>
  <c r="H4" i="51" s="1"/>
  <c r="G3" i="51"/>
  <c r="G4" i="51" s="1"/>
  <c r="F3" i="51"/>
  <c r="F4" i="51" s="1"/>
  <c r="AJ4" i="42" l="1"/>
  <c r="AK4" i="42" s="1"/>
  <c r="AJ7" i="42"/>
  <c r="AK7" i="42" s="1"/>
  <c r="AJ8" i="42"/>
  <c r="AK8" i="42" s="1"/>
  <c r="AJ11" i="42"/>
  <c r="AK11" i="42" s="1"/>
  <c r="AJ15" i="42"/>
  <c r="AK15" i="42" s="1"/>
  <c r="AJ13" i="42"/>
  <c r="AK13" i="42" s="1"/>
  <c r="AJ14" i="42" l="1"/>
  <c r="AK14" i="42" s="1"/>
  <c r="AJ10" i="42"/>
  <c r="AK10" i="42" s="1"/>
  <c r="AJ9" i="42"/>
  <c r="AK9" i="42" s="1"/>
  <c r="AJ12" i="42"/>
  <c r="AK12" i="42" s="1"/>
  <c r="AJ5" i="42"/>
  <c r="AK5" i="42" s="1"/>
  <c r="E10" i="48" l="1"/>
  <c r="D10" i="48"/>
  <c r="X30" i="48"/>
  <c r="W30" i="48"/>
  <c r="W31" i="48" s="1"/>
  <c r="V30" i="48"/>
  <c r="U30" i="48"/>
  <c r="T30" i="48"/>
  <c r="S30" i="48"/>
  <c r="S31" i="48" s="1"/>
  <c r="R30" i="48"/>
  <c r="Q30" i="48"/>
  <c r="P30" i="48"/>
  <c r="O30" i="48"/>
  <c r="N30" i="48"/>
  <c r="M30" i="48"/>
  <c r="L30" i="48"/>
  <c r="K30" i="48"/>
  <c r="J30" i="48"/>
  <c r="I30" i="48"/>
  <c r="H30" i="48"/>
  <c r="G30" i="48"/>
  <c r="G31" i="48" s="1"/>
  <c r="F30" i="48"/>
  <c r="E30" i="48"/>
  <c r="D30" i="48"/>
  <c r="E21" i="48"/>
  <c r="E32" i="48" s="1"/>
  <c r="D21" i="48"/>
  <c r="K31" i="48" l="1"/>
  <c r="D23" i="48"/>
  <c r="D32" i="48"/>
  <c r="Y31" i="48"/>
  <c r="Z31" i="48"/>
  <c r="O31" i="48"/>
  <c r="I31" i="48"/>
  <c r="Q31" i="48"/>
  <c r="M31" i="48"/>
  <c r="F31" i="48"/>
  <c r="U31" i="48"/>
  <c r="J31" i="48"/>
  <c r="R31" i="48"/>
  <c r="D24" i="48"/>
  <c r="H31" i="48"/>
  <c r="P31" i="48"/>
  <c r="T31" i="48"/>
  <c r="X31" i="48"/>
  <c r="N31" i="48"/>
  <c r="V31" i="48"/>
  <c r="L31" i="48"/>
  <c r="E24" i="48"/>
  <c r="E23" i="48"/>
  <c r="X21" i="48"/>
  <c r="W21" i="48"/>
  <c r="V21" i="48"/>
  <c r="U21" i="48"/>
  <c r="T21" i="48"/>
  <c r="S21" i="48"/>
  <c r="R21" i="48"/>
  <c r="Q21" i="48"/>
  <c r="P21" i="48"/>
  <c r="O21" i="48"/>
  <c r="N21" i="48"/>
  <c r="M21" i="48"/>
  <c r="L21" i="48"/>
  <c r="K21" i="48"/>
  <c r="J21" i="48"/>
  <c r="I21" i="48"/>
  <c r="H21" i="48"/>
  <c r="G21" i="48"/>
  <c r="F21" i="48"/>
  <c r="X10" i="48"/>
  <c r="W10" i="48"/>
  <c r="V10" i="48"/>
  <c r="U10" i="48"/>
  <c r="T10" i="48"/>
  <c r="S10" i="48"/>
  <c r="R10" i="48"/>
  <c r="Q10" i="48"/>
  <c r="P10" i="48"/>
  <c r="O10" i="48"/>
  <c r="N10" i="48"/>
  <c r="M10" i="48"/>
  <c r="L10" i="48"/>
  <c r="K10" i="48"/>
  <c r="J10" i="48"/>
  <c r="I10" i="48"/>
  <c r="H10" i="48"/>
  <c r="G10" i="48"/>
  <c r="F10" i="48"/>
  <c r="X9" i="48"/>
  <c r="W9" i="48"/>
  <c r="V9" i="48"/>
  <c r="U9" i="48"/>
  <c r="T9" i="48"/>
  <c r="S9" i="48"/>
  <c r="R9" i="48"/>
  <c r="Q9" i="48"/>
  <c r="P9" i="48"/>
  <c r="O9" i="48"/>
  <c r="N9" i="48"/>
  <c r="M9" i="48"/>
  <c r="L9" i="48"/>
  <c r="K9" i="48"/>
  <c r="J9" i="48"/>
  <c r="I9" i="48"/>
  <c r="H9" i="48"/>
  <c r="G9" i="48"/>
  <c r="F9" i="48"/>
  <c r="H37" i="48" l="1"/>
  <c r="P37" i="48"/>
  <c r="I37" i="48"/>
  <c r="J40" i="48"/>
  <c r="G32" i="48"/>
  <c r="O32" i="48"/>
  <c r="Y33" i="48" s="1"/>
  <c r="S32" i="48"/>
  <c r="P32" i="48"/>
  <c r="I32" i="48"/>
  <c r="M32" i="48"/>
  <c r="Q32" i="48"/>
  <c r="U32" i="48"/>
  <c r="K32" i="48"/>
  <c r="W32" i="48"/>
  <c r="H32" i="48"/>
  <c r="H33" i="48" s="1"/>
  <c r="L32" i="48"/>
  <c r="T32" i="48"/>
  <c r="X32" i="48"/>
  <c r="Z33" i="48" s="1"/>
  <c r="F32" i="48"/>
  <c r="J32" i="48"/>
  <c r="N32" i="48"/>
  <c r="R32" i="48"/>
  <c r="V32" i="48"/>
  <c r="J24" i="48"/>
  <c r="R24" i="48"/>
  <c r="F24" i="48"/>
  <c r="N24" i="48"/>
  <c r="V24" i="48"/>
  <c r="G24" i="48"/>
  <c r="K24" i="48"/>
  <c r="O24" i="48"/>
  <c r="S24" i="48"/>
  <c r="W24" i="48"/>
  <c r="I23" i="48"/>
  <c r="M23" i="48"/>
  <c r="Q23" i="48"/>
  <c r="U23" i="48"/>
  <c r="S23" i="48"/>
  <c r="G23" i="48"/>
  <c r="O23" i="48"/>
  <c r="W23" i="48"/>
  <c r="J23" i="48"/>
  <c r="R23" i="48"/>
  <c r="K23" i="48"/>
  <c r="H24" i="48"/>
  <c r="L23" i="48"/>
  <c r="P24" i="48"/>
  <c r="T23" i="48"/>
  <c r="X24" i="48"/>
  <c r="F23" i="48"/>
  <c r="N23" i="48"/>
  <c r="V23" i="48"/>
  <c r="L24" i="48"/>
  <c r="T24" i="48"/>
  <c r="H23" i="48"/>
  <c r="P23" i="48"/>
  <c r="X23" i="48"/>
  <c r="I24" i="48"/>
  <c r="M24" i="48"/>
  <c r="Q24" i="48"/>
  <c r="U24" i="48"/>
  <c r="N37" i="48" l="1"/>
  <c r="I40" i="48"/>
  <c r="V37" i="48"/>
  <c r="T40" i="48"/>
  <c r="L40" i="48"/>
  <c r="T37" i="48"/>
  <c r="K37" i="48"/>
  <c r="U37" i="48"/>
  <c r="M37" i="48"/>
  <c r="N40" i="48"/>
  <c r="R37" i="48"/>
  <c r="Q37" i="48"/>
  <c r="S37" i="48"/>
  <c r="J37" i="48"/>
  <c r="Z40" i="48"/>
  <c r="X40" i="48"/>
  <c r="P40" i="48"/>
  <c r="H40" i="48"/>
  <c r="S40" i="48"/>
  <c r="K40" i="48"/>
  <c r="U40" i="48"/>
  <c r="M40" i="48"/>
  <c r="X37" i="48"/>
  <c r="Z37" i="48"/>
  <c r="W40" i="48"/>
  <c r="V40" i="48"/>
  <c r="G40" i="48"/>
  <c r="R40" i="48"/>
  <c r="Q40" i="48"/>
  <c r="L37" i="48"/>
  <c r="W37" i="48"/>
  <c r="Y37" i="48"/>
  <c r="O37" i="48"/>
  <c r="G37" i="48"/>
  <c r="O40" i="48"/>
  <c r="Y40" i="48"/>
  <c r="R33" i="48"/>
  <c r="J33" i="48"/>
  <c r="U33" i="48"/>
  <c r="M33" i="48"/>
  <c r="Z34" i="48"/>
  <c r="Y34" i="48"/>
  <c r="P33" i="48"/>
  <c r="V33" i="48"/>
  <c r="N33" i="48"/>
  <c r="I33" i="48"/>
  <c r="S33" i="48"/>
  <c r="Q33" i="48"/>
  <c r="X33" i="48"/>
  <c r="L33" i="48"/>
  <c r="W33" i="48"/>
  <c r="O33" i="48"/>
  <c r="K33" i="48"/>
  <c r="T33" i="48"/>
  <c r="G33" i="48"/>
  <c r="AC16" i="42"/>
  <c r="AD16" i="42" s="1"/>
  <c r="AE16" i="42" l="1"/>
  <c r="AF16" i="42" s="1"/>
  <c r="AG16" i="42" s="1"/>
  <c r="AH16" i="42" s="1"/>
  <c r="AI6" i="42"/>
  <c r="AJ6" i="42" s="1"/>
  <c r="AK6" i="42" s="1"/>
  <c r="AI16" i="42" l="1"/>
  <c r="AJ16" i="42" s="1"/>
  <c r="AK16" i="42" s="1"/>
  <c r="V10" i="45"/>
  <c r="V12" i="45"/>
  <c r="V9" i="45"/>
  <c r="V4" i="45"/>
  <c r="V6" i="45"/>
  <c r="V16" i="45"/>
  <c r="V14" i="45"/>
  <c r="V11" i="45"/>
  <c r="V15" i="45"/>
  <c r="V17" i="45"/>
  <c r="V13" i="45"/>
  <c r="V8" i="45"/>
  <c r="V5" i="45"/>
  <c r="W13" i="45" l="1"/>
  <c r="X13" i="45" s="1"/>
  <c r="Y13" i="45" s="1"/>
  <c r="Z13" i="45" s="1"/>
  <c r="AA13" i="45" s="1"/>
  <c r="W14" i="45"/>
  <c r="X14" i="45" s="1"/>
  <c r="W9" i="45"/>
  <c r="X9" i="45" s="1"/>
  <c r="Y9" i="45" s="1"/>
  <c r="Z9" i="45" s="1"/>
  <c r="AA9" i="45" s="1"/>
  <c r="W5" i="45"/>
  <c r="X5" i="45" s="1"/>
  <c r="W15" i="45"/>
  <c r="X15" i="45" s="1"/>
  <c r="Y15" i="45" s="1"/>
  <c r="Z15" i="45" s="1"/>
  <c r="AA15" i="45" s="1"/>
  <c r="W6" i="45"/>
  <c r="W10" i="45"/>
  <c r="X10" i="45" s="1"/>
  <c r="Y10" i="45" s="1"/>
  <c r="Z10" i="45" s="1"/>
  <c r="AA10" i="45" s="1"/>
  <c r="W8" i="45"/>
  <c r="X8" i="45" s="1"/>
  <c r="W11" i="45"/>
  <c r="X11" i="45" s="1"/>
  <c r="Y11" i="45" s="1"/>
  <c r="Z11" i="45" s="1"/>
  <c r="AA11" i="45" s="1"/>
  <c r="W4" i="45"/>
  <c r="W17" i="45"/>
  <c r="X17" i="45" s="1"/>
  <c r="Y17" i="45" s="1"/>
  <c r="Z17" i="45" s="1"/>
  <c r="AA17" i="45" s="1"/>
  <c r="W16" i="45"/>
  <c r="X16" i="45" s="1"/>
  <c r="Y16" i="45" s="1"/>
  <c r="Z16" i="45" s="1"/>
  <c r="AA16" i="45" s="1"/>
  <c r="W12" i="45"/>
  <c r="X12" i="45" s="1"/>
  <c r="Y12" i="45" s="1"/>
  <c r="Z12" i="45" s="1"/>
  <c r="AA12" i="45" s="1"/>
  <c r="X4" i="45" l="1"/>
  <c r="Y4" i="45" s="1"/>
  <c r="Z4" i="45" s="1"/>
  <c r="X6" i="45"/>
  <c r="Y6" i="45" s="1"/>
  <c r="Z6" i="45" s="1"/>
  <c r="Y14" i="45"/>
  <c r="Z14" i="45" s="1"/>
  <c r="AA14" i="45" s="1"/>
  <c r="Y8" i="45"/>
  <c r="Z8" i="45" s="1"/>
  <c r="AA8" i="45" s="1"/>
  <c r="AB15" i="45"/>
  <c r="AC15" i="45" s="1"/>
  <c r="AD15" i="45" s="1"/>
  <c r="AB12" i="45"/>
  <c r="AC12" i="45" s="1"/>
  <c r="AD12" i="45" s="1"/>
  <c r="AB17" i="45"/>
  <c r="AC17" i="45" s="1"/>
  <c r="AD17" i="45" s="1"/>
  <c r="AB13" i="45"/>
  <c r="AC13" i="45" s="1"/>
  <c r="AD13" i="45" s="1"/>
  <c r="AB8" i="45"/>
  <c r="AC8" i="45" s="1"/>
  <c r="AD8" i="45" s="1"/>
  <c r="AB11" i="45"/>
  <c r="AC11" i="45" s="1"/>
  <c r="AD11" i="45" s="1"/>
  <c r="AB9" i="45"/>
  <c r="AC9" i="45" s="1"/>
  <c r="AD9" i="45" s="1"/>
  <c r="AB16" i="45"/>
  <c r="AC16" i="45" s="1"/>
  <c r="AD16" i="45" s="1"/>
  <c r="AB10" i="45"/>
  <c r="AC10" i="45" s="1"/>
  <c r="AD10" i="45" s="1"/>
  <c r="Y5" i="45"/>
  <c r="Z5" i="45" s="1"/>
  <c r="AA5" i="45" s="1"/>
  <c r="AA4" i="45" l="1"/>
  <c r="AB4" i="45" s="1"/>
  <c r="AC4" i="45" s="1"/>
  <c r="AD4" i="45" s="1"/>
  <c r="AA6" i="45"/>
  <c r="AB6" i="45"/>
  <c r="AC6" i="45" s="1"/>
  <c r="AD6" i="45" s="1"/>
  <c r="AB14" i="45"/>
  <c r="AC14" i="45" s="1"/>
  <c r="AD14" i="45" s="1"/>
  <c r="AB5" i="45"/>
  <c r="AC5" i="45" s="1"/>
  <c r="AD5" i="45" s="1"/>
</calcChain>
</file>

<file path=xl/sharedStrings.xml><?xml version="1.0" encoding="utf-8"?>
<sst xmlns="http://schemas.openxmlformats.org/spreadsheetml/2006/main" count="20659" uniqueCount="3880">
  <si>
    <t>Initial Level</t>
  </si>
  <si>
    <t>M10</t>
  </si>
  <si>
    <t>M11</t>
  </si>
  <si>
    <t>M12</t>
  </si>
  <si>
    <t>M1</t>
  </si>
  <si>
    <t>M2</t>
  </si>
  <si>
    <t>M3</t>
  </si>
  <si>
    <t>M4</t>
  </si>
  <si>
    <t>M5</t>
  </si>
  <si>
    <t>M6</t>
  </si>
  <si>
    <t>M7</t>
  </si>
  <si>
    <t>M8</t>
  </si>
  <si>
    <t>M9</t>
  </si>
  <si>
    <t>Owner</t>
  </si>
  <si>
    <t>Installed Capacity</t>
  </si>
  <si>
    <t>Start Year</t>
  </si>
  <si>
    <t>Project Name</t>
  </si>
  <si>
    <t>(MW)</t>
  </si>
  <si>
    <t>(GWh/year)</t>
  </si>
  <si>
    <t>Location</t>
  </si>
  <si>
    <t>Transmission</t>
  </si>
  <si>
    <t>($/MWh)</t>
  </si>
  <si>
    <t>Fixed O&amp;M Cost</t>
  </si>
  <si>
    <t>Variable O&amp;M Cost</t>
  </si>
  <si>
    <t>Minimum Up Time</t>
  </si>
  <si>
    <t>Minimum Down Time</t>
  </si>
  <si>
    <t>Shut Down Costs</t>
  </si>
  <si>
    <t>Shut Down Ramp Limit</t>
  </si>
  <si>
    <t>(%/min)</t>
  </si>
  <si>
    <t>(hours)</t>
  </si>
  <si>
    <t>(%)</t>
  </si>
  <si>
    <t>Operating Reserve Fraction</t>
  </si>
  <si>
    <t>Characteristics of existing system transmission</t>
  </si>
  <si>
    <t>LEGEND</t>
  </si>
  <si>
    <t>Start Up Ramp Limit</t>
  </si>
  <si>
    <t>Start Up Costs</t>
  </si>
  <si>
    <t>[MW/hr p MWcap]</t>
  </si>
  <si>
    <t>(S/MWcap)</t>
  </si>
  <si>
    <t>DESIGN</t>
  </si>
  <si>
    <t>OPERATIONS</t>
  </si>
  <si>
    <t>Voltage</t>
  </si>
  <si>
    <t>Length</t>
  </si>
  <si>
    <t>Must Run</t>
  </si>
  <si>
    <t>Outage Duration</t>
  </si>
  <si>
    <t>(T/F)</t>
  </si>
  <si>
    <t>Notes</t>
  </si>
  <si>
    <t>Low Volume</t>
  </si>
  <si>
    <t>High Volume</t>
  </si>
  <si>
    <t>(m)</t>
  </si>
  <si>
    <t>OPERATING COSTS</t>
  </si>
  <si>
    <t xml:space="preserve">Inc Heat Rate @ Max </t>
  </si>
  <si>
    <t>(MMBtu/MWh)</t>
  </si>
  <si>
    <t>Forced Outage Rate</t>
  </si>
  <si>
    <t>Live Storage</t>
  </si>
  <si>
    <t>Notes:</t>
  </si>
  <si>
    <t>Station Flow</t>
  </si>
  <si>
    <t>(WSC#)</t>
  </si>
  <si>
    <t>System</t>
  </si>
  <si>
    <t>Miscellaneous provincial system characteristics</t>
  </si>
  <si>
    <t>Reserve Requirements</t>
  </si>
  <si>
    <t>(% installed MW)</t>
  </si>
  <si>
    <t>Number of Circuits</t>
  </si>
  <si>
    <t>Circuit ID</t>
  </si>
  <si>
    <t>(ad/dc)</t>
  </si>
  <si>
    <t>(kV)</t>
  </si>
  <si>
    <t>(A)</t>
  </si>
  <si>
    <t>(km)</t>
  </si>
  <si>
    <t>Spin Up Ramp Rate</t>
  </si>
  <si>
    <t>Spin Down Ramp Rate</t>
  </si>
  <si>
    <t>Calculated values (may be overlain by reference shading)</t>
  </si>
  <si>
    <t>(% across system)</t>
  </si>
  <si>
    <t>Line Losses</t>
  </si>
  <si>
    <t>Upper Storage Level</t>
  </si>
  <si>
    <t>Lower Storage Level</t>
  </si>
  <si>
    <t>End Year</t>
  </si>
  <si>
    <t>Maximum Level</t>
  </si>
  <si>
    <t>Minimum Level</t>
  </si>
  <si>
    <t>(m3)</t>
  </si>
  <si>
    <t>(m3/s)</t>
  </si>
  <si>
    <t>Minimum Capacity</t>
  </si>
  <si>
    <t>Maximum Capacity</t>
  </si>
  <si>
    <t>Maintenance Days</t>
  </si>
  <si>
    <t>EXISTING GENERATION</t>
  </si>
  <si>
    <t>n/a</t>
  </si>
  <si>
    <t>SYSTEM CHARACTERISTICS</t>
  </si>
  <si>
    <t>EXISTING TRANSMISSION</t>
  </si>
  <si>
    <t>HISTORICAL PEAK CAPACITY</t>
  </si>
  <si>
    <t>Substation Name</t>
  </si>
  <si>
    <t>Substation Voltage</t>
  </si>
  <si>
    <t>(MWh)</t>
  </si>
  <si>
    <t>Dam Type</t>
  </si>
  <si>
    <t>Penstock</t>
  </si>
  <si>
    <t>Rated Head</t>
  </si>
  <si>
    <t>Maximum Head</t>
  </si>
  <si>
    <t>Minimum Head</t>
  </si>
  <si>
    <t>Turbine Type</t>
  </si>
  <si>
    <t>Rated Discharge (Unit)</t>
  </si>
  <si>
    <t>Rated Discharge (Facility)</t>
  </si>
  <si>
    <t>(km2)</t>
  </si>
  <si>
    <t>Upstream Reservoir Area</t>
  </si>
  <si>
    <t>Upstream Reservoir Storage</t>
  </si>
  <si>
    <t>(days/y)</t>
  </si>
  <si>
    <t>BC</t>
  </si>
  <si>
    <t>EnPower Green Energy Generation Limited Partnership</t>
  </si>
  <si>
    <t>150 Mile House</t>
  </si>
  <si>
    <t>Aberfeldie</t>
  </si>
  <si>
    <t>BC Hydro</t>
  </si>
  <si>
    <t>Cranbrook</t>
  </si>
  <si>
    <t>Akolkolex</t>
  </si>
  <si>
    <t>Canadian Hydro Developers, Inc.</t>
  </si>
  <si>
    <t>Revelstoke</t>
  </si>
  <si>
    <t>Alouette</t>
  </si>
  <si>
    <t>Lower Mainland</t>
  </si>
  <si>
    <t>Tolko Industries Ltd.</t>
  </si>
  <si>
    <t>Armstrong</t>
  </si>
  <si>
    <t>Columbia Power / Columbia Basin Trust</t>
  </si>
  <si>
    <t>Slocan</t>
  </si>
  <si>
    <t>Ash</t>
  </si>
  <si>
    <t>Vancouver Island</t>
  </si>
  <si>
    <t>Ashlu Creek Investments LP</t>
  </si>
  <si>
    <t>Squamish</t>
  </si>
  <si>
    <t>Barr Creek</t>
  </si>
  <si>
    <t>Barr Creek Limited Partnership</t>
  </si>
  <si>
    <t>Tahsis</t>
  </si>
  <si>
    <t>Bear Mountain Wind Limited Partnership</t>
  </si>
  <si>
    <t>Dawson Creek</t>
  </si>
  <si>
    <t>Big Silver Creek Power Limited Partnership</t>
  </si>
  <si>
    <t>Harrison Hot Springs</t>
  </si>
  <si>
    <t>Western Sustainable Power Inc.</t>
  </si>
  <si>
    <t>Kamloops</t>
  </si>
  <si>
    <t>Boston Bar</t>
  </si>
  <si>
    <t>Boston Bar Limited Partnership</t>
  </si>
  <si>
    <t>Boulder Creek</t>
  </si>
  <si>
    <t>Boulder Creek Power Limited Partnership</t>
  </si>
  <si>
    <t>Pemberton</t>
  </si>
  <si>
    <t>Box Canyon</t>
  </si>
  <si>
    <t>Box Canyon Hydro Corporation</t>
  </si>
  <si>
    <t>Port Mellon</t>
  </si>
  <si>
    <t>Rockford Energy Corp.</t>
  </si>
  <si>
    <t>Whistler</t>
  </si>
  <si>
    <t>Bridge</t>
  </si>
  <si>
    <t>Lillooet</t>
  </si>
  <si>
    <t>Brilliant</t>
  </si>
  <si>
    <t>Columbia Power</t>
  </si>
  <si>
    <t>Castlegar</t>
  </si>
  <si>
    <t>Brilliant Expansion</t>
  </si>
  <si>
    <t>Brown Miller Power LP</t>
  </si>
  <si>
    <t>Prince Rupert</t>
  </si>
  <si>
    <t>Buntzen Lake</t>
  </si>
  <si>
    <t>Wastech Services Ltd.</t>
  </si>
  <si>
    <t>Cache Creek</t>
  </si>
  <si>
    <t>Biogas</t>
  </si>
  <si>
    <t>Canoe Creek Hydro Company</t>
  </si>
  <si>
    <t>Ucluelet</t>
  </si>
  <si>
    <t>Cape Scott Wind LP</t>
  </si>
  <si>
    <t>Port Hardy</t>
  </si>
  <si>
    <t>Cariboo Pulp and Paper Company</t>
  </si>
  <si>
    <t>Quesnel</t>
  </si>
  <si>
    <t>Castle Mountain Hydro Ltd.</t>
  </si>
  <si>
    <t>McBride</t>
  </si>
  <si>
    <t>Cedar Road LFG Inc.</t>
  </si>
  <si>
    <t>Nanaimo</t>
  </si>
  <si>
    <t>Zellstoff Celgar Limited Partnership</t>
  </si>
  <si>
    <t>Cheakamus</t>
  </si>
  <si>
    <t>West Fraser Mills Ltd.</t>
  </si>
  <si>
    <t>Chetwynd</t>
  </si>
  <si>
    <t>Upnit Power Limited Partnership</t>
  </si>
  <si>
    <t>Port Alberni</t>
  </si>
  <si>
    <t>Clowhom</t>
  </si>
  <si>
    <t>Conifex Green Energy</t>
  </si>
  <si>
    <t>Conifex Power Inc.</t>
  </si>
  <si>
    <t>Mackenzie</t>
  </si>
  <si>
    <t>Corra Linn</t>
  </si>
  <si>
    <t>FortisBC</t>
  </si>
  <si>
    <t>Kootenay Lake</t>
  </si>
  <si>
    <t>Cranberry Creek Power</t>
  </si>
  <si>
    <t>Advanced Energy Systems II LP</t>
  </si>
  <si>
    <t>Crowsnest Pass</t>
  </si>
  <si>
    <t>GIF Crowsnest Power LP</t>
  </si>
  <si>
    <t>Sparwood</t>
  </si>
  <si>
    <t>Culliton Creek</t>
  </si>
  <si>
    <t>Culliton Creek Power Limited Partnership</t>
  </si>
  <si>
    <t>Cypress Creek</t>
  </si>
  <si>
    <t>Synex Energy Resources Ltd</t>
  </si>
  <si>
    <t>Gold River</t>
  </si>
  <si>
    <t>Terrace</t>
  </si>
  <si>
    <t>Dokie General Partnership</t>
  </si>
  <si>
    <t>Doran Taylor</t>
  </si>
  <si>
    <t>Doran Taylor Hydro (JV)</t>
  </si>
  <si>
    <t>Harrison Hydro Limited Partnership</t>
  </si>
  <si>
    <t>Mission</t>
  </si>
  <si>
    <t>Duncan Dam</t>
  </si>
  <si>
    <t>Columbia</t>
  </si>
  <si>
    <t>Toba Montrose General Partnership</t>
  </si>
  <si>
    <t>Powell River</t>
  </si>
  <si>
    <t>Valemount Hydro Limited Partnership</t>
  </si>
  <si>
    <t>Eldorado Reservoir</t>
  </si>
  <si>
    <t>District of Lake Country</t>
  </si>
  <si>
    <t>Kelowna</t>
  </si>
  <si>
    <t>Elko</t>
  </si>
  <si>
    <t>Falls River</t>
  </si>
  <si>
    <t>North Coast</t>
  </si>
  <si>
    <t>Fitzsimmons Creek</t>
  </si>
  <si>
    <t>Coast Mountain Hydro Limited Partnership</t>
  </si>
  <si>
    <t>Stewart</t>
  </si>
  <si>
    <t>Fort Nelson</t>
  </si>
  <si>
    <t>Fort St. James Green Energy</t>
  </si>
  <si>
    <t>Fort St. James Green Energy Limited Partnership</t>
  </si>
  <si>
    <t>Fort St. James</t>
  </si>
  <si>
    <t>Fraser Lake</t>
  </si>
  <si>
    <t>Fraser Richmond Soil and Fibre</t>
  </si>
  <si>
    <t>Harvest Fraser Richmond Organics Ltd.</t>
  </si>
  <si>
    <t>Richmond</t>
  </si>
  <si>
    <t>Furry Creek</t>
  </si>
  <si>
    <t>Furry Creek Power Ltd</t>
  </si>
  <si>
    <t>Lions Bay</t>
  </si>
  <si>
    <t>G.M. Shrum</t>
  </si>
  <si>
    <t>Peace River</t>
  </si>
  <si>
    <t>Haa-ak-suuk Creek Hydro Limited Partnership</t>
  </si>
  <si>
    <t>Nanaimo Forest Products Ltd.</t>
  </si>
  <si>
    <t>Capital Regional District</t>
  </si>
  <si>
    <t>Saanich</t>
  </si>
  <si>
    <t>Hauer Creek Power Inc.</t>
  </si>
  <si>
    <t>Valemount</t>
  </si>
  <si>
    <t>Houweling Nurseries Property Ltd.</t>
  </si>
  <si>
    <t>Delta</t>
  </si>
  <si>
    <t>Howe Sound Pulp and Paper Corporation</t>
  </si>
  <si>
    <t>Hunter Creek Hydro Limited Partnership</t>
  </si>
  <si>
    <t>Hope</t>
  </si>
  <si>
    <t>Intercon Green Power</t>
  </si>
  <si>
    <t>Canfor Pulp Limited Partnership</t>
  </si>
  <si>
    <t>Prince George</t>
  </si>
  <si>
    <t>Island Generation</t>
  </si>
  <si>
    <t>V.I. Power Limited Partnership</t>
  </si>
  <si>
    <t>Campbell River</t>
  </si>
  <si>
    <t>Jamie Creek</t>
  </si>
  <si>
    <t>Jamie Creek LP</t>
  </si>
  <si>
    <t>Gold Bridge</t>
  </si>
  <si>
    <t>Jimmie Creek Limited Partnership</t>
  </si>
  <si>
    <t>John Hart</t>
  </si>
  <si>
    <t>Jordan River</t>
  </si>
  <si>
    <t>Domtar Inc.</t>
  </si>
  <si>
    <t>Kemano</t>
  </si>
  <si>
    <t>Rio Tinto Alcan Inc.</t>
  </si>
  <si>
    <t>Kitimat</t>
  </si>
  <si>
    <t>Kokish River</t>
  </si>
  <si>
    <t>Kwagis Power Limited Partnership</t>
  </si>
  <si>
    <t>Port McNeil</t>
  </si>
  <si>
    <t>Kootenay Canal</t>
  </si>
  <si>
    <t>Kwoiek Creek Resources Limited Partnership</t>
  </si>
  <si>
    <t>Lytton</t>
  </si>
  <si>
    <t>Ladore</t>
  </si>
  <si>
    <t>Lajoie</t>
  </si>
  <si>
    <t>Long Lake Joint Venture</t>
  </si>
  <si>
    <t>Zella Holdings Ltd.</t>
  </si>
  <si>
    <t>Laidlaw</t>
  </si>
  <si>
    <t>Bear Hydro Limited Partnership</t>
  </si>
  <si>
    <t>Sechelt</t>
  </si>
  <si>
    <t>Lower Bonnington</t>
  </si>
  <si>
    <t>Kootenay River</t>
  </si>
  <si>
    <t>Lower Clowhom</t>
  </si>
  <si>
    <t>Clowhom Limited Partnership</t>
  </si>
  <si>
    <t>Louisiana-Pacific Canada Ltd.</t>
  </si>
  <si>
    <t>Golden</t>
  </si>
  <si>
    <t>Atlantic Power Preferred Equity Ltd.</t>
  </si>
  <si>
    <t>Marion 3 Creek</t>
  </si>
  <si>
    <t>Marion Creek Hydro Inc.</t>
  </si>
  <si>
    <t>Snowshoe Power Ltd.</t>
  </si>
  <si>
    <t>McLymont Creek</t>
  </si>
  <si>
    <t>McMahon Cogeneration Plant JV</t>
  </si>
  <si>
    <t>Taylor</t>
  </si>
  <si>
    <t>McNair Creek Hydro Limited Partnership</t>
  </si>
  <si>
    <t>Mears Creek</t>
  </si>
  <si>
    <t>Meikle Wind Energy Limited Partnership</t>
  </si>
  <si>
    <t>Tumbler Ridge</t>
  </si>
  <si>
    <t>Merritt Green Energy</t>
  </si>
  <si>
    <t>Merritt Green Energy Limited Partnership</t>
  </si>
  <si>
    <t>Merritt</t>
  </si>
  <si>
    <t>Mica</t>
  </si>
  <si>
    <t>Miller Creek Power</t>
  </si>
  <si>
    <t>Williams Lake</t>
  </si>
  <si>
    <t>Northwest Stave River</t>
  </si>
  <si>
    <t>Northwest Stave River Hydro Limited Partnership</t>
  </si>
  <si>
    <t>Northwood Green Power</t>
  </si>
  <si>
    <t>Canfor Pulp Ltd.</t>
  </si>
  <si>
    <t>NWE Williams Lake WW</t>
  </si>
  <si>
    <t>Peace Canyon</t>
  </si>
  <si>
    <t>Zero Emissions Pennask Limited Partnership</t>
  </si>
  <si>
    <t>Westbank</t>
  </si>
  <si>
    <t>Pingston Creek</t>
  </si>
  <si>
    <t>Joint Venture</t>
  </si>
  <si>
    <t>Robson Valley Power Corporation</t>
  </si>
  <si>
    <t>Puntledge</t>
  </si>
  <si>
    <t>Capital Power L.P.</t>
  </si>
  <si>
    <t>Raging River</t>
  </si>
  <si>
    <t>Raging River Power &amp; Mining Inc.</t>
  </si>
  <si>
    <t>Port Alice</t>
  </si>
  <si>
    <t>Ruskin</t>
  </si>
  <si>
    <t>Rutherford Creek Power Limited Partnership</t>
  </si>
  <si>
    <t>Sakwi Creek Hydro Limited Partnership</t>
  </si>
  <si>
    <t>Agassiz</t>
  </si>
  <si>
    <t>Savona</t>
  </si>
  <si>
    <t>Seegen</t>
  </si>
  <si>
    <t>Covanta Burnaby Renewable Energy, ULC</t>
  </si>
  <si>
    <t>Burnaby</t>
  </si>
  <si>
    <t>Seton</t>
  </si>
  <si>
    <t>Seven Mile</t>
  </si>
  <si>
    <t>Zero Emissions Shinish Creek Limited Partnership</t>
  </si>
  <si>
    <t>Summerland</t>
  </si>
  <si>
    <t>Shuswap</t>
  </si>
  <si>
    <t>Site C</t>
  </si>
  <si>
    <t>Skookum Creek Power Partnership</t>
  </si>
  <si>
    <t>Skookumchuck Pulp Inc.</t>
  </si>
  <si>
    <t>Skookumchuck</t>
  </si>
  <si>
    <t>Soo River</t>
  </si>
  <si>
    <t>Advanced Energy Systems 1 Limited Partnership</t>
  </si>
  <si>
    <t>South Slocan</t>
  </si>
  <si>
    <t>South Sutton Creek</t>
  </si>
  <si>
    <t>South Sutton Creek Hydro Inc.</t>
  </si>
  <si>
    <t>Spillimacheen</t>
  </si>
  <si>
    <t>Squamish Power Project</t>
  </si>
  <si>
    <t>Woodfibre LNG Limited</t>
  </si>
  <si>
    <t>Stave Falls</t>
  </si>
  <si>
    <t>Strathcona</t>
  </si>
  <si>
    <t>SunMine</t>
  </si>
  <si>
    <t>City of Kimberley</t>
  </si>
  <si>
    <t>Kimberley</t>
  </si>
  <si>
    <t>Tretheway Creek</t>
  </si>
  <si>
    <t>Tretheway Creek Power LP</t>
  </si>
  <si>
    <t>Tyson Creek Hydro Corp.</t>
  </si>
  <si>
    <t>Upper Bonnington</t>
  </si>
  <si>
    <t>Upper Clowhom</t>
  </si>
  <si>
    <t>Upper Lillooet River</t>
  </si>
  <si>
    <t>Upper Lillooet River Power Limited Partnership</t>
  </si>
  <si>
    <t>Upper Stave</t>
  </si>
  <si>
    <t>Upper Stave Lamont</t>
  </si>
  <si>
    <t>VF Clean Energy, Inc.</t>
  </si>
  <si>
    <t>Volcano Creek</t>
  </si>
  <si>
    <t>Walden North</t>
  </si>
  <si>
    <t>Cayoose Creek Power Limited Partnership</t>
  </si>
  <si>
    <t>Walter Hardman</t>
  </si>
  <si>
    <t>Waneta</t>
  </si>
  <si>
    <t>Waneta Expansion</t>
  </si>
  <si>
    <t>Trail</t>
  </si>
  <si>
    <t>Whatshan</t>
  </si>
  <si>
    <t>Zeballos Lake</t>
  </si>
  <si>
    <t>Zeballos Lake Hydro Limited Partnership</t>
  </si>
  <si>
    <t>Zeballos</t>
  </si>
  <si>
    <t>Missing values for "outage duration", "minimum capacity", maximum capacity", "must run", "minimum up time", "minimum down time" filled in using values for similar types of projects where values are known.</t>
  </si>
  <si>
    <t>RESERVOIR</t>
  </si>
  <si>
    <t>Allouette</t>
  </si>
  <si>
    <t>Stave</t>
  </si>
  <si>
    <t>Arrow</t>
  </si>
  <si>
    <t>08NE102</t>
  </si>
  <si>
    <t>Columbia (U.S.)</t>
  </si>
  <si>
    <t>08NE049</t>
  </si>
  <si>
    <t>08NE049 is flow and level data</t>
  </si>
  <si>
    <t>Elsie</t>
  </si>
  <si>
    <t>Anderson Lake</t>
  </si>
  <si>
    <t>Carpenter</t>
  </si>
  <si>
    <t>Daisy</t>
  </si>
  <si>
    <t>08GB013</t>
  </si>
  <si>
    <t>Clowhom Lake</t>
  </si>
  <si>
    <t>08GB013 located at upper end of reservoir</t>
  </si>
  <si>
    <t>08NJ158</t>
  </si>
  <si>
    <t>Williston</t>
  </si>
  <si>
    <t>07EF003</t>
  </si>
  <si>
    <t>Dinosaur</t>
  </si>
  <si>
    <t>08HD003</t>
  </si>
  <si>
    <t>Elliott</t>
  </si>
  <si>
    <t>08FE002</t>
  </si>
  <si>
    <t>Nechako</t>
  </si>
  <si>
    <t>Lower Campbell Lake</t>
  </si>
  <si>
    <t>Lower</t>
  </si>
  <si>
    <t>Downton Lake</t>
  </si>
  <si>
    <t>Downton</t>
  </si>
  <si>
    <t>Kinbasket</t>
  </si>
  <si>
    <t>08ND017</t>
  </si>
  <si>
    <t>07EF001</t>
  </si>
  <si>
    <t>07EF001 Level is prior to Site C reservoir</t>
  </si>
  <si>
    <t>08ND025</t>
  </si>
  <si>
    <t>Hayward</t>
  </si>
  <si>
    <t>08MH167</t>
  </si>
  <si>
    <t>08ME003</t>
  </si>
  <si>
    <t>Seton (+ Carpenter)</t>
  </si>
  <si>
    <t>07FA004</t>
  </si>
  <si>
    <t>SiteC Res</t>
  </si>
  <si>
    <t>07FA004 Flow is prior to Site C generation</t>
  </si>
  <si>
    <t>Stave Lake</t>
  </si>
  <si>
    <t>Upper Campbell Lake</t>
  </si>
  <si>
    <t>08HD031</t>
  </si>
  <si>
    <t>Jones Lake</t>
  </si>
  <si>
    <t>Jones</t>
  </si>
  <si>
    <t>08NE058</t>
  </si>
  <si>
    <t>08NE058 is flow at the international border</t>
  </si>
  <si>
    <t>Diversion</t>
  </si>
  <si>
    <t>Elliot</t>
  </si>
  <si>
    <t>Wahleach</t>
  </si>
  <si>
    <t>Renewal Project Name</t>
  </si>
  <si>
    <t>Additional Dependable Capacity</t>
  </si>
  <si>
    <t>Unit Capacity Cost</t>
  </si>
  <si>
    <t>Additional Annual Energy</t>
  </si>
  <si>
    <t>Unit Energy Cost</t>
  </si>
  <si>
    <t>($/kW-year)</t>
  </si>
  <si>
    <t>($M)</t>
  </si>
  <si>
    <t>Ash River Additional Unit</t>
  </si>
  <si>
    <t>Elko Redevelopment</t>
  </si>
  <si>
    <t>Falls River Redevelopment</t>
  </si>
  <si>
    <t>Requires raising height of dam</t>
  </si>
  <si>
    <t>GMS Units 1-5 Capacity Increase</t>
  </si>
  <si>
    <t>Ladore Additional Unit</t>
  </si>
  <si>
    <t>Lajoie Additional Unit</t>
  </si>
  <si>
    <t>Puntledge Additional Unit</t>
  </si>
  <si>
    <t>Revelstoke 6</t>
  </si>
  <si>
    <t>Seton Unit Upgrade</t>
  </si>
  <si>
    <t>Seven Mile Turbine Upgrades</t>
  </si>
  <si>
    <t>Shushwap Refurbishment</t>
  </si>
  <si>
    <t>CHECK for 2018 update study</t>
  </si>
  <si>
    <t>1L010</t>
  </si>
  <si>
    <t>1L011</t>
  </si>
  <si>
    <t>1L012</t>
  </si>
  <si>
    <t>1L014</t>
  </si>
  <si>
    <t>1L018</t>
  </si>
  <si>
    <t>1L031</t>
  </si>
  <si>
    <t>1L032</t>
  </si>
  <si>
    <t>1L033</t>
  </si>
  <si>
    <t>1L035</t>
  </si>
  <si>
    <t>1L037</t>
  </si>
  <si>
    <t>1L038</t>
  </si>
  <si>
    <t>1L044</t>
  </si>
  <si>
    <t>1L048</t>
  </si>
  <si>
    <t>1L055</t>
  </si>
  <si>
    <t>1L057</t>
  </si>
  <si>
    <t>1L101</t>
  </si>
  <si>
    <t>1L102</t>
  </si>
  <si>
    <t>1L103</t>
  </si>
  <si>
    <t>1L104</t>
  </si>
  <si>
    <t>1L105</t>
  </si>
  <si>
    <t>1L106</t>
  </si>
  <si>
    <t>1L109</t>
  </si>
  <si>
    <t>1L110</t>
  </si>
  <si>
    <t>1L112</t>
  </si>
  <si>
    <t>1L114</t>
  </si>
  <si>
    <t>1L115</t>
  </si>
  <si>
    <t>1L116</t>
  </si>
  <si>
    <t>1L117</t>
  </si>
  <si>
    <t>1L118</t>
  </si>
  <si>
    <t>1L119</t>
  </si>
  <si>
    <t>1L120</t>
  </si>
  <si>
    <t>1L121</t>
  </si>
  <si>
    <t>1L122</t>
  </si>
  <si>
    <t>1L123</t>
  </si>
  <si>
    <t>1L124</t>
  </si>
  <si>
    <t>1L125</t>
  </si>
  <si>
    <t>1L127</t>
  </si>
  <si>
    <t>1L128</t>
  </si>
  <si>
    <t>1L130</t>
  </si>
  <si>
    <t>1L131</t>
  </si>
  <si>
    <t>1L134</t>
  </si>
  <si>
    <t>1L137</t>
  </si>
  <si>
    <t>1L138</t>
  </si>
  <si>
    <t>1L139</t>
  </si>
  <si>
    <t>1L140</t>
  </si>
  <si>
    <t>1L142</t>
  </si>
  <si>
    <t>1L143</t>
  </si>
  <si>
    <t>1L146</t>
  </si>
  <si>
    <t>1L152</t>
  </si>
  <si>
    <t>1L157</t>
  </si>
  <si>
    <t>1L201</t>
  </si>
  <si>
    <t>1L202</t>
  </si>
  <si>
    <t>1L203</t>
  </si>
  <si>
    <t>1L204</t>
  </si>
  <si>
    <t>1L205</t>
  </si>
  <si>
    <t>1L206</t>
  </si>
  <si>
    <t>1L209</t>
  </si>
  <si>
    <t>1L210</t>
  </si>
  <si>
    <t>1L211</t>
  </si>
  <si>
    <t>1L212</t>
  </si>
  <si>
    <t>1L214</t>
  </si>
  <si>
    <t>1L218</t>
  </si>
  <si>
    <t>1L219</t>
  </si>
  <si>
    <t>1L225</t>
  </si>
  <si>
    <t>1L241</t>
  </si>
  <si>
    <t>1L242</t>
  </si>
  <si>
    <t>1L243</t>
  </si>
  <si>
    <t>1L244</t>
  </si>
  <si>
    <t>1L246</t>
  </si>
  <si>
    <t>1L251</t>
  </si>
  <si>
    <t>1L254</t>
  </si>
  <si>
    <t>1L274</t>
  </si>
  <si>
    <t>1L275</t>
  </si>
  <si>
    <t>1L348</t>
  </si>
  <si>
    <t>1L349</t>
  </si>
  <si>
    <t>1L350</t>
  </si>
  <si>
    <t>1L355</t>
  </si>
  <si>
    <t>1L357</t>
  </si>
  <si>
    <t>1L358</t>
  </si>
  <si>
    <t>1L359</t>
  </si>
  <si>
    <t>1L360</t>
  </si>
  <si>
    <t>1L361</t>
  </si>
  <si>
    <t>1L364</t>
  </si>
  <si>
    <t>1L365</t>
  </si>
  <si>
    <t>1L366</t>
  </si>
  <si>
    <t>1L367</t>
  </si>
  <si>
    <t>1L368</t>
  </si>
  <si>
    <t>1L371</t>
  </si>
  <si>
    <t>1L373</t>
  </si>
  <si>
    <t>1L374</t>
  </si>
  <si>
    <t>1L375</t>
  </si>
  <si>
    <t>1L377</t>
  </si>
  <si>
    <t>1L381</t>
  </si>
  <si>
    <t>1L384</t>
  </si>
  <si>
    <t>1L385</t>
  </si>
  <si>
    <t>1L387</t>
  </si>
  <si>
    <t>1L390</t>
  </si>
  <si>
    <t>1L391</t>
  </si>
  <si>
    <t>1L392</t>
  </si>
  <si>
    <t>1L393</t>
  </si>
  <si>
    <t>1L396</t>
  </si>
  <si>
    <t>1L398</t>
  </si>
  <si>
    <t>1L402</t>
  </si>
  <si>
    <t>2L001</t>
  </si>
  <si>
    <t>2L002</t>
  </si>
  <si>
    <t>2L003</t>
  </si>
  <si>
    <t>2L004</t>
  </si>
  <si>
    <t>2L005</t>
  </si>
  <si>
    <t>2L006</t>
  </si>
  <si>
    <t>2L009</t>
  </si>
  <si>
    <t>2L010</t>
  </si>
  <si>
    <t>2L011</t>
  </si>
  <si>
    <t>2L012</t>
  </si>
  <si>
    <t>2L013</t>
  </si>
  <si>
    <t>2L014</t>
  </si>
  <si>
    <t>2L017</t>
  </si>
  <si>
    <t>2L019</t>
  </si>
  <si>
    <t>2L020</t>
  </si>
  <si>
    <t>2L022</t>
  </si>
  <si>
    <t>2L027</t>
  </si>
  <si>
    <t>2L031</t>
  </si>
  <si>
    <t>2L032</t>
  </si>
  <si>
    <t>2L033</t>
  </si>
  <si>
    <t>2L038</t>
  </si>
  <si>
    <t>2L039</t>
  </si>
  <si>
    <t>2L040</t>
  </si>
  <si>
    <t>2L041</t>
  </si>
  <si>
    <t>2L044</t>
  </si>
  <si>
    <t>2L045</t>
  </si>
  <si>
    <t>2L047</t>
  </si>
  <si>
    <t>2L048</t>
  </si>
  <si>
    <t>2L049</t>
  </si>
  <si>
    <t>2L050</t>
  </si>
  <si>
    <t>2L051</t>
  </si>
  <si>
    <t>2L052</t>
  </si>
  <si>
    <t>2L053</t>
  </si>
  <si>
    <t>2L054</t>
  </si>
  <si>
    <t>2L055</t>
  </si>
  <si>
    <t>2L056</t>
  </si>
  <si>
    <t>2L057</t>
  </si>
  <si>
    <t>2L058</t>
  </si>
  <si>
    <t>2L061</t>
  </si>
  <si>
    <t>2L062</t>
  </si>
  <si>
    <t>2L063</t>
  </si>
  <si>
    <t>2L064</t>
  </si>
  <si>
    <t>2L074</t>
  </si>
  <si>
    <t>2L075</t>
  </si>
  <si>
    <t>2L076</t>
  </si>
  <si>
    <t>2L077</t>
  </si>
  <si>
    <t>2L078</t>
  </si>
  <si>
    <t>2L079</t>
  </si>
  <si>
    <t>2L086</t>
  </si>
  <si>
    <t>2L090</t>
  </si>
  <si>
    <t>2L091</t>
  </si>
  <si>
    <t>2L092</t>
  </si>
  <si>
    <t>2L093</t>
  </si>
  <si>
    <t>2L094</t>
  </si>
  <si>
    <t>2L095</t>
  </si>
  <si>
    <t>2L096</t>
  </si>
  <si>
    <t>2L097</t>
  </si>
  <si>
    <t>2L099</t>
  </si>
  <si>
    <t>2L100</t>
  </si>
  <si>
    <t>2L101</t>
  </si>
  <si>
    <t>2L102</t>
  </si>
  <si>
    <t>2L103</t>
  </si>
  <si>
    <t>2L112</t>
  </si>
  <si>
    <t>2L113</t>
  </si>
  <si>
    <t>2L123</t>
  </si>
  <si>
    <t>2L125</t>
  </si>
  <si>
    <t>2L126</t>
  </si>
  <si>
    <t>2L128</t>
  </si>
  <si>
    <t>2L129</t>
  </si>
  <si>
    <t>2L130</t>
  </si>
  <si>
    <t>2L131</t>
  </si>
  <si>
    <t>2L132</t>
  </si>
  <si>
    <t>2L142</t>
  </si>
  <si>
    <t>2L143</t>
  </si>
  <si>
    <t>2L144</t>
  </si>
  <si>
    <t>2L145</t>
  </si>
  <si>
    <t>2L146</t>
  </si>
  <si>
    <t>2L154</t>
  </si>
  <si>
    <t>2L170</t>
  </si>
  <si>
    <t>2L221</t>
  </si>
  <si>
    <t>2L222</t>
  </si>
  <si>
    <t>2L240</t>
  </si>
  <si>
    <t>2L253</t>
  </si>
  <si>
    <t>2L255</t>
  </si>
  <si>
    <t>2L256</t>
  </si>
  <si>
    <t>2L258</t>
  </si>
  <si>
    <t>2L259</t>
  </si>
  <si>
    <t>2L265</t>
  </si>
  <si>
    <t>2L293</t>
  </si>
  <si>
    <t>2L294</t>
  </si>
  <si>
    <t>2L299</t>
  </si>
  <si>
    <t>2L307</t>
  </si>
  <si>
    <t>2L308</t>
  </si>
  <si>
    <t>2L309</t>
  </si>
  <si>
    <t>2L312</t>
  </si>
  <si>
    <t>2L313</t>
  </si>
  <si>
    <t>2L320</t>
  </si>
  <si>
    <t>2L321</t>
  </si>
  <si>
    <t>2L322</t>
  </si>
  <si>
    <t>2L323</t>
  </si>
  <si>
    <t>2L329</t>
  </si>
  <si>
    <t>2L330</t>
  </si>
  <si>
    <t>2L333</t>
  </si>
  <si>
    <t>2L337</t>
  </si>
  <si>
    <t>2L339</t>
  </si>
  <si>
    <t>2L340</t>
  </si>
  <si>
    <t>2L342</t>
  </si>
  <si>
    <t>2L352</t>
  </si>
  <si>
    <t>2L353</t>
  </si>
  <si>
    <t>2L354</t>
  </si>
  <si>
    <t>2L374</t>
  </si>
  <si>
    <t>3L002</t>
  </si>
  <si>
    <t>3L003</t>
  </si>
  <si>
    <t>3L005</t>
  </si>
  <si>
    <t>3L013</t>
  </si>
  <si>
    <t>3L014</t>
  </si>
  <si>
    <t>3L015</t>
  </si>
  <si>
    <t>3L016</t>
  </si>
  <si>
    <t>5L001</t>
  </si>
  <si>
    <t>5L002</t>
  </si>
  <si>
    <t>5L003</t>
  </si>
  <si>
    <t>5L004</t>
  </si>
  <si>
    <t>5L005</t>
  </si>
  <si>
    <t>5L006</t>
  </si>
  <si>
    <t>5L007</t>
  </si>
  <si>
    <t>5L011</t>
  </si>
  <si>
    <t>5L012</t>
  </si>
  <si>
    <t>5L013</t>
  </si>
  <si>
    <t>5L029</t>
  </si>
  <si>
    <t>5L030</t>
  </si>
  <si>
    <t>5L031</t>
  </si>
  <si>
    <t>5L032</t>
  </si>
  <si>
    <t>5L040</t>
  </si>
  <si>
    <t>5L041</t>
  </si>
  <si>
    <t>5L042</t>
  </si>
  <si>
    <t>5L044</t>
  </si>
  <si>
    <t>5L045</t>
  </si>
  <si>
    <t>5L051</t>
  </si>
  <si>
    <t>5L052</t>
  </si>
  <si>
    <t>5L061</t>
  </si>
  <si>
    <t>5L062</t>
  </si>
  <si>
    <t>5L063</t>
  </si>
  <si>
    <t>5L071</t>
  </si>
  <si>
    <t>5L072</t>
  </si>
  <si>
    <t>5L075</t>
  </si>
  <si>
    <t>5L076</t>
  </si>
  <si>
    <t>5L077</t>
  </si>
  <si>
    <t>5L079</t>
  </si>
  <si>
    <t>5L081</t>
  </si>
  <si>
    <t>5L082</t>
  </si>
  <si>
    <t>5L083</t>
  </si>
  <si>
    <t>5L087</t>
  </si>
  <si>
    <t>5L091</t>
  </si>
  <si>
    <t>5L092</t>
  </si>
  <si>
    <t>5L094</t>
  </si>
  <si>
    <t>5L096</t>
  </si>
  <si>
    <t>5L098</t>
  </si>
  <si>
    <t>BC Hydro line losses are 3% for transmission and 4% for distribution.</t>
  </si>
  <si>
    <t>(GWh)</t>
  </si>
  <si>
    <t>F2019</t>
  </si>
  <si>
    <t>F2020</t>
  </si>
  <si>
    <t>F2021</t>
  </si>
  <si>
    <t>F2022</t>
  </si>
  <si>
    <t>F2023</t>
  </si>
  <si>
    <t>F2024</t>
  </si>
  <si>
    <t>F2025</t>
  </si>
  <si>
    <t>F2026</t>
  </si>
  <si>
    <t>F2027</t>
  </si>
  <si>
    <t>F2028</t>
  </si>
  <si>
    <t>F2029</t>
  </si>
  <si>
    <t>F2030</t>
  </si>
  <si>
    <t>F2031</t>
  </si>
  <si>
    <t>F2032</t>
  </si>
  <si>
    <t>F2033</t>
  </si>
  <si>
    <t>F2034</t>
  </si>
  <si>
    <t>F2035</t>
  </si>
  <si>
    <t>F2036</t>
  </si>
  <si>
    <t>Existing and Committed Heritage Resources</t>
  </si>
  <si>
    <t>Heritage Resources</t>
  </si>
  <si>
    <t>(a)</t>
  </si>
  <si>
    <t>Existing and Committed IPP Resources</t>
  </si>
  <si>
    <t>(b)</t>
  </si>
  <si>
    <t>Future Supply-Side Resources</t>
  </si>
  <si>
    <t>IPP Renewals</t>
  </si>
  <si>
    <t>Sub-total</t>
  </si>
  <si>
    <t>(c)</t>
  </si>
  <si>
    <t>(d) = a + b + c</t>
  </si>
  <si>
    <t>Demand - Integrated System Total Gross Requirements</t>
  </si>
  <si>
    <t>(e)</t>
  </si>
  <si>
    <t>Existing and Committed Demand Side Management &amp; Others Measures</t>
  </si>
  <si>
    <t>Planned Demand Side Management Measures</t>
  </si>
  <si>
    <t>(f)</t>
  </si>
  <si>
    <t>(g) = d + e + f</t>
  </si>
  <si>
    <t>Heritage Resources (including Site C)</t>
  </si>
  <si>
    <t>Effective Load Carrying Capability</t>
  </si>
  <si>
    <t>(h)</t>
  </si>
  <si>
    <t>Ash River</t>
  </si>
  <si>
    <t>Development Time</t>
  </si>
  <si>
    <t>(years)</t>
  </si>
  <si>
    <t>Additional Installed Capacity</t>
  </si>
  <si>
    <t>Fixed O&amp;M</t>
  </si>
  <si>
    <t>Variable O&amp;M</t>
  </si>
  <si>
    <t>Border</t>
  </si>
  <si>
    <t>Elaho River</t>
  </si>
  <si>
    <t>Mosley Creek</t>
  </si>
  <si>
    <t>Waddington</t>
  </si>
  <si>
    <t>Nude Canyon</t>
  </si>
  <si>
    <t>McGregor</t>
  </si>
  <si>
    <t>Site E</t>
  </si>
  <si>
    <t>Devil's Gorge</t>
  </si>
  <si>
    <t>Liard River</t>
  </si>
  <si>
    <t>Beavercrow</t>
  </si>
  <si>
    <t>More Creek</t>
  </si>
  <si>
    <t>Iskut River</t>
  </si>
  <si>
    <t>McGregor River</t>
  </si>
  <si>
    <t>Homathko River</t>
  </si>
  <si>
    <t>Columbia River</t>
  </si>
  <si>
    <t>Average annual energy proportioned</t>
  </si>
  <si>
    <t>($2008M)</t>
  </si>
  <si>
    <t>Hell's Gate</t>
  </si>
  <si>
    <t>Construction Time</t>
  </si>
  <si>
    <t>($2018M)</t>
  </si>
  <si>
    <t>Capital Overhead</t>
  </si>
  <si>
    <t>Assume IDC rate of 5% each year</t>
  </si>
  <si>
    <t>Interest During Construction</t>
  </si>
  <si>
    <t>Project Definition Costs</t>
  </si>
  <si>
    <t>Murphy Creek</t>
  </si>
  <si>
    <t>HYDROELECTRIC GREENFIELD</t>
  </si>
  <si>
    <t>HYDROELECTRIC RENEWAL</t>
  </si>
  <si>
    <t>Upper Storage Name</t>
  </si>
  <si>
    <t>Lower Storage Name</t>
  </si>
  <si>
    <t>Nachako</t>
  </si>
  <si>
    <t>HydroExisting</t>
  </si>
  <si>
    <t>HydroRenewals</t>
  </si>
  <si>
    <t>HydroGreenfield</t>
  </si>
  <si>
    <t>Characteristics specific to potential future capacity upgrades and pumped storage additions at existing facilities</t>
  </si>
  <si>
    <t>Characteristics specific to potential future greenfield hydroelectric projects</t>
  </si>
  <si>
    <t>HydroPS</t>
  </si>
  <si>
    <t>Characteristics specific to potential future pumped storage hydroelectric projects</t>
  </si>
  <si>
    <t>($/year)</t>
  </si>
  <si>
    <t>dd.dddd</t>
  </si>
  <si>
    <t>Longitude</t>
  </si>
  <si>
    <t>Latitude</t>
  </si>
  <si>
    <t>Direct Capital Cost ratiod from 220 MW UCC</t>
  </si>
  <si>
    <t>Existing Project Name</t>
  </si>
  <si>
    <t>Diversion (not powered)</t>
  </si>
  <si>
    <t>Shuswap Lake</t>
  </si>
  <si>
    <t>Characteristics specific to existing interconnected hydroelectric generators with hourly or monthly storage</t>
  </si>
  <si>
    <t>COSTS</t>
  </si>
  <si>
    <t>F2037</t>
  </si>
  <si>
    <t>F2038</t>
  </si>
  <si>
    <t>F2039</t>
  </si>
  <si>
    <t>Expected SOP Projects and other First Nations Commitments</t>
  </si>
  <si>
    <t>June 2019 Mid Load Forecast Before DSM</t>
  </si>
  <si>
    <t>F19 DSM Portfolio Savings (F20-F21 RRA)</t>
  </si>
  <si>
    <t>F20+ Codes &amp; Standards (F20-F21 RRA) plus Voltage and VAR Optimization</t>
  </si>
  <si>
    <t>F20+ Rates (F20-F21 RRA)</t>
  </si>
  <si>
    <t>F20+ Programs (F20-F21 RRA)</t>
  </si>
  <si>
    <t>Surplus/Deficit</t>
  </si>
  <si>
    <t>Surplus/Deficit as % of Net Load</t>
  </si>
  <si>
    <t>Small Gap Surplus/(Deficit)</t>
  </si>
  <si>
    <t>Large Gap Surplus/(Deficit)</t>
  </si>
  <si>
    <t>June 2019 Mid Load Forecast After DSM</t>
  </si>
  <si>
    <t>Incremental annual load growth After DSM</t>
  </si>
  <si>
    <t>2019-2030 Rate</t>
  </si>
  <si>
    <t>2019-2039 Rate</t>
  </si>
  <si>
    <t>2021-2030 Rate</t>
  </si>
  <si>
    <t>2021-2039 Rate</t>
  </si>
  <si>
    <t>Sub-total all DSM and Other Measures</t>
  </si>
  <si>
    <t>Incremental annual load growth Before DSM</t>
  </si>
  <si>
    <t>Total Supply (Planning View)</t>
  </si>
  <si>
    <t>14% of Supply Requiring Reserves - excluding Rio Tinto Alcan and Fortis BC</t>
  </si>
  <si>
    <t>Generator Type</t>
  </si>
  <si>
    <t>Implementation Costs</t>
  </si>
  <si>
    <t>Operational View: The Operational View shows the forecasted operation of these same resources given market conditions, expected system conditions in the near term and average conditions in the long term. This view is relevant for forecasting revenue requirements because it mimics actual operation.</t>
  </si>
  <si>
    <t>Planning View: The Planning View reflects the capability of resources based on BC Hydro’s planning criteria, including the requirement contained in subsection 6(2) of the Clean Energy Act to achieve electricity self-sufficiency under prescribed water conditions from its hydroelectric Heritage assets. The planning view is summarized in the Energy Load Resource Balances as “Surplus/Deficit as % of Net Load (planning view)” where lower than 100 per cent means that there is a system shortfall and a need for additional resources.</t>
  </si>
  <si>
    <t>June 2019 Low Load Forecast After DSM</t>
  </si>
  <si>
    <t>(i)</t>
  </si>
  <si>
    <t>h - d - f</t>
  </si>
  <si>
    <t>June 2019 High Load Forecast After DSM</t>
  </si>
  <si>
    <t>i - d - f</t>
  </si>
  <si>
    <t>F2019 - F2030</t>
  </si>
  <si>
    <t>F2019-F2039</t>
  </si>
  <si>
    <t>Bonnington Falls</t>
  </si>
  <si>
    <t>Catalyst Paper Crofton</t>
  </si>
  <si>
    <t>Crofton</t>
  </si>
  <si>
    <t>Catalyst Paper Port Alberni</t>
  </si>
  <si>
    <t>Kruger Products Paper Mill</t>
  </si>
  <si>
    <t>New Westminster</t>
  </si>
  <si>
    <t>Lois Lake</t>
  </si>
  <si>
    <t>Stillwater</t>
  </si>
  <si>
    <t>Nechako Lumber</t>
  </si>
  <si>
    <t>Vanderhoof</t>
  </si>
  <si>
    <t>Powell Lake</t>
  </si>
  <si>
    <t>Revelstoke District</t>
  </si>
  <si>
    <t>Vancouver</t>
  </si>
  <si>
    <t>UNBC Bioenergy Plant</t>
  </si>
  <si>
    <t>Nelson Hydro</t>
  </si>
  <si>
    <t>Catalyst Paper</t>
  </si>
  <si>
    <t>Green Island Energy</t>
  </si>
  <si>
    <t>Kruger Energy</t>
  </si>
  <si>
    <t>Nechako Lumber Co. Ltd</t>
  </si>
  <si>
    <t>Neucel</t>
  </si>
  <si>
    <t>City of Revelstoke</t>
  </si>
  <si>
    <t>University of Northern British Columbia</t>
  </si>
  <si>
    <t>University of British Columbia</t>
  </si>
  <si>
    <t>Powell River Energy</t>
  </si>
  <si>
    <t>Brookfield Renewable Power</t>
  </si>
  <si>
    <t>BluEarth Renewables</t>
  </si>
  <si>
    <t>Innergex</t>
  </si>
  <si>
    <t>NG_CC</t>
  </si>
  <si>
    <t>NG_CT</t>
  </si>
  <si>
    <t>Powell River Generation_11</t>
  </si>
  <si>
    <t>Powell River Generation_12</t>
  </si>
  <si>
    <t>G.M. Shrum_01</t>
  </si>
  <si>
    <t>G.M. Shrum_02</t>
  </si>
  <si>
    <t>G.M. Shrum_03</t>
  </si>
  <si>
    <t>G.M. Shrum_04</t>
  </si>
  <si>
    <t>G.M. Shrum_05</t>
  </si>
  <si>
    <t>G.M. Shrum_06</t>
  </si>
  <si>
    <t>G.M. Shrum_07</t>
  </si>
  <si>
    <t>G.M. Shrum_08</t>
  </si>
  <si>
    <t>G.M. Shrum_09</t>
  </si>
  <si>
    <t>G.M. Shrum_10</t>
  </si>
  <si>
    <t>Forrest Kerr Hydroelectric_01</t>
  </si>
  <si>
    <t>Forrest Kerr Hydroelectric_02</t>
  </si>
  <si>
    <t>Forrest Kerr Hydroelectric_03</t>
  </si>
  <si>
    <t>Forrest Kerr Hydroelectric_04</t>
  </si>
  <si>
    <t>Forrest Kerr Hydroelectric_05</t>
  </si>
  <si>
    <t>Forrest Kerr Hydroelectric_06</t>
  </si>
  <si>
    <t>Forrest Kerr Hydroelectric_07</t>
  </si>
  <si>
    <t>Forrest Kerr Hydroelectric_08</t>
  </si>
  <si>
    <t>Forrest Kerr Hydroelectric_09</t>
  </si>
  <si>
    <t>Kemano_01</t>
  </si>
  <si>
    <t>Kemano_02</t>
  </si>
  <si>
    <t>Kemano_03</t>
  </si>
  <si>
    <t>Kemano_04</t>
  </si>
  <si>
    <t>Kemano_05</t>
  </si>
  <si>
    <t>Kemano_06</t>
  </si>
  <si>
    <t>Kemano_07</t>
  </si>
  <si>
    <t>Kemano_08</t>
  </si>
  <si>
    <t>John Hart_01</t>
  </si>
  <si>
    <t>John Hart_02</t>
  </si>
  <si>
    <t>John Hart_03</t>
  </si>
  <si>
    <t>Upper Bonnington_01</t>
  </si>
  <si>
    <t>Upper Bonnington_02</t>
  </si>
  <si>
    <t>Upper Bonnington_03</t>
  </si>
  <si>
    <t>Upper Bonnington_04</t>
  </si>
  <si>
    <t>Upper Bonnington_05</t>
  </si>
  <si>
    <t>Upper Bonnington_06</t>
  </si>
  <si>
    <t>Mica_01</t>
  </si>
  <si>
    <t>Mica_02</t>
  </si>
  <si>
    <t>Mica_03</t>
  </si>
  <si>
    <t>Mica_04</t>
  </si>
  <si>
    <t>Mica_05</t>
  </si>
  <si>
    <t>Mica_06</t>
  </si>
  <si>
    <t>Revelstoke_01</t>
  </si>
  <si>
    <t>Revelstoke_02</t>
  </si>
  <si>
    <t>Revelstoke_03</t>
  </si>
  <si>
    <t>Revelstoke_04</t>
  </si>
  <si>
    <t>Revelstoke_05</t>
  </si>
  <si>
    <t>Site C_01</t>
  </si>
  <si>
    <t>Site C_02</t>
  </si>
  <si>
    <t>Site C_03</t>
  </si>
  <si>
    <t>Site C_04</t>
  </si>
  <si>
    <t>Site C_05</t>
  </si>
  <si>
    <t>Site C_06</t>
  </si>
  <si>
    <t>Brilliant_01</t>
  </si>
  <si>
    <t>Brilliant_02</t>
  </si>
  <si>
    <t>Brilliant_03</t>
  </si>
  <si>
    <t>Brilliant_04</t>
  </si>
  <si>
    <t>Kootenay Canal_01</t>
  </si>
  <si>
    <t>Kootenay Canal_02</t>
  </si>
  <si>
    <t>Kootenay Canal_03</t>
  </si>
  <si>
    <t>Kootenay Canal_04</t>
  </si>
  <si>
    <t>Seven Mile_01</t>
  </si>
  <si>
    <t>Seven Mile_02</t>
  </si>
  <si>
    <t>Seven Mile_03</t>
  </si>
  <si>
    <t>Seven Mile_04</t>
  </si>
  <si>
    <t>Waneta_01</t>
  </si>
  <si>
    <t>Waneta_02</t>
  </si>
  <si>
    <t>Waneta_03</t>
  </si>
  <si>
    <t>Waneta_04</t>
  </si>
  <si>
    <t>Peace Canyon_01</t>
  </si>
  <si>
    <t>Peace Canyon_02</t>
  </si>
  <si>
    <t>Peace Canyon_03</t>
  </si>
  <si>
    <t>Peace Canyon_04</t>
  </si>
  <si>
    <t>Kamloops Green Energy_01</t>
  </si>
  <si>
    <t>Kamloops Green Energy_02</t>
  </si>
  <si>
    <t>Kamloops Green Energy_03</t>
  </si>
  <si>
    <t>Aberfeldie_01</t>
  </si>
  <si>
    <t>Aberfeldie_02</t>
  </si>
  <si>
    <t>Aberfeldie_03</t>
  </si>
  <si>
    <t>Corra Linn_01</t>
  </si>
  <si>
    <t>Corra Linn_02</t>
  </si>
  <si>
    <t>Corra Linn_03</t>
  </si>
  <si>
    <t>Lower Bonnington_01</t>
  </si>
  <si>
    <t>Lower Bonnington_02</t>
  </si>
  <si>
    <t>Lower Bonnington_03</t>
  </si>
  <si>
    <t>Ruskin_01</t>
  </si>
  <si>
    <t>Ruskin_02</t>
  </si>
  <si>
    <t>Ruskin_03</t>
  </si>
  <si>
    <t>South Slocan_01</t>
  </si>
  <si>
    <t>South Slocan_02</t>
  </si>
  <si>
    <t>South Slocan_03</t>
  </si>
  <si>
    <t>Zeballos Lake_01</t>
  </si>
  <si>
    <t>Zeballos Lake_02</t>
  </si>
  <si>
    <t>Zeballos Lake_03</t>
  </si>
  <si>
    <t>Cariboo Pulp and Paper_01</t>
  </si>
  <si>
    <t>Cariboo Pulp and Paper_02</t>
  </si>
  <si>
    <t>Howe Sound Green Energy_01</t>
  </si>
  <si>
    <t>Howe Sound Green Energy_02</t>
  </si>
  <si>
    <t>Cheakamus_01</t>
  </si>
  <si>
    <t>Cheakamus_02</t>
  </si>
  <si>
    <t>Elko_01</t>
  </si>
  <si>
    <t>Elko_02</t>
  </si>
  <si>
    <t>Falls River_01</t>
  </si>
  <si>
    <t>Falls River_02</t>
  </si>
  <si>
    <t>Ladore_01</t>
  </si>
  <si>
    <t>Ladore_02</t>
  </si>
  <si>
    <t>Raging River_01</t>
  </si>
  <si>
    <t>Raging River_02</t>
  </si>
  <si>
    <t>Stave Falls_01</t>
  </si>
  <si>
    <t>Stave Falls_02</t>
  </si>
  <si>
    <t>Strathcona_01</t>
  </si>
  <si>
    <t>Strathcona_02</t>
  </si>
  <si>
    <t>Walter Hardman_01</t>
  </si>
  <si>
    <t>Walter Hardman_02</t>
  </si>
  <si>
    <t>Waneta Expansion_01</t>
  </si>
  <si>
    <t>Waneta Expansion_02</t>
  </si>
  <si>
    <t>Fort Nelson_01</t>
  </si>
  <si>
    <t>Fort Nelson_02</t>
  </si>
  <si>
    <t>South Cranberry Creek</t>
  </si>
  <si>
    <t>HGWh</t>
  </si>
  <si>
    <t>HMW</t>
  </si>
  <si>
    <t>FGWh</t>
  </si>
  <si>
    <t>FMW</t>
  </si>
  <si>
    <t>UNIT</t>
  </si>
  <si>
    <t>Annual Capacity Demand (after DSM)</t>
  </si>
  <si>
    <t>MW</t>
  </si>
  <si>
    <t>Annual Change in Capacity Demand</t>
  </si>
  <si>
    <t>Percentage Change in Capacity Demand</t>
  </si>
  <si>
    <t>%</t>
  </si>
  <si>
    <t>HISTORICAL ANNUAL ENERGY</t>
  </si>
  <si>
    <t>Annual Energy Demand (after DSM)</t>
  </si>
  <si>
    <t>GWh/year</t>
  </si>
  <si>
    <t>Annual Change in Energy Demand</t>
  </si>
  <si>
    <t>Percentage Change in Energy Demand</t>
  </si>
  <si>
    <t>(d)</t>
  </si>
  <si>
    <t>(e) = a+b+c+d</t>
  </si>
  <si>
    <t>(g)</t>
  </si>
  <si>
    <t>(h) = e + f + g</t>
  </si>
  <si>
    <t>(j)</t>
  </si>
  <si>
    <t>i - e - g</t>
  </si>
  <si>
    <t>j - e - g</t>
  </si>
  <si>
    <t>Data obtained and calculated</t>
  </si>
  <si>
    <t>Hydro_monthly</t>
  </si>
  <si>
    <t>Multi-unit Hydro_run facilities treated as single-unit facilities</t>
  </si>
  <si>
    <t>EXISTING STORAGE HYDROELECTRIC</t>
  </si>
  <si>
    <t>Bridge1_01</t>
  </si>
  <si>
    <t>Bridge1_02</t>
  </si>
  <si>
    <t>Bridge1_03</t>
  </si>
  <si>
    <t>Bridge1_04</t>
  </si>
  <si>
    <t>Bridge2_01</t>
  </si>
  <si>
    <t>Bridge2_02</t>
  </si>
  <si>
    <t>Bridge2_03</t>
  </si>
  <si>
    <t>Bridge2_04</t>
  </si>
  <si>
    <t>Arrow Lakes_01</t>
  </si>
  <si>
    <t>Arrow Lakes_02</t>
  </si>
  <si>
    <t>Iskut Canyon</t>
  </si>
  <si>
    <t>Annualized Project Cost</t>
  </si>
  <si>
    <t>($M/year)</t>
  </si>
  <si>
    <t>Total Project Cost</t>
  </si>
  <si>
    <t>Average Annual Energy - Plant</t>
  </si>
  <si>
    <t># of units</t>
  </si>
  <si>
    <t>Generation Type</t>
  </si>
  <si>
    <t>Project not currently powered</t>
  </si>
  <si>
    <t>F2019-F2050</t>
  </si>
  <si>
    <t>Distance to Market Grid</t>
  </si>
  <si>
    <t>($2017M)</t>
  </si>
  <si>
    <t>Total Capital Cost</t>
  </si>
  <si>
    <t>Total Capital Costs include contingency and project management costs, but exclude IDC, corporate overhead, future inflation and transmission costs</t>
  </si>
  <si>
    <t>Data not yet obtained</t>
  </si>
  <si>
    <t>Provincial historical energy demand, after DSM</t>
  </si>
  <si>
    <t>Provincial historical capacity demand, after DSM</t>
  </si>
  <si>
    <t>Provincial mid-load energy forecast, before and after DSM</t>
  </si>
  <si>
    <t>Provincial mid-load capacity forecast, before and after DSM</t>
  </si>
  <si>
    <t>See the related Gitlab issue for a summary of inventory status</t>
  </si>
  <si>
    <t>Hourly</t>
  </si>
  <si>
    <t>Provincial hourly generation data</t>
  </si>
  <si>
    <t>See the accompanying calculations file and raw data files for additional supporting information</t>
  </si>
  <si>
    <t>See Hourly2018 file in the Hourly-2018 folder</t>
  </si>
  <si>
    <t>Water Rentals</t>
  </si>
  <si>
    <t>Fixed O&amp;M and variable costs estimated using regression curves found in the CA-Inventory dataset</t>
  </si>
  <si>
    <t>Assume Project Definition costs using regression curve found in the CA-Inventory dataset</t>
  </si>
  <si>
    <t>Inappropriate decay applied to DSM - do not use</t>
  </si>
  <si>
    <t>Load growth before DSM</t>
  </si>
  <si>
    <t>Effectof DSM on mid-load growth rate</t>
  </si>
  <si>
    <t>Hydro_run</t>
  </si>
  <si>
    <t>Wind_Onshore</t>
  </si>
  <si>
    <t>Narrows Inlet</t>
  </si>
  <si>
    <t>tems sayamkwu Limited Partnership</t>
  </si>
  <si>
    <t>Moose Lake</t>
  </si>
  <si>
    <t>Moose Lake Wind Limited Partnership</t>
  </si>
  <si>
    <t>Winchie Creek</t>
  </si>
  <si>
    <t>Winchie Creek Hydro Limited Partnership</t>
  </si>
  <si>
    <t>Energy recovery generator.</t>
  </si>
  <si>
    <t>Solar_PV</t>
  </si>
  <si>
    <t>Interconnected to the AESO</t>
  </si>
  <si>
    <t>Annual Average Energy - Unit</t>
  </si>
  <si>
    <t>NG_CG</t>
  </si>
  <si>
    <t>Greater Vancouver Regional District</t>
  </si>
  <si>
    <t>Renewal Year</t>
  </si>
  <si>
    <t>Hydro_daily</t>
  </si>
  <si>
    <t>Variable Cost</t>
  </si>
  <si>
    <t>Annual Average Energy - Plant</t>
  </si>
  <si>
    <t>Annualized Project Cost per kW</t>
  </si>
  <si>
    <t>Capacity Factor</t>
  </si>
  <si>
    <t>General Notes:</t>
  </si>
  <si>
    <t>See calculations sheets for sources of values</t>
  </si>
  <si>
    <t>Start year indicates the year at which the facilitated was commissioned or refurbished to its current type</t>
  </si>
  <si>
    <t>Specific Notes:</t>
  </si>
  <si>
    <t>hydro_daily</t>
  </si>
  <si>
    <t>hydro_monthly</t>
  </si>
  <si>
    <t>hydro_run</t>
  </si>
  <si>
    <t>solar</t>
  </si>
  <si>
    <t>wind</t>
  </si>
  <si>
    <t>Biomass</t>
  </si>
  <si>
    <t>Wahleach Additional Units</t>
  </si>
  <si>
    <t>Alouette Redevelopment</t>
  </si>
  <si>
    <t>BC Hydro IPP contract durations presumed to be: hydroelectric - 40 years; wind - 20 years; biomass - 15 years; biogas automatically renewed</t>
  </si>
  <si>
    <t>BC Hydro Integrated System Total Gross Requirements shown in tab FGWh and FGW includes exports to Seattle City Light and Hyder Alaska, which extend beyond 2050 and so are not included as SALES in this list of existing generation</t>
  </si>
  <si>
    <t>The WSC# refers to the Water Survey of Canada Hydrometric station</t>
  </si>
  <si>
    <t>Hydroelectric generation type has been estimated based on available information concerning operations, reservoir size and operations, facility location and design flows.</t>
  </si>
  <si>
    <t>Assume installed capacity of hydroelectric renewals is all dependable capacity, though this should be verified with new studies.</t>
  </si>
  <si>
    <t>Assume Hydro_daily and Hydro_monthly generation has dependable capacity equal to installed capacity</t>
  </si>
  <si>
    <t>Assume a Capital Overhead rate of 1.77% of total capital costs (inclusive of contingencies, as they are above) based on BC Hydro rate</t>
  </si>
  <si>
    <t>Assume hydroelectric, greenfield and pumped storage facilities have an economic life of 70 years</t>
  </si>
  <si>
    <t>Assume a discount rate of 7% each year</t>
  </si>
  <si>
    <t>Unless already included in total capital costs, a distance of 25 km is added to didtance to market grid to account for potential grid interconnection costs</t>
  </si>
  <si>
    <t>($/MW-year)</t>
  </si>
  <si>
    <t>BritishColumbia.a</t>
  </si>
  <si>
    <t>Unless already included in total capital costs, a distance of 25 km is added to distance to market grid to account for potential grid interconnection costs</t>
  </si>
  <si>
    <t>Fixed Cost Existing Project</t>
  </si>
  <si>
    <t>Fixed Cost Renewed Project</t>
  </si>
  <si>
    <t>British Columbia.a</t>
  </si>
  <si>
    <t xml:space="preserve">hydro_daily </t>
  </si>
  <si>
    <t>GF_HGT</t>
  </si>
  <si>
    <t>GF_MCG</t>
  </si>
  <si>
    <t>GF_DEV</t>
  </si>
  <si>
    <t>GF_ISK</t>
  </si>
  <si>
    <t>GF_STE</t>
  </si>
  <si>
    <t>GF_WAD</t>
  </si>
  <si>
    <t>GF_NUD</t>
  </si>
  <si>
    <t>GF_ELA</t>
  </si>
  <si>
    <t>GF_MRC</t>
  </si>
  <si>
    <t>GF_MUR</t>
  </si>
  <si>
    <t>GF_MOS</t>
  </si>
  <si>
    <t>GF_BOR</t>
  </si>
  <si>
    <t>GF_BVR</t>
  </si>
  <si>
    <t>GF_DUN</t>
  </si>
  <si>
    <t>RN_ALO</t>
  </si>
  <si>
    <t>RN_ASH</t>
  </si>
  <si>
    <t>RN_ELK</t>
  </si>
  <si>
    <t>RN_FSR</t>
  </si>
  <si>
    <t>RN_GMS</t>
  </si>
  <si>
    <t>RN_LAD</t>
  </si>
  <si>
    <t>RN_LAJ</t>
  </si>
  <si>
    <t>RN_PUN</t>
  </si>
  <si>
    <t>RN_REV</t>
  </si>
  <si>
    <t>RN_SET</t>
  </si>
  <si>
    <t>RN_SEV</t>
  </si>
  <si>
    <t>RN_SHU</t>
  </si>
  <si>
    <t>RN_WAH</t>
  </si>
  <si>
    <t>Assume hydro_daily and hydro_monthly generation has dependable capacity equal to installed capacity</t>
  </si>
  <si>
    <t>Site C - 2008</t>
  </si>
  <si>
    <t>Site C - 2018</t>
  </si>
  <si>
    <t>Inflation rate:</t>
  </si>
  <si>
    <t>Total capital costs for the above lare-scale projects inflated from 2008 to 2018 similarly to increase in Site C total costs from $6.6 billion to $10.7 billion over the same period, or 63% of total capital cost in 2008.</t>
  </si>
  <si>
    <t>Other References</t>
  </si>
  <si>
    <t>2013-2018</t>
  </si>
  <si>
    <t>1L141</t>
  </si>
  <si>
    <t>2L314</t>
  </si>
  <si>
    <t>2L029</t>
  </si>
  <si>
    <t>2L379</t>
  </si>
  <si>
    <t>Hauer Creek</t>
  </si>
  <si>
    <t>2L105</t>
  </si>
  <si>
    <t>1L001</t>
  </si>
  <si>
    <t>2L315</t>
  </si>
  <si>
    <t>74L (2L264)</t>
  </si>
  <si>
    <t>73L</t>
  </si>
  <si>
    <t>43L</t>
  </si>
  <si>
    <t>75L</t>
  </si>
  <si>
    <t>76L</t>
  </si>
  <si>
    <t>40L</t>
  </si>
  <si>
    <t>48L</t>
  </si>
  <si>
    <t>11EL</t>
  </si>
  <si>
    <t>34L</t>
  </si>
  <si>
    <t>77L</t>
  </si>
  <si>
    <t>83L</t>
  </si>
  <si>
    <t>81L (2L290)</t>
  </si>
  <si>
    <t>79L (2L288)</t>
  </si>
  <si>
    <t>72L (2L263)</t>
  </si>
  <si>
    <t>82L (2L289)</t>
  </si>
  <si>
    <t>71L (2L277)</t>
  </si>
  <si>
    <t>Summer Ampacity</t>
  </si>
  <si>
    <t>Winter Ampacity</t>
  </si>
  <si>
    <t>ac</t>
  </si>
  <si>
    <t>1L249</t>
  </si>
  <si>
    <t>1L354</t>
  </si>
  <si>
    <t>Power Factor</t>
  </si>
  <si>
    <t>60L001</t>
  </si>
  <si>
    <t>60L002</t>
  </si>
  <si>
    <t>60L002CQM</t>
  </si>
  <si>
    <t>60L002MRG</t>
  </si>
  <si>
    <t>60L003</t>
  </si>
  <si>
    <t>60L003MRG</t>
  </si>
  <si>
    <t>60L004</t>
  </si>
  <si>
    <t>60L005</t>
  </si>
  <si>
    <t>60L006</t>
  </si>
  <si>
    <t>60L007</t>
  </si>
  <si>
    <t>60L008</t>
  </si>
  <si>
    <t>60L010</t>
  </si>
  <si>
    <t>60L010HOP</t>
  </si>
  <si>
    <t>60L010KEN</t>
  </si>
  <si>
    <t>60L011</t>
  </si>
  <si>
    <t>60L011SFU</t>
  </si>
  <si>
    <t>60L012</t>
  </si>
  <si>
    <t>60L012MIS</t>
  </si>
  <si>
    <t>60L013</t>
  </si>
  <si>
    <t>60L013SLK</t>
  </si>
  <si>
    <t>60L014</t>
  </si>
  <si>
    <t>60L014MIS</t>
  </si>
  <si>
    <t>60L015</t>
  </si>
  <si>
    <t>60L017</t>
  </si>
  <si>
    <t>60L017GSP</t>
  </si>
  <si>
    <t>60L017NRG</t>
  </si>
  <si>
    <t>60L017NWR</t>
  </si>
  <si>
    <t>60L018</t>
  </si>
  <si>
    <t>60L018CQM</t>
  </si>
  <si>
    <t>60L018ESC</t>
  </si>
  <si>
    <t>60L018MRG</t>
  </si>
  <si>
    <t>60L019</t>
  </si>
  <si>
    <t>60L020</t>
  </si>
  <si>
    <t>60L020CLL</t>
  </si>
  <si>
    <t>60L020PAV</t>
  </si>
  <si>
    <t>60L021</t>
  </si>
  <si>
    <t>60L021WDN</t>
  </si>
  <si>
    <t>60L022</t>
  </si>
  <si>
    <t>60L022TXL</t>
  </si>
  <si>
    <t>60L023</t>
  </si>
  <si>
    <t>60L025</t>
  </si>
  <si>
    <t>60L026</t>
  </si>
  <si>
    <t>60L027</t>
  </si>
  <si>
    <t>60L028</t>
  </si>
  <si>
    <t>60L029</t>
  </si>
  <si>
    <t>60L030</t>
  </si>
  <si>
    <t>60L031</t>
  </si>
  <si>
    <t>60L031ANN</t>
  </si>
  <si>
    <t>60L031AWT</t>
  </si>
  <si>
    <t>60L031TII</t>
  </si>
  <si>
    <t>60L032</t>
  </si>
  <si>
    <t>60L032WCF</t>
  </si>
  <si>
    <t>60L033</t>
  </si>
  <si>
    <t>60L035</t>
  </si>
  <si>
    <t>60L036</t>
  </si>
  <si>
    <t>60L037</t>
  </si>
  <si>
    <t>60L038</t>
  </si>
  <si>
    <t>60L039</t>
  </si>
  <si>
    <t>60L039BMP</t>
  </si>
  <si>
    <t>60L039LOH</t>
  </si>
  <si>
    <t>60L040</t>
  </si>
  <si>
    <t>60L040LOH</t>
  </si>
  <si>
    <t>60L041</t>
  </si>
  <si>
    <t>60L042</t>
  </si>
  <si>
    <t>60L043</t>
  </si>
  <si>
    <t>60L043SEA</t>
  </si>
  <si>
    <t>60L044</t>
  </si>
  <si>
    <t>60L044SEA</t>
  </si>
  <si>
    <t>60L045</t>
  </si>
  <si>
    <t>60L046</t>
  </si>
  <si>
    <t>60L047</t>
  </si>
  <si>
    <t>60L047SMW</t>
  </si>
  <si>
    <t>60L047TMO</t>
  </si>
  <si>
    <t>60L048</t>
  </si>
  <si>
    <t>60L048SMW</t>
  </si>
  <si>
    <t>60L048TMO</t>
  </si>
  <si>
    <t>60L050</t>
  </si>
  <si>
    <t>60L051</t>
  </si>
  <si>
    <t>60L052</t>
  </si>
  <si>
    <t>60L053</t>
  </si>
  <si>
    <t>60L054</t>
  </si>
  <si>
    <t>60L054SFU</t>
  </si>
  <si>
    <t>60L055</t>
  </si>
  <si>
    <t>60L056</t>
  </si>
  <si>
    <t>60L057</t>
  </si>
  <si>
    <t>60L057UNS</t>
  </si>
  <si>
    <t>60L058</t>
  </si>
  <si>
    <t>60L058DPT</t>
  </si>
  <si>
    <t>60L058WTL</t>
  </si>
  <si>
    <t>60L059</t>
  </si>
  <si>
    <t>60L060</t>
  </si>
  <si>
    <t>60L061</t>
  </si>
  <si>
    <t>60L062</t>
  </si>
  <si>
    <t>60L062LCS</t>
  </si>
  <si>
    <t>60L062SWP</t>
  </si>
  <si>
    <t>60L063</t>
  </si>
  <si>
    <t>60L063JRI</t>
  </si>
  <si>
    <t>60L063VDK</t>
  </si>
  <si>
    <t>60L064</t>
  </si>
  <si>
    <t>60L065</t>
  </si>
  <si>
    <t>60L065HCT</t>
  </si>
  <si>
    <t>60L066</t>
  </si>
  <si>
    <t>60L067</t>
  </si>
  <si>
    <t>60L067SCP</t>
  </si>
  <si>
    <t>60L068</t>
  </si>
  <si>
    <t>60L069</t>
  </si>
  <si>
    <t>60L069BTA</t>
  </si>
  <si>
    <t>60L069FRC</t>
  </si>
  <si>
    <t>60L069LBY</t>
  </si>
  <si>
    <t>60L069PTO</t>
  </si>
  <si>
    <t>60L070</t>
  </si>
  <si>
    <t>60L071</t>
  </si>
  <si>
    <t>60L071ANN</t>
  </si>
  <si>
    <t>60L071AWT</t>
  </si>
  <si>
    <t>60L073</t>
  </si>
  <si>
    <t>60L073SRY</t>
  </si>
  <si>
    <t>60L074</t>
  </si>
  <si>
    <t>60L074NKL</t>
  </si>
  <si>
    <t>60L074SRY</t>
  </si>
  <si>
    <t>60L075</t>
  </si>
  <si>
    <t>60L076</t>
  </si>
  <si>
    <t>60L077</t>
  </si>
  <si>
    <t>60L079</t>
  </si>
  <si>
    <t>60L079SCT</t>
  </si>
  <si>
    <t>60L080</t>
  </si>
  <si>
    <t>60L080PKP</t>
  </si>
  <si>
    <t>60L080SCT</t>
  </si>
  <si>
    <t>60L082</t>
  </si>
  <si>
    <t>60L083</t>
  </si>
  <si>
    <t>60L085</t>
  </si>
  <si>
    <t>60L087</t>
  </si>
  <si>
    <t>60L089</t>
  </si>
  <si>
    <t>60L090</t>
  </si>
  <si>
    <t>60L091</t>
  </si>
  <si>
    <t>60L092</t>
  </si>
  <si>
    <t>60L093</t>
  </si>
  <si>
    <t>60L093KEN</t>
  </si>
  <si>
    <t>60L093WAH</t>
  </si>
  <si>
    <t>60L093WHP</t>
  </si>
  <si>
    <t>60L094</t>
  </si>
  <si>
    <t>60L095</t>
  </si>
  <si>
    <t>60L095HPS</t>
  </si>
  <si>
    <t>60L097</t>
  </si>
  <si>
    <t>60L098</t>
  </si>
  <si>
    <t>60L099</t>
  </si>
  <si>
    <t>60L099HCT</t>
  </si>
  <si>
    <t>60L100</t>
  </si>
  <si>
    <t>60L128</t>
  </si>
  <si>
    <t>60L129</t>
  </si>
  <si>
    <t>60L129CNK</t>
  </si>
  <si>
    <t>60L129DTR</t>
  </si>
  <si>
    <t>60L129HAS</t>
  </si>
  <si>
    <t>60L129M3C</t>
  </si>
  <si>
    <t>60L129SSH</t>
  </si>
  <si>
    <t>60L129TRR</t>
  </si>
  <si>
    <t>60L208</t>
  </si>
  <si>
    <t>60L208WWD</t>
  </si>
  <si>
    <t>60L209</t>
  </si>
  <si>
    <t>60L209FCO</t>
  </si>
  <si>
    <t>60L210</t>
  </si>
  <si>
    <t>60L218</t>
  </si>
  <si>
    <t>60L219</t>
  </si>
  <si>
    <t>60L223</t>
  </si>
  <si>
    <t>60L270</t>
  </si>
  <si>
    <t>60L270ATH</t>
  </si>
  <si>
    <t>60L270CNL</t>
  </si>
  <si>
    <t>60L270CRC</t>
  </si>
  <si>
    <t>60L270CRS</t>
  </si>
  <si>
    <t>60L270FMT</t>
  </si>
  <si>
    <t>60L270SKU</t>
  </si>
  <si>
    <t>60L271</t>
  </si>
  <si>
    <t>60L271ATH</t>
  </si>
  <si>
    <t>60L271PSN</t>
  </si>
  <si>
    <t>60L271RDM</t>
  </si>
  <si>
    <t>60L271SPN</t>
  </si>
  <si>
    <t>60L272</t>
  </si>
  <si>
    <t>60L281</t>
  </si>
  <si>
    <t>60L281SPD</t>
  </si>
  <si>
    <t>60L283</t>
  </si>
  <si>
    <t>60L283FST</t>
  </si>
  <si>
    <t>60L283MVL</t>
  </si>
  <si>
    <t>60L284</t>
  </si>
  <si>
    <t>60L284MYE</t>
  </si>
  <si>
    <t>60L285</t>
  </si>
  <si>
    <t>60L287</t>
  </si>
  <si>
    <t>60L288</t>
  </si>
  <si>
    <t>60L289</t>
  </si>
  <si>
    <t>60L290</t>
  </si>
  <si>
    <t>60L292</t>
  </si>
  <si>
    <t>60L292CMO</t>
  </si>
  <si>
    <t>60L294</t>
  </si>
  <si>
    <t>60L295</t>
  </si>
  <si>
    <t>60L298</t>
  </si>
  <si>
    <t>60L299</t>
  </si>
  <si>
    <t>60L300</t>
  </si>
  <si>
    <t>60L300GBW</t>
  </si>
  <si>
    <t>60L300MGT</t>
  </si>
  <si>
    <t>60L300MTP</t>
  </si>
  <si>
    <t>60L300WQL</t>
  </si>
  <si>
    <t>60L301</t>
  </si>
  <si>
    <t>60L301CLN</t>
  </si>
  <si>
    <t>60L301SMH</t>
  </si>
  <si>
    <t>60L302</t>
  </si>
  <si>
    <t>60L302LGW</t>
  </si>
  <si>
    <t>60L302TWT</t>
  </si>
  <si>
    <t>60L302WWL</t>
  </si>
  <si>
    <t>60L303</t>
  </si>
  <si>
    <t>60L303CBP</t>
  </si>
  <si>
    <t>60L303WPN</t>
  </si>
  <si>
    <t>60L306</t>
  </si>
  <si>
    <t>60L306WFQ</t>
  </si>
  <si>
    <t>60L308</t>
  </si>
  <si>
    <t>60L309</t>
  </si>
  <si>
    <t>60L310</t>
  </si>
  <si>
    <t>60L327</t>
  </si>
  <si>
    <t>60L329</t>
  </si>
  <si>
    <t>60L329NLV</t>
  </si>
  <si>
    <t>60L329PLT</t>
  </si>
  <si>
    <t>60L329TAC</t>
  </si>
  <si>
    <t>60L330</t>
  </si>
  <si>
    <t>60L331</t>
  </si>
  <si>
    <t>60L332</t>
  </si>
  <si>
    <t>60L332NOS</t>
  </si>
  <si>
    <t>60L332PVW</t>
  </si>
  <si>
    <t>60L336</t>
  </si>
  <si>
    <t>60L336BCM</t>
  </si>
  <si>
    <t>60L336FMC</t>
  </si>
  <si>
    <t>60L337</t>
  </si>
  <si>
    <t>60L337CNG</t>
  </si>
  <si>
    <t>60L338</t>
  </si>
  <si>
    <t>60L338BCM</t>
  </si>
  <si>
    <t>60L338FMC</t>
  </si>
  <si>
    <t>60L338HCR</t>
  </si>
  <si>
    <t>60L339</t>
  </si>
  <si>
    <t>60L339CLB</t>
  </si>
  <si>
    <t>60L339DKY</t>
  </si>
  <si>
    <t>60L339PMB</t>
  </si>
  <si>
    <t>60L340</t>
  </si>
  <si>
    <t>60L341</t>
  </si>
  <si>
    <t>60L341FSR</t>
  </si>
  <si>
    <t>60L341FSS</t>
  </si>
  <si>
    <t>60L344</t>
  </si>
  <si>
    <t>60L352</t>
  </si>
  <si>
    <t>60L354</t>
  </si>
  <si>
    <t>60L354FHS</t>
  </si>
  <si>
    <t>60L357</t>
  </si>
  <si>
    <t>60L357FHS</t>
  </si>
  <si>
    <t>60L358</t>
  </si>
  <si>
    <t>60L359</t>
  </si>
  <si>
    <t>60L359AFP</t>
  </si>
  <si>
    <t>60L383</t>
  </si>
  <si>
    <t>60L389</t>
  </si>
  <si>
    <t>60L390BRL</t>
  </si>
  <si>
    <t>60L390DIL</t>
  </si>
  <si>
    <t>60L390GRR</t>
  </si>
  <si>
    <t>60L391</t>
  </si>
  <si>
    <t>60L391PRT</t>
  </si>
  <si>
    <t>60L392</t>
  </si>
  <si>
    <t>60L392PED</t>
  </si>
  <si>
    <t>60L392SKL</t>
  </si>
  <si>
    <t>60L393</t>
  </si>
  <si>
    <t>60L394</t>
  </si>
  <si>
    <t>60L395</t>
  </si>
  <si>
    <t>60L009</t>
  </si>
  <si>
    <t>60L223GST</t>
  </si>
  <si>
    <t>60L223MCK</t>
  </si>
  <si>
    <t>60L301AWL</t>
  </si>
  <si>
    <t>60L351</t>
  </si>
  <si>
    <t>60L383TSC</t>
  </si>
  <si>
    <t>60L390</t>
  </si>
  <si>
    <t>60L392PRG</t>
  </si>
  <si>
    <t>1L010SHA</t>
  </si>
  <si>
    <t>1L104ICG</t>
  </si>
  <si>
    <t>1L011KSH</t>
  </si>
  <si>
    <t>1L014KSH</t>
  </si>
  <si>
    <t>1L014SHA</t>
  </si>
  <si>
    <t>1L033FVW</t>
  </si>
  <si>
    <t>1L033GPT</t>
  </si>
  <si>
    <t>1L037NIT</t>
  </si>
  <si>
    <t>1L048GPT</t>
  </si>
  <si>
    <t>1L101BKB</t>
  </si>
  <si>
    <t>1L101CMX</t>
  </si>
  <si>
    <t>1L102CMX</t>
  </si>
  <si>
    <t>1L119BKB</t>
  </si>
  <si>
    <t>1L122LDY</t>
  </si>
  <si>
    <t>1L123HWD</t>
  </si>
  <si>
    <t>1L125PML</t>
  </si>
  <si>
    <t>1L130MRH</t>
  </si>
  <si>
    <t>1L131CMH</t>
  </si>
  <si>
    <t>1L138LDY</t>
  </si>
  <si>
    <t>1L143SOO</t>
  </si>
  <si>
    <t>1L157BVC</t>
  </si>
  <si>
    <t>1L157WOS</t>
  </si>
  <si>
    <t>1L201LU2</t>
  </si>
  <si>
    <t>1L201TIL</t>
  </si>
  <si>
    <t>1L202LU2</t>
  </si>
  <si>
    <t>1L204TMT</t>
  </si>
  <si>
    <t>1L209LF2</t>
  </si>
  <si>
    <t>1L210AVO</t>
  </si>
  <si>
    <t>1L210BAR</t>
  </si>
  <si>
    <t>1L210BLP</t>
  </si>
  <si>
    <t>1L210CLW</t>
  </si>
  <si>
    <t>1L210DFD</t>
  </si>
  <si>
    <t>1L210HFY</t>
  </si>
  <si>
    <t>1L210TMM</t>
  </si>
  <si>
    <t>1L210TOK</t>
  </si>
  <si>
    <t>1L210VBY</t>
  </si>
  <si>
    <t>1L211BLE</t>
  </si>
  <si>
    <t>1L211BLU</t>
  </si>
  <si>
    <t>1L211FPS</t>
  </si>
  <si>
    <t>1L225ABA</t>
  </si>
  <si>
    <t>1L225CPL</t>
  </si>
  <si>
    <t>1L244PSW</t>
  </si>
  <si>
    <t>1L274EFD</t>
  </si>
  <si>
    <t>1L355NL3</t>
  </si>
  <si>
    <t>1L355NL5</t>
  </si>
  <si>
    <t>1L364FOX</t>
  </si>
  <si>
    <t>1L364PPS</t>
  </si>
  <si>
    <t>1L365MWN</t>
  </si>
  <si>
    <t>1L366TBN</t>
  </si>
  <si>
    <t>1L368PRS</t>
  </si>
  <si>
    <t>1L377ET3</t>
  </si>
  <si>
    <t>1L393EQU</t>
  </si>
  <si>
    <t>2L001RBW</t>
  </si>
  <si>
    <t>2L002RBW</t>
  </si>
  <si>
    <t>2L006SYH</t>
  </si>
  <si>
    <t>2L012ASL</t>
  </si>
  <si>
    <t>2L056CAM</t>
  </si>
  <si>
    <t>2L057SYH</t>
  </si>
  <si>
    <t>2L063SYH</t>
  </si>
  <si>
    <t>1L018GLS</t>
  </si>
  <si>
    <t>1L018SAL</t>
  </si>
  <si>
    <t>1L031WFR</t>
  </si>
  <si>
    <t>1L044SCG</t>
  </si>
  <si>
    <t>1L055HVC</t>
  </si>
  <si>
    <t>1L101OYR</t>
  </si>
  <si>
    <t>1L102CBL</t>
  </si>
  <si>
    <t>1L103ICG</t>
  </si>
  <si>
    <t>1L112NEX</t>
  </si>
  <si>
    <t>1L115PVL</t>
  </si>
  <si>
    <t>1L115QLC</t>
  </si>
  <si>
    <t>1L116PVL</t>
  </si>
  <si>
    <t>1L116QLC</t>
  </si>
  <si>
    <t>1L119CBL</t>
  </si>
  <si>
    <t>1L119OYR</t>
  </si>
  <si>
    <t>1L218RVS</t>
  </si>
  <si>
    <t>1L244BDM</t>
  </si>
  <si>
    <t>1L274FRO</t>
  </si>
  <si>
    <t>1L274GRH</t>
  </si>
  <si>
    <t>1L274LCC</t>
  </si>
  <si>
    <t>1L375FBC</t>
  </si>
  <si>
    <t>1L375MCM</t>
  </si>
  <si>
    <t>1L375MGP</t>
  </si>
  <si>
    <t>1L381EWL</t>
  </si>
  <si>
    <t>1L381MEZ</t>
  </si>
  <si>
    <t>1L384BRN</t>
  </si>
  <si>
    <t>1L384PBL</t>
  </si>
  <si>
    <t>1L402WRN</t>
  </si>
  <si>
    <t>2L123HWW</t>
  </si>
  <si>
    <t>2L128HWW</t>
  </si>
  <si>
    <t>2L313KGP</t>
  </si>
  <si>
    <t>1L115LTZ</t>
  </si>
  <si>
    <t>1L116LTZ</t>
  </si>
  <si>
    <t>1L138MHY</t>
  </si>
  <si>
    <t>1L109SWN</t>
  </si>
  <si>
    <t>1L138SWN</t>
  </si>
  <si>
    <t>1L204AFN</t>
  </si>
  <si>
    <t>1L209CHS</t>
  </si>
  <si>
    <t>1L209STO</t>
  </si>
  <si>
    <t>1L218END</t>
  </si>
  <si>
    <t>1L218ARM</t>
  </si>
  <si>
    <t>1L218RVG</t>
  </si>
  <si>
    <t>1L225BNC</t>
  </si>
  <si>
    <t>1L251CUM</t>
  </si>
  <si>
    <t>1L358E42</t>
  </si>
  <si>
    <t>1L358E15</t>
  </si>
  <si>
    <t>1L360STC</t>
  </si>
  <si>
    <t>To be replaced with 5L006 in 2025</t>
  </si>
  <si>
    <t>2L319</t>
  </si>
  <si>
    <t>1L374STC</t>
  </si>
  <si>
    <t>1L377SEP</t>
  </si>
  <si>
    <t>1L377PLD</t>
  </si>
  <si>
    <t>2L313MNK</t>
  </si>
  <si>
    <t>1L359KLC</t>
  </si>
  <si>
    <t>1L359FNC</t>
  </si>
  <si>
    <t>2L348</t>
  </si>
  <si>
    <t>2L348SRN</t>
  </si>
  <si>
    <t>2L323MRC</t>
  </si>
  <si>
    <t>2L295</t>
  </si>
  <si>
    <t>60L009WNK</t>
  </si>
  <si>
    <t>60L016</t>
  </si>
  <si>
    <t>60L058TSW</t>
  </si>
  <si>
    <t>60L072</t>
  </si>
  <si>
    <t>60L078</t>
  </si>
  <si>
    <t>60L069FRI</t>
  </si>
  <si>
    <t>60L107</t>
  </si>
  <si>
    <t>60L079HRD</t>
  </si>
  <si>
    <t>60L090DCV</t>
  </si>
  <si>
    <t>60L090NXC</t>
  </si>
  <si>
    <t>60L210NDR</t>
  </si>
  <si>
    <t>60L289BRM</t>
  </si>
  <si>
    <t>60L289WAR</t>
  </si>
  <si>
    <t>60L292CNT</t>
  </si>
  <si>
    <t>60L306BLW</t>
  </si>
  <si>
    <t>60L310GBC</t>
  </si>
  <si>
    <t>60L329VDF</t>
  </si>
  <si>
    <t>1L031BOX</t>
  </si>
  <si>
    <t>1L157KKS</t>
  </si>
  <si>
    <t>1L211AVO2</t>
  </si>
  <si>
    <t>60L358IPR</t>
  </si>
  <si>
    <t>60L029AFT</t>
  </si>
  <si>
    <t>60L029CCW</t>
  </si>
  <si>
    <t>60L066CPS</t>
  </si>
  <si>
    <t>T1</t>
  </si>
  <si>
    <t>T4</t>
  </si>
  <si>
    <t>T5</t>
  </si>
  <si>
    <t>T6</t>
  </si>
  <si>
    <t>T2</t>
  </si>
  <si>
    <t>T3</t>
  </si>
  <si>
    <t>T11</t>
  </si>
  <si>
    <t>T12</t>
  </si>
  <si>
    <t>T14</t>
  </si>
  <si>
    <t>T10</t>
  </si>
  <si>
    <t>T8</t>
  </si>
  <si>
    <t>T9</t>
  </si>
  <si>
    <t>T13</t>
  </si>
  <si>
    <t>T54</t>
  </si>
  <si>
    <t>T7</t>
  </si>
  <si>
    <t>MO8</t>
  </si>
  <si>
    <t>AA Lambert</t>
  </si>
  <si>
    <t>Albreda</t>
  </si>
  <si>
    <t>Abbotsford</t>
  </si>
  <si>
    <t>Aberfeldie GS</t>
  </si>
  <si>
    <t>Ashton Creek</t>
  </si>
  <si>
    <t>Afton Mine</t>
  </si>
  <si>
    <t>Apollo Forest Products</t>
  </si>
  <si>
    <t>Ashcroft</t>
  </si>
  <si>
    <t>Arrow Lakes GS</t>
  </si>
  <si>
    <t>Atchelitz</t>
  </si>
  <si>
    <t>Annacis Island</t>
  </si>
  <si>
    <t>Arnott</t>
  </si>
  <si>
    <t>Ash River GS</t>
  </si>
  <si>
    <t>Ashlu GS</t>
  </si>
  <si>
    <t>Athalmer</t>
  </si>
  <si>
    <t>Avola</t>
  </si>
  <si>
    <t>Ainsworth</t>
  </si>
  <si>
    <t>Aiyansh</t>
  </si>
  <si>
    <t>Babine Lake</t>
  </si>
  <si>
    <t>Balfour</t>
  </si>
  <si>
    <t>Barriere</t>
  </si>
  <si>
    <t>Big Bend</t>
  </si>
  <si>
    <t>Buckeye</t>
  </si>
  <si>
    <t>BC Chemical</t>
  </si>
  <si>
    <t>BC Rail</t>
  </si>
  <si>
    <t>Brenda Mines</t>
  </si>
  <si>
    <t>Bone Creek</t>
  </si>
  <si>
    <t>Buckley Bay</t>
  </si>
  <si>
    <t>Brocklehurst</t>
  </si>
  <si>
    <t>Blue River Pumping Station</t>
  </si>
  <si>
    <t>Bullmoose</t>
  </si>
  <si>
    <t>Blackpool</t>
  </si>
  <si>
    <t>Blue River</t>
  </si>
  <si>
    <t>Barlow</t>
  </si>
  <si>
    <t>Bingham</t>
  </si>
  <si>
    <t>Bear Mountain</t>
  </si>
  <si>
    <t>Bone Creek GS</t>
  </si>
  <si>
    <t>Barnard</t>
  </si>
  <si>
    <t>Burnett</t>
  </si>
  <si>
    <t>Bob Quinn</t>
  </si>
  <si>
    <t>Bridge River 1 GS</t>
  </si>
  <si>
    <t>Bridge River 2 GS</t>
  </si>
  <si>
    <t>Bull River Mineral</t>
  </si>
  <si>
    <t>Burns Lake</t>
  </si>
  <si>
    <t>Burrard GS</t>
  </si>
  <si>
    <t>Britannia</t>
  </si>
  <si>
    <t>Beaver Cove</t>
  </si>
  <si>
    <t>Beaverley</t>
  </si>
  <si>
    <t>Cambie</t>
  </si>
  <si>
    <t>Canadian Auto Parts Toyota</t>
  </si>
  <si>
    <t>Capilano</t>
  </si>
  <si>
    <t>Clayburn</t>
  </si>
  <si>
    <t>Crestbrook</t>
  </si>
  <si>
    <t>Chief Lake</t>
  </si>
  <si>
    <t>Chilliwack</t>
  </si>
  <si>
    <t>Chase</t>
  </si>
  <si>
    <t>Cheekye</t>
  </si>
  <si>
    <t>Colebank</t>
  </si>
  <si>
    <t>Colwood</t>
  </si>
  <si>
    <t>Continental Lime Limited</t>
  </si>
  <si>
    <t>Clinton</t>
  </si>
  <si>
    <t>Clearwater</t>
  </si>
  <si>
    <t>Conuma Hatchery</t>
  </si>
  <si>
    <t>Coal Mountain</t>
  </si>
  <si>
    <t>Cheakamus GS</t>
  </si>
  <si>
    <t>Comox</t>
  </si>
  <si>
    <t>Canadian National</t>
  </si>
  <si>
    <t>Canoe Creek GS</t>
  </si>
  <si>
    <t>Canal Flats</t>
  </si>
  <si>
    <t>Como Lake</t>
  </si>
  <si>
    <t>Chappell Pumping Station</t>
  </si>
  <si>
    <t>Capilano Pumps</t>
  </si>
  <si>
    <t>Coquitlam</t>
  </si>
  <si>
    <t>Crestbrook Canal Flats</t>
  </si>
  <si>
    <t>Canreed</t>
  </si>
  <si>
    <t>Carquille</t>
  </si>
  <si>
    <t>Crestbrook Skookumchuck</t>
  </si>
  <si>
    <t>Camosun</t>
  </si>
  <si>
    <t>Cathedral Square</t>
  </si>
  <si>
    <t>Culliton Creek GS</t>
  </si>
  <si>
    <t>Copper Mountain</t>
  </si>
  <si>
    <t>Chevron</t>
  </si>
  <si>
    <t>Cypress</t>
  </si>
  <si>
    <t>Deep Cove</t>
  </si>
  <si>
    <t>Darfield</t>
  </si>
  <si>
    <t>DG Bell</t>
  </si>
  <si>
    <t>Dal Grauer</t>
  </si>
  <si>
    <t>Diana Lake</t>
  </si>
  <si>
    <t>Dokie</t>
  </si>
  <si>
    <t>Dunkley Lumber</t>
  </si>
  <si>
    <t>Dunsmuir</t>
  </si>
  <si>
    <t>Delta Port Terminal</t>
  </si>
  <si>
    <t>Doran Taylor GS</t>
  </si>
  <si>
    <t>Douglas Street</t>
  </si>
  <si>
    <t>Encana 15-27</t>
  </si>
  <si>
    <t>Encana 4-26</t>
  </si>
  <si>
    <t>Elk Falls Mill</t>
  </si>
  <si>
    <t>Endako</t>
  </si>
  <si>
    <t>Elko GS</t>
  </si>
  <si>
    <t>Enderby</t>
  </si>
  <si>
    <t>Equity Silver</t>
  </si>
  <si>
    <t>Erco Worldwide</t>
  </si>
  <si>
    <t>Esco Foundry</t>
  </si>
  <si>
    <t>Esquimalt</t>
  </si>
  <si>
    <t>Encana Tower</t>
  </si>
  <si>
    <t>Eurocan</t>
  </si>
  <si>
    <t>Elkview Coal</t>
  </si>
  <si>
    <t>Ellsworth</t>
  </si>
  <si>
    <t>Fiberco</t>
  </si>
  <si>
    <t>Fletcher Challenge</t>
  </si>
  <si>
    <t>Function Junction</t>
  </si>
  <si>
    <t>Canoe Forest Products Ltd</t>
  </si>
  <si>
    <t>Finlay Forest Industries</t>
  </si>
  <si>
    <t>Foothills</t>
  </si>
  <si>
    <t>Fort St. John</t>
  </si>
  <si>
    <t>Fleetwood</t>
  </si>
  <si>
    <t>Fort St James</t>
  </si>
  <si>
    <t>FMC Prince George</t>
  </si>
  <si>
    <t>Fairmont</t>
  </si>
  <si>
    <t>Harvest Energy</t>
  </si>
  <si>
    <t>Fernie</t>
  </si>
  <si>
    <t>Fort Nelson GS</t>
  </si>
  <si>
    <t>Fox Creek</t>
  </si>
  <si>
    <t>Finn Pumping Station</t>
  </si>
  <si>
    <t>Furry Creek GS</t>
  </si>
  <si>
    <t>Fording Coal</t>
  </si>
  <si>
    <t>Fraser Lake Sawmill</t>
  </si>
  <si>
    <t>Fort Steele</t>
  </si>
  <si>
    <t>Forest View</t>
  </si>
  <si>
    <t>Gibraltar Capacitor</t>
  </si>
  <si>
    <t>Gibraltar Mine</t>
  </si>
  <si>
    <t>Great Central</t>
  </si>
  <si>
    <t>George Dickie</t>
  </si>
  <si>
    <t>Gibsons</t>
  </si>
  <si>
    <t>Glenannan</t>
  </si>
  <si>
    <t>Glenmore</t>
  </si>
  <si>
    <t>Galiano</t>
  </si>
  <si>
    <t>Gloucester</t>
  </si>
  <si>
    <t>GM Shrum GS</t>
  </si>
  <si>
    <t>Goward</t>
  </si>
  <si>
    <t>Grief Point</t>
  </si>
  <si>
    <t>Gold River Pulp</t>
  </si>
  <si>
    <t>Green River</t>
  </si>
  <si>
    <t>Goldstream Mine</t>
  </si>
  <si>
    <t>GVRD Sapperton Pumps</t>
  </si>
  <si>
    <t>Goldstream</t>
  </si>
  <si>
    <t>George Tripp</t>
  </si>
  <si>
    <t>Haa-Ak-Suuk GS</t>
  </si>
  <si>
    <t>Prince George Pulp</t>
  </si>
  <si>
    <t>Hillcrest</t>
  </si>
  <si>
    <t>Heffley</t>
  </si>
  <si>
    <t>Highland</t>
  </si>
  <si>
    <t>Harmac Pacific</t>
  </si>
  <si>
    <t>Hundred Mile House</t>
  </si>
  <si>
    <t>Huckleberry</t>
  </si>
  <si>
    <t>Haney</t>
  </si>
  <si>
    <t>Horne Payne</t>
  </si>
  <si>
    <t>Hope Pumping Station</t>
  </si>
  <si>
    <t>Harvie Road</t>
  </si>
  <si>
    <t>Horsheshoe Bay</t>
  </si>
  <si>
    <t>Howe Sound Pulp</t>
  </si>
  <si>
    <t>Horsey</t>
  </si>
  <si>
    <t>Houston</t>
  </si>
  <si>
    <t>Highland Valley Copper</t>
  </si>
  <si>
    <t>Harewood</t>
  </si>
  <si>
    <t>Harewood West</t>
  </si>
  <si>
    <t>Hazelton</t>
  </si>
  <si>
    <t>Island GS</t>
  </si>
  <si>
    <t>Illecillewaet</t>
  </si>
  <si>
    <t>Ingledow</t>
  </si>
  <si>
    <t>Invermere</t>
  </si>
  <si>
    <t>Ioco Esso Petroleum</t>
  </si>
  <si>
    <t>Isle Pierre</t>
  </si>
  <si>
    <t>John Hart GS</t>
  </si>
  <si>
    <t>John Lawson</t>
  </si>
  <si>
    <t>Jamie Creek GS</t>
  </si>
  <si>
    <t>Joseph Creek</t>
  </si>
  <si>
    <t>Jinglepot</t>
  </si>
  <si>
    <t>James Richardson</t>
  </si>
  <si>
    <t>Jeune Landing</t>
  </si>
  <si>
    <t>Kalum</t>
  </si>
  <si>
    <t>Kootenay Canal GS</t>
  </si>
  <si>
    <t>Kennedy</t>
  </si>
  <si>
    <t>Kennedy Capacitor Station</t>
  </si>
  <si>
    <t>Kent</t>
  </si>
  <si>
    <t>Keogh</t>
  </si>
  <si>
    <t>Kwoen</t>
  </si>
  <si>
    <t>Kicking Horse</t>
  </si>
  <si>
    <t>Kidd #1</t>
  </si>
  <si>
    <t>Kidd #2</t>
  </si>
  <si>
    <t>Encana 9-27</t>
  </si>
  <si>
    <t>PetroCan</t>
  </si>
  <si>
    <t>Kelly Lake</t>
  </si>
  <si>
    <t>Kemess Mine</t>
  </si>
  <si>
    <t>Koksilah</t>
  </si>
  <si>
    <t>Keating</t>
  </si>
  <si>
    <t>Kamwood</t>
  </si>
  <si>
    <t>Lajoie GS</t>
  </si>
  <si>
    <t>Long Beach</t>
  </si>
  <si>
    <t>Line Creek Coal</t>
  </si>
  <si>
    <t>Neptune Bulk Terminal</t>
  </si>
  <si>
    <t>Ladore Falls GS</t>
  </si>
  <si>
    <t>Ladysmith</t>
  </si>
  <si>
    <t>Lafarge #1</t>
  </si>
  <si>
    <t>Lafarge #2</t>
  </si>
  <si>
    <t>Lornex Low Level Dam</t>
  </si>
  <si>
    <t>Lehigh Heidelberg</t>
  </si>
  <si>
    <t>Long Lake</t>
  </si>
  <si>
    <t>Lougheed</t>
  </si>
  <si>
    <t>Lantic Real Property</t>
  </si>
  <si>
    <t>Lantzville</t>
  </si>
  <si>
    <t>Lumby #2</t>
  </si>
  <si>
    <t>Lynn Valley</t>
  </si>
  <si>
    <t>Marion 3 Creek GS</t>
  </si>
  <si>
    <t>Mamquam GS</t>
  </si>
  <si>
    <t>Mainwaring</t>
  </si>
  <si>
    <t>Mica GS</t>
  </si>
  <si>
    <t>McCulloch Creek</t>
  </si>
  <si>
    <t>Meridian</t>
  </si>
  <si>
    <t>Meziadin</t>
  </si>
  <si>
    <t>Morfee</t>
  </si>
  <si>
    <t>McMahon Gas Plant</t>
  </si>
  <si>
    <t>Marguerite</t>
  </si>
  <si>
    <t>Methanex</t>
  </si>
  <si>
    <t>Murphy</t>
  </si>
  <si>
    <t>Minette</t>
  </si>
  <si>
    <t>Meikle GS</t>
  </si>
  <si>
    <t>Mount Lehman</t>
  </si>
  <si>
    <t>McLellan</t>
  </si>
  <si>
    <t>Mount Milligan</t>
  </si>
  <si>
    <t>Monashee</t>
  </si>
  <si>
    <t>Mount Pleasant</t>
  </si>
  <si>
    <t>Maple Ridge</t>
  </si>
  <si>
    <t>Marble River Hatchery</t>
  </si>
  <si>
    <t>Malaspina</t>
  </si>
  <si>
    <t>Monte Lake</t>
  </si>
  <si>
    <t>Mount Polley Mining</t>
  </si>
  <si>
    <t>Murrin</t>
  </si>
  <si>
    <t>Marysville</t>
  </si>
  <si>
    <t>McEwan</t>
  </si>
  <si>
    <t>Moyie</t>
  </si>
  <si>
    <t>Nakusp</t>
  </si>
  <si>
    <t>New Denver</t>
  </si>
  <si>
    <t>Newell</t>
  </si>
  <si>
    <t>Canexus</t>
  </si>
  <si>
    <t>Northfield</t>
  </si>
  <si>
    <t>Solex Gas</t>
  </si>
  <si>
    <t>Confor Houston Sawmill</t>
  </si>
  <si>
    <t>Nicola</t>
  </si>
  <si>
    <t>Narrows Inlet GS</t>
  </si>
  <si>
    <t>Nicomekl</t>
  </si>
  <si>
    <t>BP Noel 2</t>
  </si>
  <si>
    <t>BP Noel 3</t>
  </si>
  <si>
    <t>BP Noel 5</t>
  </si>
  <si>
    <t>Nelway</t>
  </si>
  <si>
    <t>Northgate</t>
  </si>
  <si>
    <t>Canfor Rustad Division</t>
  </si>
  <si>
    <t>Newsteck Recycling</t>
  </si>
  <si>
    <t>Natal</t>
  </si>
  <si>
    <t>North Vancouver</t>
  </si>
  <si>
    <t>North West Energy</t>
  </si>
  <si>
    <t>Northwood</t>
  </si>
  <si>
    <t>Canexus Corporation</t>
  </si>
  <si>
    <t>Oldfield</t>
  </si>
  <si>
    <t>Oyster River</t>
  </si>
  <si>
    <t>Pavilion</t>
  </si>
  <si>
    <t>Patricia</t>
  </si>
  <si>
    <t>Peace Canyon GS</t>
  </si>
  <si>
    <t>Port Edward</t>
  </si>
  <si>
    <t>Pender Harbour</t>
  </si>
  <si>
    <t>Pike Lake</t>
  </si>
  <si>
    <t>Port Kells</t>
  </si>
  <si>
    <t>Port Kells Pumping</t>
  </si>
  <si>
    <t>Parkland</t>
  </si>
  <si>
    <t>Canfor</t>
  </si>
  <si>
    <t>Pinnacle Pellets Meadowbank</t>
  </si>
  <si>
    <t>Powell</t>
  </si>
  <si>
    <t>Portage Pass</t>
  </si>
  <si>
    <t>Prince Rupert Grain</t>
  </si>
  <si>
    <t>Parsnip</t>
  </si>
  <si>
    <t>Fareview Container Terminal</t>
  </si>
  <si>
    <t>Parsons</t>
  </si>
  <si>
    <t>Porteau Cove</t>
  </si>
  <si>
    <t>Puntledge GS</t>
  </si>
  <si>
    <t>Parksville</t>
  </si>
  <si>
    <t>Prevost</t>
  </si>
  <si>
    <t>Pineview</t>
  </si>
  <si>
    <t>Qualicum</t>
  </si>
  <si>
    <t>Quintette</t>
  </si>
  <si>
    <t>Quesnel River Pulp</t>
  </si>
  <si>
    <t>Red Bluff</t>
  </si>
  <si>
    <t>Rainbow</t>
  </si>
  <si>
    <t>Radium</t>
  </si>
  <si>
    <t>Rearguard Pumping Station</t>
  </si>
  <si>
    <t>Revelstoke GS</t>
  </si>
  <si>
    <t>RG Anderson</t>
  </si>
  <si>
    <t>Royal 2</t>
  </si>
  <si>
    <t>Rosedale</t>
  </si>
  <si>
    <t>Rupert Gas</t>
  </si>
  <si>
    <t>Richmond Steel Recycling</t>
  </si>
  <si>
    <t>Ridley Terminals Inc</t>
  </si>
  <si>
    <t>Rupert</t>
  </si>
  <si>
    <t>Ruskin GS</t>
  </si>
  <si>
    <t>Riverside</t>
  </si>
  <si>
    <t>Saltspring</t>
  </si>
  <si>
    <t>Salmon Arm</t>
  </si>
  <si>
    <t>Saltery Bay</t>
  </si>
  <si>
    <t>South Bank</t>
  </si>
  <si>
    <t>Spences Bridge</t>
  </si>
  <si>
    <t>South Cranberry GS</t>
  </si>
  <si>
    <t>Sechelt Creek GS</t>
  </si>
  <si>
    <t>Soda Creek</t>
  </si>
  <si>
    <t>Sicamous</t>
  </si>
  <si>
    <t>Similco</t>
  </si>
  <si>
    <t>Sea Island</t>
  </si>
  <si>
    <t>Selkirk</t>
  </si>
  <si>
    <t>Septimus</t>
  </si>
  <si>
    <t>Seven Mile GS</t>
  </si>
  <si>
    <t>Stave Falls GS</t>
  </si>
  <si>
    <t>Simon Fraser University</t>
  </si>
  <si>
    <t>Shell Groundbirch</t>
  </si>
  <si>
    <t>Shawinigan</t>
  </si>
  <si>
    <t>Shelburn</t>
  </si>
  <si>
    <t>Skeena</t>
  </si>
  <si>
    <t>Skeena Cellulose</t>
  </si>
  <si>
    <t>Skookum Creek GS</t>
  </si>
  <si>
    <t>St Leon Creek</t>
  </si>
  <si>
    <t>Sundance Lake</t>
  </si>
  <si>
    <t>Sumas Way</t>
  </si>
  <si>
    <t>Sukinka</t>
  </si>
  <si>
    <t>Sukunka</t>
  </si>
  <si>
    <t>Sydney</t>
  </si>
  <si>
    <t>Seton Lake GS</t>
  </si>
  <si>
    <t>Sooke</t>
  </si>
  <si>
    <t>Sperling</t>
  </si>
  <si>
    <t>Steeples</t>
  </si>
  <si>
    <t>Spillimacheen GS</t>
  </si>
  <si>
    <t>Smithers</t>
  </si>
  <si>
    <t>Surrey</t>
  </si>
  <si>
    <t>Spatsum</t>
  </si>
  <si>
    <t>Sorrento</t>
  </si>
  <si>
    <t>Steveston</t>
  </si>
  <si>
    <t>Silverdale</t>
  </si>
  <si>
    <t>Salmon Valley</t>
  </si>
  <si>
    <t>South Wellington</t>
  </si>
  <si>
    <t>Saskatchewan Wheat Pool</t>
  </si>
  <si>
    <t>Strawberry Hill</t>
  </si>
  <si>
    <t>Spuzzum</t>
  </si>
  <si>
    <t>Tachick</t>
  </si>
  <si>
    <t>Timbernorth</t>
  </si>
  <si>
    <t>Takla Forest Products</t>
  </si>
  <si>
    <t>Tree Island Industries</t>
  </si>
  <si>
    <t>Tisdall</t>
  </si>
  <si>
    <t>Telkwa</t>
  </si>
  <si>
    <t>TransMountain McMurphy</t>
  </si>
  <si>
    <t>Trans Mountain</t>
  </si>
  <si>
    <t>TransMountain Kamloops</t>
  </si>
  <si>
    <t>Topley</t>
  </si>
  <si>
    <t>Taylor River Rest Area</t>
  </si>
  <si>
    <t>Terrace Skeena Cellulose</t>
  </si>
  <si>
    <t>Tahsis Village</t>
  </si>
  <si>
    <t>Tsawassen</t>
  </si>
  <si>
    <t>Texaco</t>
  </si>
  <si>
    <t>Tyax Lake</t>
  </si>
  <si>
    <t>Upper Fraser</t>
  </si>
  <si>
    <t>Upper Harrison</t>
  </si>
  <si>
    <t>Upper Mamquam GS</t>
  </si>
  <si>
    <t>South Campus</t>
  </si>
  <si>
    <t>University of BC</t>
  </si>
  <si>
    <t>Vaseux Lake</t>
  </si>
  <si>
    <t>Vavenby</t>
  </si>
  <si>
    <t>Vancouver Dry Dock</t>
  </si>
  <si>
    <t>Vernon</t>
  </si>
  <si>
    <t>Valleyview</t>
  </si>
  <si>
    <t>Wahleach GS</t>
  </si>
  <si>
    <t>Warfield</t>
  </si>
  <si>
    <t>Westcoast Cellufibre</t>
  </si>
  <si>
    <t>Walden North GS</t>
  </si>
  <si>
    <t>Woodfibre</t>
  </si>
  <si>
    <t>Walter Hardman GS</t>
  </si>
  <si>
    <t>Wahleach Pumping Station</t>
  </si>
  <si>
    <t>Whalley</t>
  </si>
  <si>
    <t>Windsor</t>
  </si>
  <si>
    <t>Walters</t>
  </si>
  <si>
    <t>Whonnock</t>
  </si>
  <si>
    <t>Westmin Resources</t>
  </si>
  <si>
    <t>Woss</t>
  </si>
  <si>
    <t>West Fraser Quesnel</t>
  </si>
  <si>
    <t>White Rock</t>
  </si>
  <si>
    <t>Wescup</t>
  </si>
  <si>
    <t>Westwold</t>
  </si>
  <si>
    <t>Vancouver International Airport</t>
  </si>
  <si>
    <t>Tatogga</t>
  </si>
  <si>
    <t>Vancouver Shipyards</t>
  </si>
  <si>
    <t>Brown Lake GS</t>
  </si>
  <si>
    <t>Falls River GS</t>
  </si>
  <si>
    <t>Lake Cowichan</t>
  </si>
  <si>
    <t>Sahtlam</t>
  </si>
  <si>
    <t>Seventy Mile House</t>
  </si>
  <si>
    <t>Brilliant GS</t>
  </si>
  <si>
    <t>2L030</t>
  </si>
  <si>
    <t>2L002RUT</t>
  </si>
  <si>
    <t>1L002</t>
  </si>
  <si>
    <t>Line name assumed</t>
  </si>
  <si>
    <t>1L044BHU</t>
  </si>
  <si>
    <t>2L029MTC</t>
  </si>
  <si>
    <t>Name</t>
  </si>
  <si>
    <t>Lamont GS</t>
  </si>
  <si>
    <t>Current</t>
  </si>
  <si>
    <t>Count</t>
  </si>
  <si>
    <t>Winter Rating</t>
  </si>
  <si>
    <t>Summer Rating</t>
  </si>
  <si>
    <t>Reactance</t>
  </si>
  <si>
    <t>PRIMARY SOURCES</t>
  </si>
  <si>
    <t>Source</t>
  </si>
  <si>
    <t>Year</t>
  </si>
  <si>
    <t>Link</t>
  </si>
  <si>
    <t>Publication</t>
  </si>
  <si>
    <t>Region</t>
  </si>
  <si>
    <t>Environment Canada</t>
  </si>
  <si>
    <t>Historical Hydrometric Data Search</t>
  </si>
  <si>
    <t>https://wateroffice.ec.gc.ca/search/historical_e.html</t>
  </si>
  <si>
    <t>World Resources Institute</t>
  </si>
  <si>
    <t>Global Power Plant Database</t>
  </si>
  <si>
    <t>http://datasets.wri.org/dataset/globalpowerplantdatabase</t>
  </si>
  <si>
    <t>Google Maps / Google Earth</t>
  </si>
  <si>
    <t>See "Other References" Column of the relevant tab</t>
  </si>
  <si>
    <t>Primary sources for the provincial data</t>
  </si>
  <si>
    <t>Generation</t>
  </si>
  <si>
    <t>Characteristics of existing interconnected generators</t>
  </si>
  <si>
    <t>WECC</t>
  </si>
  <si>
    <t>https://www.wecc.org/SystemAdequacyPlanning/Pages/Datasets.aspx</t>
  </si>
  <si>
    <t>On the website, under Production Cost Model see 2024 Common Case sheet 150409_2024CC-V1.5_Resources</t>
  </si>
  <si>
    <t>Our Facilities</t>
  </si>
  <si>
    <t>https://www.bchydro.com/energy-in-bc/operations/our-facilities.html</t>
  </si>
  <si>
    <t>https://www.wecc.org/SystemStabilityPlanning/Pages/AnchorDataSet.aspx</t>
  </si>
  <si>
    <t>On the website, see sheet ADS_PCM_V0.3.2_GeneratorList.csv and supporting information</t>
  </si>
  <si>
    <t>Independent Power Producers (IPPs) currently supplying power to BC Hydro</t>
  </si>
  <si>
    <t>https://www.bchydro.com/content/dam/BCHydro/customer-portal/documents/corporate/independent-power-producers-calls-for-power/independent-power-producers/ipp-supply-list-in-operation.pdf</t>
  </si>
  <si>
    <t>Electricity facilities &amp; operations</t>
  </si>
  <si>
    <t>https://www.fortisbc.com/about-us/facilities-operations-and-energy-information/electricity-facilities-and-operations</t>
  </si>
  <si>
    <t>Water Use Planning</t>
  </si>
  <si>
    <t>https://www.bchydro.com/about/sustainability/conservation/water_use_planning.html</t>
  </si>
  <si>
    <t>Site C Environmental Impact Statement Volume 2, Appendix G</t>
  </si>
  <si>
    <t>https://www.ceaa-acee.gc.ca/050/evaluations/document/85328?culture=en-CA</t>
  </si>
  <si>
    <t>Fiscal 2017 to Fiscal 2019 Revenue Requirements Application, Table 3-9: Updated in Response to BCUC IR 1.11.1</t>
  </si>
  <si>
    <t>https://www.bcuc.com/Documents/Proceedings/2016/DOC_48161_B-9_BCH-Responses-to-BCUC-IRs.pdf</t>
  </si>
  <si>
    <t>Transmission System. BCH Drawing No. G-T06-00010 Station Planning Transmission &amp; Stations Planning</t>
  </si>
  <si>
    <t>https://www.bchydro.com/content/dam/BCHydro/customer-portal/documents/corporate/suppliers/transmission-system/maps/transplt-Default-000.pdf</t>
  </si>
  <si>
    <t>Government of BC</t>
  </si>
  <si>
    <t>BC Transmission Lines</t>
  </si>
  <si>
    <t>https://catalogue.data.gov.bc.ca/dataset/bc-transmission-lines</t>
  </si>
  <si>
    <t>Order csv from website; see spreadsheet TRNS_LNS.csv for original file</t>
  </si>
  <si>
    <t>http://columbiapower.org/projects/</t>
  </si>
  <si>
    <t>BCUC</t>
  </si>
  <si>
    <t>British Columbia Hydro and Power Authority - British Columbia Utilities Commission Inquiry Respecting Site C - Project No. 1598922 - Final Report [A-24]</t>
  </si>
  <si>
    <t>Revelstoke 6 - Environmental Assessment Certificate Application Volume 1</t>
  </si>
  <si>
    <t>https://projects.eao.gov.bc.ca/api/document/596657e946ae0a001c1b46b7/fetch/EAC_Application-Revelstoke_Generating_Station_Unit_6-Volume_1.pdf</t>
  </si>
  <si>
    <t>https://www.bcuc.com/Documents/wp-content/11/11-01-2017-BCUC-Site-C-Inquiry-Final-Report.pdf</t>
  </si>
  <si>
    <t>Fuel Costs</t>
  </si>
  <si>
    <t>Starting Node Name</t>
  </si>
  <si>
    <t>Starting Node Code</t>
  </si>
  <si>
    <t>Greenhills</t>
  </si>
  <si>
    <t>Murrary River Coal</t>
  </si>
  <si>
    <t>Annacis Island Wastewater Treatment Plant</t>
  </si>
  <si>
    <t>Primary Voltage</t>
  </si>
  <si>
    <t>Secondary Voltage</t>
  </si>
  <si>
    <t>Winter Capacity</t>
  </si>
  <si>
    <t>Summer Capacity</t>
  </si>
  <si>
    <t>(MVA)</t>
  </si>
  <si>
    <t>Legend:</t>
  </si>
  <si>
    <t>JCT = Junction</t>
  </si>
  <si>
    <t>MTS = Municipal Transformer Station</t>
  </si>
  <si>
    <t>TS = Transformer Station</t>
  </si>
  <si>
    <t>BC_SHA_JCT</t>
  </si>
  <si>
    <t>BC_KSH_JCT</t>
  </si>
  <si>
    <t>BC_GLS_JCT</t>
  </si>
  <si>
    <t>BC_SAL_JCT</t>
  </si>
  <si>
    <t>BC_BOX_JCT</t>
  </si>
  <si>
    <t>BC_WFR_JCT</t>
  </si>
  <si>
    <t>BC_FVW_JCT</t>
  </si>
  <si>
    <t>BC_GPT_JCT</t>
  </si>
  <si>
    <t>BC_NIT_JCT</t>
  </si>
  <si>
    <t>BC_SCG_JCT</t>
  </si>
  <si>
    <t>BC_HVC_JCT</t>
  </si>
  <si>
    <t>BC_BKB_JCT</t>
  </si>
  <si>
    <t>BC_CMX_JCT</t>
  </si>
  <si>
    <t>BC_OYR_JCT</t>
  </si>
  <si>
    <t>BC_CBL_JCT</t>
  </si>
  <si>
    <t>BC_PUN_GEN</t>
  </si>
  <si>
    <t>BC_ICG_JCT</t>
  </si>
  <si>
    <t>BC_SWN_JCT</t>
  </si>
  <si>
    <t>BC_HWD_JCT</t>
  </si>
  <si>
    <t>BC_NEX_JCT</t>
  </si>
  <si>
    <t>BC_LTZ_JCT</t>
  </si>
  <si>
    <t>BC_PVL_JCT</t>
  </si>
  <si>
    <t>BC_QLC_JCT</t>
  </si>
  <si>
    <t>BC_LDR_GEN</t>
  </si>
  <si>
    <t>BC_LDY_JCT</t>
  </si>
  <si>
    <t>BC_PML_JCT</t>
  </si>
  <si>
    <t>BC_MRH_JCT</t>
  </si>
  <si>
    <t>BC_CMH_JCT</t>
  </si>
  <si>
    <t>BC_MHY_JCT</t>
  </si>
  <si>
    <t>BC_SOO_JCT</t>
  </si>
  <si>
    <t>BC_BVC_JCT</t>
  </si>
  <si>
    <t>BC_WOS_JCT</t>
  </si>
  <si>
    <t>BC_LU2_JCT</t>
  </si>
  <si>
    <t>BC_TIL_JCT</t>
  </si>
  <si>
    <t>BC_AFN_JCT</t>
  </si>
  <si>
    <t>BC_TMT_JCT</t>
  </si>
  <si>
    <t>BC_CHS_JCT</t>
  </si>
  <si>
    <t>BC_LF2_JCT</t>
  </si>
  <si>
    <t>BC_STO_JCT</t>
  </si>
  <si>
    <t>BC_BAR_JCT</t>
  </si>
  <si>
    <t>BC_BLP_JCT</t>
  </si>
  <si>
    <t>BC_CLW_JCT</t>
  </si>
  <si>
    <t>BC_DFD_JCT</t>
  </si>
  <si>
    <t>BC_HFY_JCT</t>
  </si>
  <si>
    <t>BC_TMM_JCT</t>
  </si>
  <si>
    <t>BC_TOK_JCT</t>
  </si>
  <si>
    <t>BC_VBY_JCT</t>
  </si>
  <si>
    <t>BC_AVO_JCT</t>
  </si>
  <si>
    <t>BC_BLE_JCT</t>
  </si>
  <si>
    <t>BC_BLU_JCT</t>
  </si>
  <si>
    <t>BC_FPS_JCT</t>
  </si>
  <si>
    <t>BC_ARM_JCT</t>
  </si>
  <si>
    <t>BC_END_JCT</t>
  </si>
  <si>
    <t>BC_RVG_JCT</t>
  </si>
  <si>
    <t>BC_RVS_JCT</t>
  </si>
  <si>
    <t>BC_ABA_JCT</t>
  </si>
  <si>
    <t>BC_CPL_JCT</t>
  </si>
  <si>
    <t>BC_BDM_JCT</t>
  </si>
  <si>
    <t>BC_PSW_JCT</t>
  </si>
  <si>
    <t>BC_CUM_JCT</t>
  </si>
  <si>
    <t>BC_EFD_JCT</t>
  </si>
  <si>
    <t>BC_FRO_JCT</t>
  </si>
  <si>
    <t>BC_GRH_JCT</t>
  </si>
  <si>
    <t>BC_LCC_JCT</t>
  </si>
  <si>
    <t>BC_NL3_JCT</t>
  </si>
  <si>
    <t>BC_NL5_JCT</t>
  </si>
  <si>
    <t>BC_E15_JCT</t>
  </si>
  <si>
    <t>BC_E42_JCT</t>
  </si>
  <si>
    <t>BC_FNC_JCT</t>
  </si>
  <si>
    <t>BC_KLC_JCT</t>
  </si>
  <si>
    <t>BC_GMS_GEN</t>
  </si>
  <si>
    <t>BC_STC_JCT</t>
  </si>
  <si>
    <t>BC_PPS_JCT</t>
  </si>
  <si>
    <t>BC_MWN_JCT</t>
  </si>
  <si>
    <t>BC_TBN_JCT</t>
  </si>
  <si>
    <t>BC_PRS_JCT</t>
  </si>
  <si>
    <t>BC_FBC_JCT</t>
  </si>
  <si>
    <t>BC_MCM_JCT</t>
  </si>
  <si>
    <t>BC_ET3_JCT</t>
  </si>
  <si>
    <t>BC_PLD_JCT</t>
  </si>
  <si>
    <t>BC_SEP_JCT</t>
  </si>
  <si>
    <t>BC_EWL_JCT</t>
  </si>
  <si>
    <t>BC_MEZ_JCT</t>
  </si>
  <si>
    <t>BC_BRN_JCT</t>
  </si>
  <si>
    <t>BC_PBL_JCT</t>
  </si>
  <si>
    <t>BC_WNR_JCT</t>
  </si>
  <si>
    <t>BC_RBW_JCT</t>
  </si>
  <si>
    <t>BC_PEM_JCT</t>
  </si>
  <si>
    <t>BC_RUT_JCT</t>
  </si>
  <si>
    <t>BC_CAM_JCT</t>
  </si>
  <si>
    <t>BC_SYH_JCT</t>
  </si>
  <si>
    <t>BC_ASL_JCT</t>
  </si>
  <si>
    <t>BC_HWW_JCT</t>
  </si>
  <si>
    <t>BC_SEV_GEN</t>
  </si>
  <si>
    <t>BC_ACK_SUB</t>
  </si>
  <si>
    <t>BC_REV_GEN</t>
  </si>
  <si>
    <t>BC_KGP_JCT</t>
  </si>
  <si>
    <t>BC_MNK_JCT</t>
  </si>
  <si>
    <t>BC_MRC_JCT</t>
  </si>
  <si>
    <t>BC_MLW_JCT</t>
  </si>
  <si>
    <t>BC_SRN_JCT</t>
  </si>
  <si>
    <t>BC_CQM_JCT</t>
  </si>
  <si>
    <t>BC_MRG_JCT</t>
  </si>
  <si>
    <t>BC_BAL_JCT</t>
  </si>
  <si>
    <t>BC_PKL_JCT</t>
  </si>
  <si>
    <t>BC_GLT_JCT</t>
  </si>
  <si>
    <t>BC_WNK_JCT</t>
  </si>
  <si>
    <t>BC_KEN_JCT</t>
  </si>
  <si>
    <t>BC_WAH_GEN</t>
  </si>
  <si>
    <t>BC_SFU_JCT</t>
  </si>
  <si>
    <t>BC_MIS_JCT</t>
  </si>
  <si>
    <t>BC_SLK_JCT</t>
  </si>
  <si>
    <t>BC_NWR_JCT</t>
  </si>
  <si>
    <t>BC_GSP_JCT</t>
  </si>
  <si>
    <t>BC_NRG_JCT</t>
  </si>
  <si>
    <t>BC_ESC_JCT</t>
  </si>
  <si>
    <t>BC_CLL_JCT</t>
  </si>
  <si>
    <t>BC_PAV_JCT</t>
  </si>
  <si>
    <t>BC_SON_GEN</t>
  </si>
  <si>
    <t>BC_WDN_JCT</t>
  </si>
  <si>
    <t>BC_LAJ_GEN</t>
  </si>
  <si>
    <t>BC_TXL_JCT</t>
  </si>
  <si>
    <t>BC_AFT_JCT</t>
  </si>
  <si>
    <t>BC_CCW_JCT</t>
  </si>
  <si>
    <t>BC_ANN_JCT</t>
  </si>
  <si>
    <t>BC_AWT_JCT</t>
  </si>
  <si>
    <t>BC_TII_JCT</t>
  </si>
  <si>
    <t>BC_WCF_JCT</t>
  </si>
  <si>
    <t>BC_BMP_JCT</t>
  </si>
  <si>
    <t>BC_LOH_JCT</t>
  </si>
  <si>
    <t>BC_SEA_JCT</t>
  </si>
  <si>
    <t>BC_SMW_JCT</t>
  </si>
  <si>
    <t>BC_TMO_JCT</t>
  </si>
  <si>
    <t>BC_UNS_JCT</t>
  </si>
  <si>
    <t>BC_DPT_JCT</t>
  </si>
  <si>
    <t>BC_TSW_JCT</t>
  </si>
  <si>
    <t>BC_WTL_JCT</t>
  </si>
  <si>
    <t>BC_LCS_JCT</t>
  </si>
  <si>
    <t>BC_SWP_JCT</t>
  </si>
  <si>
    <t>BC_JRI_JCT</t>
  </si>
  <si>
    <t>BC_VDK_JCT</t>
  </si>
  <si>
    <t>BC_VSY_JCT</t>
  </si>
  <si>
    <t>BC_HCT_JCT</t>
  </si>
  <si>
    <t>BC_CPS_JCT</t>
  </si>
  <si>
    <t>BC_SCP_JCT</t>
  </si>
  <si>
    <t>BC_MAM_JCT</t>
  </si>
  <si>
    <t>BC_UMH_JCT</t>
  </si>
  <si>
    <t>BC_BTA_JCT</t>
  </si>
  <si>
    <t>BC_FRC_JCT</t>
  </si>
  <si>
    <t>BC_FRI_JCT</t>
  </si>
  <si>
    <t>BC_LBY_JCT</t>
  </si>
  <si>
    <t>BC_PTO_JCT</t>
  </si>
  <si>
    <t>BC_SRY_JCT</t>
  </si>
  <si>
    <t>BC_NKL_JCT</t>
  </si>
  <si>
    <t>BC_HRD_JCT</t>
  </si>
  <si>
    <t>BC_SCT_JCT</t>
  </si>
  <si>
    <t>BC_PKP_JCT</t>
  </si>
  <si>
    <t>BC_DCV_JCT</t>
  </si>
  <si>
    <t>BC_NXC_JCT</t>
  </si>
  <si>
    <t>BC_WHP_JCT</t>
  </si>
  <si>
    <t>BC_HPS_JCT</t>
  </si>
  <si>
    <t>BC_CNK_JCT</t>
  </si>
  <si>
    <t>BC_DTR_JCT</t>
  </si>
  <si>
    <t>BC_HAS_JCT</t>
  </si>
  <si>
    <t>BC_SSH_JCT</t>
  </si>
  <si>
    <t>BC_TRR_JCT</t>
  </si>
  <si>
    <t>BC_WWD_JCT</t>
  </si>
  <si>
    <t>BC_FCO_JCT</t>
  </si>
  <si>
    <t>BC_NDR_JCT</t>
  </si>
  <si>
    <t>BC_SCB_JCT</t>
  </si>
  <si>
    <t>BC_GST_JCT</t>
  </si>
  <si>
    <t>BC_MCK_JCT</t>
  </si>
  <si>
    <t>BC_ATH_JCT</t>
  </si>
  <si>
    <t>BC_CNL_JCT</t>
  </si>
  <si>
    <t>BC_CRC_JCT</t>
  </si>
  <si>
    <t>BC_FMT_JCT</t>
  </si>
  <si>
    <t>BC_SKU_JCT</t>
  </si>
  <si>
    <t>BC_PSN_JCT</t>
  </si>
  <si>
    <t>BC_RDM_JCT</t>
  </si>
  <si>
    <t>BC_SPN_JCT</t>
  </si>
  <si>
    <t>BC_SPD_JCT</t>
  </si>
  <si>
    <t>BC_FST_JCT</t>
  </si>
  <si>
    <t>BC_MVL_JCT</t>
  </si>
  <si>
    <t>BC_MYE_JCT</t>
  </si>
  <si>
    <t>BC_ELK_GEN</t>
  </si>
  <si>
    <t>BC_ABN_JCT</t>
  </si>
  <si>
    <t>BC_BRM_JCT</t>
  </si>
  <si>
    <t>BC_WAR_JCT</t>
  </si>
  <si>
    <t>BC_CMO_JCT</t>
  </si>
  <si>
    <t>BC_CNT_JCT</t>
  </si>
  <si>
    <t>BC_WIN_JCT</t>
  </si>
  <si>
    <t>BC_SPL_JCT</t>
  </si>
  <si>
    <t>BC_GBW_JCT</t>
  </si>
  <si>
    <t>BC_MGT_JCT</t>
  </si>
  <si>
    <t>BC_MTP_JCT</t>
  </si>
  <si>
    <t>BC_WQL_JCT</t>
  </si>
  <si>
    <t>BC_AWL_JCT</t>
  </si>
  <si>
    <t>BC_SMH_JCT</t>
  </si>
  <si>
    <t>BC_CLN_JCT</t>
  </si>
  <si>
    <t>BC_LGW_JCT</t>
  </si>
  <si>
    <t>BC_TWT_JCT</t>
  </si>
  <si>
    <t>BC_WWL_JCT</t>
  </si>
  <si>
    <t>BC_CBP_JCT</t>
  </si>
  <si>
    <t>BC_WPN_JCT</t>
  </si>
  <si>
    <t>BC_WFQ_JCT</t>
  </si>
  <si>
    <t>BC_BLW_JCT</t>
  </si>
  <si>
    <t>BC_GBC_JCT</t>
  </si>
  <si>
    <t>BC_NLV_JCT</t>
  </si>
  <si>
    <t>BC_PLT_JCT</t>
  </si>
  <si>
    <t>BC_TAC_JCT</t>
  </si>
  <si>
    <t>BC_VDF_JCT</t>
  </si>
  <si>
    <t>BC_NOS_JCT</t>
  </si>
  <si>
    <t>BC_PVW_JCT</t>
  </si>
  <si>
    <t>BC_BCM_JCT</t>
  </si>
  <si>
    <t>BC_FMC_JCT</t>
  </si>
  <si>
    <t>BC_CNG_JCT</t>
  </si>
  <si>
    <t>BC_HCR_JCT</t>
  </si>
  <si>
    <t>BC_CLB_JCT</t>
  </si>
  <si>
    <t>BC_DKY_JCT</t>
  </si>
  <si>
    <t>BC_PMB_JCT</t>
  </si>
  <si>
    <t>BC_FSR_JCT</t>
  </si>
  <si>
    <t>BC_FSS_JCT</t>
  </si>
  <si>
    <t>BC_FHS_JCT</t>
  </si>
  <si>
    <t>BC_PCA_JCT</t>
  </si>
  <si>
    <t>BC_IPR_JCT</t>
  </si>
  <si>
    <t>BC_AFP_JCT</t>
  </si>
  <si>
    <t>BC_TSC_JCT</t>
  </si>
  <si>
    <t>BC_BRL_JCT</t>
  </si>
  <si>
    <t>BC_DIL_JCT</t>
  </si>
  <si>
    <t>BC_GRR_JCT</t>
  </si>
  <si>
    <t>BC_PRT_JCT</t>
  </si>
  <si>
    <t>BC_PED_JCT</t>
  </si>
  <si>
    <t>BC_PRG_JCT</t>
  </si>
  <si>
    <t>BC_SKL_JCT</t>
  </si>
  <si>
    <t>Elkford</t>
  </si>
  <si>
    <t>Gibraltar Wells</t>
  </si>
  <si>
    <t>Petro Canada Products</t>
  </si>
  <si>
    <t>Pinnacle Pellets</t>
  </si>
  <si>
    <t>Scott</t>
  </si>
  <si>
    <t>Timber West</t>
  </si>
  <si>
    <t>Tolko Lignum</t>
  </si>
  <si>
    <t>Tolko Industries Lavington</t>
  </si>
  <si>
    <t>Tolko Industries Heffley</t>
  </si>
  <si>
    <t>Shell Saturn Gas Plant</t>
  </si>
  <si>
    <t>Shell Sunset Prairie</t>
  </si>
  <si>
    <t>BC_ASH_GEN</t>
  </si>
  <si>
    <t>PP_BCAB1_IPT</t>
  </si>
  <si>
    <t>BC_FLS_GEN</t>
  </si>
  <si>
    <t>PP_BCAB2_IPT</t>
  </si>
  <si>
    <t>XX_BCUS2_INT</t>
  </si>
  <si>
    <t>XX_BCUS1_INT</t>
  </si>
  <si>
    <t>BC_ALU_GEN</t>
  </si>
  <si>
    <t>Longo Developments</t>
  </si>
  <si>
    <t>Bear Mountain GS</t>
  </si>
  <si>
    <t>Box Canyon GS</t>
  </si>
  <si>
    <t>Alouette GS</t>
  </si>
  <si>
    <t>Boulder Creek GS</t>
  </si>
  <si>
    <t>Lower Bear GS</t>
  </si>
  <si>
    <t>Upper Bear GS</t>
  </si>
  <si>
    <t>Bremner GS</t>
  </si>
  <si>
    <t>Bear Creek GS</t>
  </si>
  <si>
    <t>Brilliant Expansion GS</t>
  </si>
  <si>
    <t>Big Silver GS</t>
  </si>
  <si>
    <t>Cariboo Pulp GS</t>
  </si>
  <si>
    <t>Cache Creek GS</t>
  </si>
  <si>
    <t>Catalyst Paper Crofton GS</t>
  </si>
  <si>
    <t>Clowhom GS</t>
  </si>
  <si>
    <t>Cape Scott GS</t>
  </si>
  <si>
    <t>Douglas GS</t>
  </si>
  <si>
    <t>Dokie GS</t>
  </si>
  <si>
    <t>Dasque Creek GS</t>
  </si>
  <si>
    <t>East Toba River GS</t>
  </si>
  <si>
    <t>Forest Kerr GS</t>
  </si>
  <si>
    <t>Fire GS</t>
  </si>
  <si>
    <t>Jimmie Creek GS</t>
  </si>
  <si>
    <t>Jordan River GS</t>
  </si>
  <si>
    <t>Kwoiek Creek GS</t>
  </si>
  <si>
    <t>Kokish GS</t>
  </si>
  <si>
    <t>Kwalse GS</t>
  </si>
  <si>
    <t>Chetwynd GS</t>
  </si>
  <si>
    <t>McMahon GS</t>
  </si>
  <si>
    <t>Merritt Green GS</t>
  </si>
  <si>
    <t>Moose Lake GS</t>
  </si>
  <si>
    <t>Montrose Creek GS</t>
  </si>
  <si>
    <t>Northwest Stave GS</t>
  </si>
  <si>
    <t>Pingston GS</t>
  </si>
  <si>
    <t>Pennask GS</t>
  </si>
  <si>
    <t>Quality GS</t>
  </si>
  <si>
    <t>Rutherford Creek GS</t>
  </si>
  <si>
    <t>Strathcona GS</t>
  </si>
  <si>
    <t>Stokke GS</t>
  </si>
  <si>
    <t>South Slocan GS</t>
  </si>
  <si>
    <t>Site C GS</t>
  </si>
  <si>
    <t>Tipella GS</t>
  </si>
  <si>
    <t>Tretheway GS</t>
  </si>
  <si>
    <t>Upper Lillooet River GS</t>
  </si>
  <si>
    <t>Upper Stave River GS</t>
  </si>
  <si>
    <t>Waneta GS</t>
  </si>
  <si>
    <t>Waneta Expansion GS</t>
  </si>
  <si>
    <t>Whatshan GS</t>
  </si>
  <si>
    <t>BC_FOX_JCT</t>
  </si>
  <si>
    <t>Conuma Coal</t>
  </si>
  <si>
    <t>Kruger Products</t>
  </si>
  <si>
    <t>West Pine</t>
  </si>
  <si>
    <t>West Fraser Quesnel Plywood</t>
  </si>
  <si>
    <t>Westshore Terminals</t>
  </si>
  <si>
    <t>West Fraser Williams Lake</t>
  </si>
  <si>
    <t>Crowsnest Pass GS</t>
  </si>
  <si>
    <t>BC_WAH_JCT</t>
  </si>
  <si>
    <t>BC_BBR_JCT</t>
  </si>
  <si>
    <t>60L059TSW</t>
  </si>
  <si>
    <t>60L294WIN</t>
  </si>
  <si>
    <t>Domtar Kamloops</t>
  </si>
  <si>
    <t>Kemano GS</t>
  </si>
  <si>
    <t>T&amp;D System Operations - Operating Order 5T-10. Ratings for all Transmission Circuits 60 kV or Higher</t>
  </si>
  <si>
    <t>https://www.bchydro.com/content/dam/BCHydro/customer-portal/documents/corporate/suppliers/transmission-system/system_operating_orders/5T-10.pdf</t>
  </si>
  <si>
    <t>Water Sustainability Fees, Rentals and Charges Tariff Regulation. B.C. Reg. 37/2016</t>
  </si>
  <si>
    <t>2012 Integrated System Plan - Volume 1</t>
  </si>
  <si>
    <t>https://fbcdotcomprod.blob.core.windows.net/libraries/docs/default-source/about-us-documents/regulatory-affairs-documents/electric-utility/fortisbc-2012-integrated-system-plan---volume-1---30june2011.pdf</t>
  </si>
  <si>
    <t>Integrated Resource Plan 2013 Resource Options Report Update Mica Pumped Storage Report</t>
  </si>
  <si>
    <t>https://www.bchydro.com/toolbar/about/planning-for-our-future/irp/current-plan/document-centre/reports/november-2013-irp.html</t>
  </si>
  <si>
    <t>2008 Long-term Acquisition Plan: Appendix F8 Potential Large Hydro Project Report</t>
  </si>
  <si>
    <t>https://www.bchydro.com/toolbar/about/planning-for-our-future/irp/past-plans/2008-ltap.html</t>
  </si>
  <si>
    <t>Integrated Resource Plan Appendix 3A-30. 2013 Resource Options Report Update - Lower Mainland/Vancouver Island Pumped Storage Report and North Coast Pumped Storage Report. Prepared by Knight Piesold Consulting.</t>
  </si>
  <si>
    <t>https://www.bchydro.com/toolbar/about/planning-for-our-future/irp/current-plan/document-centre/reports/november-2013-irp.html https://www.bchydro.com/toolbar/about/planning-for-our-future/irp/current-plan/document-centre/reports/november-2013-irp.html</t>
  </si>
  <si>
    <t>Fiscal 2020 to Fiscal 2021 Revenue Requirements Application Twenty-Year Load Forecast</t>
  </si>
  <si>
    <t>https://www.bcuc.com/ApplicationView.aspx?ApplicationId=664</t>
  </si>
  <si>
    <t>1L403</t>
  </si>
  <si>
    <t>Long Lake GS</t>
  </si>
  <si>
    <t>1L403BJK</t>
  </si>
  <si>
    <t>Brucejack Mine</t>
  </si>
  <si>
    <t>Zeballos Lake GS</t>
  </si>
  <si>
    <t>60L359TFP</t>
  </si>
  <si>
    <t>Fort St James Green Energy GS</t>
  </si>
  <si>
    <t>Capacity Adjustment</t>
  </si>
  <si>
    <t>PGP Bioenergy Project</t>
  </si>
  <si>
    <t>Also called Robson Valley</t>
  </si>
  <si>
    <t>Tolko Armstrong</t>
  </si>
  <si>
    <t>Trio Kwalsa</t>
  </si>
  <si>
    <t>PP_BCAB4_IPT</t>
  </si>
  <si>
    <t>2L001PEM</t>
  </si>
  <si>
    <t>2L042</t>
  </si>
  <si>
    <t>BC_BDH_JCT</t>
  </si>
  <si>
    <t>2L042BDH</t>
  </si>
  <si>
    <t>2L337MLW</t>
  </si>
  <si>
    <t>60L031DVM</t>
  </si>
  <si>
    <t>60L063VSY</t>
  </si>
  <si>
    <t>60L219SCB</t>
  </si>
  <si>
    <t>INT Ingledow BPA</t>
  </si>
  <si>
    <t>INT Nelway BPA</t>
  </si>
  <si>
    <t>South Sutton GS</t>
  </si>
  <si>
    <t>Shawinigan JCT</t>
  </si>
  <si>
    <t>Koksilah JCT</t>
  </si>
  <si>
    <t>Galiano JCT</t>
  </si>
  <si>
    <t>Saltspring JCT</t>
  </si>
  <si>
    <t>Woodfibre JCT</t>
  </si>
  <si>
    <t>Box Canyon JCT</t>
  </si>
  <si>
    <t>Grief Point JCT</t>
  </si>
  <si>
    <t>Forest View JCT</t>
  </si>
  <si>
    <t>Narrows Inlet JCT</t>
  </si>
  <si>
    <t>Sechelt Creek GS JCT</t>
  </si>
  <si>
    <t>Highland Valley Copper JCT</t>
  </si>
  <si>
    <t>Buckley Bay JCT</t>
  </si>
  <si>
    <t>Comox JCT</t>
  </si>
  <si>
    <t>Oyster River JCT</t>
  </si>
  <si>
    <t>Campbell River JCT</t>
  </si>
  <si>
    <t>Island GS JCT</t>
  </si>
  <si>
    <t>South Wellington JCT</t>
  </si>
  <si>
    <t>Harewood JCT</t>
  </si>
  <si>
    <t>Canexus JCT</t>
  </si>
  <si>
    <t>Qualicum JCT</t>
  </si>
  <si>
    <t>Parksville JCT</t>
  </si>
  <si>
    <t>Lantzville JCT</t>
  </si>
  <si>
    <t>Ladysmith JCT</t>
  </si>
  <si>
    <t>Port McNeil JCT</t>
  </si>
  <si>
    <t>Marble River Hatchery JCT</t>
  </si>
  <si>
    <t>Conuma Hatchery JCT</t>
  </si>
  <si>
    <t>Murphy JCT</t>
  </si>
  <si>
    <t>Sooke JCT</t>
  </si>
  <si>
    <t>Woss JCT</t>
  </si>
  <si>
    <t>Beaver Cove JCT</t>
  </si>
  <si>
    <t>Lumby #2 JCT</t>
  </si>
  <si>
    <t>Tolko Industries Lavington JCT</t>
  </si>
  <si>
    <t>Afton Mine JCT</t>
  </si>
  <si>
    <t>TransMountain Kamloops JCT</t>
  </si>
  <si>
    <t>Lafarge #2 JCT</t>
  </si>
  <si>
    <t>Chase JCT</t>
  </si>
  <si>
    <t>Sorrento JCT</t>
  </si>
  <si>
    <t>Tolko Industries Heffley JCT</t>
  </si>
  <si>
    <t>Heffley JCT</t>
  </si>
  <si>
    <t>Barriere JCT</t>
  </si>
  <si>
    <t>Darfield JCT</t>
  </si>
  <si>
    <t>Blackpool JCT</t>
  </si>
  <si>
    <t>Clearwater JCT</t>
  </si>
  <si>
    <t>Vavenby JCT</t>
  </si>
  <si>
    <t>TransMountain McMurphy JCT</t>
  </si>
  <si>
    <t>Avola JCT</t>
  </si>
  <si>
    <t>Finn Pumping Station JCT</t>
  </si>
  <si>
    <t>Blue River Pumping Station JCT</t>
  </si>
  <si>
    <t>Blue River JCT</t>
  </si>
  <si>
    <t>Enderby JCT</t>
  </si>
  <si>
    <t>Armstrong JCT</t>
  </si>
  <si>
    <t>Riverside JCT</t>
  </si>
  <si>
    <t>Chappell Pumping Station JCT</t>
  </si>
  <si>
    <t>Albreda JCT</t>
  </si>
  <si>
    <t>Pennask JCT</t>
  </si>
  <si>
    <t>Brenda Mines JCT</t>
  </si>
  <si>
    <t>Copper Mountain JCT</t>
  </si>
  <si>
    <t>Line Creek Coal JCT</t>
  </si>
  <si>
    <t>Elkford JCT</t>
  </si>
  <si>
    <t>Greenhills JCT</t>
  </si>
  <si>
    <t>Fording Coal JCT</t>
  </si>
  <si>
    <t>BP Noel 5 JCT</t>
  </si>
  <si>
    <t>BP Noel 3 JCT</t>
  </si>
  <si>
    <t>Encana 4-26 JCT</t>
  </si>
  <si>
    <t>Encana 15-27 JCT</t>
  </si>
  <si>
    <t>PetroCan JCT</t>
  </si>
  <si>
    <t>Harvest Energy JCT</t>
  </si>
  <si>
    <t>Site C JCT</t>
  </si>
  <si>
    <t>Portage Pass JCT</t>
  </si>
  <si>
    <t>Fox Creek JCT</t>
  </si>
  <si>
    <t>McEwan JCT</t>
  </si>
  <si>
    <t>Timbernorth JCT</t>
  </si>
  <si>
    <t>Parsnip JCT</t>
  </si>
  <si>
    <t>McMahon JCT</t>
  </si>
  <si>
    <t>Fiberco JCT</t>
  </si>
  <si>
    <t>Septimus JCT</t>
  </si>
  <si>
    <t>Encana Tower JCT</t>
  </si>
  <si>
    <t>Parkland JCT</t>
  </si>
  <si>
    <t>Ellsworth JCT</t>
  </si>
  <si>
    <t>Meziadin JCT</t>
  </si>
  <si>
    <t>Pinnacle Pellets JCT</t>
  </si>
  <si>
    <t>Burns Lake JCT</t>
  </si>
  <si>
    <t>Westmin Resources JCT</t>
  </si>
  <si>
    <t>Rainbow JCT</t>
  </si>
  <si>
    <t>Pemberton JCT</t>
  </si>
  <si>
    <t>Rutherford Creek JCT</t>
  </si>
  <si>
    <t>Cambie JCT</t>
  </si>
  <si>
    <t>Strawberry Hill JCT</t>
  </si>
  <si>
    <t>Boulder Creek JCT</t>
  </si>
  <si>
    <t>Harewood West JCT</t>
  </si>
  <si>
    <t>Kwoen JCT</t>
  </si>
  <si>
    <t>Conuma Coal JCT</t>
  </si>
  <si>
    <t>Murrary River Coal JCT</t>
  </si>
  <si>
    <t>Moose Lake JCT</t>
  </si>
  <si>
    <t>Shell Saturn Gas Plant JCT</t>
  </si>
  <si>
    <t>Maple Ridge JCT</t>
  </si>
  <si>
    <t>Coquitlam JCT</t>
  </si>
  <si>
    <t>Balfour JCT</t>
  </si>
  <si>
    <t>Whonnock JCT</t>
  </si>
  <si>
    <t>Wahleach JCT</t>
  </si>
  <si>
    <t>Boston Bar JCT</t>
  </si>
  <si>
    <t>Simon Fraser University JCT</t>
  </si>
  <si>
    <t>Mission JCT</t>
  </si>
  <si>
    <t>St Leon Creek JCT</t>
  </si>
  <si>
    <t>New Westminster JCT</t>
  </si>
  <si>
    <t>Newsteck Recycling JCT</t>
  </si>
  <si>
    <t>GVRD Sapperton Pumps JCT</t>
  </si>
  <si>
    <t>Esco Foundry JCT</t>
  </si>
  <si>
    <t>Pavilion JCT</t>
  </si>
  <si>
    <t>Continental Lime Limited JCT</t>
  </si>
  <si>
    <t>Walden North JCT</t>
  </si>
  <si>
    <t>Tyax Lake JCT</t>
  </si>
  <si>
    <t>Cache Creek JCT</t>
  </si>
  <si>
    <t>Ashcroft JCT</t>
  </si>
  <si>
    <t>Tree Island Industries JCT</t>
  </si>
  <si>
    <t>Annacis Island JCT</t>
  </si>
  <si>
    <t>Annacis Island Wastewater Treatment Plant JCT</t>
  </si>
  <si>
    <t>Westcoast Cellufibre JCT</t>
  </si>
  <si>
    <t>Lougheed JCT</t>
  </si>
  <si>
    <t>Bingham JCT</t>
  </si>
  <si>
    <t>Sea Island JCT</t>
  </si>
  <si>
    <t>Trans Mountain JCT</t>
  </si>
  <si>
    <t>Sumas Way JCT</t>
  </si>
  <si>
    <t>South Campus JCT</t>
  </si>
  <si>
    <t>Tsawassen JCT</t>
  </si>
  <si>
    <t>Delta Port Terminal JCT</t>
  </si>
  <si>
    <t>Westshore Terminals JCT</t>
  </si>
  <si>
    <t>Neptune Bulk Terminal JCT</t>
  </si>
  <si>
    <t>Saskatchewan Wheat Pool JCT</t>
  </si>
  <si>
    <t>James Richardson JCT</t>
  </si>
  <si>
    <t>Vancouver Dry Dock JCT</t>
  </si>
  <si>
    <t>Vancouver Shipyards JCT</t>
  </si>
  <si>
    <t>Hillcrest JCT</t>
  </si>
  <si>
    <t>Capilano Pumps JCT</t>
  </si>
  <si>
    <t>Kruger Products JCT</t>
  </si>
  <si>
    <t>Mamquam JCT</t>
  </si>
  <si>
    <t>Upper Mamquam JCT</t>
  </si>
  <si>
    <t>Britannia JCT</t>
  </si>
  <si>
    <t>Furry Creek JCT</t>
  </si>
  <si>
    <t>Furry Creek GS JCT</t>
  </si>
  <si>
    <t>Porteau Cove JCT</t>
  </si>
  <si>
    <t>Lions Bay JCT</t>
  </si>
  <si>
    <t>Surrey JCT</t>
  </si>
  <si>
    <t>Nicomekl JCT</t>
  </si>
  <si>
    <t>Scott JCT</t>
  </si>
  <si>
    <t>Harvie Road JCT</t>
  </si>
  <si>
    <t>Port Kells Pumping JCT</t>
  </si>
  <si>
    <t>Deep Cove JCT</t>
  </si>
  <si>
    <t>Canexus Corporation JCT</t>
  </si>
  <si>
    <t>Wahleach Pumping Station JCT</t>
  </si>
  <si>
    <t>Kent JCT</t>
  </si>
  <si>
    <t>Hope Pumping Station JCT</t>
  </si>
  <si>
    <t>Doran Taylor JCT</t>
  </si>
  <si>
    <t>South Sutton JCT</t>
  </si>
  <si>
    <t>Taylor River Rest Area JCT</t>
  </si>
  <si>
    <t>Haa-Ak-Suuk JCT</t>
  </si>
  <si>
    <t>Marion 3 Creek JCT</t>
  </si>
  <si>
    <t>Canoe Creek JCT</t>
  </si>
  <si>
    <t>Westwold JCT</t>
  </si>
  <si>
    <t>Canoe Forest Products Ltd JCT</t>
  </si>
  <si>
    <t>New Denver JCT</t>
  </si>
  <si>
    <t>South Cranberry JCT</t>
  </si>
  <si>
    <t>Goldstream JCT</t>
  </si>
  <si>
    <t>McCulloch Creek JCT</t>
  </si>
  <si>
    <t>Skookumchuck JCT</t>
  </si>
  <si>
    <t>Crestbrook Canal Flats JCT</t>
  </si>
  <si>
    <t>Canal Flats JCT</t>
  </si>
  <si>
    <t>Fairmont JCT</t>
  </si>
  <si>
    <t>Athalmer JCT</t>
  </si>
  <si>
    <t>Radium JCT</t>
  </si>
  <si>
    <t>Spillimacheen JCT</t>
  </si>
  <si>
    <t>Parsons JCT</t>
  </si>
  <si>
    <t>Sparwood JCT</t>
  </si>
  <si>
    <t>Fort Steele JCT</t>
  </si>
  <si>
    <t>Marysville JCT</t>
  </si>
  <si>
    <t>Moyie JCT</t>
  </si>
  <si>
    <t>Bull River Mineral JCT</t>
  </si>
  <si>
    <t>Aberfeldie JCT</t>
  </si>
  <si>
    <t>Coal Mountain JCT</t>
  </si>
  <si>
    <t>Crowsnest JCT</t>
  </si>
  <si>
    <t>Windsor JCT</t>
  </si>
  <si>
    <t>Steeples JCT</t>
  </si>
  <si>
    <t>Mount Polley Mining JCT</t>
  </si>
  <si>
    <t>Marguerite JCT</t>
  </si>
  <si>
    <t>Gibraltar Wells JCT</t>
  </si>
  <si>
    <t>West Fraser Quesnel Plywood JCT</t>
  </si>
  <si>
    <t>Clinton JCT</t>
  </si>
  <si>
    <t>Seventy Mile House JCT</t>
  </si>
  <si>
    <t>Ainsworth JCT</t>
  </si>
  <si>
    <t>Timber West JCT</t>
  </si>
  <si>
    <t>West Fraser Williams Lake JCT</t>
  </si>
  <si>
    <t>Tolko Lignum JCT</t>
  </si>
  <si>
    <t>Cariboo Pulp JCT</t>
  </si>
  <si>
    <t>West Pine JCT</t>
  </si>
  <si>
    <t>West Fraser Quesnel JCT</t>
  </si>
  <si>
    <t>Barlow JCT</t>
  </si>
  <si>
    <t>Gibraltar Capacitor JCT</t>
  </si>
  <si>
    <t>Canfor JCT</t>
  </si>
  <si>
    <t>Tachick JCT</t>
  </si>
  <si>
    <t>Nechako Lumber JCT</t>
  </si>
  <si>
    <t>Vanderhoof JCT</t>
  </si>
  <si>
    <t>Pineview JCT</t>
  </si>
  <si>
    <t>Canfor Rustad Division JCT</t>
  </si>
  <si>
    <t>BC Chemical JCT</t>
  </si>
  <si>
    <t>FMC Prince George JCT</t>
  </si>
  <si>
    <t>Canadian National JCT</t>
  </si>
  <si>
    <t>Prince George Pulp JCT</t>
  </si>
  <si>
    <t>Pinnacle Pellets Meadowbank JCT</t>
  </si>
  <si>
    <t>Colebank JCT</t>
  </si>
  <si>
    <t>Dunkley Lumber JCT</t>
  </si>
  <si>
    <t>Fraser Lake JCT</t>
  </si>
  <si>
    <t>Fraser Lake Sawmill JCT</t>
  </si>
  <si>
    <t>Foothills JCT</t>
  </si>
  <si>
    <t>Patricia JCT</t>
  </si>
  <si>
    <t>Isle Pierre JCT</t>
  </si>
  <si>
    <t>Apollo Forest Products JCT</t>
  </si>
  <si>
    <t>Terrace Skeena Cellulose JCT</t>
  </si>
  <si>
    <t>Diana Lake JCT</t>
  </si>
  <si>
    <t>Green River JCT</t>
  </si>
  <si>
    <t>Brown Lake JCT</t>
  </si>
  <si>
    <t>Fareview Container Terminal JCT</t>
  </si>
  <si>
    <t>Port Edward JCT</t>
  </si>
  <si>
    <t>Skeena Cellulose JCT</t>
  </si>
  <si>
    <t>Prince Rupert Grain JCT</t>
  </si>
  <si>
    <t>Port Kells JCT</t>
  </si>
  <si>
    <t>Trio GS</t>
  </si>
  <si>
    <t>Gavin Lake JCT</t>
  </si>
  <si>
    <t>BC_GVL_JCT</t>
  </si>
  <si>
    <t>60L300GVL</t>
  </si>
  <si>
    <t>Gavin Lake</t>
  </si>
  <si>
    <t>Sachteen</t>
  </si>
  <si>
    <t>West Kamloops</t>
  </si>
  <si>
    <t>1L220</t>
  </si>
  <si>
    <t>T&amp;D System Operations - Operating Order 5T-14. Ratings for all Transmission and Distribution Transformers</t>
  </si>
  <si>
    <t>https://www.bchydro.com/content/dam/BCHydro/customer-portal/documents/corporate/suppliers/transmission-system/system_operating_orders/5T-14.pdf</t>
  </si>
  <si>
    <t>http://www.bclaws.ca/civix/document/id/loo99/loo99/37_2016</t>
  </si>
  <si>
    <t>Ending Node Name</t>
  </si>
  <si>
    <t>Connecting Voltage</t>
  </si>
  <si>
    <t>Ashlu JCT</t>
  </si>
  <si>
    <t>Gloucester JCT</t>
  </si>
  <si>
    <t>Wardner JCT</t>
  </si>
  <si>
    <t>Wardner</t>
  </si>
  <si>
    <t>Tolko Armstrong GS</t>
  </si>
  <si>
    <t>Tolko Armstrong JCT</t>
  </si>
  <si>
    <t>50L</t>
  </si>
  <si>
    <t>Sexsmith</t>
  </si>
  <si>
    <t>Recreation</t>
  </si>
  <si>
    <t>Saucier</t>
  </si>
  <si>
    <t>Hollywood</t>
  </si>
  <si>
    <t>Hollywood JCT</t>
  </si>
  <si>
    <t>51L</t>
  </si>
  <si>
    <t>Okanagan Mission</t>
  </si>
  <si>
    <t>Benvoulin</t>
  </si>
  <si>
    <t>55L</t>
  </si>
  <si>
    <t>58L</t>
  </si>
  <si>
    <t>Black Mountain</t>
  </si>
  <si>
    <t>54L</t>
  </si>
  <si>
    <t>60L</t>
  </si>
  <si>
    <t>46L</t>
  </si>
  <si>
    <t>Duck Lake</t>
  </si>
  <si>
    <t>61L</t>
  </si>
  <si>
    <t>Ellison</t>
  </si>
  <si>
    <t>57L</t>
  </si>
  <si>
    <t>Joe Riche</t>
  </si>
  <si>
    <t>Big White</t>
  </si>
  <si>
    <t>56L</t>
  </si>
  <si>
    <t>Princeton</t>
  </si>
  <si>
    <t>Princeton JCT</t>
  </si>
  <si>
    <t>BC_PRI_JCT</t>
  </si>
  <si>
    <t>BC Gas</t>
  </si>
  <si>
    <t>Hedley</t>
  </si>
  <si>
    <t>Keremeos</t>
  </si>
  <si>
    <t>43AL</t>
  </si>
  <si>
    <t>Mascot Mines</t>
  </si>
  <si>
    <t>11WL</t>
  </si>
  <si>
    <t>Kettle Valley</t>
  </si>
  <si>
    <t>66L</t>
  </si>
  <si>
    <t>Nk'Mip</t>
  </si>
  <si>
    <t>68L</t>
  </si>
  <si>
    <t>69L</t>
  </si>
  <si>
    <t>Oliver</t>
  </si>
  <si>
    <t>44L</t>
  </si>
  <si>
    <t>Pine Street</t>
  </si>
  <si>
    <t>Osoyoos</t>
  </si>
  <si>
    <t>42L</t>
  </si>
  <si>
    <t>OK Falls</t>
  </si>
  <si>
    <t>Kaledon</t>
  </si>
  <si>
    <t>Huth Avenue</t>
  </si>
  <si>
    <t>45L</t>
  </si>
  <si>
    <t>47L</t>
  </si>
  <si>
    <t>Waterford</t>
  </si>
  <si>
    <t>52L</t>
  </si>
  <si>
    <t>53L</t>
  </si>
  <si>
    <t>49L</t>
  </si>
  <si>
    <t>West Bench</t>
  </si>
  <si>
    <t>Trout Creek</t>
  </si>
  <si>
    <t>Westminster</t>
  </si>
  <si>
    <t>Arawana</t>
  </si>
  <si>
    <t>9EL</t>
  </si>
  <si>
    <t>9L</t>
  </si>
  <si>
    <t>10EL</t>
  </si>
  <si>
    <t>10L</t>
  </si>
  <si>
    <t>Ruckles JCT</t>
  </si>
  <si>
    <t>Christina Lake</t>
  </si>
  <si>
    <t>Cascade</t>
  </si>
  <si>
    <t>9ELRUC</t>
  </si>
  <si>
    <t>Bradford</t>
  </si>
  <si>
    <t>Ruckles</t>
  </si>
  <si>
    <t>9ELCHR</t>
  </si>
  <si>
    <t>Christina Lake JCT</t>
  </si>
  <si>
    <t>Cascade JCT</t>
  </si>
  <si>
    <t>10ELRUC</t>
  </si>
  <si>
    <t>10ELCHR</t>
  </si>
  <si>
    <t>1L</t>
  </si>
  <si>
    <t>Stoney Creek</t>
  </si>
  <si>
    <t>62L</t>
  </si>
  <si>
    <t>14L</t>
  </si>
  <si>
    <t>15L</t>
  </si>
  <si>
    <t>16L</t>
  </si>
  <si>
    <t>17L</t>
  </si>
  <si>
    <t>12L (60L227)</t>
  </si>
  <si>
    <t>13L (60L225)</t>
  </si>
  <si>
    <t>18L</t>
  </si>
  <si>
    <t>Beaver Park</t>
  </si>
  <si>
    <t>Glenmerry</t>
  </si>
  <si>
    <t>20L</t>
  </si>
  <si>
    <t>Fruitvale</t>
  </si>
  <si>
    <t>Hearns</t>
  </si>
  <si>
    <t>Salmo</t>
  </si>
  <si>
    <t>27L</t>
  </si>
  <si>
    <t>Ymir</t>
  </si>
  <si>
    <t>Cottonwood</t>
  </si>
  <si>
    <t>Rosemont</t>
  </si>
  <si>
    <t>Nelson</t>
  </si>
  <si>
    <t>Nelson JCT</t>
  </si>
  <si>
    <t>Corra Linn GS</t>
  </si>
  <si>
    <t>28L</t>
  </si>
  <si>
    <t>Upper Bonnington GS</t>
  </si>
  <si>
    <t>Creston</t>
  </si>
  <si>
    <t>31L</t>
  </si>
  <si>
    <t>32L</t>
  </si>
  <si>
    <t>Crawford Bay</t>
  </si>
  <si>
    <t>38L</t>
  </si>
  <si>
    <t>Coffee Creek</t>
  </si>
  <si>
    <t>30L</t>
  </si>
  <si>
    <t>37L</t>
  </si>
  <si>
    <t>Kaslo</t>
  </si>
  <si>
    <t>24L</t>
  </si>
  <si>
    <t>23L</t>
  </si>
  <si>
    <t>Lower Bonnington GS</t>
  </si>
  <si>
    <t>33L</t>
  </si>
  <si>
    <t>21L</t>
  </si>
  <si>
    <t>22L</t>
  </si>
  <si>
    <t>7L</t>
  </si>
  <si>
    <t>8L</t>
  </si>
  <si>
    <t>Tarrys</t>
  </si>
  <si>
    <t>25L</t>
  </si>
  <si>
    <t>Playmore</t>
  </si>
  <si>
    <t>19L</t>
  </si>
  <si>
    <t>Passmore</t>
  </si>
  <si>
    <t>Valhalla</t>
  </si>
  <si>
    <t>6L</t>
  </si>
  <si>
    <t>Blueberry JCT</t>
  </si>
  <si>
    <t>Ootischenia</t>
  </si>
  <si>
    <t>Blueberry</t>
  </si>
  <si>
    <t>Kraft GS</t>
  </si>
  <si>
    <t>Westar</t>
  </si>
  <si>
    <t>26L</t>
  </si>
  <si>
    <t>Kraft refers to Celgar Green Energy</t>
  </si>
  <si>
    <t>T4/T5/T6/T7</t>
  </si>
  <si>
    <t>T1/T2</t>
  </si>
  <si>
    <t>tert</t>
  </si>
  <si>
    <t>BC_RUC_JCT</t>
  </si>
  <si>
    <t>BC_CHR_JCT</t>
  </si>
  <si>
    <t>BC_CSC_JCT</t>
  </si>
  <si>
    <t>BC_NLS_JCT</t>
  </si>
  <si>
    <t>BC_HOL_JCT</t>
  </si>
  <si>
    <t>BC_BLB_JCT</t>
  </si>
  <si>
    <t>Houweling Nurseries</t>
  </si>
  <si>
    <t>Ashlu Creek</t>
  </si>
  <si>
    <t>Brandywine Creek</t>
  </si>
  <si>
    <t>Lower Bear</t>
  </si>
  <si>
    <t>Upper Bear</t>
  </si>
  <si>
    <t>Brown Lake</t>
  </si>
  <si>
    <t>Celgar_01</t>
  </si>
  <si>
    <t>Celgar_02</t>
  </si>
  <si>
    <t>Hartland</t>
  </si>
  <si>
    <t>China Creek</t>
  </si>
  <si>
    <t>Big Silver</t>
  </si>
  <si>
    <t>Canoe Creek</t>
  </si>
  <si>
    <t>Castle Creek</t>
  </si>
  <si>
    <t>Formerly called Benjamin Creek</t>
  </si>
  <si>
    <t>UBC Nexterra</t>
  </si>
  <si>
    <t>Cape Scott</t>
  </si>
  <si>
    <t>Tolko Kelowna</t>
  </si>
  <si>
    <t>East Twin</t>
  </si>
  <si>
    <t>East Toba</t>
  </si>
  <si>
    <t>Montrose</t>
  </si>
  <si>
    <t>Fraser Lake_01</t>
  </si>
  <si>
    <t>Fraser Lake_02</t>
  </si>
  <si>
    <t>Douglas Kwalsa</t>
  </si>
  <si>
    <t>Fire Kwalsa</t>
  </si>
  <si>
    <t>Stokke Kwalsa</t>
  </si>
  <si>
    <t>Tipella Kwalsa</t>
  </si>
  <si>
    <t>Haa-ak-suuk Creek</t>
  </si>
  <si>
    <t>Harmac</t>
  </si>
  <si>
    <t>Hunter Creek</t>
  </si>
  <si>
    <t>Hystad Creek</t>
  </si>
  <si>
    <t>Jimmie Creek</t>
  </si>
  <si>
    <t>Cedar Road</t>
  </si>
  <si>
    <t>Kwoiek Creek</t>
  </si>
  <si>
    <t>Iona Island</t>
  </si>
  <si>
    <t>Long Lake_01</t>
  </si>
  <si>
    <t>Long Lake_02</t>
  </si>
  <si>
    <t>Lorenzetta Creek</t>
  </si>
  <si>
    <t>Mamquam</t>
  </si>
  <si>
    <t>McNair Creek</t>
  </si>
  <si>
    <t>McMahon_01</t>
  </si>
  <si>
    <t>McMahon_02</t>
  </si>
  <si>
    <t>Meikle</t>
  </si>
  <si>
    <t>Pennask</t>
  </si>
  <si>
    <t>Quality</t>
  </si>
  <si>
    <t>Ptarmigan Creek</t>
  </si>
  <si>
    <t>McIntosh Creek</t>
  </si>
  <si>
    <t>Shinish Creek</t>
  </si>
  <si>
    <t>Prince Rupert_01</t>
  </si>
  <si>
    <t>Prince Rupert_02</t>
  </si>
  <si>
    <t>Rutherford Creek</t>
  </si>
  <si>
    <t>Skookum Power</t>
  </si>
  <si>
    <t>Also called Mamquam Skookum</t>
  </si>
  <si>
    <t>Sakwi Creek</t>
  </si>
  <si>
    <t>Savona GS</t>
  </si>
  <si>
    <t>Tyson Creek</t>
  </si>
  <si>
    <t>Upper Mamquam</t>
  </si>
  <si>
    <t>Vancouver Landfill</t>
  </si>
  <si>
    <t>Application for Approval of a Multi-Year Performance Based Ratemaking Plan for 2014 through 2018. Response to British Columbia Sustainable Energy Association and Sierra Club of BC (BCSEA) Information Request (IR) No. 1</t>
  </si>
  <si>
    <t>https://www.bcuc.com/ApplicationView.aspx?ApplicationId=400</t>
  </si>
  <si>
    <t>by facility</t>
  </si>
  <si>
    <t>Wind</t>
  </si>
  <si>
    <t>Solar</t>
  </si>
  <si>
    <t>Dependable generating capacity (DGC), which is used for non-intermittent resources and is the amount of megawatts (MW) a plant can reliably produce when required, assuming all units are in service</t>
  </si>
  <si>
    <t>Effective load carrying capability (ELCC), which is used for intermittent or variable generation resources and is the maximum peak load (measured in MW) that a generating unit or system of units can reliably supply such that the loss of load expectation will be no greater than one day in 10 years</t>
  </si>
  <si>
    <t>DGC varies from 88 per cent to 100 per cent of installed capacity, so 94% used as an average</t>
  </si>
  <si>
    <t>Natural Gas CCGT</t>
  </si>
  <si>
    <t>Natural Gas SCGT</t>
  </si>
  <si>
    <t>DGC varies from 88 per cent to 100 per cent of installed capacity, so 94% used as an average; BC Hydro presumes a minimum 18% capacity factor for its SCGTs</t>
  </si>
  <si>
    <t>MSW</t>
  </si>
  <si>
    <t>DGC</t>
  </si>
  <si>
    <t>Capacity Adjustment (DGC or ELCC)</t>
  </si>
  <si>
    <t>ELCC</t>
  </si>
  <si>
    <t>BC Hydro 2013 IRP Appendix 3C  Table1</t>
  </si>
  <si>
    <t>Integrated Resource Plan 2013 Appendix 3C - Technical Planning Assumptions: Intermittent Resources ELCC &amp; FELCC</t>
  </si>
  <si>
    <t>ELCC is the weighted average of approximately 60 per cent of the forecasted average MW of potential in the December/January period; the aggregate energy (i.e. "average MW of potential") available in December/January is 300 GWh/year (in each month) of a total annual of 6,700 GWh/year, or 4.5% (see other reference) or 53.7% of the monthly average energy; these two factors are used to calculate the ELCC for each run-of-river facility</t>
  </si>
  <si>
    <t>Winter Available Energy Adjustment (WAEA)</t>
  </si>
  <si>
    <t>ELCC Prior to WAEA</t>
  </si>
  <si>
    <t>Energy recovery generator</t>
  </si>
  <si>
    <t>COPPER Balancing Area</t>
  </si>
  <si>
    <t>Connecting Node Name</t>
  </si>
  <si>
    <t>Connecting Node Code</t>
  </si>
  <si>
    <t>Generation Type - COPPER</t>
  </si>
  <si>
    <t>Project Code</t>
  </si>
  <si>
    <t>Renewal Project Code</t>
  </si>
  <si>
    <t>Ending Node Code</t>
  </si>
  <si>
    <t>See Hourly2019 file in the Hourly-2019 folder</t>
  </si>
  <si>
    <t>Effective Capacity</t>
  </si>
  <si>
    <t>Arrow Lakes</t>
  </si>
  <si>
    <t>Substation Code</t>
  </si>
  <si>
    <t>Location (River)</t>
  </si>
  <si>
    <t>Transformers</t>
  </si>
  <si>
    <t>BC-Sources</t>
  </si>
  <si>
    <t>Planning Region</t>
  </si>
  <si>
    <t>PP_BCAB3_IPT</t>
  </si>
  <si>
    <t>(miles)</t>
  </si>
  <si>
    <t>Surge Impedance Loading</t>
  </si>
  <si>
    <t>(ohms)</t>
  </si>
  <si>
    <t>(V)</t>
  </si>
  <si>
    <t>Zc (High)</t>
  </si>
  <si>
    <t>Zc 
(Low)</t>
  </si>
  <si>
    <t>SIL (Low)</t>
  </si>
  <si>
    <t>SIL
(High)</t>
  </si>
  <si>
    <t>Smax</t>
  </si>
  <si>
    <t>SIL (Low) assumed for summer and SIL (High) for winter</t>
  </si>
  <si>
    <t>Surge impedance loading (SIL) is the power delivered by a lossless line to a load resistance equal to the surge impedance Zc = (L/C)^0.5</t>
  </si>
  <si>
    <t>L = inductance</t>
  </si>
  <si>
    <t>C = capacitance</t>
  </si>
  <si>
    <t>Values estimated between known values</t>
  </si>
  <si>
    <t>Smax = Loadability in multiples of SIL = 42.40 (Length in Miles)^(−0.6595) (this is a power function interpolation of Figure 7 in Gutman et al.)</t>
  </si>
  <si>
    <t>Gutman, R., Marchenko, P.P., and Dunlop, R.D.</t>
  </si>
  <si>
    <t>Analytical Development of Loadability Characteristics for EHV and UHV Transmission Lines</t>
  </si>
  <si>
    <t>http://home.eng.iastate.edu/~jdm/ee552/StClairAEP.pdf</t>
  </si>
  <si>
    <t>British Columbia</t>
  </si>
  <si>
    <t>Alberta, British Columbia</t>
  </si>
  <si>
    <t>Canada</t>
  </si>
  <si>
    <t>Reactance as function of voltage</t>
  </si>
  <si>
    <t>CPI - Canada (all items)</t>
  </si>
  <si>
    <t>(ohm/km)</t>
  </si>
  <si>
    <t>Overbye et al.</t>
  </si>
  <si>
    <t>Power System Analysis and Design (Sixth Edition). Table 5.2</t>
  </si>
  <si>
    <t xml:space="preserve">Athari, MH and Zhifang, W. </t>
  </si>
  <si>
    <t xml:space="preserve">Interdependence of Transmission Branch Parameters on the Voltage Levels. Electrical Engineering and Systems Science. </t>
  </si>
  <si>
    <t>https://arxiv.org/abs/1709.06930</t>
  </si>
  <si>
    <t>(ohm)</t>
  </si>
  <si>
    <t>Inputs</t>
  </si>
  <si>
    <t>Inputs to the data calculations</t>
  </si>
  <si>
    <t>Average Flow (Facility)</t>
  </si>
  <si>
    <t>When a substation contains two voltage levels, the generator connects at the more appropriate voltage based on generator capacity</t>
  </si>
  <si>
    <t>Unless noted otherwise, the wind generating stations are presumed to be connected to the nearest 69 kV substation</t>
  </si>
  <si>
    <t>Effective capacities estimated using the ELCC values in the "System" tab</t>
  </si>
  <si>
    <t>Transmission line flow ratings</t>
  </si>
  <si>
    <t>Conversions</t>
  </si>
  <si>
    <t>MH Values</t>
  </si>
  <si>
    <t>Winter/Summer Tranmission Flow Conversion</t>
  </si>
  <si>
    <t>Winter/Summer Transformer Flow Conversion</t>
  </si>
  <si>
    <t>Index</t>
  </si>
  <si>
    <t>Same values used for 63-72 kV</t>
  </si>
  <si>
    <t>Statistics Canada – TABLE 18-10-0005-01,  annual average, not seasonally adjusted</t>
  </si>
  <si>
    <t>Ampacity estimates made from known ratings on existing lines</t>
  </si>
  <si>
    <t>MH estimates provided by David Jacobson in an email of July 30, 2019</t>
  </si>
  <si>
    <t>Average</t>
  </si>
  <si>
    <t>Mid-load forecast for use in COPPER</t>
  </si>
  <si>
    <t>High-load forecast for use in COPPER</t>
  </si>
  <si>
    <t>FORECAST PEAK DEMAND</t>
  </si>
  <si>
    <t>FORECAST ANNUAL ENERGY DEMAND</t>
  </si>
  <si>
    <t>Data under review or being gathered</t>
  </si>
  <si>
    <t>all other colours are linked to sources</t>
  </si>
  <si>
    <t>INPUT DATA AND ASSUMPTIONS</t>
  </si>
  <si>
    <t>Storage</t>
  </si>
  <si>
    <t>Characteristics of existing grid-scale storage facilities</t>
  </si>
  <si>
    <t>EXISTING STORAGE</t>
  </si>
  <si>
    <t xml:space="preserve">Technology </t>
  </si>
  <si>
    <t>Storage Capacity</t>
  </si>
  <si>
    <t>Storage Energy</t>
  </si>
  <si>
    <t>Duration</t>
  </si>
  <si>
    <t>Associated Generation</t>
  </si>
  <si>
    <t>Cost</t>
  </si>
  <si>
    <t>(Hours)</t>
  </si>
  <si>
    <t>NONE</t>
  </si>
  <si>
    <t>Maintenance Outage Rate</t>
  </si>
  <si>
    <t>Existing Design</t>
  </si>
  <si>
    <t>Renewal Design</t>
  </si>
  <si>
    <t>Costs</t>
  </si>
  <si>
    <t>Dasque-Middle</t>
  </si>
  <si>
    <t>Gen Code</t>
  </si>
  <si>
    <t>Lake Buntzen GS</t>
  </si>
  <si>
    <t>Lake Buntzen</t>
  </si>
  <si>
    <t>Lake Buntzen #2</t>
  </si>
  <si>
    <t>BC_GMS10_GEN</t>
  </si>
  <si>
    <t>EXISTING TRANSFORMERS</t>
  </si>
  <si>
    <t>Storage Codes</t>
  </si>
  <si>
    <t>Node Code</t>
  </si>
  <si>
    <t>Node Name</t>
  </si>
  <si>
    <t>Water Sustainability Act</t>
  </si>
  <si>
    <t>ADS 2028 Deliverables Datasets</t>
  </si>
  <si>
    <t>ADS 2028 Deliverables Anchor Data Set</t>
  </si>
  <si>
    <t>Nodes</t>
  </si>
  <si>
    <t>Characteristics of existing transmission system nodes</t>
  </si>
  <si>
    <t>Distribution</t>
  </si>
  <si>
    <t>Characteristics of existing distribution substations</t>
  </si>
  <si>
    <t>biomass</t>
  </si>
  <si>
    <t>Operating Region</t>
  </si>
  <si>
    <t>BC_ABN01_GEN</t>
  </si>
  <si>
    <t>BC_ALH01_GEN</t>
  </si>
  <si>
    <t>BC_BR0101_GEN</t>
  </si>
  <si>
    <t>BC_BRD01_GEN</t>
  </si>
  <si>
    <t>BC_CBP01_GEN</t>
  </si>
  <si>
    <t>BC_CLG01_GEN</t>
  </si>
  <si>
    <t>BC_CMS01_GEN</t>
  </si>
  <si>
    <t>BC_COR01_GEN</t>
  </si>
  <si>
    <t>BC_ELK01_GEN</t>
  </si>
  <si>
    <t>BC_FLS01_GEN</t>
  </si>
  <si>
    <t>BC_FKR01_GEN</t>
  </si>
  <si>
    <t>BC_FNG01_GEN</t>
  </si>
  <si>
    <t>BC_FSR01_GEN</t>
  </si>
  <si>
    <t>BC_GMS01_GEN</t>
  </si>
  <si>
    <t>BC_HSG01_GEN</t>
  </si>
  <si>
    <t>BC_JHT01_GEN</t>
  </si>
  <si>
    <t>BC_KGE01_GEN</t>
  </si>
  <si>
    <t>BC_KMO01_GEN</t>
  </si>
  <si>
    <t>BC_KCL01_GEN</t>
  </si>
  <si>
    <t>BC_LDR01_GEN</t>
  </si>
  <si>
    <t>BC_LNL01_GEN</t>
  </si>
  <si>
    <t>BC_LBO01_GEN</t>
  </si>
  <si>
    <t>BC_MCM01_GEN</t>
  </si>
  <si>
    <t>BC_MCA01_GEN</t>
  </si>
  <si>
    <t>BC_PCN01_GEN</t>
  </si>
  <si>
    <t>BC_POW01_GEN</t>
  </si>
  <si>
    <t>BC_RPG01_GEN</t>
  </si>
  <si>
    <t>BC_RGR01_GEN</t>
  </si>
  <si>
    <t>BC_REV01_GEN</t>
  </si>
  <si>
    <t>BC_RUS01_GEN</t>
  </si>
  <si>
    <t>BC_SEV01_GEN</t>
  </si>
  <si>
    <t>BC_STC01_GEN</t>
  </si>
  <si>
    <t>BC_SLC01_GEN</t>
  </si>
  <si>
    <t>BC_SFL01_GEN</t>
  </si>
  <si>
    <t>BC_SCA01_GEN</t>
  </si>
  <si>
    <t>BC_UBO01_GEN</t>
  </si>
  <si>
    <t>BC_WHN01_GEN</t>
  </si>
  <si>
    <t>BC_WAX01_GEN</t>
  </si>
  <si>
    <t>BC_WAN01_GEN</t>
  </si>
  <si>
    <t>BC_ZBL01_GEN</t>
  </si>
  <si>
    <t>BC_ABN02_GEN</t>
  </si>
  <si>
    <t>BC_ALH02_GEN</t>
  </si>
  <si>
    <t>BC_BR0102_GEN</t>
  </si>
  <si>
    <t>BC_BR0201_GEN</t>
  </si>
  <si>
    <t>BC_BR0202_GEN</t>
  </si>
  <si>
    <t>BC_BRD02_GEN</t>
  </si>
  <si>
    <t>BC_CBP02_GEN</t>
  </si>
  <si>
    <t>BC_CLG02_GEN</t>
  </si>
  <si>
    <t>BC_CMS02_GEN</t>
  </si>
  <si>
    <t>BC_COR02_GEN</t>
  </si>
  <si>
    <t>BC_ELK02_GEN</t>
  </si>
  <si>
    <t>BC_FLS02_GEN</t>
  </si>
  <si>
    <t>BC_FKR02_GEN</t>
  </si>
  <si>
    <t>BC_FNG02_GEN</t>
  </si>
  <si>
    <t>BC_FSR02_GEN</t>
  </si>
  <si>
    <t>BC_GMS02_GEN</t>
  </si>
  <si>
    <t>BC_HSG02_GEN</t>
  </si>
  <si>
    <t>BC_JHT02_GEN</t>
  </si>
  <si>
    <t>BC_KGE02_GEN</t>
  </si>
  <si>
    <t>BC_KMO02_GEN</t>
  </si>
  <si>
    <t>BC_KCL02_GEN</t>
  </si>
  <si>
    <t>BC_LDR02_GEN</t>
  </si>
  <si>
    <t>BC_LNL02_GEN</t>
  </si>
  <si>
    <t>BC_LBO02_GEN</t>
  </si>
  <si>
    <t>BC_MCM02_GEN</t>
  </si>
  <si>
    <t>BC_MCA02_GEN</t>
  </si>
  <si>
    <t>BC_PCN02_GEN</t>
  </si>
  <si>
    <t>BC_POW02_GEN</t>
  </si>
  <si>
    <t>BC_RPG02_GEN</t>
  </si>
  <si>
    <t>BC_RGR02_GEN</t>
  </si>
  <si>
    <t>BC_REV02_GEN</t>
  </si>
  <si>
    <t>BC_RUS02_GEN</t>
  </si>
  <si>
    <t>BC_SEV02_GEN</t>
  </si>
  <si>
    <t>BC_STC02_GEN</t>
  </si>
  <si>
    <t>BC_SLC02_GEN</t>
  </si>
  <si>
    <t>BC_SFL02_GEN</t>
  </si>
  <si>
    <t>BC_SCA02_GEN</t>
  </si>
  <si>
    <t>BC_UBO02_GEN</t>
  </si>
  <si>
    <t>BC_USR02_GEN</t>
  </si>
  <si>
    <t>BC_WHN02_GEN</t>
  </si>
  <si>
    <t>BC_WAX02_GEN</t>
  </si>
  <si>
    <t>BC_WAN02_GEN</t>
  </si>
  <si>
    <t>BC_ZBL02_GEN</t>
  </si>
  <si>
    <t>BC_ABN03_GEN</t>
  </si>
  <si>
    <t>BC_BR0103_GEN</t>
  </si>
  <si>
    <t>BC_BR0203_GEN</t>
  </si>
  <si>
    <t>BC_BRD03_GEN</t>
  </si>
  <si>
    <t>BC_COR03_GEN</t>
  </si>
  <si>
    <t>BC_FKR03_GEN</t>
  </si>
  <si>
    <t>BC_GMS03_GEN</t>
  </si>
  <si>
    <t>BC_JHT03_GEN</t>
  </si>
  <si>
    <t>BC_KGE03_GEN</t>
  </si>
  <si>
    <t>BC_KMO03_GEN</t>
  </si>
  <si>
    <t>BC_KCL03_GEN</t>
  </si>
  <si>
    <t>BC_LBO03_GEN</t>
  </si>
  <si>
    <t>BC_MCA03_GEN</t>
  </si>
  <si>
    <t>BC_PCN03_GEN</t>
  </si>
  <si>
    <t>BC_REV03_GEN</t>
  </si>
  <si>
    <t>BC_RUS03_GEN</t>
  </si>
  <si>
    <t>BC_SEV03_GEN</t>
  </si>
  <si>
    <t>BC_STC03_GEN</t>
  </si>
  <si>
    <t>BC_SLC03_GEN</t>
  </si>
  <si>
    <t>BC_UBO03_GEN</t>
  </si>
  <si>
    <t>BC_WAN03_GEN</t>
  </si>
  <si>
    <t>BC_ZBL03_GEN</t>
  </si>
  <si>
    <t>BC_BR0104_GEN</t>
  </si>
  <si>
    <t>BC_BR0204_GEN</t>
  </si>
  <si>
    <t>BC_BRD04_GEN</t>
  </si>
  <si>
    <t>BC_FKR04_GEN</t>
  </si>
  <si>
    <t>BC_GMS04_GEN</t>
  </si>
  <si>
    <t>BC_KMO04_GEN</t>
  </si>
  <si>
    <t>BC_KCL04_GEN</t>
  </si>
  <si>
    <t>BC_MCA04_GEN</t>
  </si>
  <si>
    <t>BC_PCN04_GEN</t>
  </si>
  <si>
    <t>BC_REV04_GEN</t>
  </si>
  <si>
    <t>BC_SEV04_GEN</t>
  </si>
  <si>
    <t>BC_STC04_GEN</t>
  </si>
  <si>
    <t>BC_UBO04_GEN</t>
  </si>
  <si>
    <t>BC_WAN04_GEN</t>
  </si>
  <si>
    <t>BC_FKR05_GEN</t>
  </si>
  <si>
    <t>BC_GMS05_GEN</t>
  </si>
  <si>
    <t>BC_KMO05_GEN</t>
  </si>
  <si>
    <t>BC_MCA05_GEN</t>
  </si>
  <si>
    <t>BC_REV05_GEN</t>
  </si>
  <si>
    <t>BC_STC05_GEN</t>
  </si>
  <si>
    <t>BC_UBO05_GEN</t>
  </si>
  <si>
    <t>BC_FKR06_GEN</t>
  </si>
  <si>
    <t>BC_GMS06_GEN</t>
  </si>
  <si>
    <t>BC_KMO06_GEN</t>
  </si>
  <si>
    <t>BC_MCA06_GEN</t>
  </si>
  <si>
    <t>BC_STC06_GEN</t>
  </si>
  <si>
    <t>BC_UBO06_GEN</t>
  </si>
  <si>
    <t>BC_FKR07_GEN</t>
  </si>
  <si>
    <t>BC_GMS07_GEN</t>
  </si>
  <si>
    <t>BC_KMO07_GEN</t>
  </si>
  <si>
    <t>BC_FKR08_GEN</t>
  </si>
  <si>
    <t>BC_GMS08_GEN</t>
  </si>
  <si>
    <t>BC_KMO08_GEN</t>
  </si>
  <si>
    <t>BC_FKR09_GEN</t>
  </si>
  <si>
    <t>BC_GMS09_GEN</t>
  </si>
  <si>
    <t>BC_MRK_JCT</t>
  </si>
  <si>
    <t>BC_ABN_GSS</t>
  </si>
  <si>
    <t>BC_ALH_GSS</t>
  </si>
  <si>
    <t>BC_ALU_GSS</t>
  </si>
  <si>
    <t>BC_ASH_GSS</t>
  </si>
  <si>
    <t>BC_ASL_GSS</t>
  </si>
  <si>
    <t>BC_BDH_GSS</t>
  </si>
  <si>
    <t>BC_BHL_GSS</t>
  </si>
  <si>
    <t>BC_BHU_GSS</t>
  </si>
  <si>
    <t>BC_BMW_GSS</t>
  </si>
  <si>
    <t>BC_BNC_GSS</t>
  </si>
  <si>
    <t>BC_BOX_GSS</t>
  </si>
  <si>
    <t>BC_BR1_GSS</t>
  </si>
  <si>
    <t>BC_BR2_GSS</t>
  </si>
  <si>
    <t>BC_BRD_GSS</t>
  </si>
  <si>
    <t>BC_BRL_GSS</t>
  </si>
  <si>
    <t>BC_BRX_GSS</t>
  </si>
  <si>
    <t>BC_BSV_GSS</t>
  </si>
  <si>
    <t>BC_CBP_GSS</t>
  </si>
  <si>
    <t>BC_CFT_GSS</t>
  </si>
  <si>
    <t>BC_KRA_GSS</t>
  </si>
  <si>
    <t>BC_CNK_GSS</t>
  </si>
  <si>
    <t>BC_COM_GSS</t>
  </si>
  <si>
    <t>BC_COR_GSS</t>
  </si>
  <si>
    <t>BC_PIN_GSS</t>
  </si>
  <si>
    <t>BC_CRW_GSS</t>
  </si>
  <si>
    <t>BC_CSS_GSS</t>
  </si>
  <si>
    <t>BC_CTN_GSS</t>
  </si>
  <si>
    <t>BC_DGL_GSS</t>
  </si>
  <si>
    <t>BC_DKW_GSS</t>
  </si>
  <si>
    <t>BC_DSQ_GSS</t>
  </si>
  <si>
    <t>BC_DTR_GSS</t>
  </si>
  <si>
    <t>BC_ELK_GSS</t>
  </si>
  <si>
    <t>BC_ETR_GSS</t>
  </si>
  <si>
    <t>BC_FGE_GSS</t>
  </si>
  <si>
    <t>BC_FKR_GSS</t>
  </si>
  <si>
    <t>BC_FLS_GSS</t>
  </si>
  <si>
    <t>BC_FNG_GSS</t>
  </si>
  <si>
    <t>BC_FRE_GSS</t>
  </si>
  <si>
    <t>BC_FRI_GSS</t>
  </si>
  <si>
    <t>BC_GMS_GSS</t>
  </si>
  <si>
    <t>BC_ICG_GSS</t>
  </si>
  <si>
    <t>BC_JHT_GSS</t>
  </si>
  <si>
    <t>BC_JMC_GSS</t>
  </si>
  <si>
    <t>BC_JME_GSS</t>
  </si>
  <si>
    <t>BC_KCH_GSS</t>
  </si>
  <si>
    <t>BC_KCL_GSS</t>
  </si>
  <si>
    <t>BC_KKS_GSS</t>
  </si>
  <si>
    <t>BC_KMO_GSS</t>
  </si>
  <si>
    <t>BC_LAJ_GSS</t>
  </si>
  <si>
    <t>BC_LB1_GSS</t>
  </si>
  <si>
    <t>BC_LBO_GSS</t>
  </si>
  <si>
    <t>BC_LCH_GSS</t>
  </si>
  <si>
    <t>BC_LDR_GSS</t>
  </si>
  <si>
    <t>BC_LNL_GSS</t>
  </si>
  <si>
    <t>BC_MRK_GSS</t>
  </si>
  <si>
    <t>BC_MAM_GSS</t>
  </si>
  <si>
    <t>BC_MCA_GSS</t>
  </si>
  <si>
    <t>BC_MCM_GSS</t>
  </si>
  <si>
    <t>BC_MIG_GSS</t>
  </si>
  <si>
    <t>BC_MKL_GSS</t>
  </si>
  <si>
    <t>BC_MLW_GSS</t>
  </si>
  <si>
    <t>BC_NWS_GSS</t>
  </si>
  <si>
    <t>BC_PCN_GSS</t>
  </si>
  <si>
    <t>BC_PSW_GSS</t>
  </si>
  <si>
    <t>BC_QTY_GSS</t>
  </si>
  <si>
    <t>BC_REV_GSS</t>
  </si>
  <si>
    <t>BC_RPG_GSS</t>
  </si>
  <si>
    <t>BC_RUS_GSS</t>
  </si>
  <si>
    <t>BC_RUT_GSS</t>
  </si>
  <si>
    <t>BC_SCA_GSS</t>
  </si>
  <si>
    <t>BC_SCB_GSS</t>
  </si>
  <si>
    <t>BC_SEV_GSS</t>
  </si>
  <si>
    <t>BC_SFL_GSS</t>
  </si>
  <si>
    <t>BC_SKK_GSS</t>
  </si>
  <si>
    <t>BC_SKO_GSS</t>
  </si>
  <si>
    <t>BC_SLC_GSS</t>
  </si>
  <si>
    <t>BC_SSH_GSS</t>
  </si>
  <si>
    <t>BC_STC_GSS</t>
  </si>
  <si>
    <t>BC_RVG_GSS</t>
  </si>
  <si>
    <t>BC_TPA_GSS</t>
  </si>
  <si>
    <t>BC_TRE_GSS</t>
  </si>
  <si>
    <t>BC_TWY_GSS</t>
  </si>
  <si>
    <t>BC_UBO_GSS</t>
  </si>
  <si>
    <t>BC_UCH_GSS</t>
  </si>
  <si>
    <t>BC_ULR_GSS</t>
  </si>
  <si>
    <t>BC_UMH_GSS</t>
  </si>
  <si>
    <t>BC_USR_GSS</t>
  </si>
  <si>
    <t>BC_WAN_GSS</t>
  </si>
  <si>
    <t>BC_WAX_GSS</t>
  </si>
  <si>
    <t>BC_WDN_GSS</t>
  </si>
  <si>
    <t>BC_WGS_GSS</t>
  </si>
  <si>
    <t>BC_WHN_GSS</t>
  </si>
  <si>
    <t>BC_ZBL_GSS</t>
  </si>
  <si>
    <t>BC_SCK_DSS</t>
  </si>
  <si>
    <t>BC_TSV_DSS</t>
  </si>
  <si>
    <t>BC_NLS_DSS</t>
  </si>
  <si>
    <t>BC_FCN_DSS</t>
  </si>
  <si>
    <t>BC_AFT_DSS</t>
  </si>
  <si>
    <t>BC_REG_DSS</t>
  </si>
  <si>
    <t>BC_PAL_DSS</t>
  </si>
  <si>
    <t>BC_JPT_DSS</t>
  </si>
  <si>
    <t>BC_PRS_DSS</t>
  </si>
  <si>
    <t>BC_CKY_DSS</t>
  </si>
  <si>
    <t>BC_FSR_DSS</t>
  </si>
  <si>
    <t>BC_KHS_DSS</t>
  </si>
  <si>
    <t>BC_GCL_DSS</t>
  </si>
  <si>
    <t>BC_HMC_ISS</t>
  </si>
  <si>
    <t>BC_ARN_DSS</t>
  </si>
  <si>
    <t>BC_HOP_DSS</t>
  </si>
  <si>
    <t>BC_SAY_DSS</t>
  </si>
  <si>
    <t>BC_GIB_DSS</t>
  </si>
  <si>
    <t>BC_TIS_DSS</t>
  </si>
  <si>
    <t>BC_MSA_DSS</t>
  </si>
  <si>
    <t>BC_TAC_DSS</t>
  </si>
  <si>
    <t>BC_JUL_DSS</t>
  </si>
  <si>
    <t>BC_ILL_DSS</t>
  </si>
  <si>
    <t>BC_ROS_DSS</t>
  </si>
  <si>
    <t>BC_ING_DSS</t>
  </si>
  <si>
    <t>BC_RGA_DSS</t>
  </si>
  <si>
    <t>BC_ACK_DSS</t>
  </si>
  <si>
    <t>BC_CRS_DFS</t>
  </si>
  <si>
    <t>BC_INV_DSS</t>
  </si>
  <si>
    <t>BC_WFR_DSS</t>
  </si>
  <si>
    <t>BC_DGB_DSS</t>
  </si>
  <si>
    <t>BC_CSN_DSS</t>
  </si>
  <si>
    <t>BC_PCA_DSS</t>
  </si>
  <si>
    <t>BC_AAL_DSS</t>
  </si>
  <si>
    <t>BC_ALZ_DSS</t>
  </si>
  <si>
    <t>BC_AYH_DSS</t>
  </si>
  <si>
    <t>BC_BBS_DSS</t>
  </si>
  <si>
    <t>BC_BCI_DSS</t>
  </si>
  <si>
    <t>BC_BEP_DSS</t>
  </si>
  <si>
    <t>BC_BET_DSS</t>
  </si>
  <si>
    <t>BC_BEV_DSS</t>
  </si>
  <si>
    <t>BC_BKL_DSS</t>
  </si>
  <si>
    <t>BC_BLK_DSS</t>
  </si>
  <si>
    <t>BC_BLW_DSS</t>
  </si>
  <si>
    <t>BC_BMT_DSS</t>
  </si>
  <si>
    <t>BC_BND_DSS</t>
  </si>
  <si>
    <t>BC_BNT_DSS</t>
  </si>
  <si>
    <t>BC_BQN_DSS</t>
  </si>
  <si>
    <t>BC_BRA_DSS</t>
  </si>
  <si>
    <t>BC_BVY_DSS</t>
  </si>
  <si>
    <t>BC_CAP_DSS</t>
  </si>
  <si>
    <t>BC_CAS_DSS</t>
  </si>
  <si>
    <t>BC_CBK_DSS</t>
  </si>
  <si>
    <t>BC_CBN_DSS</t>
  </si>
  <si>
    <t>BC_COF_DSS</t>
  </si>
  <si>
    <t>BC_COK_DSS</t>
  </si>
  <si>
    <t>BC_COT_DSS</t>
  </si>
  <si>
    <t>BC_CRA_DSS</t>
  </si>
  <si>
    <t>BC_CRD_DSS</t>
  </si>
  <si>
    <t>BC_CRQ_DSS</t>
  </si>
  <si>
    <t>BC_CSQ_DSS</t>
  </si>
  <si>
    <t>BC_CWD_DSS</t>
  </si>
  <si>
    <t>BC_CYP_DSS</t>
  </si>
  <si>
    <t>BC_DKT_DSS</t>
  </si>
  <si>
    <t>BC_DMR_DSS</t>
  </si>
  <si>
    <t>BC_DUC_DSS</t>
  </si>
  <si>
    <t>BC_DUG_DSS</t>
  </si>
  <si>
    <t>BC_FJN_DSS</t>
  </si>
  <si>
    <t>BC_FLW_DSS</t>
  </si>
  <si>
    <t>BC_FM2_DSS</t>
  </si>
  <si>
    <t>BC_FNE_DSS</t>
  </si>
  <si>
    <t>BC_FRU_DSS</t>
  </si>
  <si>
    <t>BC_GDK_DSS</t>
  </si>
  <si>
    <t>BC_GLD_DSS</t>
  </si>
  <si>
    <t>BC_GLE_DSS</t>
  </si>
  <si>
    <t>BC_GLM_DSS</t>
  </si>
  <si>
    <t>BC_GLN_DSS</t>
  </si>
  <si>
    <t>BC_GOW_DSS</t>
  </si>
  <si>
    <t>BC_GTP_DSS</t>
  </si>
  <si>
    <t>BC_HED_DSS</t>
  </si>
  <si>
    <t>BC_HER_DSS</t>
  </si>
  <si>
    <t>BC_HLD_DSS</t>
  </si>
  <si>
    <t>BC_HMH_DSS</t>
  </si>
  <si>
    <t>BC_HNY_DSS</t>
  </si>
  <si>
    <t>BC_HOL_DSS</t>
  </si>
  <si>
    <t>BC_HPN_DSS</t>
  </si>
  <si>
    <t>BC_HSY_DSS</t>
  </si>
  <si>
    <t>BC_HUS_DSS</t>
  </si>
  <si>
    <t>BC_HUT_DSS</t>
  </si>
  <si>
    <t>BC_HWW_DSS</t>
  </si>
  <si>
    <t>BC_JLN_DSS</t>
  </si>
  <si>
    <t>BC_JOE_DSS</t>
  </si>
  <si>
    <t>BC_KAL2_DSS</t>
  </si>
  <si>
    <t>BC_KBY_DSS</t>
  </si>
  <si>
    <t>BC_KDS_DSS</t>
  </si>
  <si>
    <t>BC_KDY_DSS</t>
  </si>
  <si>
    <t>BC_KER_DSS</t>
  </si>
  <si>
    <t>BC_KET_DSS</t>
  </si>
  <si>
    <t>BC_KGH_DSS</t>
  </si>
  <si>
    <t>BC_KI1_DSS</t>
  </si>
  <si>
    <t>BC_KI2_DSS</t>
  </si>
  <si>
    <t>BC_KIT_DSS</t>
  </si>
  <si>
    <t>BC_KLY_DSS</t>
  </si>
  <si>
    <t>BC_KTG_DSS</t>
  </si>
  <si>
    <t>BC_KWD_DSS</t>
  </si>
  <si>
    <t>BC_LNT_DSS</t>
  </si>
  <si>
    <t>BC_LYN_DSS</t>
  </si>
  <si>
    <t>BC_MAN_DSS</t>
  </si>
  <si>
    <t>BC_MDN_DSS</t>
  </si>
  <si>
    <t>BC_MFE_DSS</t>
  </si>
  <si>
    <t>BC_MIN_DSS</t>
  </si>
  <si>
    <t>BC_MLE_DSS</t>
  </si>
  <si>
    <t>BC_MLN_DSS</t>
  </si>
  <si>
    <t>BC_MON_DSS</t>
  </si>
  <si>
    <t>BC_MUR_DSS</t>
  </si>
  <si>
    <t>BC_NEL_DSS</t>
  </si>
  <si>
    <t>BC_NIC_DSS</t>
  </si>
  <si>
    <t>BC_NLY_DSS</t>
  </si>
  <si>
    <t>BC_NOR_DSS</t>
  </si>
  <si>
    <t>BC_NTL_DSS</t>
  </si>
  <si>
    <t>BC_NVR_DSS</t>
  </si>
  <si>
    <t>BC_NWR_DSS</t>
  </si>
  <si>
    <t>BC_OKF_DSS</t>
  </si>
  <si>
    <t>BC_OKM_DSS</t>
  </si>
  <si>
    <t>BC_OLI_DSS</t>
  </si>
  <si>
    <t>BC_OOT_DSS</t>
  </si>
  <si>
    <t>BC_PAS_DSS</t>
  </si>
  <si>
    <t>BC_PHR_DSS</t>
  </si>
  <si>
    <t>BC_PIK_DSS</t>
  </si>
  <si>
    <t>BC_PKL_DSS</t>
  </si>
  <si>
    <t>BC_PLA_DSS</t>
  </si>
  <si>
    <t>BC_PNS_DSS</t>
  </si>
  <si>
    <t>BC_PRI_DSS</t>
  </si>
  <si>
    <t>BC_PVO_DSS</t>
  </si>
  <si>
    <t>BC_QNL_DSS</t>
  </si>
  <si>
    <t>BC_RBF_DSS</t>
  </si>
  <si>
    <t>BC_REC_DSS</t>
  </si>
  <si>
    <t>BC_RSM_DSS</t>
  </si>
  <si>
    <t>BC_RUP_DSS</t>
  </si>
  <si>
    <t>BC_SAC_DSS</t>
  </si>
  <si>
    <t>BC_SAM_DSS</t>
  </si>
  <si>
    <t>BC_SAT_DSS</t>
  </si>
  <si>
    <t>BC_SAU_DSS</t>
  </si>
  <si>
    <t>BC_SBK_DSS</t>
  </si>
  <si>
    <t>BC_SEA_DSS</t>
  </si>
  <si>
    <t>BC_SEC_DSS</t>
  </si>
  <si>
    <t>BC_SEL_DSS</t>
  </si>
  <si>
    <t>BC_SEX_DSS</t>
  </si>
  <si>
    <t>BC_SKA_DSS</t>
  </si>
  <si>
    <t>BC_SKU_DSS</t>
  </si>
  <si>
    <t>BC_SLS_DSS</t>
  </si>
  <si>
    <t>BC_SNK_DSS</t>
  </si>
  <si>
    <t>BC_SPG_DSS</t>
  </si>
  <si>
    <t>BC_SQH_DSS</t>
  </si>
  <si>
    <t>BC_SRS_DSS</t>
  </si>
  <si>
    <t>BC_STV_DSS</t>
  </si>
  <si>
    <t>BC_SVD_DSS</t>
  </si>
  <si>
    <t>BC_SVY_DSS</t>
  </si>
  <si>
    <t>BC_SZM_DSS</t>
  </si>
  <si>
    <t>BC_TAR_DSS</t>
  </si>
  <si>
    <t>BC_TAY_DSS</t>
  </si>
  <si>
    <t>BC_TER_DSS</t>
  </si>
  <si>
    <t>BC_TKW_DSS</t>
  </si>
  <si>
    <t>BC_TLR_DSS</t>
  </si>
  <si>
    <t>BC_TPY_DSS</t>
  </si>
  <si>
    <t>BC_TRC_DSS</t>
  </si>
  <si>
    <t>BC_UHT_DSS</t>
  </si>
  <si>
    <t>BC_VAS_DSS</t>
  </si>
  <si>
    <t>BC_VLM_DSS</t>
  </si>
  <si>
    <t>BC_VNT_DSS</t>
  </si>
  <si>
    <t>BC_VVW_DSS</t>
  </si>
  <si>
    <t>BC_WEB_DSS</t>
  </si>
  <si>
    <t>BC_WES_DSS</t>
  </si>
  <si>
    <t>BC_WKA_DSS</t>
  </si>
  <si>
    <t>BC_WLT_DSS</t>
  </si>
  <si>
    <t>BC_WSN_DSS</t>
  </si>
  <si>
    <t>BC_WTS_DSS</t>
  </si>
  <si>
    <t>BC_YMR_DSS</t>
  </si>
  <si>
    <t>BC_CRE_DSS</t>
  </si>
  <si>
    <t>BC_ABA_DSS</t>
  </si>
  <si>
    <t>BC_TFP_DSS</t>
  </si>
  <si>
    <t>BC_SBR_DSS</t>
  </si>
  <si>
    <t>BC_CHK_DSS</t>
  </si>
  <si>
    <t>BC_ANN_DSS</t>
  </si>
  <si>
    <t>BC_ARM_DSS</t>
  </si>
  <si>
    <t>BC_ATH_DSS</t>
  </si>
  <si>
    <t>BC_AVO_DSS</t>
  </si>
  <si>
    <t>BC_AWL_DSS</t>
  </si>
  <si>
    <t>BC_BAL_DSS</t>
  </si>
  <si>
    <t>BC_BAR_DSS</t>
  </si>
  <si>
    <t>BC_WBK_DSS</t>
  </si>
  <si>
    <t>BC_NKM_DSS</t>
  </si>
  <si>
    <t>BC_BKB_DSS</t>
  </si>
  <si>
    <t>BC_BLE_DSS</t>
  </si>
  <si>
    <t>BC_BLP_DSS</t>
  </si>
  <si>
    <t>BC_BLU_DSS</t>
  </si>
  <si>
    <t>BC_BMP_DSS</t>
  </si>
  <si>
    <t>BC_DAW_DSS</t>
  </si>
  <si>
    <t>BC_ESQ_DSS</t>
  </si>
  <si>
    <t>BC_TAT_DSS</t>
  </si>
  <si>
    <t>BC_RUC_DSS</t>
  </si>
  <si>
    <t>BC_BRN_DSS</t>
  </si>
  <si>
    <t>BC_BTA_DSS</t>
  </si>
  <si>
    <t>BC_BVC_DSS</t>
  </si>
  <si>
    <t>BC_CAM_DSS</t>
  </si>
  <si>
    <t>BC_CBL_DSS</t>
  </si>
  <si>
    <t>BC_CHR_DSS</t>
  </si>
  <si>
    <t>BC_CHS_DSS</t>
  </si>
  <si>
    <t>BC_CLB_DSS</t>
  </si>
  <si>
    <t>BC_CLN_DSS</t>
  </si>
  <si>
    <t>BC_CLW_DSS</t>
  </si>
  <si>
    <t>BC_CMO_DSS</t>
  </si>
  <si>
    <t>BC_CMX_DSS</t>
  </si>
  <si>
    <t>BC_UFR_DSS</t>
  </si>
  <si>
    <t>BC_LBH_DSS</t>
  </si>
  <si>
    <t>BC_CNL_DSS</t>
  </si>
  <si>
    <t>BC_KAS_DSS</t>
  </si>
  <si>
    <t>BC_CPL_DSS</t>
  </si>
  <si>
    <t>BC_CPS_DSS</t>
  </si>
  <si>
    <t>BC_GLR_DSS</t>
  </si>
  <si>
    <t>BC_CQM_DSS</t>
  </si>
  <si>
    <t>BC_CRC_DSS</t>
  </si>
  <si>
    <t>BC_NWP_DSS</t>
  </si>
  <si>
    <t>BC_CSC_DSS</t>
  </si>
  <si>
    <t>BC_MPT_DSS</t>
  </si>
  <si>
    <t>BC_PHY_DSS</t>
  </si>
  <si>
    <t>BC_CUM_DSS</t>
  </si>
  <si>
    <t>BC_SCO_DSS</t>
  </si>
  <si>
    <t>BC_SHL_DSS</t>
  </si>
  <si>
    <t>BC_HSB_DSS</t>
  </si>
  <si>
    <t>BC_DCV_DSS</t>
  </si>
  <si>
    <t>BC_DFD_DSS</t>
  </si>
  <si>
    <t>BC_DIL_DSS</t>
  </si>
  <si>
    <t>BC_DPT_DSS</t>
  </si>
  <si>
    <t>BC_ELL_DSS</t>
  </si>
  <si>
    <t>BC_EFD_DSS</t>
  </si>
  <si>
    <t>BC_CFE_DSS</t>
  </si>
  <si>
    <t>BC_WIN_DSS</t>
  </si>
  <si>
    <t>BC_END_DSS</t>
  </si>
  <si>
    <t>BC_EWL_DSS</t>
  </si>
  <si>
    <t>BC_FBC_DSS</t>
  </si>
  <si>
    <t>BC_SCM_DSS</t>
  </si>
  <si>
    <t>BC_FHS_DSS</t>
  </si>
  <si>
    <t>BC_CHF_DSS</t>
  </si>
  <si>
    <t>BC_TXB_DSS</t>
  </si>
  <si>
    <t>BC_FMT_DSS</t>
  </si>
  <si>
    <t>BC_WSP_DSS</t>
  </si>
  <si>
    <t>BC_FOX_DSS</t>
  </si>
  <si>
    <t>BC_FPS_DSS</t>
  </si>
  <si>
    <t>BC_FRC_DSS</t>
  </si>
  <si>
    <t>BC_FST_DSS</t>
  </si>
  <si>
    <t>BC_FVW_DSS</t>
  </si>
  <si>
    <t>BC_POW_DSS</t>
  </si>
  <si>
    <t>BC_GBC_DSS</t>
  </si>
  <si>
    <t>BC_EKO_DSS</t>
  </si>
  <si>
    <t>BC_GLS_DSS</t>
  </si>
  <si>
    <t>BC_GLT_DSS</t>
  </si>
  <si>
    <t>BC_CLD_DSS</t>
  </si>
  <si>
    <t>BC_GPT_DSS</t>
  </si>
  <si>
    <t>BC_GRH_DSS</t>
  </si>
  <si>
    <t>BC_GRR_DSS</t>
  </si>
  <si>
    <t>BC_GSP_DSS</t>
  </si>
  <si>
    <t>BC_GST_DSS</t>
  </si>
  <si>
    <t>BC_MTP_DSS</t>
  </si>
  <si>
    <t>BC_GVL_DSS</t>
  </si>
  <si>
    <t>BC_HCT_DSS</t>
  </si>
  <si>
    <t>BC_HFY_DSS</t>
  </si>
  <si>
    <t>BC_MRT_DSS</t>
  </si>
  <si>
    <t>BC_HPS_DSS</t>
  </si>
  <si>
    <t>BC_HRD_DSS</t>
  </si>
  <si>
    <t>BC_HML_DSS</t>
  </si>
  <si>
    <t>BC_WAT_DSS</t>
  </si>
  <si>
    <t>BC_HVC_DSS</t>
  </si>
  <si>
    <t>BC_HWD_DSS</t>
  </si>
  <si>
    <t>BC_WHY_DSS</t>
  </si>
  <si>
    <t>BC_IPR_DSS</t>
  </si>
  <si>
    <t>BC_BWS_DSS</t>
  </si>
  <si>
    <t>BC_NFD_DSS</t>
  </si>
  <si>
    <t>BC_JRI_DSS</t>
  </si>
  <si>
    <t>BC_MML_DSS</t>
  </si>
  <si>
    <t>BC_KMI_DSS</t>
  </si>
  <si>
    <t>BC_KEN_DSS</t>
  </si>
  <si>
    <t>BC_KGP_DSS</t>
  </si>
  <si>
    <t>BC_GDN_DSS</t>
  </si>
  <si>
    <t>BC_KLC_DSS</t>
  </si>
  <si>
    <t>BC_WST_DSS</t>
  </si>
  <si>
    <t>BC_KSH_DSS</t>
  </si>
  <si>
    <t>BC_SNY_DSS</t>
  </si>
  <si>
    <t>BC_LBY_DSS</t>
  </si>
  <si>
    <t>BC_LDY_DSS</t>
  </si>
  <si>
    <t>BC_LGW_DSS</t>
  </si>
  <si>
    <t>BC_WLM_DSS</t>
  </si>
  <si>
    <t>BC_STL_DSS</t>
  </si>
  <si>
    <t>BC_LOH_DSS</t>
  </si>
  <si>
    <t>BC_LTZ_DSS</t>
  </si>
  <si>
    <t>BC_MCK_DSS</t>
  </si>
  <si>
    <t>BC_MEZ_DSS</t>
  </si>
  <si>
    <t>BC_MGT_DSS</t>
  </si>
  <si>
    <t>BC_MHY_DSS</t>
  </si>
  <si>
    <t>BC_MIS_DSS</t>
  </si>
  <si>
    <t>BC_QNT_DSS</t>
  </si>
  <si>
    <t>BC_MRG_DSS</t>
  </si>
  <si>
    <t>BC_DGR_DSS</t>
  </si>
  <si>
    <t>BC_MVL_DSS</t>
  </si>
  <si>
    <t>BC_MWN_DSS</t>
  </si>
  <si>
    <t>BC_MYE_DSS</t>
  </si>
  <si>
    <t>BC_NAK_DSS</t>
  </si>
  <si>
    <t>BC_NDR_DSS</t>
  </si>
  <si>
    <t>BC_NKL_DSS</t>
  </si>
  <si>
    <t>BC_WRK_DSS</t>
  </si>
  <si>
    <t>BC_NLV_DSS</t>
  </si>
  <si>
    <t>BC_SPD_DSS</t>
  </si>
  <si>
    <t>BC_RO2_DSS</t>
  </si>
  <si>
    <t>BC_BLB_DSS</t>
  </si>
  <si>
    <t>BC_OYR_DSS</t>
  </si>
  <si>
    <t>BC_VAL_DSS</t>
  </si>
  <si>
    <t>BC_PAV_DSS</t>
  </si>
  <si>
    <t>BC_PED_DSS</t>
  </si>
  <si>
    <t>BC_PEM_DSS</t>
  </si>
  <si>
    <t>BC_PKP_DSS</t>
  </si>
  <si>
    <t>BC_PLD_DSS</t>
  </si>
  <si>
    <t>BC_PML_DSS</t>
  </si>
  <si>
    <t>BC_OSO_DSS</t>
  </si>
  <si>
    <t>BC_PPS_DSS</t>
  </si>
  <si>
    <t>BC_OFD_DSS</t>
  </si>
  <si>
    <t>BC_PSN_DSS</t>
  </si>
  <si>
    <t>BC_PTO_DSS</t>
  </si>
  <si>
    <t>BC_PVL_DSS</t>
  </si>
  <si>
    <t>BC_LCW_DSS</t>
  </si>
  <si>
    <t>BC_PVW_DSS</t>
  </si>
  <si>
    <t>BC_QLC_DSS</t>
  </si>
  <si>
    <t>BC_RBW_DSS</t>
  </si>
  <si>
    <t>BC_RDM_DSS</t>
  </si>
  <si>
    <t>BC_RVS_DSS</t>
  </si>
  <si>
    <t>BC_SAL_DSS</t>
  </si>
  <si>
    <t>BC_SCT_DSS</t>
  </si>
  <si>
    <t>BC_RIM_DSS</t>
  </si>
  <si>
    <t>BC_SEP_DSS</t>
  </si>
  <si>
    <t>BC_SFU_DSS</t>
  </si>
  <si>
    <t>BC_SHA_DSS</t>
  </si>
  <si>
    <t>BC_KAL_DSS</t>
  </si>
  <si>
    <t>BC_SLK_DSS</t>
  </si>
  <si>
    <t>BC_SMH_DSS</t>
  </si>
  <si>
    <t>BC_SMW_DSS</t>
  </si>
  <si>
    <t>BC_ABB_DSS</t>
  </si>
  <si>
    <t>BC_SOO_DSS</t>
  </si>
  <si>
    <t>BC_UNY_DSS</t>
  </si>
  <si>
    <t>BC_SPL_DSS</t>
  </si>
  <si>
    <t>BC_HZN_DSS</t>
  </si>
  <si>
    <t>BC_SRY_DSS</t>
  </si>
  <si>
    <t>BC_STO_DSS</t>
  </si>
  <si>
    <t>BC_SWN_DSS</t>
  </si>
  <si>
    <t>BC_SYH_DSS</t>
  </si>
  <si>
    <t>BC_TBN_DSS</t>
  </si>
  <si>
    <t>BC_TII_DSS</t>
  </si>
  <si>
    <t>BC_TIL_DSS</t>
  </si>
  <si>
    <t>BC_BLM_DSS</t>
  </si>
  <si>
    <t>BC_TMM_DSS</t>
  </si>
  <si>
    <t>BC_TMO_DSS</t>
  </si>
  <si>
    <t>BC_TMT_DSS</t>
  </si>
  <si>
    <t>BC_TOK_DSS</t>
  </si>
  <si>
    <t>BC_BAB_DSS</t>
  </si>
  <si>
    <t>BC_SUM_DSS</t>
  </si>
  <si>
    <t>BC_TRR_DSS</t>
  </si>
  <si>
    <t>BC_TSC_DSS</t>
  </si>
  <si>
    <t>BC_TSW_DSS</t>
  </si>
  <si>
    <t>BC_TWT_DSS</t>
  </si>
  <si>
    <t>BC_TXL_DSS</t>
  </si>
  <si>
    <t>BC_UNS_DSS</t>
  </si>
  <si>
    <t>BC_VBY_DSS</t>
  </si>
  <si>
    <t>BC_VDF_DSS</t>
  </si>
  <si>
    <t>BC_WHP_DSS</t>
  </si>
  <si>
    <t>BC_WAR_DSS</t>
  </si>
  <si>
    <t>BC_AWA_DSS</t>
  </si>
  <si>
    <t>BC_WNK_DSS</t>
  </si>
  <si>
    <t>BC_STW_DSS</t>
  </si>
  <si>
    <t>BC_WOS_DSS</t>
  </si>
  <si>
    <t>BC_WPN_DSS</t>
  </si>
  <si>
    <t>BC_WWD_DSS</t>
  </si>
  <si>
    <t>BC_MTE_DSS</t>
  </si>
  <si>
    <t>BC_ASM_TSS</t>
  </si>
  <si>
    <t>AS Mawdsley TS</t>
  </si>
  <si>
    <t>Bentley TS</t>
  </si>
  <si>
    <t>BC_BEN_TSS</t>
  </si>
  <si>
    <t>Brucejack TS</t>
  </si>
  <si>
    <t>Grand Forks TS</t>
  </si>
  <si>
    <t>BC_GFT_TSS</t>
  </si>
  <si>
    <t>BC_BJT_TSS</t>
  </si>
  <si>
    <t>BC_BRT_TSS</t>
  </si>
  <si>
    <t>Bridge River TS</t>
  </si>
  <si>
    <t>Brilliant SWS</t>
  </si>
  <si>
    <t>BC_BSS_SWS</t>
  </si>
  <si>
    <t>Kokish TS</t>
  </si>
  <si>
    <t>BC_KTS_TSS</t>
  </si>
  <si>
    <t>FA Lee TS</t>
  </si>
  <si>
    <t>BC_LEE_TSS</t>
  </si>
  <si>
    <t>Vancouver Island TS</t>
  </si>
  <si>
    <t>BC_VIT_TSS</t>
  </si>
  <si>
    <t>Zeballos Lake TS</t>
  </si>
  <si>
    <t>BC_ZBT_TSS</t>
  </si>
  <si>
    <t>BC_BRE_GSS</t>
  </si>
  <si>
    <t>BC_BRK_GSS</t>
  </si>
  <si>
    <t>Emerald SWS</t>
  </si>
  <si>
    <t>BC_ESS_SWS</t>
  </si>
  <si>
    <t>Upper Bonnington SWS</t>
  </si>
  <si>
    <t>BC_USS_SWS</t>
  </si>
  <si>
    <t>Meikle SWS</t>
  </si>
  <si>
    <t>BC_MKT_SWS</t>
  </si>
  <si>
    <t>BC_BSY_GSS</t>
  </si>
  <si>
    <t>BC_KWL_GSS</t>
  </si>
  <si>
    <t>BC_LMN_GSS</t>
  </si>
  <si>
    <t>BC_CCW_GSS</t>
  </si>
  <si>
    <t>DFS = Dual Function Distribution and Generation Substation</t>
  </si>
  <si>
    <t>DSS = Distribution Substation</t>
  </si>
  <si>
    <t>GEN = Generating Unit</t>
  </si>
  <si>
    <t>GSS = Generating Substation</t>
  </si>
  <si>
    <t>ISS = Industrial Customer Substation</t>
  </si>
  <si>
    <t>SWS = Switching Station</t>
  </si>
  <si>
    <t>TSS = Terminal Station</t>
  </si>
  <si>
    <t>BC_HAS_GSS</t>
  </si>
  <si>
    <t>BC_LAP_GSS</t>
  </si>
  <si>
    <t>BC_MTC_GSS</t>
  </si>
  <si>
    <t>BC_NIT_GSS</t>
  </si>
  <si>
    <t>BC_SCG_GSS</t>
  </si>
  <si>
    <t>Waneta SS</t>
  </si>
  <si>
    <t>BC_WHS_TSS</t>
  </si>
  <si>
    <t>BC_AFN_ISS</t>
  </si>
  <si>
    <t>BC_BCM_ISS</t>
  </si>
  <si>
    <t>Sechelt Creek</t>
  </si>
  <si>
    <t>MPT Hydro LP</t>
  </si>
  <si>
    <t>BC_AWT_ISS</t>
  </si>
  <si>
    <t>BC_AFP_ISS</t>
  </si>
  <si>
    <t>BC_BCG_ISS</t>
  </si>
  <si>
    <t>BC_BCR_ISS</t>
  </si>
  <si>
    <t>BC_NL2_ISS</t>
  </si>
  <si>
    <t>BC_NL3_ISS</t>
  </si>
  <si>
    <t>BC_NL5_ISS</t>
  </si>
  <si>
    <t>BC_LB2_GSS</t>
  </si>
  <si>
    <t>BC_CAN_ISS</t>
  </si>
  <si>
    <t>BC_CNG_ISS</t>
  </si>
  <si>
    <t>BC_NEX_ISS</t>
  </si>
  <si>
    <t>BC_NXC_ISS</t>
  </si>
  <si>
    <t>BC_PLT_ISS</t>
  </si>
  <si>
    <t>BC_NOS_ISS</t>
  </si>
  <si>
    <t>BC_FCO_ISS</t>
  </si>
  <si>
    <t>BC_CVN_ISS</t>
  </si>
  <si>
    <t>BC_NHS_ISS</t>
  </si>
  <si>
    <t>BC_CLL_ISS</t>
  </si>
  <si>
    <t>BC_MNK_ISS</t>
  </si>
  <si>
    <t>BC_CMH_ISS</t>
  </si>
  <si>
    <t>BC_WEY_ISS</t>
  </si>
  <si>
    <t>BC_DKY_ISS</t>
  </si>
  <si>
    <t>BC_EFM_ISS</t>
  </si>
  <si>
    <t>BC_EV1_ISS</t>
  </si>
  <si>
    <t>BC_E15_ISS</t>
  </si>
  <si>
    <t>BC_E42_ISS</t>
  </si>
  <si>
    <t>BC_KIS_ISS</t>
  </si>
  <si>
    <t>BC_ET3_ISS</t>
  </si>
  <si>
    <t>BC_EQU_ISS</t>
  </si>
  <si>
    <t>BC_ERW_ISS</t>
  </si>
  <si>
    <t>BC_ESC_ISS</t>
  </si>
  <si>
    <t>BC_EUR_ISS</t>
  </si>
  <si>
    <t>BC_PRT_ISS</t>
  </si>
  <si>
    <t>BC_FFI_ISS</t>
  </si>
  <si>
    <t>BC_FCC_ISS</t>
  </si>
  <si>
    <t>BC_FMC_ISS</t>
  </si>
  <si>
    <t>BC_FRO_ISS</t>
  </si>
  <si>
    <t>BC_FSS_ISS</t>
  </si>
  <si>
    <t>BC_GBR_ISS</t>
  </si>
  <si>
    <t>BC_GBW_ISS</t>
  </si>
  <si>
    <t>BC_GRP_ISS</t>
  </si>
  <si>
    <t>BC_GSM_ISS</t>
  </si>
  <si>
    <t>BC_FNC_ISS</t>
  </si>
  <si>
    <t>BC_SCP_ISS</t>
  </si>
  <si>
    <t>BC_LF1_ISS</t>
  </si>
  <si>
    <t>BC_LF2_ISS</t>
  </si>
  <si>
    <t>BC_LRP_ISS</t>
  </si>
  <si>
    <t>BC_LNH_ISS</t>
  </si>
  <si>
    <t>BC_LCC_ISS</t>
  </si>
  <si>
    <t>BC_DVM_ISS</t>
  </si>
  <si>
    <t>BC_LLD_ISS</t>
  </si>
  <si>
    <t>BC_LU2_ISS</t>
  </si>
  <si>
    <t>BC_MRH_ISS</t>
  </si>
  <si>
    <t>BC_MAS_ISS</t>
  </si>
  <si>
    <t>BC_MGP_ISS</t>
  </si>
  <si>
    <t>BC_MHX_ISS</t>
  </si>
  <si>
    <t>BC_MRC_ISS</t>
  </si>
  <si>
    <t>BC_NRG_ISS</t>
  </si>
  <si>
    <t>BC_NWE_ISS</t>
  </si>
  <si>
    <t>BC_PCP_ISS</t>
  </si>
  <si>
    <t>BC_PBL_ISS</t>
  </si>
  <si>
    <t>BC_PMB_ISS</t>
  </si>
  <si>
    <t>BC_HCR_ISS</t>
  </si>
  <si>
    <t>BC_PRG_ISS</t>
  </si>
  <si>
    <t>BC_QRP_ISS</t>
  </si>
  <si>
    <t>BC_RSR_ISS</t>
  </si>
  <si>
    <t>BC_RTI_ISS</t>
  </si>
  <si>
    <t>BC_SWP_ISS</t>
  </si>
  <si>
    <t>BC_SGB_ISS</t>
  </si>
  <si>
    <t>BC_SRN_ISS</t>
  </si>
  <si>
    <t>BC_SST_ISS</t>
  </si>
  <si>
    <t>BC_SKL_ISS</t>
  </si>
  <si>
    <t>BC_NGL_ISS</t>
  </si>
  <si>
    <t>BC_VDK_ISS</t>
  </si>
  <si>
    <t>BC_YVR_ISS</t>
  </si>
  <si>
    <t>BC_VSY _ISS</t>
  </si>
  <si>
    <t>BC_WFQ_ISS</t>
  </si>
  <si>
    <t>BC_WQL_ISS</t>
  </si>
  <si>
    <t>BC_WWL_ISS</t>
  </si>
  <si>
    <t>BC_WCF_ISS</t>
  </si>
  <si>
    <t>BC_WNR_ISS</t>
  </si>
  <si>
    <t>BC_WTL_ISS</t>
  </si>
  <si>
    <t>BC_BDM_ISS</t>
  </si>
  <si>
    <t>Boston Bar GS</t>
  </si>
  <si>
    <t>Brilliant TS</t>
  </si>
  <si>
    <t>BC_BTS_TSS</t>
  </si>
  <si>
    <t>BC_BJK_ISS</t>
  </si>
  <si>
    <t>BC_BRM_ISS</t>
  </si>
  <si>
    <t>Upper Clowhom GS</t>
  </si>
  <si>
    <t>Lower Clowhom GS</t>
  </si>
  <si>
    <t>BC_HSP_ISS</t>
  </si>
  <si>
    <t>BC_IOC_ISS</t>
  </si>
  <si>
    <t>PNS used for Pine Street to avoid confusion with PIN - Pingston</t>
  </si>
  <si>
    <t>BLB used for Blueberry  to avoid confusion with BLU - Blue River</t>
  </si>
  <si>
    <t>KLD used for Kaledon to avoid confusion with KAL - Kalum</t>
  </si>
  <si>
    <t>JRH used for Joe Riche to avoid confusion with JOR - Jordan River</t>
  </si>
  <si>
    <t>STY used for Stoney Creek to avoid confusion with STC - Site C</t>
  </si>
  <si>
    <t>BC_STY_DSS</t>
  </si>
  <si>
    <t>Line connection RUS to MLN assumed</t>
  </si>
  <si>
    <t>Line connection to WAH assumed</t>
  </si>
  <si>
    <t>Mount Hayes</t>
  </si>
  <si>
    <t>Mount Hayes JCT</t>
  </si>
  <si>
    <t>BC_SLM_DSS</t>
  </si>
  <si>
    <t>BC_JRH_DSS</t>
  </si>
  <si>
    <t>gasCC</t>
  </si>
  <si>
    <t>gasSC</t>
  </si>
  <si>
    <t>Alberta</t>
  </si>
  <si>
    <t>Brilliant SWs</t>
  </si>
  <si>
    <t>BC_LCS_ISS</t>
  </si>
  <si>
    <t>BC_BBR_DFS</t>
  </si>
  <si>
    <t>BC_BR1_DFS</t>
  </si>
  <si>
    <t>BC_CMS_DFS</t>
  </si>
  <si>
    <t>BC_JOR_DFS</t>
  </si>
  <si>
    <t>BC_LB1_DFS</t>
  </si>
  <si>
    <t>BC_PUN_DFS</t>
  </si>
  <si>
    <t>BC_SVA_DFS</t>
  </si>
  <si>
    <t>BC_SPN_DFS</t>
  </si>
  <si>
    <t>BC_WAH_DFS</t>
  </si>
  <si>
    <t>BC_LAJ_DFS</t>
  </si>
  <si>
    <t>BC_SON_DFS</t>
  </si>
  <si>
    <t>Columbia Power Facilities</t>
  </si>
  <si>
    <t>Nelson represents all substations within Nelson Hydro</t>
  </si>
  <si>
    <t>Not operating until 2025</t>
  </si>
  <si>
    <t>SLM used for Salmo to avoid confusion with SAL - Saltspring</t>
  </si>
  <si>
    <t>Line may not be currently energized</t>
  </si>
  <si>
    <t>IPT Cranbrook Chapel Rock</t>
  </si>
  <si>
    <t>IPT Natal Coleman</t>
  </si>
  <si>
    <t>IPT Natal Pocaterra</t>
  </si>
  <si>
    <t>IPT Nelson Rainbow</t>
  </si>
  <si>
    <t>BC-US Border</t>
  </si>
  <si>
    <t>BC-AB Border</t>
  </si>
  <si>
    <t>CSS = AC/DC Converter Station</t>
  </si>
  <si>
    <t>INT = International Intertie</t>
  </si>
  <si>
    <t>IPT = Interprovincial Intertie</t>
  </si>
  <si>
    <t>BC_OFM00_GEN</t>
  </si>
  <si>
    <t>BC_ALK00_GEN</t>
  </si>
  <si>
    <t>BC_ALU00_GEN</t>
  </si>
  <si>
    <t>BC_ASH00_GEN</t>
  </si>
  <si>
    <t>BC_ASL00_GEN</t>
  </si>
  <si>
    <t>BC_BRC00_GEN</t>
  </si>
  <si>
    <t>BC_BMW00_GEN</t>
  </si>
  <si>
    <t>BC_BSV00_GEN</t>
  </si>
  <si>
    <t>BC_BNC00_GEN</t>
  </si>
  <si>
    <t>BC_BNF00_GEN</t>
  </si>
  <si>
    <t>BC_BBR00_GEN</t>
  </si>
  <si>
    <t>BC_BDH00_GEN</t>
  </si>
  <si>
    <t>BC_BOX00_GEN</t>
  </si>
  <si>
    <t>BC_BDW00_GEN</t>
  </si>
  <si>
    <t>BC_BRX00_GEN</t>
  </si>
  <si>
    <t>BC_BRL00_GEN</t>
  </si>
  <si>
    <t>BC_CHK00_GEN</t>
  </si>
  <si>
    <t>BC_CNK00_GEN</t>
  </si>
  <si>
    <t>BC_CSS00_GEN</t>
  </si>
  <si>
    <t>BC_CSC00_GEN</t>
  </si>
  <si>
    <t>BC_CFT00_GEN</t>
  </si>
  <si>
    <t>BC_PAL00_GEN</t>
  </si>
  <si>
    <t>BC_CDR00_GEN</t>
  </si>
  <si>
    <t>BC_CWD00_GEN</t>
  </si>
  <si>
    <t>BC_CCK00_GEN</t>
  </si>
  <si>
    <t>BC_COM00_GEN</t>
  </si>
  <si>
    <t>BC_CGE00_GEN</t>
  </si>
  <si>
    <t>BC_CRC00_GEN</t>
  </si>
  <si>
    <t>BC_CRW00_GEN</t>
  </si>
  <si>
    <t>BC_CTN00_GEN</t>
  </si>
  <si>
    <t>BC_CYK00_GEN</t>
  </si>
  <si>
    <t>BC_DSQ00_GEN</t>
  </si>
  <si>
    <t>BC_DKW00_GEN</t>
  </si>
  <si>
    <t>BC_DTR00_GEN</t>
  </si>
  <si>
    <t>BC_DGL00_GEN</t>
  </si>
  <si>
    <t>BC_ETR00_GEN</t>
  </si>
  <si>
    <t>BC_ETW00_GEN</t>
  </si>
  <si>
    <t>BC_EDR00_GEN</t>
  </si>
  <si>
    <t>BC_FRE00_GEN</t>
  </si>
  <si>
    <t>BC_FZC00_GEN</t>
  </si>
  <si>
    <t>BC_FGE00_GEN</t>
  </si>
  <si>
    <t>BC_FRS00_GEN</t>
  </si>
  <si>
    <t>BC_FRI00_GEN</t>
  </si>
  <si>
    <t>BC_GRP00_GEN</t>
  </si>
  <si>
    <t>BC_GLD00_GEN</t>
  </si>
  <si>
    <t>BC_HAA00_GEN</t>
  </si>
  <si>
    <t>BC_HMC00_GEN</t>
  </si>
  <si>
    <t>BC_HTL00_GEN</t>
  </si>
  <si>
    <t>BC_HAC00_GEN</t>
  </si>
  <si>
    <t>BC_HWL00_GEN</t>
  </si>
  <si>
    <t>BC_HNC00_GEN</t>
  </si>
  <si>
    <t>BC_HYS00_GEN</t>
  </si>
  <si>
    <t>BC_IGP00_GEN</t>
  </si>
  <si>
    <t>BC_IOI00_GEN</t>
  </si>
  <si>
    <t>BC_ICG00_GEN</t>
  </si>
  <si>
    <t>BC_JME00_GEN</t>
  </si>
  <si>
    <t>BC_JMC00_GEN</t>
  </si>
  <si>
    <t>BC_JOR00_GEN</t>
  </si>
  <si>
    <t>BC_SCP00_GEN</t>
  </si>
  <si>
    <t>BC_KCH00_GEN</t>
  </si>
  <si>
    <t>BC_LAJ00_GEN</t>
  </si>
  <si>
    <t>BC_LB00_GEN</t>
  </si>
  <si>
    <t>BC_LLK00_GEN</t>
  </si>
  <si>
    <t>BC_LZT00_GEN</t>
  </si>
  <si>
    <t>BC_BHL00_GEN</t>
  </si>
  <si>
    <t>BC_LCH00_GEN</t>
  </si>
  <si>
    <t>BC_MAM00_GEN</t>
  </si>
  <si>
    <t>BC_MRK00_GEN</t>
  </si>
  <si>
    <t>BC_MIK00_GEN</t>
  </si>
  <si>
    <t>BC_MCY00_GEN</t>
  </si>
  <si>
    <t>BC_MCN00_GEN</t>
  </si>
  <si>
    <t>BC_MCK00_GEN</t>
  </si>
  <si>
    <t>BC_MKL00_GEN</t>
  </si>
  <si>
    <t>BC_MIG00_GEN</t>
  </si>
  <si>
    <t>BC_MCP00_GEN</t>
  </si>
  <si>
    <t>BC_MTR00_GEN</t>
  </si>
  <si>
    <t>BC_MLW00_GEN</t>
  </si>
  <si>
    <t>BC_NSI00_GEN</t>
  </si>
  <si>
    <t>BC_NCK00_GEN</t>
  </si>
  <si>
    <t>BC_NWS00_GEN</t>
  </si>
  <si>
    <t>BC_NWP00_GEN</t>
  </si>
  <si>
    <t>BC_NWE00_GEN</t>
  </si>
  <si>
    <t>BC_PSW00_GEN</t>
  </si>
  <si>
    <t>BC_PGP00_GEN</t>
  </si>
  <si>
    <t>BC_PIN00_GEN</t>
  </si>
  <si>
    <t>BC_POA00_GEN</t>
  </si>
  <si>
    <t>BC_PWL00_GEN</t>
  </si>
  <si>
    <t>BC_PTM00_GEN</t>
  </si>
  <si>
    <t>BC_PUN00_GEN</t>
  </si>
  <si>
    <t>BC_QTY00_GEN</t>
  </si>
  <si>
    <t>BC_RVD00_GEN</t>
  </si>
  <si>
    <t>BC_RUT00_GEN</t>
  </si>
  <si>
    <t>BC_SKW00_GEN</t>
  </si>
  <si>
    <t>BC_SVA00_GEN</t>
  </si>
  <si>
    <t>BC_SCG00_GEN</t>
  </si>
  <si>
    <t>BC_SEG00_GEN</t>
  </si>
  <si>
    <t>BC_SON00_GEN</t>
  </si>
  <si>
    <t>BC_SHC00_GEN</t>
  </si>
  <si>
    <t>BC_SHW00_GEN</t>
  </si>
  <si>
    <t>BC_SKO00_GEN</t>
  </si>
  <si>
    <t>BC_CRS00_GEN</t>
  </si>
  <si>
    <t>BC_SOO00_GEN</t>
  </si>
  <si>
    <t>BC_SCB00_GEN</t>
  </si>
  <si>
    <t>BC_SSH00_GEN</t>
  </si>
  <si>
    <t>BC_SCN00_GEN</t>
  </si>
  <si>
    <t>BC_WFR00_GEN</t>
  </si>
  <si>
    <t>BC_SKK00_GEN</t>
  </si>
  <si>
    <t>BC_SNM00_GEN</t>
  </si>
  <si>
    <t>BC_TPA00_GEN</t>
  </si>
  <si>
    <t>BC_TKA00_GEN</t>
  </si>
  <si>
    <t>BC_TKK00_GEN</t>
  </si>
  <si>
    <t>BC_TWY00_GEN</t>
  </si>
  <si>
    <t>BC_TRE00_GEN</t>
  </si>
  <si>
    <t>BC_TYS00_GEN</t>
  </si>
  <si>
    <t>BC_CSN00_GEN</t>
  </si>
  <si>
    <t>BC_PCA00_GEN</t>
  </si>
  <si>
    <t>BC_BHU00_GEN</t>
  </si>
  <si>
    <t>BC_UCH00_GEN</t>
  </si>
  <si>
    <t>BC_ULR00_GEN</t>
  </si>
  <si>
    <t>BC_UMH00_GEN</t>
  </si>
  <si>
    <t>BC_USR00_GEN</t>
  </si>
  <si>
    <t>BC_VCL00_GEN</t>
  </si>
  <si>
    <t>BC_VCC00_GEN</t>
  </si>
  <si>
    <t>BC_WAH00_GEN</t>
  </si>
  <si>
    <t>BC_WDN00_GEN</t>
  </si>
  <si>
    <t>BC_WGS00_GEN</t>
  </si>
  <si>
    <t>BC_WCC00_GEN</t>
  </si>
  <si>
    <t>BC_KKS00_GEN</t>
  </si>
  <si>
    <t>Canada Energy Regulator</t>
  </si>
  <si>
    <t>International Power Lines Dashboard</t>
  </si>
  <si>
    <t>https://www.cer-rec.gc.ca/en/data-analysis/facilities-we-regulate/international-power-lines-dashboard/index.html</t>
  </si>
  <si>
    <t>Glenmore FBC</t>
  </si>
  <si>
    <t>Glenmore BCH</t>
  </si>
  <si>
    <t>Assume extended to 2050</t>
  </si>
  <si>
    <t>2019-2050 Rate</t>
  </si>
  <si>
    <t>Low-load forecast for use in COPPER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</si>
</sst>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0.0000"/>
    <numFmt numFmtId="166" formatCode="#,##0.000000"/>
    <numFmt numFmtId="167" formatCode="0.0000"/>
    <numFmt numFmtId="168" formatCode="#,##0.0"/>
    <numFmt numFmtId="169" formatCode="#,##0.0000000000"/>
  </numFmts>
  <fonts count="40" x14ac:knownFonts="1">
    <font>
      <sz val="12"/>
      <color theme="1"/>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b/>
      <sz val="14"/>
      <color theme="1"/>
      <name val="Calibri"/>
      <family val="2"/>
      <scheme val="minor"/>
    </font>
    <font>
      <u/>
      <sz val="11"/>
      <color theme="10"/>
      <name val="Calibri"/>
      <family val="2"/>
      <scheme val="minor"/>
    </font>
    <font>
      <sz val="12"/>
      <name val="Calibri"/>
      <family val="2"/>
    </font>
    <font>
      <sz val="12"/>
      <color rgb="FF000000"/>
      <name val="Calibri"/>
      <family val="2"/>
    </font>
    <font>
      <sz val="14"/>
      <color theme="1"/>
      <name val="Calibri"/>
      <family val="2"/>
      <scheme val="minor"/>
    </font>
    <font>
      <b/>
      <sz val="10"/>
      <color theme="1"/>
      <name val="Calibri"/>
      <family val="2"/>
      <scheme val="minor"/>
    </font>
    <font>
      <sz val="12"/>
      <color theme="1"/>
      <name val="Calibri"/>
      <family val="2"/>
    </font>
    <font>
      <sz val="11"/>
      <name val="Arial"/>
      <family val="2"/>
    </font>
    <font>
      <sz val="14"/>
      <name val="Calibri"/>
      <family val="2"/>
    </font>
    <font>
      <sz val="14"/>
      <color theme="1"/>
      <name val="Calibri (Body)"/>
    </font>
    <font>
      <b/>
      <sz val="14"/>
      <color rgb="FFFF0000"/>
      <name val="Calibri"/>
      <family val="2"/>
      <scheme val="minor"/>
    </font>
    <font>
      <sz val="14"/>
      <color theme="1"/>
      <name val="Helvetica"/>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sz val="12"/>
      <color rgb="FFFA7D00"/>
      <name val="Calibri"/>
      <family val="2"/>
      <scheme val="minor"/>
    </font>
    <font>
      <i/>
      <sz val="12"/>
      <color rgb="FF7F7F7F"/>
      <name val="Calibri"/>
      <family val="2"/>
      <scheme val="minor"/>
    </font>
    <font>
      <sz val="12"/>
      <color theme="0"/>
      <name val="Calibri"/>
      <family val="2"/>
      <scheme val="minor"/>
    </font>
    <font>
      <b/>
      <sz val="14"/>
      <color rgb="FF000000"/>
      <name val="Calibri"/>
      <family val="2"/>
      <scheme val="minor"/>
    </font>
    <font>
      <sz val="14"/>
      <name val="Calibri"/>
      <family val="2"/>
      <scheme val="minor"/>
    </font>
    <font>
      <sz val="12"/>
      <color theme="1"/>
      <name val="Arial"/>
      <family val="2"/>
    </font>
    <font>
      <b/>
      <sz val="12"/>
      <color rgb="FFFA7D00"/>
      <name val="Calibri"/>
      <family val="2"/>
      <scheme val="minor"/>
    </font>
    <font>
      <sz val="14"/>
      <color rgb="FF000000"/>
      <name val="Calibri"/>
      <family val="2"/>
      <scheme val="minor"/>
    </font>
    <font>
      <sz val="12"/>
      <color rgb="FF000000"/>
      <name val="Times New Roman"/>
      <family val="1"/>
    </font>
    <font>
      <sz val="14"/>
      <color theme="1"/>
      <name val="Calibri"/>
      <family val="2"/>
    </font>
    <font>
      <sz val="8"/>
      <name val="Calibri"/>
      <family val="2"/>
      <scheme val="minor"/>
    </font>
    <font>
      <sz val="10"/>
      <color indexed="8"/>
      <name val="Arial"/>
      <family val="2"/>
    </font>
    <font>
      <b/>
      <sz val="12"/>
      <name val="Calibri"/>
      <family val="2"/>
      <scheme val="minor"/>
    </font>
    <font>
      <sz val="10"/>
      <color theme="1"/>
      <name val="Calibri"/>
      <family val="2"/>
      <scheme val="minor"/>
    </font>
  </fonts>
  <fills count="73">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7" tint="0.39997558519241921"/>
        <bgColor indexed="64"/>
      </patternFill>
    </fill>
    <fill>
      <patternFill patternType="solid">
        <fgColor theme="4" tint="0.39997558519241921"/>
        <bgColor indexed="64"/>
      </patternFill>
    </fill>
    <fill>
      <patternFill patternType="gray125">
        <fgColor theme="0" tint="-0.14996795556505021"/>
        <bgColor indexed="65"/>
      </patternFill>
    </fill>
    <fill>
      <patternFill patternType="solid">
        <fgColor theme="6" tint="0.39997558519241921"/>
        <bgColor indexed="64"/>
      </patternFill>
    </fill>
    <fill>
      <patternFill patternType="solid">
        <fgColor theme="4"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9C9C9"/>
        <bgColor rgb="FF000000"/>
      </patternFill>
    </fill>
    <fill>
      <patternFill patternType="solid">
        <fgColor theme="9" tint="0.79998168889431442"/>
        <bgColor indexed="64"/>
      </patternFill>
    </fill>
    <fill>
      <patternFill patternType="solid">
        <fgColor theme="3" tint="0.59999389629810485"/>
        <bgColor indexed="64"/>
      </patternFill>
    </fill>
    <fill>
      <patternFill patternType="solid">
        <fgColor theme="6" tint="-0.249977111117893"/>
        <bgColor rgb="FF000000"/>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rgb="FFFFC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top style="thin">
        <color rgb="FF000000"/>
      </top>
      <bottom style="thin">
        <color rgb="FF000000"/>
      </bottom>
      <diagonal/>
    </border>
  </borders>
  <cellStyleXfs count="71">
    <xf numFmtId="3" fontId="0" fillId="0" borderId="0">
      <alignment horizontal="right" vertical="center"/>
    </xf>
    <xf numFmtId="0" fontId="8" fillId="0" borderId="0"/>
    <xf numFmtId="0" fontId="5" fillId="0" borderId="0" applyNumberFormat="0" applyFill="0" applyBorder="0" applyAlignment="0" applyProtection="0"/>
    <xf numFmtId="1" fontId="29" fillId="0" borderId="9">
      <alignment horizontal="center" vertical="center" wrapText="1"/>
    </xf>
    <xf numFmtId="1" fontId="14" fillId="11" borderId="9">
      <alignment vertical="center"/>
    </xf>
    <xf numFmtId="0" fontId="14" fillId="0" borderId="0" applyNumberFormat="0" applyFill="0" applyBorder="0" applyAlignment="0" applyProtection="0"/>
    <xf numFmtId="43" fontId="16" fillId="0" borderId="0" applyFont="0" applyFill="0" applyBorder="0" applyAlignment="0" applyProtection="0"/>
    <xf numFmtId="41" fontId="16" fillId="0" borderId="0" applyFon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10" fontId="16" fillId="0" borderId="0" applyFont="0" applyFill="0" applyBorder="0" applyAlignment="0" applyProtection="0"/>
    <xf numFmtId="0" fontId="17" fillId="0" borderId="0" applyNumberFormat="0" applyFill="0" applyBorder="0" applyAlignment="0" applyProtection="0"/>
    <xf numFmtId="0" fontId="18" fillId="0" borderId="1" applyNumberFormat="0" applyFill="0" applyAlignment="0" applyProtection="0"/>
    <xf numFmtId="0" fontId="19" fillId="0" borderId="2" applyNumberFormat="0" applyFill="0" applyAlignment="0" applyProtection="0"/>
    <xf numFmtId="0" fontId="20" fillId="0" borderId="3" applyNumberFormat="0" applyFill="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4" applyNumberFormat="0" applyAlignment="0" applyProtection="0"/>
    <xf numFmtId="0" fontId="25" fillId="18" borderId="5" applyNumberFormat="0" applyAlignment="0" applyProtection="0"/>
    <xf numFmtId="0" fontId="26" fillId="0" borderId="6" applyNumberFormat="0" applyFill="0" applyAlignment="0" applyProtection="0"/>
    <xf numFmtId="0" fontId="4" fillId="44" borderId="0" applyNumberFormat="0" applyAlignment="0" applyProtection="0"/>
    <xf numFmtId="0" fontId="16" fillId="19" borderId="7" applyNumberFormat="0" applyFont="0" applyAlignment="0" applyProtection="0"/>
    <xf numFmtId="0" fontId="27" fillId="0" borderId="0" applyNumberFormat="0" applyFill="0" applyBorder="0" applyAlignment="0" applyProtection="0"/>
    <xf numFmtId="0" fontId="2" fillId="0" borderId="8" applyNumberFormat="0" applyFill="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8"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28"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10" fontId="30" fillId="0" borderId="9">
      <alignment horizontal="right" vertical="center"/>
    </xf>
    <xf numFmtId="0" fontId="12" fillId="0" borderId="9">
      <alignment horizontal="left" vertical="center" wrapText="1"/>
    </xf>
    <xf numFmtId="0" fontId="12" fillId="0" borderId="9">
      <alignment horizontal="center" vertical="center" wrapText="1"/>
    </xf>
    <xf numFmtId="3" fontId="3" fillId="0" borderId="0">
      <alignment horizontal="left" vertical="center"/>
    </xf>
    <xf numFmtId="0" fontId="5" fillId="0" borderId="0" applyNumberFormat="0" applyFill="0" applyBorder="0" applyAlignment="0" applyProtection="0"/>
    <xf numFmtId="1" fontId="8" fillId="0" borderId="9">
      <alignment horizontal="right" vertical="center"/>
    </xf>
    <xf numFmtId="0" fontId="4" fillId="0" borderId="0">
      <alignment vertical="center"/>
    </xf>
    <xf numFmtId="0" fontId="12" fillId="0" borderId="9">
      <alignment horizontal="right" vertical="center" wrapText="1"/>
    </xf>
    <xf numFmtId="165" fontId="8" fillId="0" borderId="9">
      <alignment horizontal="right" vertical="center"/>
    </xf>
    <xf numFmtId="4" fontId="8" fillId="0" borderId="9">
      <alignment horizontal="right" vertical="center"/>
    </xf>
    <xf numFmtId="166" fontId="8" fillId="0" borderId="9">
      <alignment horizontal="right" vertical="center"/>
    </xf>
    <xf numFmtId="10" fontId="8" fillId="0" borderId="9" applyFill="0" applyAlignment="0" applyProtection="0"/>
    <xf numFmtId="2" fontId="14" fillId="11" borderId="9">
      <alignment vertical="center"/>
    </xf>
    <xf numFmtId="0" fontId="32" fillId="0" borderId="4" applyNumberFormat="0" applyAlignment="0" applyProtection="0"/>
    <xf numFmtId="167" fontId="14" fillId="11" borderId="9">
      <alignment vertical="center"/>
    </xf>
    <xf numFmtId="3" fontId="3" fillId="0" borderId="9">
      <alignment horizontal="left" vertical="center"/>
    </xf>
    <xf numFmtId="3" fontId="8" fillId="0" borderId="9">
      <alignment horizontal="right" vertical="center"/>
    </xf>
    <xf numFmtId="168" fontId="8" fillId="0" borderId="9">
      <alignment horizontal="right" vertical="center"/>
    </xf>
    <xf numFmtId="1" fontId="14" fillId="11" borderId="9">
      <alignment vertical="center"/>
    </xf>
    <xf numFmtId="0" fontId="4" fillId="0" borderId="0">
      <alignment vertical="center"/>
    </xf>
    <xf numFmtId="169" fontId="8" fillId="0" borderId="9">
      <alignment horizontal="right" vertical="center"/>
    </xf>
  </cellStyleXfs>
  <cellXfs count="315">
    <xf numFmtId="3" fontId="0" fillId="0" borderId="0" xfId="0">
      <alignment horizontal="right" vertical="center"/>
    </xf>
    <xf numFmtId="4" fontId="8" fillId="60" borderId="9" xfId="59" applyFill="1">
      <alignment horizontal="right" vertical="center"/>
    </xf>
    <xf numFmtId="1" fontId="8" fillId="60" borderId="9" xfId="55" applyFill="1">
      <alignment horizontal="right" vertical="center"/>
    </xf>
    <xf numFmtId="1" fontId="8" fillId="58" borderId="9" xfId="55" applyFill="1" applyBorder="1">
      <alignment horizontal="right" vertical="center"/>
    </xf>
    <xf numFmtId="3" fontId="3" fillId="4" borderId="9" xfId="65" applyFill="1">
      <alignment horizontal="left" vertical="center"/>
    </xf>
    <xf numFmtId="10" fontId="8" fillId="45" borderId="9" xfId="61" applyFill="1" applyAlignment="1">
      <alignment horizontal="right" vertical="center"/>
    </xf>
    <xf numFmtId="0" fontId="2" fillId="0" borderId="0" xfId="1" applyFont="1" applyAlignment="1">
      <alignment horizontal="center" vertical="center" wrapText="1"/>
    </xf>
    <xf numFmtId="0" fontId="8" fillId="0" borderId="0" xfId="1"/>
    <xf numFmtId="0" fontId="2" fillId="0" borderId="0" xfId="1" applyFont="1" applyAlignment="1">
      <alignment horizontal="center"/>
    </xf>
    <xf numFmtId="1" fontId="8" fillId="0" borderId="0" xfId="1" applyNumberFormat="1"/>
    <xf numFmtId="0" fontId="8" fillId="0" borderId="0" xfId="1" applyAlignment="1">
      <alignment horizontal="center"/>
    </xf>
    <xf numFmtId="1" fontId="6" fillId="0" borderId="0" xfId="3" applyFont="1" applyBorder="1" applyAlignment="1">
      <alignment horizontal="left" vertical="top" wrapText="1"/>
    </xf>
    <xf numFmtId="0" fontId="2" fillId="0" borderId="0" xfId="1" applyFont="1" applyAlignment="1">
      <alignment horizontal="center" wrapText="1"/>
    </xf>
    <xf numFmtId="3" fontId="0" fillId="0" borderId="0" xfId="0" applyAlignment="1"/>
    <xf numFmtId="3" fontId="8" fillId="0" borderId="0" xfId="0" applyFont="1" applyAlignment="1"/>
    <xf numFmtId="3" fontId="0" fillId="0" borderId="0" xfId="0" applyFill="1">
      <alignment horizontal="right" vertical="center"/>
    </xf>
    <xf numFmtId="1" fontId="14" fillId="11" borderId="9" xfId="4" applyAlignment="1">
      <alignment horizontal="right" vertical="center"/>
    </xf>
    <xf numFmtId="0" fontId="1" fillId="0" borderId="0" xfId="1" applyFont="1"/>
    <xf numFmtId="1" fontId="29" fillId="0" borderId="9" xfId="3">
      <alignment horizontal="center" vertical="center" wrapText="1"/>
    </xf>
    <xf numFmtId="0" fontId="12" fillId="0" borderId="9" xfId="51">
      <alignment horizontal="left" vertical="center" wrapText="1"/>
    </xf>
    <xf numFmtId="3" fontId="3" fillId="0" borderId="0" xfId="53">
      <alignment horizontal="left" vertical="center"/>
    </xf>
    <xf numFmtId="1" fontId="29" fillId="4" borderId="9" xfId="3" applyFill="1">
      <alignment horizontal="center" vertical="center" wrapText="1"/>
    </xf>
    <xf numFmtId="0" fontId="3" fillId="0" borderId="0" xfId="1" applyFont="1" applyAlignment="1">
      <alignment horizontal="left" wrapText="1"/>
    </xf>
    <xf numFmtId="0" fontId="1" fillId="0" borderId="0" xfId="1" applyFont="1" applyAlignment="1">
      <alignment horizontal="center"/>
    </xf>
    <xf numFmtId="0" fontId="4" fillId="0" borderId="0" xfId="1" applyFont="1"/>
    <xf numFmtId="0" fontId="1" fillId="0" borderId="0" xfId="1" applyFont="1" applyAlignment="1">
      <alignment horizontal="right" vertical="center"/>
    </xf>
    <xf numFmtId="0" fontId="1" fillId="0" borderId="0" xfId="1" applyFont="1" applyAlignment="1">
      <alignment horizontal="center" vertical="center"/>
    </xf>
    <xf numFmtId="3" fontId="2" fillId="0" borderId="0" xfId="0" applyFont="1" applyAlignment="1">
      <alignment horizontal="center"/>
    </xf>
    <xf numFmtId="3" fontId="6" fillId="0" borderId="0" xfId="0" applyFont="1" applyAlignment="1">
      <alignment horizontal="left" vertical="top" wrapText="1"/>
    </xf>
    <xf numFmtId="3" fontId="0" fillId="0" borderId="0" xfId="0">
      <alignment horizontal="right" vertical="center"/>
    </xf>
    <xf numFmtId="0" fontId="9" fillId="0" borderId="0" xfId="1" applyFont="1" applyAlignment="1">
      <alignment horizontal="center" vertical="center"/>
    </xf>
    <xf numFmtId="3" fontId="6" fillId="0" borderId="0" xfId="0" applyFont="1" applyAlignment="1">
      <alignment horizontal="center" vertical="top" wrapText="1"/>
    </xf>
    <xf numFmtId="2" fontId="7" fillId="0" borderId="0" xfId="0" applyNumberFormat="1" applyFont="1" applyAlignment="1">
      <alignment horizontal="right" vertical="top" shrinkToFit="1"/>
    </xf>
    <xf numFmtId="0" fontId="12" fillId="0" borderId="9" xfId="52">
      <alignment horizontal="center" vertical="center" wrapText="1"/>
    </xf>
    <xf numFmtId="3" fontId="0" fillId="0" borderId="0" xfId="0" applyAlignment="1">
      <alignment horizontal="center"/>
    </xf>
    <xf numFmtId="3" fontId="8" fillId="0" borderId="0" xfId="0" applyFont="1">
      <alignment horizontal="right" vertical="center"/>
    </xf>
    <xf numFmtId="3" fontId="0" fillId="0" borderId="0" xfId="0">
      <alignment horizontal="right" vertical="center"/>
    </xf>
    <xf numFmtId="3" fontId="10" fillId="0" borderId="0" xfId="0" applyFont="1">
      <alignment horizontal="right" vertical="center"/>
    </xf>
    <xf numFmtId="3" fontId="10" fillId="0" borderId="0" xfId="0" applyFont="1" applyAlignment="1">
      <alignment horizontal="center"/>
    </xf>
    <xf numFmtId="4" fontId="10" fillId="0" borderId="0" xfId="0" applyNumberFormat="1" applyFont="1">
      <alignment horizontal="right" vertical="center"/>
    </xf>
    <xf numFmtId="3" fontId="10" fillId="0" borderId="0" xfId="0" applyFont="1">
      <alignment horizontal="right" vertical="center"/>
    </xf>
    <xf numFmtId="3" fontId="10" fillId="0" borderId="0" xfId="0" applyFont="1">
      <alignment horizontal="right" vertical="center"/>
    </xf>
    <xf numFmtId="164" fontId="15" fillId="0" borderId="0" xfId="0" applyNumberFormat="1" applyFont="1">
      <alignment horizontal="right" vertical="center"/>
    </xf>
    <xf numFmtId="3" fontId="0" fillId="0" borderId="0" xfId="0" applyAlignment="1">
      <alignment horizontal="right"/>
    </xf>
    <xf numFmtId="1" fontId="8" fillId="0" borderId="0" xfId="0" applyNumberFormat="1" applyFont="1">
      <alignment horizontal="right" vertical="center"/>
    </xf>
    <xf numFmtId="3" fontId="13" fillId="0" borderId="0" xfId="0" applyFont="1">
      <alignment horizontal="right" vertical="center"/>
    </xf>
    <xf numFmtId="3" fontId="3" fillId="0" borderId="0" xfId="0" applyFont="1" applyAlignment="1">
      <alignment horizontal="center"/>
    </xf>
    <xf numFmtId="0" fontId="4" fillId="0" borderId="0" xfId="56">
      <alignment vertical="center"/>
    </xf>
    <xf numFmtId="1" fontId="8" fillId="0" borderId="9" xfId="55" applyFill="1">
      <alignment horizontal="right" vertical="center"/>
    </xf>
    <xf numFmtId="1" fontId="29" fillId="0" borderId="9" xfId="3" quotePrefix="1">
      <alignment horizontal="center" vertical="center" wrapText="1"/>
    </xf>
    <xf numFmtId="1" fontId="29" fillId="0" borderId="9" xfId="3" applyFill="1">
      <alignment horizontal="center" vertical="center" wrapText="1"/>
    </xf>
    <xf numFmtId="0" fontId="12" fillId="0" borderId="9" xfId="52" applyFill="1">
      <alignment horizontal="center" vertical="center" wrapText="1"/>
    </xf>
    <xf numFmtId="0" fontId="12" fillId="6" borderId="9" xfId="52" applyFill="1">
      <alignment horizontal="center" vertical="center" wrapText="1"/>
    </xf>
    <xf numFmtId="0" fontId="12" fillId="12" borderId="9" xfId="51" applyFill="1">
      <alignment horizontal="left" vertical="center" wrapText="1"/>
    </xf>
    <xf numFmtId="0" fontId="12" fillId="12" borderId="9" xfId="52" applyFill="1">
      <alignment horizontal="center" vertical="center" wrapText="1"/>
    </xf>
    <xf numFmtId="0" fontId="8" fillId="0" borderId="0" xfId="1" applyFill="1"/>
    <xf numFmtId="3" fontId="0" fillId="0" borderId="0" xfId="0" applyAlignment="1">
      <alignment horizontal="right" vertical="center" wrapText="1"/>
    </xf>
    <xf numFmtId="0" fontId="8" fillId="49" borderId="0" xfId="1" applyFill="1"/>
    <xf numFmtId="0" fontId="2" fillId="0" borderId="0" xfId="1" applyFont="1" applyFill="1" applyAlignment="1">
      <alignment horizontal="center" vertical="center" wrapText="1"/>
    </xf>
    <xf numFmtId="3" fontId="11" fillId="0" borderId="0" xfId="0" applyFont="1">
      <alignment horizontal="right" vertical="center"/>
    </xf>
    <xf numFmtId="4" fontId="8" fillId="12" borderId="9" xfId="59" applyFill="1">
      <alignment horizontal="right" vertical="center"/>
    </xf>
    <xf numFmtId="4" fontId="8" fillId="0" borderId="9" xfId="59" applyFill="1">
      <alignment horizontal="right" vertical="center"/>
    </xf>
    <xf numFmtId="1" fontId="29" fillId="3" borderId="9" xfId="3" applyFill="1">
      <alignment horizontal="center" vertical="center" wrapText="1"/>
    </xf>
    <xf numFmtId="0" fontId="12" fillId="9" borderId="9" xfId="52" applyFill="1">
      <alignment horizontal="center" vertical="center" wrapText="1"/>
    </xf>
    <xf numFmtId="4" fontId="8" fillId="9" borderId="9" xfId="59" applyFill="1">
      <alignment horizontal="right" vertical="center"/>
    </xf>
    <xf numFmtId="4" fontId="8" fillId="8" borderId="9" xfId="59" applyFill="1">
      <alignment horizontal="right" vertical="center"/>
    </xf>
    <xf numFmtId="0" fontId="2" fillId="0" borderId="0" xfId="1" applyFont="1" applyAlignment="1">
      <alignment horizontal="center" vertical="center"/>
    </xf>
    <xf numFmtId="0" fontId="12" fillId="10" borderId="9" xfId="52" applyFill="1">
      <alignment horizontal="center" vertical="center" wrapText="1"/>
    </xf>
    <xf numFmtId="4" fontId="8" fillId="10" borderId="9" xfId="59" applyFill="1">
      <alignment horizontal="right" vertical="center"/>
    </xf>
    <xf numFmtId="4" fontId="8" fillId="0" borderId="9" xfId="59">
      <alignment horizontal="right" vertical="center"/>
    </xf>
    <xf numFmtId="3" fontId="1" fillId="0" borderId="0" xfId="0" applyFont="1" applyAlignment="1"/>
    <xf numFmtId="1" fontId="6" fillId="0" borderId="0" xfId="3" applyFont="1" applyBorder="1" applyAlignment="1">
      <alignment horizontal="center" vertical="top" wrapText="1"/>
    </xf>
    <xf numFmtId="3" fontId="4" fillId="0" borderId="0" xfId="0" applyFont="1">
      <alignment horizontal="right" vertical="center"/>
    </xf>
    <xf numFmtId="3" fontId="0" fillId="0" borderId="0" xfId="0">
      <alignment horizontal="right" vertical="center"/>
    </xf>
    <xf numFmtId="3" fontId="0" fillId="0" borderId="0" xfId="0" applyAlignment="1">
      <alignment horizontal="center"/>
    </xf>
    <xf numFmtId="3" fontId="8" fillId="0" borderId="0" xfId="0" applyFont="1">
      <alignment horizontal="right" vertical="center"/>
    </xf>
    <xf numFmtId="4" fontId="8" fillId="0" borderId="0" xfId="59" applyFill="1" applyBorder="1">
      <alignment horizontal="right" vertical="center"/>
    </xf>
    <xf numFmtId="3" fontId="31" fillId="0" borderId="9" xfId="0" applyFont="1" applyFill="1" applyBorder="1">
      <alignment horizontal="right" vertical="center"/>
    </xf>
    <xf numFmtId="0" fontId="3" fillId="0" borderId="0" xfId="1" applyFont="1" applyAlignment="1">
      <alignment horizontal="center" vertical="center"/>
    </xf>
    <xf numFmtId="4" fontId="8" fillId="49" borderId="9" xfId="59" applyFill="1">
      <alignment horizontal="right" vertical="center"/>
    </xf>
    <xf numFmtId="0" fontId="12" fillId="49" borderId="9" xfId="52" applyFill="1">
      <alignment horizontal="center" vertical="center" wrapText="1"/>
    </xf>
    <xf numFmtId="3" fontId="2" fillId="0" borderId="0" xfId="0" applyFont="1" applyAlignment="1">
      <alignment horizontal="center"/>
    </xf>
    <xf numFmtId="3" fontId="0" fillId="0" borderId="0" xfId="0">
      <alignment horizontal="right" vertical="center"/>
    </xf>
    <xf numFmtId="3" fontId="0" fillId="0" borderId="0" xfId="0" applyAlignment="1">
      <alignment horizontal="center"/>
    </xf>
    <xf numFmtId="10" fontId="8" fillId="0" borderId="9" xfId="61" applyAlignment="1">
      <alignment horizontal="right" vertical="center"/>
    </xf>
    <xf numFmtId="3" fontId="2" fillId="0" borderId="0" xfId="0" applyFont="1">
      <alignment horizontal="right" vertical="center"/>
    </xf>
    <xf numFmtId="3" fontId="0" fillId="0" borderId="0" xfId="0" applyAlignment="1">
      <alignment vertical="center"/>
    </xf>
    <xf numFmtId="3" fontId="0" fillId="0" borderId="0" xfId="0" applyAlignment="1">
      <alignment horizontal="center" vertical="center"/>
    </xf>
    <xf numFmtId="3" fontId="8" fillId="0" borderId="0" xfId="0" applyFont="1" applyAlignment="1">
      <alignment horizontal="center"/>
    </xf>
    <xf numFmtId="3" fontId="3" fillId="0" borderId="0" xfId="0" applyFont="1" applyAlignment="1">
      <alignment horizontal="center"/>
    </xf>
    <xf numFmtId="3" fontId="0" fillId="0" borderId="0" xfId="0" applyFill="1">
      <alignment horizontal="right" vertical="center"/>
    </xf>
    <xf numFmtId="3" fontId="8" fillId="0" borderId="0" xfId="0" applyFont="1" applyFill="1" applyAlignment="1"/>
    <xf numFmtId="0" fontId="4" fillId="44" borderId="0" xfId="22" applyAlignment="1">
      <alignment horizontal="left" vertical="center" wrapText="1"/>
    </xf>
    <xf numFmtId="0" fontId="12" fillId="7" borderId="9" xfId="52" applyFill="1">
      <alignment horizontal="center" vertical="center" wrapText="1"/>
    </xf>
    <xf numFmtId="0" fontId="12" fillId="5" borderId="9" xfId="51" applyFill="1">
      <alignment horizontal="left" vertical="center" wrapText="1"/>
    </xf>
    <xf numFmtId="4" fontId="8" fillId="5" borderId="9" xfId="59" applyFill="1">
      <alignment horizontal="right" vertical="center"/>
    </xf>
    <xf numFmtId="4" fontId="8" fillId="13" borderId="9" xfId="59" applyFill="1">
      <alignment horizontal="right" vertical="center"/>
    </xf>
    <xf numFmtId="0" fontId="12" fillId="0" borderId="9" xfId="51" applyFill="1">
      <alignment horizontal="left" vertical="center" wrapText="1"/>
    </xf>
    <xf numFmtId="3" fontId="0" fillId="0" borderId="0" xfId="0">
      <alignment horizontal="right" vertical="center"/>
    </xf>
    <xf numFmtId="1" fontId="8" fillId="0" borderId="9" xfId="55">
      <alignment horizontal="right" vertical="center"/>
    </xf>
    <xf numFmtId="1" fontId="14" fillId="11" borderId="9" xfId="4">
      <alignment vertical="center"/>
    </xf>
    <xf numFmtId="1" fontId="29" fillId="0" borderId="9" xfId="0" applyNumberFormat="1" applyFont="1" applyBorder="1" applyAlignment="1">
      <alignment horizontal="center" vertical="center" wrapText="1"/>
    </xf>
    <xf numFmtId="0" fontId="12" fillId="51" borderId="9" xfId="51" applyFill="1">
      <alignment horizontal="left" vertical="center" wrapText="1"/>
    </xf>
    <xf numFmtId="4" fontId="8" fillId="51" borderId="9" xfId="59" applyFill="1">
      <alignment horizontal="right" vertical="center"/>
    </xf>
    <xf numFmtId="0" fontId="12" fillId="51" borderId="9" xfId="52" applyFill="1">
      <alignment horizontal="center" vertical="center" wrapText="1"/>
    </xf>
    <xf numFmtId="4" fontId="8" fillId="9" borderId="9" xfId="59" applyFill="1" applyBorder="1">
      <alignment horizontal="right" vertical="center"/>
    </xf>
    <xf numFmtId="3" fontId="1" fillId="0" borderId="0" xfId="0" applyFont="1" applyFill="1" applyAlignment="1"/>
    <xf numFmtId="1" fontId="8" fillId="12" borderId="9" xfId="55" applyFill="1">
      <alignment horizontal="right" vertical="center"/>
    </xf>
    <xf numFmtId="3" fontId="2" fillId="0" borderId="0" xfId="0" applyFont="1" applyFill="1">
      <alignment horizontal="right" vertical="center"/>
    </xf>
    <xf numFmtId="10" fontId="8" fillId="45" borderId="9" xfId="61" applyFill="1" applyAlignment="1"/>
    <xf numFmtId="1" fontId="8" fillId="45" borderId="9" xfId="55" applyFill="1">
      <alignment horizontal="right" vertical="center"/>
    </xf>
    <xf numFmtId="0" fontId="12" fillId="0" borderId="9" xfId="57">
      <alignment horizontal="right" vertical="center" wrapText="1"/>
    </xf>
    <xf numFmtId="1" fontId="8" fillId="53" borderId="9" xfId="55" applyFill="1">
      <alignment horizontal="right" vertical="center"/>
    </xf>
    <xf numFmtId="10" fontId="8" fillId="53" borderId="9" xfId="61" applyFill="1" applyAlignment="1"/>
    <xf numFmtId="10" fontId="8" fillId="0" borderId="9" xfId="61" applyFill="1" applyAlignment="1">
      <alignment horizontal="right" vertical="center"/>
    </xf>
    <xf numFmtId="165" fontId="8" fillId="0" borderId="9" xfId="58">
      <alignment horizontal="right" vertical="center"/>
    </xf>
    <xf numFmtId="166" fontId="8" fillId="0" borderId="9" xfId="60">
      <alignment horizontal="right" vertical="center"/>
    </xf>
    <xf numFmtId="3" fontId="0" fillId="0" borderId="0" xfId="0" applyFill="1" applyAlignment="1"/>
    <xf numFmtId="0" fontId="1" fillId="0" borderId="0" xfId="1" applyFont="1" applyFill="1"/>
    <xf numFmtId="166" fontId="8" fillId="54" borderId="9" xfId="60" applyFill="1">
      <alignment horizontal="right" vertical="center"/>
    </xf>
    <xf numFmtId="0" fontId="12" fillId="54" borderId="9" xfId="52" applyFill="1">
      <alignment horizontal="center" vertical="center" wrapText="1"/>
    </xf>
    <xf numFmtId="4" fontId="8" fillId="54" borderId="9" xfId="59" applyFill="1">
      <alignment horizontal="right" vertical="center"/>
    </xf>
    <xf numFmtId="0" fontId="4" fillId="0" borderId="0" xfId="56" applyBorder="1">
      <alignment vertical="center"/>
    </xf>
    <xf numFmtId="0" fontId="8" fillId="0" borderId="0" xfId="1" applyBorder="1"/>
    <xf numFmtId="0" fontId="9" fillId="0" borderId="0" xfId="1" applyFont="1" applyBorder="1" applyAlignment="1">
      <alignment horizontal="center" vertical="center"/>
    </xf>
    <xf numFmtId="4" fontId="8" fillId="8" borderId="9" xfId="59" applyFill="1" applyBorder="1">
      <alignment horizontal="right" vertical="center"/>
    </xf>
    <xf numFmtId="166" fontId="8" fillId="55" borderId="9" xfId="60" applyFill="1">
      <alignment horizontal="right" vertical="center"/>
    </xf>
    <xf numFmtId="165" fontId="8" fillId="8" borderId="9" xfId="58" applyFill="1">
      <alignment horizontal="right" vertical="center"/>
    </xf>
    <xf numFmtId="0" fontId="12" fillId="0" borderId="9" xfId="57" applyFill="1">
      <alignment horizontal="right" vertical="center" wrapText="1"/>
    </xf>
    <xf numFmtId="165" fontId="14" fillId="11" borderId="9" xfId="64" applyNumberFormat="1">
      <alignment vertical="center"/>
    </xf>
    <xf numFmtId="3" fontId="14" fillId="11" borderId="9" xfId="62" applyNumberFormat="1">
      <alignment vertical="center"/>
    </xf>
    <xf numFmtId="2" fontId="14" fillId="11" borderId="9" xfId="62">
      <alignment vertical="center"/>
    </xf>
    <xf numFmtId="1" fontId="8" fillId="8" borderId="9" xfId="55" applyFill="1">
      <alignment horizontal="right" vertical="center"/>
    </xf>
    <xf numFmtId="166" fontId="8" fillId="8" borderId="9" xfId="60" applyFill="1">
      <alignment horizontal="right" vertical="center"/>
    </xf>
    <xf numFmtId="167" fontId="14" fillId="11" borderId="9" xfId="64">
      <alignment vertical="center"/>
    </xf>
    <xf numFmtId="0" fontId="12" fillId="8" borderId="9" xfId="52" applyFill="1">
      <alignment horizontal="center" vertical="center" wrapText="1"/>
    </xf>
    <xf numFmtId="2" fontId="7" fillId="0" borderId="0" xfId="0" applyNumberFormat="1" applyFont="1" applyFill="1" applyAlignment="1">
      <alignment horizontal="right" vertical="top" shrinkToFit="1"/>
    </xf>
    <xf numFmtId="0" fontId="1" fillId="0" borderId="9" xfId="1" applyFont="1" applyBorder="1"/>
    <xf numFmtId="0" fontId="8" fillId="0" borderId="0" xfId="1" applyFill="1" applyAlignment="1">
      <alignment horizontal="center"/>
    </xf>
    <xf numFmtId="166" fontId="8" fillId="0" borderId="9" xfId="60" applyFill="1">
      <alignment horizontal="right" vertical="center"/>
    </xf>
    <xf numFmtId="3" fontId="6" fillId="0" borderId="0" xfId="0" applyFont="1" applyFill="1" applyAlignment="1">
      <alignment horizontal="center" vertical="top" wrapText="1"/>
    </xf>
    <xf numFmtId="0" fontId="12" fillId="0" borderId="11" xfId="57" applyBorder="1">
      <alignment horizontal="right" vertical="center" wrapText="1"/>
    </xf>
    <xf numFmtId="0" fontId="12" fillId="0" borderId="11" xfId="52" applyBorder="1">
      <alignment horizontal="center" vertical="center" wrapText="1"/>
    </xf>
    <xf numFmtId="10" fontId="30" fillId="0" borderId="9" xfId="50">
      <alignment horizontal="right" vertical="center"/>
    </xf>
    <xf numFmtId="10" fontId="0" fillId="0" borderId="0" xfId="0" applyNumberFormat="1">
      <alignment horizontal="right" vertical="center"/>
    </xf>
    <xf numFmtId="3" fontId="3" fillId="4" borderId="0" xfId="0" applyFont="1" applyFill="1" applyAlignment="1">
      <alignment horizontal="left" vertical="center"/>
    </xf>
    <xf numFmtId="3" fontId="3" fillId="2" borderId="9" xfId="65" applyFill="1">
      <alignment horizontal="left" vertical="center"/>
    </xf>
    <xf numFmtId="3" fontId="3" fillId="3" borderId="9" xfId="65" applyFill="1">
      <alignment horizontal="left" vertical="center"/>
    </xf>
    <xf numFmtId="1" fontId="8" fillId="49" borderId="9" xfId="55" applyFill="1">
      <alignment horizontal="right" vertical="center"/>
    </xf>
    <xf numFmtId="0" fontId="12" fillId="52" borderId="9" xfId="51" applyFill="1">
      <alignment horizontal="left" vertical="center" wrapText="1"/>
    </xf>
    <xf numFmtId="0" fontId="12" fillId="47" borderId="9" xfId="52" applyFill="1">
      <alignment horizontal="center" vertical="center" wrapText="1"/>
    </xf>
    <xf numFmtId="0" fontId="12" fillId="46" borderId="9" xfId="52" applyFill="1">
      <alignment horizontal="center" vertical="center" wrapText="1"/>
    </xf>
    <xf numFmtId="4" fontId="8" fillId="47" borderId="9" xfId="59" applyFill="1">
      <alignment horizontal="right" vertical="center"/>
    </xf>
    <xf numFmtId="1" fontId="8" fillId="51" borderId="9" xfId="55" applyFill="1">
      <alignment horizontal="right" vertical="center"/>
    </xf>
    <xf numFmtId="164" fontId="7" fillId="0" borderId="0" xfId="0" applyNumberFormat="1" applyFont="1" applyAlignment="1">
      <alignment horizontal="right" vertical="top" shrinkToFit="1"/>
    </xf>
    <xf numFmtId="3" fontId="3" fillId="0" borderId="9" xfId="65">
      <alignment horizontal="left" vertical="center"/>
    </xf>
    <xf numFmtId="0" fontId="1" fillId="0" borderId="0" xfId="1" applyFont="1" applyBorder="1"/>
    <xf numFmtId="1" fontId="8" fillId="54" borderId="9" xfId="55" applyFill="1">
      <alignment horizontal="right" vertical="center"/>
    </xf>
    <xf numFmtId="0" fontId="30" fillId="56" borderId="9" xfId="0" applyNumberFormat="1" applyFont="1" applyFill="1" applyBorder="1" applyAlignment="1">
      <alignment horizontal="center" vertical="center" wrapText="1"/>
    </xf>
    <xf numFmtId="3" fontId="33" fillId="56" borderId="9" xfId="0" applyFont="1" applyFill="1" applyBorder="1">
      <alignment horizontal="right" vertical="center"/>
    </xf>
    <xf numFmtId="1" fontId="8" fillId="54" borderId="9" xfId="55" applyFill="1" applyBorder="1">
      <alignment horizontal="right" vertical="center"/>
    </xf>
    <xf numFmtId="1" fontId="8" fillId="12" borderId="10" xfId="55" applyFill="1" applyBorder="1">
      <alignment horizontal="right" vertical="center"/>
    </xf>
    <xf numFmtId="1" fontId="8" fillId="12" borderId="9" xfId="55" applyFill="1" applyBorder="1">
      <alignment horizontal="right" vertical="center"/>
    </xf>
    <xf numFmtId="167" fontId="14" fillId="11" borderId="0" xfId="64" applyBorder="1">
      <alignment vertical="center"/>
    </xf>
    <xf numFmtId="1" fontId="8" fillId="12" borderId="0" xfId="55" applyFill="1" applyBorder="1">
      <alignment horizontal="right" vertical="center"/>
    </xf>
    <xf numFmtId="3" fontId="0" fillId="0" borderId="0" xfId="0">
      <alignment horizontal="right" vertical="center"/>
    </xf>
    <xf numFmtId="1" fontId="12" fillId="0" borderId="0" xfId="3" applyFont="1" applyBorder="1" applyAlignment="1">
      <alignment horizontal="left" vertical="top" wrapText="1"/>
    </xf>
    <xf numFmtId="1" fontId="12" fillId="0" borderId="0" xfId="3" applyFont="1" applyBorder="1" applyAlignment="1">
      <alignment horizontal="left" vertical="top"/>
    </xf>
    <xf numFmtId="0" fontId="8" fillId="0" borderId="0" xfId="1" applyAlignment="1">
      <alignment horizontal="right" vertical="center"/>
    </xf>
    <xf numFmtId="3" fontId="12" fillId="0" borderId="0" xfId="0" applyFont="1" applyAlignment="1">
      <alignment horizontal="center" vertical="top" wrapText="1"/>
    </xf>
    <xf numFmtId="0" fontId="8" fillId="0" borderId="0" xfId="1" applyAlignment="1">
      <alignment horizontal="center" vertical="center"/>
    </xf>
    <xf numFmtId="1" fontId="12" fillId="0" borderId="0" xfId="3" applyFont="1" applyBorder="1" applyAlignment="1">
      <alignment horizontal="center" vertical="top" wrapText="1"/>
    </xf>
    <xf numFmtId="0" fontId="4" fillId="0" borderId="0" xfId="56" applyFill="1">
      <alignment vertical="center"/>
    </xf>
    <xf numFmtId="0" fontId="12" fillId="0" borderId="10" xfId="52" applyFill="1" applyBorder="1">
      <alignment horizontal="center" vertical="center" wrapText="1"/>
    </xf>
    <xf numFmtId="4" fontId="8" fillId="46" borderId="9" xfId="59" applyFill="1">
      <alignment horizontal="right" vertical="center"/>
    </xf>
    <xf numFmtId="1" fontId="8" fillId="46" borderId="9" xfId="55" applyFill="1">
      <alignment horizontal="right" vertical="center"/>
    </xf>
    <xf numFmtId="1" fontId="14" fillId="11" borderId="9" xfId="4" applyBorder="1">
      <alignment vertical="center"/>
    </xf>
    <xf numFmtId="3" fontId="10" fillId="0" borderId="0" xfId="0" applyFont="1" applyFill="1" applyAlignment="1">
      <alignment horizontal="center"/>
    </xf>
    <xf numFmtId="4" fontId="10" fillId="0" borderId="0" xfId="0" applyNumberFormat="1" applyFont="1" applyFill="1">
      <alignment horizontal="right" vertical="center"/>
    </xf>
    <xf numFmtId="0" fontId="12" fillId="0" borderId="9" xfId="52" applyFill="1" applyBorder="1">
      <alignment horizontal="center" vertical="center" wrapText="1"/>
    </xf>
    <xf numFmtId="3" fontId="10" fillId="0" borderId="0" xfId="0" applyFont="1" applyFill="1">
      <alignment horizontal="right" vertical="center"/>
    </xf>
    <xf numFmtId="0" fontId="8" fillId="0" borderId="0" xfId="1" applyFont="1"/>
    <xf numFmtId="0" fontId="12" fillId="0" borderId="9" xfId="51" applyFont="1">
      <alignment horizontal="left" vertical="center" wrapText="1"/>
    </xf>
    <xf numFmtId="3" fontId="0" fillId="0" borderId="0" xfId="0" applyFont="1">
      <alignment horizontal="right" vertical="center"/>
    </xf>
    <xf numFmtId="0" fontId="30" fillId="59" borderId="9" xfId="0" applyNumberFormat="1" applyFont="1" applyFill="1" applyBorder="1" applyAlignment="1">
      <alignment horizontal="center" vertical="center" wrapText="1"/>
    </xf>
    <xf numFmtId="3" fontId="0" fillId="0" borderId="0" xfId="0">
      <alignment horizontal="right" vertical="center"/>
    </xf>
    <xf numFmtId="1" fontId="8" fillId="58" borderId="9" xfId="55" applyFill="1">
      <alignment horizontal="right" vertical="center"/>
    </xf>
    <xf numFmtId="1" fontId="33" fillId="58" borderId="9" xfId="0" applyNumberFormat="1" applyFont="1" applyFill="1" applyBorder="1">
      <alignment horizontal="right" vertical="center"/>
    </xf>
    <xf numFmtId="3" fontId="34" fillId="0" borderId="0" xfId="0" applyFont="1" applyAlignment="1">
      <alignment horizontal="center" vertical="top"/>
    </xf>
    <xf numFmtId="3" fontId="34" fillId="0" borderId="0" xfId="0" applyFont="1" applyAlignment="1">
      <alignment horizontal="left" vertical="top"/>
    </xf>
    <xf numFmtId="3" fontId="0" fillId="0" borderId="0" xfId="0">
      <alignment horizontal="right" vertical="center"/>
    </xf>
    <xf numFmtId="3" fontId="0" fillId="0" borderId="0" xfId="0" applyAlignment="1"/>
    <xf numFmtId="3" fontId="8" fillId="0" borderId="0" xfId="0" applyFont="1" applyAlignment="1"/>
    <xf numFmtId="3" fontId="0" fillId="0" borderId="0" xfId="0">
      <alignment horizontal="right" vertical="center"/>
    </xf>
    <xf numFmtId="3" fontId="8" fillId="0" borderId="0" xfId="0" applyFont="1">
      <alignment horizontal="right" vertical="center"/>
    </xf>
    <xf numFmtId="3" fontId="8" fillId="2" borderId="0" xfId="0" applyFont="1" applyFill="1" applyAlignment="1"/>
    <xf numFmtId="3" fontId="8" fillId="3" borderId="0" xfId="0" applyFont="1" applyFill="1" applyAlignment="1"/>
    <xf numFmtId="3" fontId="8" fillId="4" borderId="0" xfId="0" applyFont="1" applyFill="1" applyAlignment="1"/>
    <xf numFmtId="1" fontId="8" fillId="0" borderId="0" xfId="1" applyNumberFormat="1" applyAlignment="1">
      <alignment horizontal="center"/>
    </xf>
    <xf numFmtId="49" fontId="13" fillId="0" borderId="0" xfId="1" applyNumberFormat="1" applyFont="1" applyAlignment="1">
      <alignment horizontal="left"/>
    </xf>
    <xf numFmtId="0" fontId="13" fillId="0" borderId="0" xfId="1" applyFont="1" applyAlignment="1">
      <alignment horizontal="left"/>
    </xf>
    <xf numFmtId="0" fontId="3" fillId="0" borderId="0" xfId="1" applyFont="1"/>
    <xf numFmtId="3" fontId="35" fillId="0" borderId="0" xfId="0" applyFont="1">
      <alignment horizontal="right" vertical="center"/>
    </xf>
    <xf numFmtId="0" fontId="12" fillId="8" borderId="9" xfId="51" applyFill="1">
      <alignment horizontal="left" vertical="center" wrapText="1"/>
    </xf>
    <xf numFmtId="0" fontId="12" fillId="10" borderId="9" xfId="51" applyFill="1">
      <alignment horizontal="left" vertical="center" wrapText="1"/>
    </xf>
    <xf numFmtId="0" fontId="12" fillId="7" borderId="9" xfId="51" applyFill="1">
      <alignment horizontal="left" vertical="center" wrapText="1"/>
    </xf>
    <xf numFmtId="0" fontId="12" fillId="9" borderId="9" xfId="51" applyFill="1">
      <alignment horizontal="left" vertical="center" wrapText="1"/>
    </xf>
    <xf numFmtId="0" fontId="8" fillId="6" borderId="0" xfId="1" applyFill="1"/>
    <xf numFmtId="0" fontId="12" fillId="13" borderId="9" xfId="51" applyFill="1">
      <alignment horizontal="left" vertical="center" wrapText="1"/>
    </xf>
    <xf numFmtId="0" fontId="8" fillId="45" borderId="0" xfId="1" applyFill="1"/>
    <xf numFmtId="3" fontId="13" fillId="0" borderId="0" xfId="0" applyFont="1" applyAlignment="1">
      <alignment horizontal="left" vertical="center"/>
    </xf>
    <xf numFmtId="0" fontId="12" fillId="46" borderId="9" xfId="51" applyFill="1">
      <alignment horizontal="left" vertical="center" wrapText="1"/>
    </xf>
    <xf numFmtId="0" fontId="12" fillId="47" borderId="9" xfId="51" applyFill="1">
      <alignment horizontal="left" vertical="center" wrapText="1"/>
    </xf>
    <xf numFmtId="0" fontId="12" fillId="48" borderId="9" xfId="51" applyFill="1">
      <alignment horizontal="left" vertical="center" wrapText="1"/>
    </xf>
    <xf numFmtId="0" fontId="12" fillId="49" borderId="9" xfId="51" applyFill="1">
      <alignment horizontal="left" vertical="center" wrapText="1"/>
    </xf>
    <xf numFmtId="0" fontId="12" fillId="50" borderId="9" xfId="51" applyFill="1">
      <alignment horizontal="left" vertical="center" wrapText="1"/>
    </xf>
    <xf numFmtId="0" fontId="12" fillId="0" borderId="9" xfId="52" applyAlignment="1">
      <alignment horizontal="center" vertical="top" wrapText="1"/>
    </xf>
    <xf numFmtId="0" fontId="12" fillId="0" borderId="9" xfId="51" applyAlignment="1">
      <alignment horizontal="left" vertical="top" wrapText="1"/>
    </xf>
    <xf numFmtId="0" fontId="12" fillId="53" borderId="9" xfId="51" applyFill="1">
      <alignment horizontal="left" vertical="center" wrapText="1"/>
    </xf>
    <xf numFmtId="0" fontId="12" fillId="58" borderId="9" xfId="51" applyFill="1">
      <alignment horizontal="left" vertical="center" wrapText="1"/>
    </xf>
    <xf numFmtId="0" fontId="12" fillId="60" borderId="9" xfId="51" applyFill="1" applyAlignment="1">
      <alignment horizontal="left" vertical="top" wrapText="1"/>
    </xf>
    <xf numFmtId="0" fontId="12" fillId="54" borderId="9" xfId="51" applyFill="1">
      <alignment horizontal="left" vertical="center" wrapText="1"/>
    </xf>
    <xf numFmtId="0" fontId="12" fillId="55" borderId="9" xfId="51" applyFill="1">
      <alignment horizontal="left" vertical="center" wrapText="1"/>
    </xf>
    <xf numFmtId="0" fontId="12" fillId="57" borderId="9" xfId="51" applyFill="1">
      <alignment horizontal="left" vertical="center" wrapText="1"/>
    </xf>
    <xf numFmtId="0" fontId="12" fillId="61" borderId="9" xfId="51" applyFill="1">
      <alignment horizontal="left" vertical="center" wrapText="1"/>
    </xf>
    <xf numFmtId="4" fontId="8" fillId="0" borderId="0" xfId="59" applyBorder="1">
      <alignment horizontal="right" vertical="center"/>
    </xf>
    <xf numFmtId="4" fontId="8" fillId="61" borderId="9" xfId="59" applyFill="1">
      <alignment horizontal="right" vertical="center"/>
    </xf>
    <xf numFmtId="0" fontId="12" fillId="63" borderId="9" xfId="51" applyFill="1">
      <alignment horizontal="left" vertical="center" wrapText="1"/>
    </xf>
    <xf numFmtId="4" fontId="8" fillId="63" borderId="9" xfId="59" applyFill="1">
      <alignment horizontal="right" vertical="center"/>
    </xf>
    <xf numFmtId="0" fontId="4" fillId="0" borderId="0" xfId="1" applyFont="1" applyFill="1"/>
    <xf numFmtId="0" fontId="12" fillId="64" borderId="9" xfId="52" applyFill="1">
      <alignment horizontal="center" vertical="center" wrapText="1"/>
    </xf>
    <xf numFmtId="1" fontId="8" fillId="64" borderId="9" xfId="55" applyFill="1">
      <alignment horizontal="right" vertical="center"/>
    </xf>
    <xf numFmtId="4" fontId="8" fillId="64" borderId="9" xfId="59" applyFill="1">
      <alignment horizontal="right" vertical="center"/>
    </xf>
    <xf numFmtId="3" fontId="37" fillId="0" borderId="12" xfId="0" applyFont="1" applyBorder="1" applyAlignment="1">
      <alignment horizontal="center" vertical="top" wrapText="1"/>
    </xf>
    <xf numFmtId="1" fontId="37" fillId="0" borderId="12" xfId="0" applyNumberFormat="1" applyFont="1" applyBorder="1" applyAlignment="1">
      <alignment horizontal="right" vertical="top" shrinkToFit="1"/>
    </xf>
    <xf numFmtId="0" fontId="30" fillId="0" borderId="9" xfId="0" applyNumberFormat="1" applyFont="1" applyBorder="1" applyAlignment="1">
      <alignment horizontal="left" vertical="center" wrapText="1"/>
    </xf>
    <xf numFmtId="1" fontId="8" fillId="0" borderId="9" xfId="55" applyBorder="1">
      <alignment horizontal="right" vertical="center"/>
    </xf>
    <xf numFmtId="0" fontId="12" fillId="60" borderId="9" xfId="52" applyFill="1">
      <alignment horizontal="center" vertical="center" wrapText="1"/>
    </xf>
    <xf numFmtId="0" fontId="12" fillId="64" borderId="9" xfId="51" applyFill="1" applyAlignment="1">
      <alignment horizontal="left" vertical="top" wrapText="1"/>
    </xf>
    <xf numFmtId="0" fontId="12" fillId="65" borderId="9" xfId="51" applyFill="1">
      <alignment horizontal="left" vertical="center" wrapText="1"/>
    </xf>
    <xf numFmtId="0" fontId="12" fillId="62" borderId="9" xfId="51" applyFill="1">
      <alignment horizontal="left" vertical="center" wrapText="1"/>
    </xf>
    <xf numFmtId="1" fontId="8" fillId="65" borderId="9" xfId="55" applyFill="1">
      <alignment horizontal="right" vertical="center"/>
    </xf>
    <xf numFmtId="4" fontId="8" fillId="65" borderId="9" xfId="59" applyFill="1">
      <alignment horizontal="right" vertical="center"/>
    </xf>
    <xf numFmtId="10" fontId="30" fillId="62" borderId="9" xfId="50" applyFill="1">
      <alignment horizontal="right" vertical="center"/>
    </xf>
    <xf numFmtId="10" fontId="30" fillId="0" borderId="9" xfId="50" applyFill="1">
      <alignment horizontal="right" vertical="center"/>
    </xf>
    <xf numFmtId="10" fontId="30" fillId="0" borderId="9" xfId="50" applyFill="1" applyAlignment="1">
      <alignment horizontal="left" vertical="center"/>
    </xf>
    <xf numFmtId="0" fontId="12" fillId="0" borderId="9" xfId="52" applyAlignment="1">
      <alignment horizontal="center" vertical="center" wrapText="1"/>
    </xf>
    <xf numFmtId="4" fontId="8" fillId="62" borderId="9" xfId="59" applyFill="1">
      <alignment horizontal="right" vertical="center"/>
    </xf>
    <xf numFmtId="10" fontId="8" fillId="62" borderId="9" xfId="61" applyFill="1" applyAlignment="1">
      <alignment horizontal="right" vertical="center"/>
    </xf>
    <xf numFmtId="3" fontId="0" fillId="0" borderId="0" xfId="0" applyFill="1" applyAlignment="1">
      <alignment horizontal="center"/>
    </xf>
    <xf numFmtId="3" fontId="8" fillId="0" borderId="0" xfId="0" applyFont="1" applyFill="1">
      <alignment horizontal="right" vertical="center"/>
    </xf>
    <xf numFmtId="0" fontId="1" fillId="0" borderId="0" xfId="1" applyFont="1" applyFill="1" applyAlignment="1">
      <alignment horizontal="center"/>
    </xf>
    <xf numFmtId="167" fontId="14" fillId="0" borderId="9" xfId="64" applyFill="1">
      <alignment vertical="center"/>
    </xf>
    <xf numFmtId="1" fontId="7" fillId="0" borderId="0" xfId="0" applyNumberFormat="1" applyFont="1" applyAlignment="1">
      <alignment horizontal="right" vertical="top" shrinkToFit="1"/>
    </xf>
    <xf numFmtId="3" fontId="0" fillId="0" borderId="0" xfId="0">
      <alignment horizontal="right" vertical="center"/>
    </xf>
    <xf numFmtId="4" fontId="8" fillId="0" borderId="9" xfId="59" quotePrefix="1" applyFill="1">
      <alignment horizontal="right" vertical="center"/>
    </xf>
    <xf numFmtId="3" fontId="8" fillId="0" borderId="9" xfId="66">
      <alignment horizontal="right" vertical="center"/>
    </xf>
    <xf numFmtId="3" fontId="8" fillId="0" borderId="9" xfId="66" applyFill="1">
      <alignment horizontal="right" vertical="center"/>
    </xf>
    <xf numFmtId="165" fontId="8" fillId="66" borderId="9" xfId="58" applyFill="1">
      <alignment horizontal="right" vertical="center"/>
    </xf>
    <xf numFmtId="1" fontId="14" fillId="11" borderId="9" xfId="68">
      <alignment vertical="center"/>
    </xf>
    <xf numFmtId="3" fontId="8" fillId="67" borderId="9" xfId="66" applyFill="1">
      <alignment horizontal="right" vertical="center"/>
    </xf>
    <xf numFmtId="0" fontId="12" fillId="67" borderId="9" xfId="51" applyFill="1">
      <alignment horizontal="left" vertical="center" wrapText="1"/>
    </xf>
    <xf numFmtId="0" fontId="12" fillId="66" borderId="9" xfId="51" applyFill="1">
      <alignment horizontal="left" vertical="center" wrapText="1"/>
    </xf>
    <xf numFmtId="0" fontId="12" fillId="68" borderId="9" xfId="51" applyFill="1">
      <alignment horizontal="left" vertical="center" wrapText="1"/>
    </xf>
    <xf numFmtId="0" fontId="12" fillId="69" borderId="9" xfId="51" applyFill="1">
      <alignment horizontal="left" vertical="center" wrapText="1"/>
    </xf>
    <xf numFmtId="0" fontId="12" fillId="70" borderId="9" xfId="51" applyFill="1">
      <alignment horizontal="left" vertical="center" wrapText="1"/>
    </xf>
    <xf numFmtId="4" fontId="8" fillId="66" borderId="9" xfId="59" applyFill="1">
      <alignment horizontal="right" vertical="center"/>
    </xf>
    <xf numFmtId="4" fontId="8" fillId="68" borderId="9" xfId="59" quotePrefix="1" applyFill="1">
      <alignment horizontal="right" vertical="center"/>
    </xf>
    <xf numFmtId="3" fontId="8" fillId="0" borderId="9" xfId="66" quotePrefix="1">
      <alignment horizontal="right" vertical="center"/>
    </xf>
    <xf numFmtId="3" fontId="8" fillId="57" borderId="9" xfId="66" applyFill="1">
      <alignment horizontal="right" vertical="center"/>
    </xf>
    <xf numFmtId="168" fontId="8" fillId="0" borderId="9" xfId="67">
      <alignment horizontal="right" vertical="center"/>
    </xf>
    <xf numFmtId="0" fontId="12" fillId="6" borderId="9" xfId="51" applyFill="1">
      <alignment horizontal="left" vertical="center" wrapText="1"/>
    </xf>
    <xf numFmtId="10" fontId="12" fillId="0" borderId="9" xfId="52" applyNumberFormat="1" applyFill="1" applyAlignment="1">
      <alignment horizontal="right" vertical="center" wrapText="1"/>
    </xf>
    <xf numFmtId="14" fontId="38" fillId="0" borderId="0" xfId="0" applyNumberFormat="1" applyFont="1" applyAlignment="1">
      <alignment vertical="center"/>
    </xf>
    <xf numFmtId="1" fontId="38" fillId="0" borderId="0" xfId="0" applyNumberFormat="1" applyFont="1" applyAlignment="1">
      <alignment vertical="center" wrapText="1"/>
    </xf>
    <xf numFmtId="2" fontId="14" fillId="0" borderId="9" xfId="62" applyFill="1">
      <alignment vertical="center"/>
    </xf>
    <xf numFmtId="3" fontId="8" fillId="0" borderId="0" xfId="1" applyNumberFormat="1"/>
    <xf numFmtId="3" fontId="4" fillId="0" borderId="0" xfId="0" applyFont="1" applyAlignment="1"/>
    <xf numFmtId="0" fontId="39" fillId="0" borderId="0" xfId="1" applyFont="1" applyAlignment="1">
      <alignment horizontal="center" vertical="center"/>
    </xf>
    <xf numFmtId="14" fontId="38" fillId="0" borderId="0" xfId="0" applyNumberFormat="1" applyFont="1" applyFill="1" applyAlignment="1">
      <alignment vertical="center"/>
    </xf>
    <xf numFmtId="0" fontId="12" fillId="0" borderId="9" xfId="51" applyFill="1" applyAlignment="1">
      <alignment horizontal="center" vertical="center" wrapText="1"/>
    </xf>
    <xf numFmtId="1" fontId="38" fillId="0" borderId="0" xfId="0" applyNumberFormat="1" applyFont="1" applyFill="1" applyAlignment="1">
      <alignment vertical="center" wrapText="1"/>
    </xf>
    <xf numFmtId="3" fontId="3" fillId="0" borderId="0" xfId="53" applyFill="1" applyAlignment="1">
      <alignment horizontal="center" vertical="center"/>
    </xf>
    <xf numFmtId="1" fontId="29" fillId="4" borderId="9" xfId="3" applyFill="1" applyAlignment="1">
      <alignment horizontal="center" vertical="center" wrapText="1"/>
    </xf>
    <xf numFmtId="1" fontId="29" fillId="0" borderId="9" xfId="3" applyFill="1" applyAlignment="1">
      <alignment horizontal="center" vertical="center" wrapText="1"/>
    </xf>
    <xf numFmtId="1" fontId="6" fillId="0" borderId="0" xfId="3" applyFont="1" applyFill="1" applyBorder="1" applyAlignment="1">
      <alignment horizontal="center" vertical="top" wrapText="1"/>
    </xf>
    <xf numFmtId="3" fontId="0" fillId="0" borderId="0" xfId="0" applyFill="1" applyAlignment="1">
      <alignment horizontal="center" vertical="center"/>
    </xf>
    <xf numFmtId="1" fontId="12" fillId="0" borderId="0" xfId="3" applyFont="1" applyFill="1" applyBorder="1" applyAlignment="1">
      <alignment horizontal="center" vertical="top" wrapText="1"/>
    </xf>
    <xf numFmtId="3" fontId="8" fillId="0" borderId="0" xfId="0" applyFont="1" applyFill="1" applyAlignment="1">
      <alignment horizontal="center"/>
    </xf>
    <xf numFmtId="4" fontId="8" fillId="54" borderId="9" xfId="59" applyFill="1" applyBorder="1">
      <alignment horizontal="right" vertical="center"/>
    </xf>
    <xf numFmtId="1" fontId="8" fillId="60" borderId="9" xfId="55" applyFill="1" applyBorder="1">
      <alignment horizontal="right" vertical="center"/>
    </xf>
    <xf numFmtId="0" fontId="30" fillId="0" borderId="9" xfId="0" applyNumberFormat="1" applyFont="1" applyBorder="1" applyAlignment="1">
      <alignment horizontal="center" vertical="center" wrapText="1"/>
    </xf>
    <xf numFmtId="0" fontId="4" fillId="0" borderId="0" xfId="69">
      <alignment vertical="center"/>
    </xf>
    <xf numFmtId="0" fontId="12" fillId="46" borderId="0" xfId="52" applyFill="1" applyBorder="1">
      <alignment horizontal="center" vertical="center" wrapText="1"/>
    </xf>
    <xf numFmtId="0" fontId="12" fillId="0" borderId="0" xfId="52" applyFill="1" applyBorder="1">
      <alignment horizontal="center" vertical="center" wrapText="1"/>
    </xf>
    <xf numFmtId="0" fontId="12" fillId="46" borderId="9" xfId="52" applyFill="1" applyBorder="1">
      <alignment horizontal="center" vertical="center" wrapText="1"/>
    </xf>
    <xf numFmtId="3" fontId="0" fillId="0" borderId="0" xfId="0" applyBorder="1">
      <alignment horizontal="right" vertical="center"/>
    </xf>
    <xf numFmtId="0" fontId="12" fillId="0" borderId="9" xfId="51" applyBorder="1">
      <alignment horizontal="left" vertical="center" wrapText="1"/>
    </xf>
    <xf numFmtId="0" fontId="30" fillId="59" borderId="9" xfId="0" quotePrefix="1" applyNumberFormat="1" applyFont="1" applyFill="1" applyBorder="1" applyAlignment="1">
      <alignment horizontal="center" vertical="center" wrapText="1"/>
    </xf>
    <xf numFmtId="169" fontId="8" fillId="0" borderId="9" xfId="70">
      <alignment horizontal="right" vertical="center"/>
    </xf>
    <xf numFmtId="0" fontId="12" fillId="69" borderId="9" xfId="52" applyFill="1">
      <alignment horizontal="center" vertical="center" wrapText="1"/>
    </xf>
    <xf numFmtId="167" fontId="14" fillId="11" borderId="9" xfId="64" applyBorder="1">
      <alignment vertical="center"/>
    </xf>
    <xf numFmtId="1" fontId="8" fillId="70" borderId="9" xfId="55" applyFill="1">
      <alignment horizontal="right" vertical="center"/>
    </xf>
    <xf numFmtId="3" fontId="8" fillId="70" borderId="9" xfId="66" applyFill="1">
      <alignment horizontal="right" vertical="center"/>
    </xf>
    <xf numFmtId="1" fontId="8" fillId="0" borderId="9" xfId="55" applyFill="1" applyBorder="1">
      <alignment horizontal="right" vertical="center"/>
    </xf>
    <xf numFmtId="3" fontId="8" fillId="71" borderId="9" xfId="66" applyFill="1">
      <alignment horizontal="right" vertical="center"/>
    </xf>
    <xf numFmtId="0" fontId="12" fillId="71" borderId="9" xfId="51" applyFill="1">
      <alignment horizontal="left" vertical="center" wrapText="1"/>
    </xf>
    <xf numFmtId="4" fontId="8" fillId="9" borderId="0" xfId="59" applyFill="1" applyBorder="1">
      <alignment horizontal="right" vertical="center"/>
    </xf>
    <xf numFmtId="1" fontId="8" fillId="58" borderId="10" xfId="55" applyFill="1" applyBorder="1">
      <alignment horizontal="right" vertical="center"/>
    </xf>
    <xf numFmtId="4" fontId="33" fillId="8" borderId="0" xfId="0" applyNumberFormat="1" applyFont="1" applyFill="1" applyBorder="1">
      <alignment horizontal="right" vertical="center"/>
    </xf>
    <xf numFmtId="10" fontId="8" fillId="2" borderId="9" xfId="61" applyFill="1" applyAlignment="1">
      <alignment horizontal="right" vertical="center"/>
    </xf>
    <xf numFmtId="0" fontId="12" fillId="2" borderId="9" xfId="51" applyFill="1">
      <alignment horizontal="left" vertical="center" wrapText="1"/>
    </xf>
    <xf numFmtId="10" fontId="8" fillId="72" borderId="9" xfId="61" applyFill="1" applyAlignment="1">
      <alignment horizontal="right" vertical="center"/>
    </xf>
    <xf numFmtId="0" fontId="12" fillId="72" borderId="9" xfId="51" applyFill="1">
      <alignment horizontal="left" vertical="center" wrapText="1"/>
    </xf>
    <xf numFmtId="3" fontId="35" fillId="2" borderId="0" xfId="0" applyFont="1" applyFill="1">
      <alignment horizontal="right" vertical="center"/>
    </xf>
  </cellXfs>
  <cellStyles count="71">
    <cellStyle name="20% - Accent1" xfId="27" builtinId="30" hidden="1" customBuiltin="1"/>
    <cellStyle name="20% - Accent2" xfId="31" builtinId="34" hidden="1"/>
    <cellStyle name="20% - Accent3" xfId="35" builtinId="38" hidden="1"/>
    <cellStyle name="20% - Accent4" xfId="39" builtinId="42" hidden="1"/>
    <cellStyle name="20% - Accent5" xfId="43" builtinId="46" hidden="1"/>
    <cellStyle name="20% - Accent6" xfId="47" builtinId="50" hidden="1"/>
    <cellStyle name="40% - Accent1" xfId="28" builtinId="31" hidden="1"/>
    <cellStyle name="40% - Accent2" xfId="32" builtinId="35" hidden="1"/>
    <cellStyle name="40% - Accent3" xfId="36" builtinId="39" hidden="1"/>
    <cellStyle name="40% - Accent4" xfId="40" builtinId="43" hidden="1"/>
    <cellStyle name="40% - Accent5" xfId="44" builtinId="47" hidden="1"/>
    <cellStyle name="40% - Accent6" xfId="48" builtinId="51" hidden="1"/>
    <cellStyle name="60% - Accent1" xfId="29" builtinId="32" hidden="1"/>
    <cellStyle name="60% - Accent2" xfId="33" builtinId="36" hidden="1"/>
    <cellStyle name="60% - Accent3" xfId="37" builtinId="40" hidden="1"/>
    <cellStyle name="60% - Accent4" xfId="41" builtinId="44" hidden="1"/>
    <cellStyle name="60% - Accent5" xfId="45" builtinId="48" hidden="1"/>
    <cellStyle name="60% - Accent6" xfId="49" builtinId="52" hidden="1"/>
    <cellStyle name="Accent1" xfId="26" builtinId="29" hidden="1"/>
    <cellStyle name="Accent2" xfId="30" builtinId="33" hidden="1"/>
    <cellStyle name="Accent3" xfId="34" builtinId="37" hidden="1"/>
    <cellStyle name="Accent4" xfId="38" builtinId="41" hidden="1"/>
    <cellStyle name="Accent5" xfId="42" builtinId="45" hidden="1"/>
    <cellStyle name="Accent6" xfId="46" builtinId="49" hidden="1"/>
    <cellStyle name="Bad" xfId="17" builtinId="27" hidden="1"/>
    <cellStyle name="Calculation" xfId="63" builtinId="22" customBuiltin="1"/>
    <cellStyle name="Check Cell" xfId="22" builtinId="23" customBuiltin="1"/>
    <cellStyle name="Comma" xfId="6" builtinId="3" hidden="1"/>
    <cellStyle name="Comma [0]" xfId="7" builtinId="6" hidden="1"/>
    <cellStyle name="Currency" xfId="8" builtinId="4" hidden="1"/>
    <cellStyle name="Currency [0]" xfId="9" builtinId="7" hidden="1"/>
    <cellStyle name="Decimal-1" xfId="67" xr:uid="{6BF705F1-AEAE-9B46-8D2D-B73DC6962BEE}"/>
    <cellStyle name="Decimal-10" xfId="70" xr:uid="{876C627C-1062-EE40-8A07-AF58F09A6BF1}"/>
    <cellStyle name="Decimal-2" xfId="59" xr:uid="{E3DF7D8A-24C8-9B43-8183-47211BB5BB26}"/>
    <cellStyle name="Decimal-4" xfId="58" xr:uid="{61089841-26B2-EA43-9BE6-EB656D0B07DF}"/>
    <cellStyle name="Decimal-6" xfId="60" xr:uid="{CF87B222-9E98-8449-8833-C80CFBA6BF5F}"/>
    <cellStyle name="Estimated" xfId="4" xr:uid="{38062CB6-EF4B-CF41-85AF-D72FF9707668}"/>
    <cellStyle name="Estimated 2" xfId="62" xr:uid="{E31058D6-CE7B-BA4B-B09B-85874C3751E8}"/>
    <cellStyle name="Estimated 3" xfId="68" xr:uid="{F5AEAC3E-AC3A-0A41-AB65-20062ADB5DF2}"/>
    <cellStyle name="Estimated 4" xfId="64" xr:uid="{A6C96803-86CD-8447-8003-CF831B7FA96F}"/>
    <cellStyle name="Explanatory Text" xfId="24" builtinId="53" hidden="1"/>
    <cellStyle name="Good" xfId="16" builtinId="26" hidden="1"/>
    <cellStyle name="Heading 1" xfId="12" builtinId="16" hidden="1"/>
    <cellStyle name="Heading 2" xfId="13" builtinId="17" hidden="1"/>
    <cellStyle name="Heading 3" xfId="14" builtinId="18" hidden="1"/>
    <cellStyle name="Heading 4" xfId="15" builtinId="19" hidden="1"/>
    <cellStyle name="Hyperlink" xfId="2" builtinId="8" hidden="1"/>
    <cellStyle name="Hyperlink" xfId="54" builtinId="8" hidden="1"/>
    <cellStyle name="Input" xfId="19" builtinId="20" hidden="1"/>
    <cellStyle name="Linked Cell" xfId="21" builtinId="24" hidden="1"/>
    <cellStyle name="Neutral" xfId="18" builtinId="28" hidden="1"/>
    <cellStyle name="Normal" xfId="0" builtinId="0" customBuiltin="1"/>
    <cellStyle name="Normal 2" xfId="1" xr:uid="{6518068D-7F63-BB47-8624-9E754A647162}"/>
    <cellStyle name="Normal 3" xfId="3" xr:uid="{FD7BBF8A-3A79-CC46-92E9-540F981CCC7D}"/>
    <cellStyle name="Note" xfId="23" builtinId="10" hidden="1"/>
    <cellStyle name="Number" xfId="55" xr:uid="{5C13E065-72F8-3E45-9DB1-A89D31B8B255}"/>
    <cellStyle name="Number 2" xfId="66" xr:uid="{28594EE0-18E9-294A-A9F4-4680161E77FE}"/>
    <cellStyle name="Output" xfId="20" builtinId="21" hidden="1"/>
    <cellStyle name="Percent" xfId="10" builtinId="5" hidden="1" customBuiltin="1"/>
    <cellStyle name="Percent" xfId="50" builtinId="5" customBuiltin="1"/>
    <cellStyle name="Percent-2" xfId="61" xr:uid="{9EB08211-E07D-AE44-A4CA-F9E2635F14CC}"/>
    <cellStyle name="Sub-title" xfId="56" xr:uid="{515D02F9-C424-0749-A2F2-AE42248D9FF3}"/>
    <cellStyle name="Sub-title 2 2" xfId="69" xr:uid="{D516ACAA-13FE-DE4E-8F6E-B4894DFD39D5}"/>
    <cellStyle name="Text Centre" xfId="52" xr:uid="{EF003E5B-098A-5F4E-91C9-5340529FBA44}"/>
    <cellStyle name="Text Left" xfId="51" xr:uid="{4561F0F6-4880-BA48-899A-5D67000CD77E}"/>
    <cellStyle name="Text Right" xfId="57" xr:uid="{30D929E0-F7E1-414C-82D5-3CF792823DD5}"/>
    <cellStyle name="Title" xfId="11" builtinId="15" hidden="1"/>
    <cellStyle name="Title" xfId="53" builtinId="15" customBuiltin="1"/>
    <cellStyle name="Title 2" xfId="65" xr:uid="{55A3F2A1-E597-A348-A706-BE1260A61A0B}"/>
    <cellStyle name="Total" xfId="25" builtinId="25" hidden="1"/>
    <cellStyle name="Warning Text" xfId="5" builtinId="11" hidden="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316</xdr:row>
      <xdr:rowOff>0</xdr:rowOff>
    </xdr:from>
    <xdr:to>
      <xdr:col>12</xdr:col>
      <xdr:colOff>5333</xdr:colOff>
      <xdr:row>316</xdr:row>
      <xdr:rowOff>169544</xdr:rowOff>
    </xdr:to>
    <xdr:sp macro="" textlink="">
      <xdr:nvSpPr>
        <xdr:cNvPr id="2" name="Shape 2">
          <a:extLst>
            <a:ext uri="{FF2B5EF4-FFF2-40B4-BE49-F238E27FC236}">
              <a16:creationId xmlns:a16="http://schemas.microsoft.com/office/drawing/2014/main" id="{C0071344-EA77-0443-A156-A761DF7CEBA9}"/>
            </a:ext>
          </a:extLst>
        </xdr:cNvPr>
        <xdr:cNvSpPr/>
      </xdr:nvSpPr>
      <xdr:spPr>
        <a:xfrm>
          <a:off x="13830300" y="8256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12</xdr:col>
      <xdr:colOff>0</xdr:colOff>
      <xdr:row>316</xdr:row>
      <xdr:rowOff>0</xdr:rowOff>
    </xdr:from>
    <xdr:to>
      <xdr:col>12</xdr:col>
      <xdr:colOff>5333</xdr:colOff>
      <xdr:row>317</xdr:row>
      <xdr:rowOff>108584</xdr:rowOff>
    </xdr:to>
    <xdr:sp macro="" textlink="">
      <xdr:nvSpPr>
        <xdr:cNvPr id="3" name="Shape 3">
          <a:extLst>
            <a:ext uri="{FF2B5EF4-FFF2-40B4-BE49-F238E27FC236}">
              <a16:creationId xmlns:a16="http://schemas.microsoft.com/office/drawing/2014/main" id="{364AC600-EE71-6C4D-8457-800D33FF4029}"/>
            </a:ext>
          </a:extLst>
        </xdr:cNvPr>
        <xdr:cNvSpPr/>
      </xdr:nvSpPr>
      <xdr:spPr>
        <a:xfrm>
          <a:off x="13830300" y="82562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12</xdr:col>
      <xdr:colOff>0</xdr:colOff>
      <xdr:row>400</xdr:row>
      <xdr:rowOff>0</xdr:rowOff>
    </xdr:from>
    <xdr:to>
      <xdr:col>12</xdr:col>
      <xdr:colOff>5333</xdr:colOff>
      <xdr:row>401</xdr:row>
      <xdr:rowOff>108584</xdr:rowOff>
    </xdr:to>
    <xdr:sp macro="" textlink="">
      <xdr:nvSpPr>
        <xdr:cNvPr id="4" name="Shape 4">
          <a:extLst>
            <a:ext uri="{FF2B5EF4-FFF2-40B4-BE49-F238E27FC236}">
              <a16:creationId xmlns:a16="http://schemas.microsoft.com/office/drawing/2014/main" id="{71E22EF0-465E-4342-958B-D769EBD2B60D}"/>
            </a:ext>
          </a:extLst>
        </xdr:cNvPr>
        <xdr:cNvSpPr/>
      </xdr:nvSpPr>
      <xdr:spPr>
        <a:xfrm>
          <a:off x="13830300" y="103898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12</xdr:col>
      <xdr:colOff>0</xdr:colOff>
      <xdr:row>400</xdr:row>
      <xdr:rowOff>0</xdr:rowOff>
    </xdr:from>
    <xdr:to>
      <xdr:col>12</xdr:col>
      <xdr:colOff>5333</xdr:colOff>
      <xdr:row>401</xdr:row>
      <xdr:rowOff>108584</xdr:rowOff>
    </xdr:to>
    <xdr:sp macro="" textlink="">
      <xdr:nvSpPr>
        <xdr:cNvPr id="5" name="Shape 5">
          <a:extLst>
            <a:ext uri="{FF2B5EF4-FFF2-40B4-BE49-F238E27FC236}">
              <a16:creationId xmlns:a16="http://schemas.microsoft.com/office/drawing/2014/main" id="{525C02FC-BE37-7040-8DA4-14508C08E70E}"/>
            </a:ext>
          </a:extLst>
        </xdr:cNvPr>
        <xdr:cNvSpPr/>
      </xdr:nvSpPr>
      <xdr:spPr>
        <a:xfrm>
          <a:off x="13830300" y="103898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12</xdr:col>
      <xdr:colOff>0</xdr:colOff>
      <xdr:row>707</xdr:row>
      <xdr:rowOff>0</xdr:rowOff>
    </xdr:from>
    <xdr:to>
      <xdr:col>12</xdr:col>
      <xdr:colOff>5333</xdr:colOff>
      <xdr:row>707</xdr:row>
      <xdr:rowOff>169544</xdr:rowOff>
    </xdr:to>
    <xdr:sp macro="" textlink="">
      <xdr:nvSpPr>
        <xdr:cNvPr id="6" name="Shape 6">
          <a:extLst>
            <a:ext uri="{FF2B5EF4-FFF2-40B4-BE49-F238E27FC236}">
              <a16:creationId xmlns:a16="http://schemas.microsoft.com/office/drawing/2014/main" id="{EC0572AC-1A11-4541-B833-23454116E39E}"/>
            </a:ext>
          </a:extLst>
        </xdr:cNvPr>
        <xdr:cNvSpPr/>
      </xdr:nvSpPr>
      <xdr:spPr>
        <a:xfrm>
          <a:off x="13830300" y="181876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12</xdr:col>
      <xdr:colOff>0</xdr:colOff>
      <xdr:row>707</xdr:row>
      <xdr:rowOff>0</xdr:rowOff>
    </xdr:from>
    <xdr:to>
      <xdr:col>12</xdr:col>
      <xdr:colOff>5333</xdr:colOff>
      <xdr:row>707</xdr:row>
      <xdr:rowOff>169544</xdr:rowOff>
    </xdr:to>
    <xdr:sp macro="" textlink="">
      <xdr:nvSpPr>
        <xdr:cNvPr id="7" name="Shape 7">
          <a:extLst>
            <a:ext uri="{FF2B5EF4-FFF2-40B4-BE49-F238E27FC236}">
              <a16:creationId xmlns:a16="http://schemas.microsoft.com/office/drawing/2014/main" id="{56DD64D5-5E67-6948-B5A4-577B467ECC73}"/>
            </a:ext>
          </a:extLst>
        </xdr:cNvPr>
        <xdr:cNvSpPr/>
      </xdr:nvSpPr>
      <xdr:spPr>
        <a:xfrm>
          <a:off x="13830300" y="181876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12</xdr:col>
      <xdr:colOff>0</xdr:colOff>
      <xdr:row>317</xdr:row>
      <xdr:rowOff>0</xdr:rowOff>
    </xdr:from>
    <xdr:ext cx="0" cy="169544"/>
    <xdr:sp macro="" textlink="">
      <xdr:nvSpPr>
        <xdr:cNvPr id="8" name="Shape 2">
          <a:extLst>
            <a:ext uri="{FF2B5EF4-FFF2-40B4-BE49-F238E27FC236}">
              <a16:creationId xmlns:a16="http://schemas.microsoft.com/office/drawing/2014/main" id="{4DE0649A-D253-0C43-9047-D45B21ED9A5E}"/>
            </a:ext>
          </a:extLst>
        </xdr:cNvPr>
        <xdr:cNvSpPr/>
      </xdr:nvSpPr>
      <xdr:spPr>
        <a:xfrm>
          <a:off x="13830300" y="8281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12</xdr:col>
      <xdr:colOff>0</xdr:colOff>
      <xdr:row>317</xdr:row>
      <xdr:rowOff>0</xdr:rowOff>
    </xdr:from>
    <xdr:ext cx="0" cy="337184"/>
    <xdr:sp macro="" textlink="">
      <xdr:nvSpPr>
        <xdr:cNvPr id="9" name="Shape 3">
          <a:extLst>
            <a:ext uri="{FF2B5EF4-FFF2-40B4-BE49-F238E27FC236}">
              <a16:creationId xmlns:a16="http://schemas.microsoft.com/office/drawing/2014/main" id="{D1F8D033-D9D9-DE42-9038-5100AF2A035A}"/>
            </a:ext>
          </a:extLst>
        </xdr:cNvPr>
        <xdr:cNvSpPr/>
      </xdr:nvSpPr>
      <xdr:spPr>
        <a:xfrm>
          <a:off x="13830300" y="82816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12</xdr:col>
      <xdr:colOff>0</xdr:colOff>
      <xdr:row>401</xdr:row>
      <xdr:rowOff>0</xdr:rowOff>
    </xdr:from>
    <xdr:ext cx="0" cy="337184"/>
    <xdr:sp macro="" textlink="">
      <xdr:nvSpPr>
        <xdr:cNvPr id="10" name="Shape 4">
          <a:extLst>
            <a:ext uri="{FF2B5EF4-FFF2-40B4-BE49-F238E27FC236}">
              <a16:creationId xmlns:a16="http://schemas.microsoft.com/office/drawing/2014/main" id="{B2703355-E18C-854F-BF4E-7B43DAA8E6C2}"/>
            </a:ext>
          </a:extLst>
        </xdr:cNvPr>
        <xdr:cNvSpPr/>
      </xdr:nvSpPr>
      <xdr:spPr>
        <a:xfrm>
          <a:off x="13830300" y="104152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12</xdr:col>
      <xdr:colOff>0</xdr:colOff>
      <xdr:row>401</xdr:row>
      <xdr:rowOff>0</xdr:rowOff>
    </xdr:from>
    <xdr:ext cx="0" cy="337184"/>
    <xdr:sp macro="" textlink="">
      <xdr:nvSpPr>
        <xdr:cNvPr id="11" name="Shape 5">
          <a:extLst>
            <a:ext uri="{FF2B5EF4-FFF2-40B4-BE49-F238E27FC236}">
              <a16:creationId xmlns:a16="http://schemas.microsoft.com/office/drawing/2014/main" id="{B34ECD18-4405-8D48-9D86-0F2CA66833BB}"/>
            </a:ext>
          </a:extLst>
        </xdr:cNvPr>
        <xdr:cNvSpPr/>
      </xdr:nvSpPr>
      <xdr:spPr>
        <a:xfrm>
          <a:off x="13830300" y="104152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12</xdr:col>
      <xdr:colOff>0</xdr:colOff>
      <xdr:row>404</xdr:row>
      <xdr:rowOff>0</xdr:rowOff>
    </xdr:from>
    <xdr:ext cx="0" cy="337184"/>
    <xdr:sp macro="" textlink="">
      <xdr:nvSpPr>
        <xdr:cNvPr id="12" name="Shape 4">
          <a:extLst>
            <a:ext uri="{FF2B5EF4-FFF2-40B4-BE49-F238E27FC236}">
              <a16:creationId xmlns:a16="http://schemas.microsoft.com/office/drawing/2014/main" id="{D180FC23-4FC7-384B-AE5A-F3D6FC2EF189}"/>
            </a:ext>
          </a:extLst>
        </xdr:cNvPr>
        <xdr:cNvSpPr/>
      </xdr:nvSpPr>
      <xdr:spPr>
        <a:xfrm>
          <a:off x="13830300" y="104914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12</xdr:col>
      <xdr:colOff>0</xdr:colOff>
      <xdr:row>404</xdr:row>
      <xdr:rowOff>0</xdr:rowOff>
    </xdr:from>
    <xdr:ext cx="0" cy="337184"/>
    <xdr:sp macro="" textlink="">
      <xdr:nvSpPr>
        <xdr:cNvPr id="13" name="Shape 5">
          <a:extLst>
            <a:ext uri="{FF2B5EF4-FFF2-40B4-BE49-F238E27FC236}">
              <a16:creationId xmlns:a16="http://schemas.microsoft.com/office/drawing/2014/main" id="{6938871A-7F67-8F4A-BE0C-7D38B958D4C9}"/>
            </a:ext>
          </a:extLst>
        </xdr:cNvPr>
        <xdr:cNvSpPr/>
      </xdr:nvSpPr>
      <xdr:spPr>
        <a:xfrm>
          <a:off x="13830300" y="104914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12</xdr:col>
      <xdr:colOff>0</xdr:colOff>
      <xdr:row>708</xdr:row>
      <xdr:rowOff>0</xdr:rowOff>
    </xdr:from>
    <xdr:ext cx="0" cy="169544"/>
    <xdr:sp macro="" textlink="">
      <xdr:nvSpPr>
        <xdr:cNvPr id="14" name="Shape 6">
          <a:extLst>
            <a:ext uri="{FF2B5EF4-FFF2-40B4-BE49-F238E27FC236}">
              <a16:creationId xmlns:a16="http://schemas.microsoft.com/office/drawing/2014/main" id="{53FBC709-3EE3-8141-B256-3793668D8D91}"/>
            </a:ext>
          </a:extLst>
        </xdr:cNvPr>
        <xdr:cNvSpPr/>
      </xdr:nvSpPr>
      <xdr:spPr>
        <a:xfrm>
          <a:off x="13830300" y="18213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12</xdr:col>
      <xdr:colOff>0</xdr:colOff>
      <xdr:row>708</xdr:row>
      <xdr:rowOff>0</xdr:rowOff>
    </xdr:from>
    <xdr:ext cx="0" cy="169544"/>
    <xdr:sp macro="" textlink="">
      <xdr:nvSpPr>
        <xdr:cNvPr id="15" name="Shape 7">
          <a:extLst>
            <a:ext uri="{FF2B5EF4-FFF2-40B4-BE49-F238E27FC236}">
              <a16:creationId xmlns:a16="http://schemas.microsoft.com/office/drawing/2014/main" id="{6B4802C9-7C25-8143-B79F-007030B14850}"/>
            </a:ext>
          </a:extLst>
        </xdr:cNvPr>
        <xdr:cNvSpPr/>
      </xdr:nvSpPr>
      <xdr:spPr>
        <a:xfrm>
          <a:off x="13830300" y="18213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12</xdr:col>
      <xdr:colOff>0</xdr:colOff>
      <xdr:row>709</xdr:row>
      <xdr:rowOff>0</xdr:rowOff>
    </xdr:from>
    <xdr:ext cx="0" cy="169544"/>
    <xdr:sp macro="" textlink="">
      <xdr:nvSpPr>
        <xdr:cNvPr id="16" name="Shape 6">
          <a:extLst>
            <a:ext uri="{FF2B5EF4-FFF2-40B4-BE49-F238E27FC236}">
              <a16:creationId xmlns:a16="http://schemas.microsoft.com/office/drawing/2014/main" id="{DF144024-F9F5-FF41-8DF9-936852A3C834}"/>
            </a:ext>
          </a:extLst>
        </xdr:cNvPr>
        <xdr:cNvSpPr/>
      </xdr:nvSpPr>
      <xdr:spPr>
        <a:xfrm>
          <a:off x="13830300" y="182384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12</xdr:col>
      <xdr:colOff>0</xdr:colOff>
      <xdr:row>709</xdr:row>
      <xdr:rowOff>0</xdr:rowOff>
    </xdr:from>
    <xdr:ext cx="0" cy="169544"/>
    <xdr:sp macro="" textlink="">
      <xdr:nvSpPr>
        <xdr:cNvPr id="17" name="Shape 7">
          <a:extLst>
            <a:ext uri="{FF2B5EF4-FFF2-40B4-BE49-F238E27FC236}">
              <a16:creationId xmlns:a16="http://schemas.microsoft.com/office/drawing/2014/main" id="{4F72D677-CCAF-E440-921F-331A93144D03}"/>
            </a:ext>
          </a:extLst>
        </xdr:cNvPr>
        <xdr:cNvSpPr/>
      </xdr:nvSpPr>
      <xdr:spPr>
        <a:xfrm>
          <a:off x="13830300" y="18238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1149</xdr:row>
      <xdr:rowOff>0</xdr:rowOff>
    </xdr:from>
    <xdr:ext cx="0" cy="169544"/>
    <xdr:sp macro="" textlink="">
      <xdr:nvSpPr>
        <xdr:cNvPr id="2" name="Shape 6">
          <a:extLst>
            <a:ext uri="{FF2B5EF4-FFF2-40B4-BE49-F238E27FC236}">
              <a16:creationId xmlns:a16="http://schemas.microsoft.com/office/drawing/2014/main" id="{D5FDCCAE-6E9B-A243-BBD4-CC0FF5E89B06}"/>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1149</xdr:row>
      <xdr:rowOff>0</xdr:rowOff>
    </xdr:from>
    <xdr:ext cx="0" cy="169544"/>
    <xdr:sp macro="" textlink="">
      <xdr:nvSpPr>
        <xdr:cNvPr id="3" name="Shape 7">
          <a:extLst>
            <a:ext uri="{FF2B5EF4-FFF2-40B4-BE49-F238E27FC236}">
              <a16:creationId xmlns:a16="http://schemas.microsoft.com/office/drawing/2014/main" id="{7E3CC831-3109-E64B-8C44-A554FC338CD3}"/>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1149</xdr:row>
      <xdr:rowOff>0</xdr:rowOff>
    </xdr:from>
    <xdr:ext cx="0" cy="169544"/>
    <xdr:sp macro="" textlink="">
      <xdr:nvSpPr>
        <xdr:cNvPr id="4" name="Shape 6">
          <a:extLst>
            <a:ext uri="{FF2B5EF4-FFF2-40B4-BE49-F238E27FC236}">
              <a16:creationId xmlns:a16="http://schemas.microsoft.com/office/drawing/2014/main" id="{1AA55A61-B9FD-F74E-BB25-72133ACB7C33}"/>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1149</xdr:row>
      <xdr:rowOff>0</xdr:rowOff>
    </xdr:from>
    <xdr:ext cx="0" cy="169544"/>
    <xdr:sp macro="" textlink="">
      <xdr:nvSpPr>
        <xdr:cNvPr id="5" name="Shape 7">
          <a:extLst>
            <a:ext uri="{FF2B5EF4-FFF2-40B4-BE49-F238E27FC236}">
              <a16:creationId xmlns:a16="http://schemas.microsoft.com/office/drawing/2014/main" id="{CB2DB197-A3C1-7B4F-B8EF-24C2774E5CE0}"/>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313</xdr:row>
      <xdr:rowOff>0</xdr:rowOff>
    </xdr:from>
    <xdr:to>
      <xdr:col>7</xdr:col>
      <xdr:colOff>5333</xdr:colOff>
      <xdr:row>313</xdr:row>
      <xdr:rowOff>169544</xdr:rowOff>
    </xdr:to>
    <xdr:sp macro="" textlink="">
      <xdr:nvSpPr>
        <xdr:cNvPr id="2" name="Shape 2">
          <a:extLst>
            <a:ext uri="{FF2B5EF4-FFF2-40B4-BE49-F238E27FC236}">
              <a16:creationId xmlns:a16="http://schemas.microsoft.com/office/drawing/2014/main" id="{B54EA9F4-902C-2B4D-9914-E70D60CE2CA2}"/>
            </a:ext>
          </a:extLst>
        </xdr:cNvPr>
        <xdr:cNvSpPr/>
      </xdr:nvSpPr>
      <xdr:spPr>
        <a:xfrm>
          <a:off x="14224000" y="94500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7</xdr:col>
      <xdr:colOff>0</xdr:colOff>
      <xdr:row>409</xdr:row>
      <xdr:rowOff>0</xdr:rowOff>
    </xdr:from>
    <xdr:to>
      <xdr:col>7</xdr:col>
      <xdr:colOff>5333</xdr:colOff>
      <xdr:row>410</xdr:row>
      <xdr:rowOff>83184</xdr:rowOff>
    </xdr:to>
    <xdr:sp macro="" textlink="">
      <xdr:nvSpPr>
        <xdr:cNvPr id="3" name="Shape 3">
          <a:extLst>
            <a:ext uri="{FF2B5EF4-FFF2-40B4-BE49-F238E27FC236}">
              <a16:creationId xmlns:a16="http://schemas.microsoft.com/office/drawing/2014/main" id="{3C06E8DC-2E9F-7540-A561-6A0F30CB67AF}"/>
            </a:ext>
          </a:extLst>
        </xdr:cNvPr>
        <xdr:cNvSpPr/>
      </xdr:nvSpPr>
      <xdr:spPr>
        <a:xfrm>
          <a:off x="14224000" y="94500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7</xdr:col>
      <xdr:colOff>0</xdr:colOff>
      <xdr:row>508</xdr:row>
      <xdr:rowOff>0</xdr:rowOff>
    </xdr:from>
    <xdr:to>
      <xdr:col>7</xdr:col>
      <xdr:colOff>5333</xdr:colOff>
      <xdr:row>509</xdr:row>
      <xdr:rowOff>83184</xdr:rowOff>
    </xdr:to>
    <xdr:sp macro="" textlink="">
      <xdr:nvSpPr>
        <xdr:cNvPr id="4" name="Shape 4">
          <a:extLst>
            <a:ext uri="{FF2B5EF4-FFF2-40B4-BE49-F238E27FC236}">
              <a16:creationId xmlns:a16="http://schemas.microsoft.com/office/drawing/2014/main" id="{ADF8CF2A-7CA4-FE45-8051-03DF8786CDF5}"/>
            </a:ext>
          </a:extLst>
        </xdr:cNvPr>
        <xdr:cNvSpPr/>
      </xdr:nvSpPr>
      <xdr:spPr>
        <a:xfrm>
          <a:off x="14224000" y="119646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7</xdr:col>
      <xdr:colOff>0</xdr:colOff>
      <xdr:row>508</xdr:row>
      <xdr:rowOff>0</xdr:rowOff>
    </xdr:from>
    <xdr:to>
      <xdr:col>7</xdr:col>
      <xdr:colOff>5333</xdr:colOff>
      <xdr:row>509</xdr:row>
      <xdr:rowOff>83184</xdr:rowOff>
    </xdr:to>
    <xdr:sp macro="" textlink="">
      <xdr:nvSpPr>
        <xdr:cNvPr id="5" name="Shape 5">
          <a:extLst>
            <a:ext uri="{FF2B5EF4-FFF2-40B4-BE49-F238E27FC236}">
              <a16:creationId xmlns:a16="http://schemas.microsoft.com/office/drawing/2014/main" id="{5B4C6B38-1FAF-2748-9743-83CBA3F8EE46}"/>
            </a:ext>
          </a:extLst>
        </xdr:cNvPr>
        <xdr:cNvSpPr/>
      </xdr:nvSpPr>
      <xdr:spPr>
        <a:xfrm>
          <a:off x="14224000" y="119646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7</xdr:col>
      <xdr:colOff>0</xdr:colOff>
      <xdr:row>631</xdr:row>
      <xdr:rowOff>0</xdr:rowOff>
    </xdr:from>
    <xdr:to>
      <xdr:col>7</xdr:col>
      <xdr:colOff>5333</xdr:colOff>
      <xdr:row>631</xdr:row>
      <xdr:rowOff>169544</xdr:rowOff>
    </xdr:to>
    <xdr:sp macro="" textlink="">
      <xdr:nvSpPr>
        <xdr:cNvPr id="6" name="Shape 6">
          <a:extLst>
            <a:ext uri="{FF2B5EF4-FFF2-40B4-BE49-F238E27FC236}">
              <a16:creationId xmlns:a16="http://schemas.microsoft.com/office/drawing/2014/main" id="{8082A80D-0033-E041-8C00-9187E4336083}"/>
            </a:ext>
          </a:extLst>
        </xdr:cNvPr>
        <xdr:cNvSpPr/>
      </xdr:nvSpPr>
      <xdr:spPr>
        <a:xfrm>
          <a:off x="14224000" y="205752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7</xdr:col>
      <xdr:colOff>0</xdr:colOff>
      <xdr:row>631</xdr:row>
      <xdr:rowOff>0</xdr:rowOff>
    </xdr:from>
    <xdr:to>
      <xdr:col>7</xdr:col>
      <xdr:colOff>5333</xdr:colOff>
      <xdr:row>631</xdr:row>
      <xdr:rowOff>169544</xdr:rowOff>
    </xdr:to>
    <xdr:sp macro="" textlink="">
      <xdr:nvSpPr>
        <xdr:cNvPr id="7" name="Shape 7">
          <a:extLst>
            <a:ext uri="{FF2B5EF4-FFF2-40B4-BE49-F238E27FC236}">
              <a16:creationId xmlns:a16="http://schemas.microsoft.com/office/drawing/2014/main" id="{B93B55F7-5544-CC46-9E6A-E8BC8EA0B210}"/>
            </a:ext>
          </a:extLst>
        </xdr:cNvPr>
        <xdr:cNvSpPr/>
      </xdr:nvSpPr>
      <xdr:spPr>
        <a:xfrm>
          <a:off x="14224000" y="20575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7</xdr:col>
      <xdr:colOff>0</xdr:colOff>
      <xdr:row>733</xdr:row>
      <xdr:rowOff>0</xdr:rowOff>
    </xdr:from>
    <xdr:ext cx="0" cy="169544"/>
    <xdr:sp macro="" textlink="">
      <xdr:nvSpPr>
        <xdr:cNvPr id="8" name="Shape 2">
          <a:extLst>
            <a:ext uri="{FF2B5EF4-FFF2-40B4-BE49-F238E27FC236}">
              <a16:creationId xmlns:a16="http://schemas.microsoft.com/office/drawing/2014/main" id="{EAC19AF5-193F-7943-BEF1-EBA2798496BD}"/>
            </a:ext>
          </a:extLst>
        </xdr:cNvPr>
        <xdr:cNvSpPr/>
      </xdr:nvSpPr>
      <xdr:spPr>
        <a:xfrm>
          <a:off x="14224000" y="9475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733</xdr:row>
      <xdr:rowOff>0</xdr:rowOff>
    </xdr:from>
    <xdr:ext cx="0" cy="337184"/>
    <xdr:sp macro="" textlink="">
      <xdr:nvSpPr>
        <xdr:cNvPr id="9" name="Shape 3">
          <a:extLst>
            <a:ext uri="{FF2B5EF4-FFF2-40B4-BE49-F238E27FC236}">
              <a16:creationId xmlns:a16="http://schemas.microsoft.com/office/drawing/2014/main" id="{3617AEFC-2B05-A744-985A-9CC6073D92F4}"/>
            </a:ext>
          </a:extLst>
        </xdr:cNvPr>
        <xdr:cNvSpPr/>
      </xdr:nvSpPr>
      <xdr:spPr>
        <a:xfrm>
          <a:off x="14224000" y="94754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7</xdr:col>
      <xdr:colOff>0</xdr:colOff>
      <xdr:row>759</xdr:row>
      <xdr:rowOff>0</xdr:rowOff>
    </xdr:from>
    <xdr:ext cx="0" cy="337184"/>
    <xdr:sp macro="" textlink="">
      <xdr:nvSpPr>
        <xdr:cNvPr id="10" name="Shape 4">
          <a:extLst>
            <a:ext uri="{FF2B5EF4-FFF2-40B4-BE49-F238E27FC236}">
              <a16:creationId xmlns:a16="http://schemas.microsoft.com/office/drawing/2014/main" id="{053BB48A-770B-2F48-9EA3-173B988E4E3E}"/>
            </a:ext>
          </a:extLst>
        </xdr:cNvPr>
        <xdr:cNvSpPr/>
      </xdr:nvSpPr>
      <xdr:spPr>
        <a:xfrm>
          <a:off x="14224000" y="119900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759</xdr:row>
      <xdr:rowOff>0</xdr:rowOff>
    </xdr:from>
    <xdr:ext cx="0" cy="337184"/>
    <xdr:sp macro="" textlink="">
      <xdr:nvSpPr>
        <xdr:cNvPr id="11" name="Shape 5">
          <a:extLst>
            <a:ext uri="{FF2B5EF4-FFF2-40B4-BE49-F238E27FC236}">
              <a16:creationId xmlns:a16="http://schemas.microsoft.com/office/drawing/2014/main" id="{12703337-174C-304C-94E4-CBA39559D96D}"/>
            </a:ext>
          </a:extLst>
        </xdr:cNvPr>
        <xdr:cNvSpPr/>
      </xdr:nvSpPr>
      <xdr:spPr>
        <a:xfrm>
          <a:off x="14224000" y="119900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394</xdr:row>
      <xdr:rowOff>0</xdr:rowOff>
    </xdr:from>
    <xdr:ext cx="0" cy="337184"/>
    <xdr:sp macro="" textlink="">
      <xdr:nvSpPr>
        <xdr:cNvPr id="12" name="Shape 4">
          <a:extLst>
            <a:ext uri="{FF2B5EF4-FFF2-40B4-BE49-F238E27FC236}">
              <a16:creationId xmlns:a16="http://schemas.microsoft.com/office/drawing/2014/main" id="{32706159-6DE6-C045-8930-15B99DCF284D}"/>
            </a:ext>
          </a:extLst>
        </xdr:cNvPr>
        <xdr:cNvSpPr/>
      </xdr:nvSpPr>
      <xdr:spPr>
        <a:xfrm>
          <a:off x="14224000" y="121678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394</xdr:row>
      <xdr:rowOff>0</xdr:rowOff>
    </xdr:from>
    <xdr:ext cx="0" cy="337184"/>
    <xdr:sp macro="" textlink="">
      <xdr:nvSpPr>
        <xdr:cNvPr id="13" name="Shape 5">
          <a:extLst>
            <a:ext uri="{FF2B5EF4-FFF2-40B4-BE49-F238E27FC236}">
              <a16:creationId xmlns:a16="http://schemas.microsoft.com/office/drawing/2014/main" id="{DCDAA3E4-BFC4-DA44-9F7C-C1FC85DC455E}"/>
            </a:ext>
          </a:extLst>
        </xdr:cNvPr>
        <xdr:cNvSpPr/>
      </xdr:nvSpPr>
      <xdr:spPr>
        <a:xfrm>
          <a:off x="14224000" y="121678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3</xdr:col>
      <xdr:colOff>0</xdr:colOff>
      <xdr:row>860</xdr:row>
      <xdr:rowOff>0</xdr:rowOff>
    </xdr:from>
    <xdr:ext cx="0" cy="169544"/>
    <xdr:sp macro="" textlink="">
      <xdr:nvSpPr>
        <xdr:cNvPr id="14" name="Shape 6">
          <a:extLst>
            <a:ext uri="{FF2B5EF4-FFF2-40B4-BE49-F238E27FC236}">
              <a16:creationId xmlns:a16="http://schemas.microsoft.com/office/drawing/2014/main" id="{A552D0F5-A7DA-F843-9A12-F3059650C2A8}"/>
            </a:ext>
          </a:extLst>
        </xdr:cNvPr>
        <xdr:cNvSpPr/>
      </xdr:nvSpPr>
      <xdr:spPr>
        <a:xfrm>
          <a:off x="14224000" y="206006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860</xdr:row>
      <xdr:rowOff>0</xdr:rowOff>
    </xdr:from>
    <xdr:ext cx="0" cy="169544"/>
    <xdr:sp macro="" textlink="">
      <xdr:nvSpPr>
        <xdr:cNvPr id="15" name="Shape 7">
          <a:extLst>
            <a:ext uri="{FF2B5EF4-FFF2-40B4-BE49-F238E27FC236}">
              <a16:creationId xmlns:a16="http://schemas.microsoft.com/office/drawing/2014/main" id="{39395E3F-F568-3041-94BB-88A4FC79468B}"/>
            </a:ext>
          </a:extLst>
        </xdr:cNvPr>
        <xdr:cNvSpPr/>
      </xdr:nvSpPr>
      <xdr:spPr>
        <a:xfrm>
          <a:off x="14224000" y="20600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860</xdr:row>
      <xdr:rowOff>0</xdr:rowOff>
    </xdr:from>
    <xdr:ext cx="0" cy="169544"/>
    <xdr:sp macro="" textlink="">
      <xdr:nvSpPr>
        <xdr:cNvPr id="16" name="Shape 6">
          <a:extLst>
            <a:ext uri="{FF2B5EF4-FFF2-40B4-BE49-F238E27FC236}">
              <a16:creationId xmlns:a16="http://schemas.microsoft.com/office/drawing/2014/main" id="{BF973706-8A96-2147-AF70-C08FE258A782}"/>
            </a:ext>
          </a:extLst>
        </xdr:cNvPr>
        <xdr:cNvSpPr/>
      </xdr:nvSpPr>
      <xdr:spPr>
        <a:xfrm>
          <a:off x="14224000" y="20626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860</xdr:row>
      <xdr:rowOff>0</xdr:rowOff>
    </xdr:from>
    <xdr:ext cx="0" cy="169544"/>
    <xdr:sp macro="" textlink="">
      <xdr:nvSpPr>
        <xdr:cNvPr id="17" name="Shape 7">
          <a:extLst>
            <a:ext uri="{FF2B5EF4-FFF2-40B4-BE49-F238E27FC236}">
              <a16:creationId xmlns:a16="http://schemas.microsoft.com/office/drawing/2014/main" id="{066DF4D7-F9E9-1549-A462-2DD11F603D94}"/>
            </a:ext>
          </a:extLst>
        </xdr:cNvPr>
        <xdr:cNvSpPr/>
      </xdr:nvSpPr>
      <xdr:spPr>
        <a:xfrm>
          <a:off x="14224000" y="20626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847</xdr:row>
      <xdr:rowOff>0</xdr:rowOff>
    </xdr:from>
    <xdr:ext cx="0" cy="169544"/>
    <xdr:sp macro="" textlink="">
      <xdr:nvSpPr>
        <xdr:cNvPr id="18" name="Shape 6">
          <a:extLst>
            <a:ext uri="{FF2B5EF4-FFF2-40B4-BE49-F238E27FC236}">
              <a16:creationId xmlns:a16="http://schemas.microsoft.com/office/drawing/2014/main" id="{8CCEBC1E-A4B1-C546-9FF1-B8AC023A358D}"/>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847</xdr:row>
      <xdr:rowOff>0</xdr:rowOff>
    </xdr:from>
    <xdr:ext cx="0" cy="169544"/>
    <xdr:sp macro="" textlink="">
      <xdr:nvSpPr>
        <xdr:cNvPr id="19" name="Shape 7">
          <a:extLst>
            <a:ext uri="{FF2B5EF4-FFF2-40B4-BE49-F238E27FC236}">
              <a16:creationId xmlns:a16="http://schemas.microsoft.com/office/drawing/2014/main" id="{8A454249-2059-2943-86F7-ED228B9C8991}"/>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3</xdr:col>
      <xdr:colOff>0</xdr:colOff>
      <xdr:row>847</xdr:row>
      <xdr:rowOff>0</xdr:rowOff>
    </xdr:from>
    <xdr:ext cx="0" cy="169544"/>
    <xdr:sp macro="" textlink="">
      <xdr:nvSpPr>
        <xdr:cNvPr id="20" name="Shape 6">
          <a:extLst>
            <a:ext uri="{FF2B5EF4-FFF2-40B4-BE49-F238E27FC236}">
              <a16:creationId xmlns:a16="http://schemas.microsoft.com/office/drawing/2014/main" id="{B888C03B-8FDF-BF40-9FA2-AC6D40ED653D}"/>
            </a:ext>
          </a:extLst>
        </xdr:cNvPr>
        <xdr:cNvSpPr/>
      </xdr:nvSpPr>
      <xdr:spPr>
        <a:xfrm>
          <a:off x="14897100" y="2086991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3</xdr:col>
      <xdr:colOff>0</xdr:colOff>
      <xdr:row>847</xdr:row>
      <xdr:rowOff>0</xdr:rowOff>
    </xdr:from>
    <xdr:ext cx="0" cy="169544"/>
    <xdr:sp macro="" textlink="">
      <xdr:nvSpPr>
        <xdr:cNvPr id="21" name="Shape 7">
          <a:extLst>
            <a:ext uri="{FF2B5EF4-FFF2-40B4-BE49-F238E27FC236}">
              <a16:creationId xmlns:a16="http://schemas.microsoft.com/office/drawing/2014/main" id="{1C6F6B27-93D1-4B4D-B2CA-9478F42E4AF1}"/>
            </a:ext>
          </a:extLst>
        </xdr:cNvPr>
        <xdr:cNvSpPr/>
      </xdr:nvSpPr>
      <xdr:spPr>
        <a:xfrm>
          <a:off x="14897100" y="2086991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0</xdr:colOff>
      <xdr:row>317</xdr:row>
      <xdr:rowOff>0</xdr:rowOff>
    </xdr:from>
    <xdr:to>
      <xdr:col>7</xdr:col>
      <xdr:colOff>5333</xdr:colOff>
      <xdr:row>317</xdr:row>
      <xdr:rowOff>169544</xdr:rowOff>
    </xdr:to>
    <xdr:sp macro="" textlink="">
      <xdr:nvSpPr>
        <xdr:cNvPr id="2" name="Shape 2">
          <a:extLst>
            <a:ext uri="{FF2B5EF4-FFF2-40B4-BE49-F238E27FC236}">
              <a16:creationId xmlns:a16="http://schemas.microsoft.com/office/drawing/2014/main" id="{AD71F417-EC45-E84E-B0AE-4F3BB6B7F03E}"/>
            </a:ext>
          </a:extLst>
        </xdr:cNvPr>
        <xdr:cNvSpPr/>
      </xdr:nvSpPr>
      <xdr:spPr>
        <a:xfrm>
          <a:off x="14224000" y="94500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twoCellAnchor editAs="oneCell">
    <xdr:from>
      <xdr:col>7</xdr:col>
      <xdr:colOff>0</xdr:colOff>
      <xdr:row>317</xdr:row>
      <xdr:rowOff>0</xdr:rowOff>
    </xdr:from>
    <xdr:to>
      <xdr:col>7</xdr:col>
      <xdr:colOff>5333</xdr:colOff>
      <xdr:row>318</xdr:row>
      <xdr:rowOff>83184</xdr:rowOff>
    </xdr:to>
    <xdr:sp macro="" textlink="">
      <xdr:nvSpPr>
        <xdr:cNvPr id="3" name="Shape 3">
          <a:extLst>
            <a:ext uri="{FF2B5EF4-FFF2-40B4-BE49-F238E27FC236}">
              <a16:creationId xmlns:a16="http://schemas.microsoft.com/office/drawing/2014/main" id="{518F5FC0-A05F-DB4A-8CDF-540820F419C8}"/>
            </a:ext>
          </a:extLst>
        </xdr:cNvPr>
        <xdr:cNvSpPr/>
      </xdr:nvSpPr>
      <xdr:spPr>
        <a:xfrm>
          <a:off x="14224000" y="94500700"/>
          <a:ext cx="5333" cy="337184"/>
        </a:xfrm>
        <a:custGeom>
          <a:avLst/>
          <a:gdLst/>
          <a:ahLst/>
          <a:cxnLst/>
          <a:rect l="0" t="0" r="0" b="0"/>
          <a:pathLst>
            <a:path h="337185">
              <a:moveTo>
                <a:pt x="0" y="0"/>
              </a:moveTo>
              <a:lnTo>
                <a:pt x="0" y="336791"/>
              </a:lnTo>
            </a:path>
          </a:pathLst>
        </a:custGeom>
        <a:ln w="10667">
          <a:solidFill>
            <a:srgbClr val="000000"/>
          </a:solidFill>
        </a:ln>
      </xdr:spPr>
    </xdr:sp>
    <xdr:clientData/>
  </xdr:twoCellAnchor>
  <xdr:twoCellAnchor editAs="oneCell">
    <xdr:from>
      <xdr:col>7</xdr:col>
      <xdr:colOff>0</xdr:colOff>
      <xdr:row>400</xdr:row>
      <xdr:rowOff>0</xdr:rowOff>
    </xdr:from>
    <xdr:to>
      <xdr:col>7</xdr:col>
      <xdr:colOff>5333</xdr:colOff>
      <xdr:row>401</xdr:row>
      <xdr:rowOff>83184</xdr:rowOff>
    </xdr:to>
    <xdr:sp macro="" textlink="">
      <xdr:nvSpPr>
        <xdr:cNvPr id="4" name="Shape 4">
          <a:extLst>
            <a:ext uri="{FF2B5EF4-FFF2-40B4-BE49-F238E27FC236}">
              <a16:creationId xmlns:a16="http://schemas.microsoft.com/office/drawing/2014/main" id="{CD4CFBB4-4245-9E4A-98F0-7D50C29B9E7C}"/>
            </a:ext>
          </a:extLst>
        </xdr:cNvPr>
        <xdr:cNvSpPr/>
      </xdr:nvSpPr>
      <xdr:spPr>
        <a:xfrm>
          <a:off x="14224000" y="119646700"/>
          <a:ext cx="5333" cy="337184"/>
        </a:xfrm>
        <a:custGeom>
          <a:avLst/>
          <a:gdLst/>
          <a:ahLst/>
          <a:cxnLst/>
          <a:rect l="0" t="0" r="0" b="0"/>
          <a:pathLst>
            <a:path h="337185">
              <a:moveTo>
                <a:pt x="0" y="0"/>
              </a:moveTo>
              <a:lnTo>
                <a:pt x="0" y="336803"/>
              </a:lnTo>
            </a:path>
          </a:pathLst>
        </a:custGeom>
        <a:ln w="10667">
          <a:solidFill>
            <a:srgbClr val="000000"/>
          </a:solidFill>
        </a:ln>
      </xdr:spPr>
    </xdr:sp>
    <xdr:clientData/>
  </xdr:twoCellAnchor>
  <xdr:twoCellAnchor editAs="oneCell">
    <xdr:from>
      <xdr:col>7</xdr:col>
      <xdr:colOff>0</xdr:colOff>
      <xdr:row>400</xdr:row>
      <xdr:rowOff>0</xdr:rowOff>
    </xdr:from>
    <xdr:to>
      <xdr:col>7</xdr:col>
      <xdr:colOff>5333</xdr:colOff>
      <xdr:row>401</xdr:row>
      <xdr:rowOff>83184</xdr:rowOff>
    </xdr:to>
    <xdr:sp macro="" textlink="">
      <xdr:nvSpPr>
        <xdr:cNvPr id="5" name="Shape 5">
          <a:extLst>
            <a:ext uri="{FF2B5EF4-FFF2-40B4-BE49-F238E27FC236}">
              <a16:creationId xmlns:a16="http://schemas.microsoft.com/office/drawing/2014/main" id="{623A54F8-C12C-3149-A1D3-23F81DD8228B}"/>
            </a:ext>
          </a:extLst>
        </xdr:cNvPr>
        <xdr:cNvSpPr/>
      </xdr:nvSpPr>
      <xdr:spPr>
        <a:xfrm>
          <a:off x="14224000" y="119646700"/>
          <a:ext cx="5333" cy="337184"/>
        </a:xfrm>
        <a:custGeom>
          <a:avLst/>
          <a:gdLst/>
          <a:ahLst/>
          <a:cxnLst/>
          <a:rect l="0" t="0" r="0" b="0"/>
          <a:pathLst>
            <a:path h="337185">
              <a:moveTo>
                <a:pt x="0" y="0"/>
              </a:moveTo>
              <a:lnTo>
                <a:pt x="0" y="336804"/>
              </a:lnTo>
            </a:path>
          </a:pathLst>
        </a:custGeom>
        <a:ln w="10667">
          <a:solidFill>
            <a:srgbClr val="000000"/>
          </a:solidFill>
        </a:ln>
      </xdr:spPr>
    </xdr:sp>
    <xdr:clientData/>
  </xdr:twoCellAnchor>
  <xdr:twoCellAnchor editAs="oneCell">
    <xdr:from>
      <xdr:col>7</xdr:col>
      <xdr:colOff>0</xdr:colOff>
      <xdr:row>704</xdr:row>
      <xdr:rowOff>0</xdr:rowOff>
    </xdr:from>
    <xdr:to>
      <xdr:col>7</xdr:col>
      <xdr:colOff>5333</xdr:colOff>
      <xdr:row>704</xdr:row>
      <xdr:rowOff>169544</xdr:rowOff>
    </xdr:to>
    <xdr:sp macro="" textlink="">
      <xdr:nvSpPr>
        <xdr:cNvPr id="6" name="Shape 6">
          <a:extLst>
            <a:ext uri="{FF2B5EF4-FFF2-40B4-BE49-F238E27FC236}">
              <a16:creationId xmlns:a16="http://schemas.microsoft.com/office/drawing/2014/main" id="{7135F6BA-FE25-E54A-A1D7-09CB4E845C65}"/>
            </a:ext>
          </a:extLst>
        </xdr:cNvPr>
        <xdr:cNvSpPr/>
      </xdr:nvSpPr>
      <xdr:spPr>
        <a:xfrm>
          <a:off x="14224000" y="205752700"/>
          <a:ext cx="5333" cy="169544"/>
        </a:xfrm>
        <a:custGeom>
          <a:avLst/>
          <a:gdLst/>
          <a:ahLst/>
          <a:cxnLst/>
          <a:rect l="0" t="0" r="0" b="0"/>
          <a:pathLst>
            <a:path h="169545">
              <a:moveTo>
                <a:pt x="0" y="0"/>
              </a:moveTo>
              <a:lnTo>
                <a:pt x="0" y="169164"/>
              </a:lnTo>
            </a:path>
          </a:pathLst>
        </a:custGeom>
        <a:ln w="10667">
          <a:solidFill>
            <a:srgbClr val="000000"/>
          </a:solidFill>
        </a:ln>
      </xdr:spPr>
    </xdr:sp>
    <xdr:clientData/>
  </xdr:twoCellAnchor>
  <xdr:twoCellAnchor editAs="oneCell">
    <xdr:from>
      <xdr:col>7</xdr:col>
      <xdr:colOff>0</xdr:colOff>
      <xdr:row>704</xdr:row>
      <xdr:rowOff>0</xdr:rowOff>
    </xdr:from>
    <xdr:to>
      <xdr:col>7</xdr:col>
      <xdr:colOff>5333</xdr:colOff>
      <xdr:row>704</xdr:row>
      <xdr:rowOff>169544</xdr:rowOff>
    </xdr:to>
    <xdr:sp macro="" textlink="">
      <xdr:nvSpPr>
        <xdr:cNvPr id="7" name="Shape 7">
          <a:extLst>
            <a:ext uri="{FF2B5EF4-FFF2-40B4-BE49-F238E27FC236}">
              <a16:creationId xmlns:a16="http://schemas.microsoft.com/office/drawing/2014/main" id="{8F15BF91-5C80-184A-B1E4-AE4DC9992087}"/>
            </a:ext>
          </a:extLst>
        </xdr:cNvPr>
        <xdr:cNvSpPr/>
      </xdr:nvSpPr>
      <xdr:spPr>
        <a:xfrm>
          <a:off x="14224000" y="205752700"/>
          <a:ext cx="5333" cy="169544"/>
        </a:xfrm>
        <a:custGeom>
          <a:avLst/>
          <a:gdLst/>
          <a:ahLst/>
          <a:cxnLst/>
          <a:rect l="0" t="0" r="0" b="0"/>
          <a:pathLst>
            <a:path h="169545">
              <a:moveTo>
                <a:pt x="0" y="0"/>
              </a:moveTo>
              <a:lnTo>
                <a:pt x="0" y="169163"/>
              </a:lnTo>
            </a:path>
          </a:pathLst>
        </a:custGeom>
        <a:ln w="10667">
          <a:solidFill>
            <a:srgbClr val="000000"/>
          </a:solidFill>
        </a:ln>
      </xdr:spPr>
    </xdr:sp>
    <xdr:clientData/>
  </xdr:twoCellAnchor>
  <xdr:oneCellAnchor>
    <xdr:from>
      <xdr:col>7</xdr:col>
      <xdr:colOff>0</xdr:colOff>
      <xdr:row>318</xdr:row>
      <xdr:rowOff>0</xdr:rowOff>
    </xdr:from>
    <xdr:ext cx="0" cy="169544"/>
    <xdr:sp macro="" textlink="">
      <xdr:nvSpPr>
        <xdr:cNvPr id="8" name="Shape 2">
          <a:extLst>
            <a:ext uri="{FF2B5EF4-FFF2-40B4-BE49-F238E27FC236}">
              <a16:creationId xmlns:a16="http://schemas.microsoft.com/office/drawing/2014/main" id="{FBE15C8E-CA06-DD4C-BA00-8D7C465750F4}"/>
            </a:ext>
          </a:extLst>
        </xdr:cNvPr>
        <xdr:cNvSpPr/>
      </xdr:nvSpPr>
      <xdr:spPr>
        <a:xfrm>
          <a:off x="14224000" y="94754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318</xdr:row>
      <xdr:rowOff>0</xdr:rowOff>
    </xdr:from>
    <xdr:ext cx="0" cy="337184"/>
    <xdr:sp macro="" textlink="">
      <xdr:nvSpPr>
        <xdr:cNvPr id="9" name="Shape 3">
          <a:extLst>
            <a:ext uri="{FF2B5EF4-FFF2-40B4-BE49-F238E27FC236}">
              <a16:creationId xmlns:a16="http://schemas.microsoft.com/office/drawing/2014/main" id="{48CEB4C1-390A-5D47-B740-E85B5FC7A187}"/>
            </a:ext>
          </a:extLst>
        </xdr:cNvPr>
        <xdr:cNvSpPr/>
      </xdr:nvSpPr>
      <xdr:spPr>
        <a:xfrm>
          <a:off x="14224000" y="94754700"/>
          <a:ext cx="0" cy="337184"/>
        </a:xfrm>
        <a:custGeom>
          <a:avLst/>
          <a:gdLst/>
          <a:ahLst/>
          <a:cxnLst/>
          <a:rect l="0" t="0" r="0" b="0"/>
          <a:pathLst>
            <a:path h="337185">
              <a:moveTo>
                <a:pt x="0" y="0"/>
              </a:moveTo>
              <a:lnTo>
                <a:pt x="0" y="336791"/>
              </a:lnTo>
            </a:path>
          </a:pathLst>
        </a:custGeom>
        <a:ln w="10667">
          <a:solidFill>
            <a:srgbClr val="000000"/>
          </a:solidFill>
        </a:ln>
      </xdr:spPr>
    </xdr:sp>
    <xdr:clientData/>
  </xdr:oneCellAnchor>
  <xdr:oneCellAnchor>
    <xdr:from>
      <xdr:col>7</xdr:col>
      <xdr:colOff>0</xdr:colOff>
      <xdr:row>401</xdr:row>
      <xdr:rowOff>0</xdr:rowOff>
    </xdr:from>
    <xdr:ext cx="0" cy="337184"/>
    <xdr:sp macro="" textlink="">
      <xdr:nvSpPr>
        <xdr:cNvPr id="10" name="Shape 4">
          <a:extLst>
            <a:ext uri="{FF2B5EF4-FFF2-40B4-BE49-F238E27FC236}">
              <a16:creationId xmlns:a16="http://schemas.microsoft.com/office/drawing/2014/main" id="{0982C26F-3099-0D4A-B797-2EA0ED6ED6A6}"/>
            </a:ext>
          </a:extLst>
        </xdr:cNvPr>
        <xdr:cNvSpPr/>
      </xdr:nvSpPr>
      <xdr:spPr>
        <a:xfrm>
          <a:off x="14224000" y="119900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401</xdr:row>
      <xdr:rowOff>0</xdr:rowOff>
    </xdr:from>
    <xdr:ext cx="0" cy="337184"/>
    <xdr:sp macro="" textlink="">
      <xdr:nvSpPr>
        <xdr:cNvPr id="11" name="Shape 5">
          <a:extLst>
            <a:ext uri="{FF2B5EF4-FFF2-40B4-BE49-F238E27FC236}">
              <a16:creationId xmlns:a16="http://schemas.microsoft.com/office/drawing/2014/main" id="{B9BDC29F-21A1-3E4A-88D1-AFEE24DB13EE}"/>
            </a:ext>
          </a:extLst>
        </xdr:cNvPr>
        <xdr:cNvSpPr/>
      </xdr:nvSpPr>
      <xdr:spPr>
        <a:xfrm>
          <a:off x="14224000" y="119900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404</xdr:row>
      <xdr:rowOff>0</xdr:rowOff>
    </xdr:from>
    <xdr:ext cx="0" cy="337184"/>
    <xdr:sp macro="" textlink="">
      <xdr:nvSpPr>
        <xdr:cNvPr id="12" name="Shape 4">
          <a:extLst>
            <a:ext uri="{FF2B5EF4-FFF2-40B4-BE49-F238E27FC236}">
              <a16:creationId xmlns:a16="http://schemas.microsoft.com/office/drawing/2014/main" id="{AEA040F3-4D03-074D-BA8F-272D971F7261}"/>
            </a:ext>
          </a:extLst>
        </xdr:cNvPr>
        <xdr:cNvSpPr/>
      </xdr:nvSpPr>
      <xdr:spPr>
        <a:xfrm>
          <a:off x="14224000" y="121678700"/>
          <a:ext cx="0" cy="337184"/>
        </a:xfrm>
        <a:custGeom>
          <a:avLst/>
          <a:gdLst/>
          <a:ahLst/>
          <a:cxnLst/>
          <a:rect l="0" t="0" r="0" b="0"/>
          <a:pathLst>
            <a:path h="337185">
              <a:moveTo>
                <a:pt x="0" y="0"/>
              </a:moveTo>
              <a:lnTo>
                <a:pt x="0" y="336803"/>
              </a:lnTo>
            </a:path>
          </a:pathLst>
        </a:custGeom>
        <a:ln w="10667">
          <a:solidFill>
            <a:srgbClr val="000000"/>
          </a:solidFill>
        </a:ln>
      </xdr:spPr>
    </xdr:sp>
    <xdr:clientData/>
  </xdr:oneCellAnchor>
  <xdr:oneCellAnchor>
    <xdr:from>
      <xdr:col>7</xdr:col>
      <xdr:colOff>0</xdr:colOff>
      <xdr:row>404</xdr:row>
      <xdr:rowOff>0</xdr:rowOff>
    </xdr:from>
    <xdr:ext cx="0" cy="337184"/>
    <xdr:sp macro="" textlink="">
      <xdr:nvSpPr>
        <xdr:cNvPr id="13" name="Shape 5">
          <a:extLst>
            <a:ext uri="{FF2B5EF4-FFF2-40B4-BE49-F238E27FC236}">
              <a16:creationId xmlns:a16="http://schemas.microsoft.com/office/drawing/2014/main" id="{83F93529-2E2D-AE4E-9F2B-52485FE15347}"/>
            </a:ext>
          </a:extLst>
        </xdr:cNvPr>
        <xdr:cNvSpPr/>
      </xdr:nvSpPr>
      <xdr:spPr>
        <a:xfrm>
          <a:off x="14224000" y="121678700"/>
          <a:ext cx="0" cy="337184"/>
        </a:xfrm>
        <a:custGeom>
          <a:avLst/>
          <a:gdLst/>
          <a:ahLst/>
          <a:cxnLst/>
          <a:rect l="0" t="0" r="0" b="0"/>
          <a:pathLst>
            <a:path h="337185">
              <a:moveTo>
                <a:pt x="0" y="0"/>
              </a:moveTo>
              <a:lnTo>
                <a:pt x="0" y="336804"/>
              </a:lnTo>
            </a:path>
          </a:pathLst>
        </a:custGeom>
        <a:ln w="10667">
          <a:solidFill>
            <a:srgbClr val="000000"/>
          </a:solidFill>
        </a:ln>
      </xdr:spPr>
    </xdr:sp>
    <xdr:clientData/>
  </xdr:oneCellAnchor>
  <xdr:oneCellAnchor>
    <xdr:from>
      <xdr:col>7</xdr:col>
      <xdr:colOff>0</xdr:colOff>
      <xdr:row>705</xdr:row>
      <xdr:rowOff>0</xdr:rowOff>
    </xdr:from>
    <xdr:ext cx="0" cy="169544"/>
    <xdr:sp macro="" textlink="">
      <xdr:nvSpPr>
        <xdr:cNvPr id="14" name="Shape 6">
          <a:extLst>
            <a:ext uri="{FF2B5EF4-FFF2-40B4-BE49-F238E27FC236}">
              <a16:creationId xmlns:a16="http://schemas.microsoft.com/office/drawing/2014/main" id="{57B47742-994D-754E-BA0B-AF1358BD0AEB}"/>
            </a:ext>
          </a:extLst>
        </xdr:cNvPr>
        <xdr:cNvSpPr/>
      </xdr:nvSpPr>
      <xdr:spPr>
        <a:xfrm>
          <a:off x="14224000" y="206006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705</xdr:row>
      <xdr:rowOff>0</xdr:rowOff>
    </xdr:from>
    <xdr:ext cx="0" cy="169544"/>
    <xdr:sp macro="" textlink="">
      <xdr:nvSpPr>
        <xdr:cNvPr id="15" name="Shape 7">
          <a:extLst>
            <a:ext uri="{FF2B5EF4-FFF2-40B4-BE49-F238E27FC236}">
              <a16:creationId xmlns:a16="http://schemas.microsoft.com/office/drawing/2014/main" id="{5AA7FAFF-0315-CA44-A4AA-250E68EE4772}"/>
            </a:ext>
          </a:extLst>
        </xdr:cNvPr>
        <xdr:cNvSpPr/>
      </xdr:nvSpPr>
      <xdr:spPr>
        <a:xfrm>
          <a:off x="14224000" y="206006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706</xdr:row>
      <xdr:rowOff>0</xdr:rowOff>
    </xdr:from>
    <xdr:ext cx="0" cy="169544"/>
    <xdr:sp macro="" textlink="">
      <xdr:nvSpPr>
        <xdr:cNvPr id="16" name="Shape 6">
          <a:extLst>
            <a:ext uri="{FF2B5EF4-FFF2-40B4-BE49-F238E27FC236}">
              <a16:creationId xmlns:a16="http://schemas.microsoft.com/office/drawing/2014/main" id="{A0C8FC49-8C88-E24B-BAFB-DE6DB4E73EBE}"/>
            </a:ext>
          </a:extLst>
        </xdr:cNvPr>
        <xdr:cNvSpPr/>
      </xdr:nvSpPr>
      <xdr:spPr>
        <a:xfrm>
          <a:off x="14224000" y="2062607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706</xdr:row>
      <xdr:rowOff>0</xdr:rowOff>
    </xdr:from>
    <xdr:ext cx="0" cy="169544"/>
    <xdr:sp macro="" textlink="">
      <xdr:nvSpPr>
        <xdr:cNvPr id="17" name="Shape 7">
          <a:extLst>
            <a:ext uri="{FF2B5EF4-FFF2-40B4-BE49-F238E27FC236}">
              <a16:creationId xmlns:a16="http://schemas.microsoft.com/office/drawing/2014/main" id="{A0B89ACA-9254-394E-9085-6C79632FE032}"/>
            </a:ext>
          </a:extLst>
        </xdr:cNvPr>
        <xdr:cNvSpPr/>
      </xdr:nvSpPr>
      <xdr:spPr>
        <a:xfrm>
          <a:off x="14224000" y="2062607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18" name="Shape 6">
          <a:extLst>
            <a:ext uri="{FF2B5EF4-FFF2-40B4-BE49-F238E27FC236}">
              <a16:creationId xmlns:a16="http://schemas.microsoft.com/office/drawing/2014/main" id="{A87100B3-C61E-964D-B24D-6D5FE70B7D15}"/>
            </a:ext>
          </a:extLst>
        </xdr:cNvPr>
        <xdr:cNvSpPr/>
      </xdr:nvSpPr>
      <xdr:spPr>
        <a:xfrm>
          <a:off x="146177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19" name="Shape 7">
          <a:extLst>
            <a:ext uri="{FF2B5EF4-FFF2-40B4-BE49-F238E27FC236}">
              <a16:creationId xmlns:a16="http://schemas.microsoft.com/office/drawing/2014/main" id="{6B8315B9-CAED-6046-8455-FE7B891DED6C}"/>
            </a:ext>
          </a:extLst>
        </xdr:cNvPr>
        <xdr:cNvSpPr/>
      </xdr:nvSpPr>
      <xdr:spPr>
        <a:xfrm>
          <a:off x="146177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0" name="Shape 6">
          <a:extLst>
            <a:ext uri="{FF2B5EF4-FFF2-40B4-BE49-F238E27FC236}">
              <a16:creationId xmlns:a16="http://schemas.microsoft.com/office/drawing/2014/main" id="{208FC5B6-0D9C-8B4D-B32A-3B5CF3B2C971}"/>
            </a:ext>
          </a:extLst>
        </xdr:cNvPr>
        <xdr:cNvSpPr/>
      </xdr:nvSpPr>
      <xdr:spPr>
        <a:xfrm>
          <a:off x="14617700" y="2155952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1" name="Shape 7">
          <a:extLst>
            <a:ext uri="{FF2B5EF4-FFF2-40B4-BE49-F238E27FC236}">
              <a16:creationId xmlns:a16="http://schemas.microsoft.com/office/drawing/2014/main" id="{AB16DD41-94F5-CE44-BE84-671CA77BD0E4}"/>
            </a:ext>
          </a:extLst>
        </xdr:cNvPr>
        <xdr:cNvSpPr/>
      </xdr:nvSpPr>
      <xdr:spPr>
        <a:xfrm>
          <a:off x="14617700" y="2155952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2" name="Shape 6">
          <a:extLst>
            <a:ext uri="{FF2B5EF4-FFF2-40B4-BE49-F238E27FC236}">
              <a16:creationId xmlns:a16="http://schemas.microsoft.com/office/drawing/2014/main" id="{1A71FBBE-F0C1-7E40-BED2-68FF63F44C96}"/>
            </a:ext>
          </a:extLst>
        </xdr:cNvPr>
        <xdr:cNvSpPr/>
      </xdr:nvSpPr>
      <xdr:spPr>
        <a:xfrm>
          <a:off x="10553700" y="499999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3" name="Shape 7">
          <a:extLst>
            <a:ext uri="{FF2B5EF4-FFF2-40B4-BE49-F238E27FC236}">
              <a16:creationId xmlns:a16="http://schemas.microsoft.com/office/drawing/2014/main" id="{C670406C-6E20-7544-A57B-CF2F1C5F0DA7}"/>
            </a:ext>
          </a:extLst>
        </xdr:cNvPr>
        <xdr:cNvSpPr/>
      </xdr:nvSpPr>
      <xdr:spPr>
        <a:xfrm>
          <a:off x="10553700" y="499999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4" name="Shape 6">
          <a:extLst>
            <a:ext uri="{FF2B5EF4-FFF2-40B4-BE49-F238E27FC236}">
              <a16:creationId xmlns:a16="http://schemas.microsoft.com/office/drawing/2014/main" id="{EDE9513C-9D22-294D-B242-2491E8299549}"/>
            </a:ext>
          </a:extLst>
        </xdr:cNvPr>
        <xdr:cNvSpPr/>
      </xdr:nvSpPr>
      <xdr:spPr>
        <a:xfrm>
          <a:off x="10553700" y="49999900"/>
          <a:ext cx="0" cy="169544"/>
        </a:xfrm>
        <a:custGeom>
          <a:avLst/>
          <a:gdLst/>
          <a:ahLst/>
          <a:cxnLst/>
          <a:rect l="0" t="0" r="0" b="0"/>
          <a:pathLst>
            <a:path h="169545">
              <a:moveTo>
                <a:pt x="0" y="0"/>
              </a:moveTo>
              <a:lnTo>
                <a:pt x="0" y="169164"/>
              </a:lnTo>
            </a:path>
          </a:pathLst>
        </a:custGeom>
        <a:ln w="10667">
          <a:solidFill>
            <a:srgbClr val="000000"/>
          </a:solidFill>
        </a:ln>
      </xdr:spPr>
    </xdr:sp>
    <xdr:clientData/>
  </xdr:oneCellAnchor>
  <xdr:oneCellAnchor>
    <xdr:from>
      <xdr:col>7</xdr:col>
      <xdr:colOff>0</xdr:colOff>
      <xdr:row>821</xdr:row>
      <xdr:rowOff>0</xdr:rowOff>
    </xdr:from>
    <xdr:ext cx="0" cy="169544"/>
    <xdr:sp macro="" textlink="">
      <xdr:nvSpPr>
        <xdr:cNvPr id="25" name="Shape 7">
          <a:extLst>
            <a:ext uri="{FF2B5EF4-FFF2-40B4-BE49-F238E27FC236}">
              <a16:creationId xmlns:a16="http://schemas.microsoft.com/office/drawing/2014/main" id="{ED975C68-BC9D-A44E-8D1A-071E1ED75173}"/>
            </a:ext>
          </a:extLst>
        </xdr:cNvPr>
        <xdr:cNvSpPr/>
      </xdr:nvSpPr>
      <xdr:spPr>
        <a:xfrm>
          <a:off x="10553700" y="49999900"/>
          <a:ext cx="0" cy="169544"/>
        </a:xfrm>
        <a:custGeom>
          <a:avLst/>
          <a:gdLst/>
          <a:ahLst/>
          <a:cxnLst/>
          <a:rect l="0" t="0" r="0" b="0"/>
          <a:pathLst>
            <a:path h="169545">
              <a:moveTo>
                <a:pt x="0" y="0"/>
              </a:moveTo>
              <a:lnTo>
                <a:pt x="0" y="169163"/>
              </a:lnTo>
            </a:path>
          </a:pathLst>
        </a:custGeom>
        <a:ln w="10667">
          <a:solidFill>
            <a:srgbClr val="000000"/>
          </a:solidFill>
        </a:ln>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ome/Files/UoT-PhD/Research/00-References/Alberta/Transmission/SLIVER%20model%20inputs%20-%20AB-4-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ser_inputs"/>
      <sheetName val="site independent"/>
      <sheetName val="modeled attributes"/>
      <sheetName val="modeled attributes _original"/>
      <sheetName val="scenario analysis"/>
      <sheetName val="vre plants"/>
      <sheetName val="non-vre plants"/>
      <sheetName val="storage"/>
      <sheetName val="EV_aggregator"/>
      <sheetName val="demand response"/>
      <sheetName val="demand centres"/>
      <sheetName val="existing transmission"/>
      <sheetName val="Nodes"/>
      <sheetName val="excel input instructions"/>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3">
          <cell r="B3" t="str">
            <v>Wind</v>
          </cell>
          <cell r="C3" t="str">
            <v>Solar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29DD1-6A72-3743-B75D-E75950720D7F}">
  <sheetPr codeName="Sheet1"/>
  <dimension ref="A1:C28"/>
  <sheetViews>
    <sheetView workbookViewId="0">
      <selection activeCell="B6" sqref="B1:C1048576"/>
    </sheetView>
  </sheetViews>
  <sheetFormatPr baseColWidth="10" defaultRowHeight="16" x14ac:dyDescent="0.2"/>
  <cols>
    <col min="1" max="1" width="4.83203125" style="191" customWidth="1"/>
    <col min="2" max="2" width="21.6640625" style="191" customWidth="1"/>
    <col min="3" max="3" width="10.83203125" style="191"/>
    <col min="4" max="16384" width="10.83203125" style="190"/>
  </cols>
  <sheetData>
    <row r="1" spans="1:3" s="20" customFormat="1" ht="21" x14ac:dyDescent="0.2">
      <c r="A1" s="20" t="s">
        <v>102</v>
      </c>
      <c r="B1" s="20" t="s">
        <v>33</v>
      </c>
    </row>
    <row r="2" spans="1:3" s="191" customFormat="1" x14ac:dyDescent="0.2"/>
    <row r="3" spans="1:3" s="14" customFormat="1" ht="19" x14ac:dyDescent="0.25">
      <c r="B3" s="7" t="s">
        <v>2855</v>
      </c>
      <c r="C3" s="7" t="s">
        <v>1988</v>
      </c>
    </row>
    <row r="4" spans="1:3" s="14" customFormat="1" ht="19" x14ac:dyDescent="0.25">
      <c r="B4" s="7" t="s">
        <v>1989</v>
      </c>
      <c r="C4" s="7" t="s">
        <v>1990</v>
      </c>
    </row>
    <row r="5" spans="1:3" s="192" customFormat="1" ht="19" x14ac:dyDescent="0.25">
      <c r="B5" s="7" t="s">
        <v>2912</v>
      </c>
      <c r="C5" s="7" t="s">
        <v>2913</v>
      </c>
    </row>
    <row r="6" spans="1:3" s="192" customFormat="1" ht="19" x14ac:dyDescent="0.25">
      <c r="B6" s="7" t="s">
        <v>753</v>
      </c>
      <c r="C6" s="7" t="s">
        <v>768</v>
      </c>
    </row>
    <row r="7" spans="1:3" s="192" customFormat="1" ht="19" x14ac:dyDescent="0.25">
      <c r="B7" s="7" t="s">
        <v>754</v>
      </c>
      <c r="C7" s="7" t="s">
        <v>756</v>
      </c>
    </row>
    <row r="8" spans="1:3" s="192" customFormat="1" ht="19" x14ac:dyDescent="0.25">
      <c r="B8" s="7" t="s">
        <v>755</v>
      </c>
      <c r="C8" s="7" t="s">
        <v>757</v>
      </c>
    </row>
    <row r="9" spans="1:3" s="192" customFormat="1" ht="19" x14ac:dyDescent="0.25">
      <c r="B9" s="7" t="s">
        <v>758</v>
      </c>
      <c r="C9" s="7" t="s">
        <v>759</v>
      </c>
    </row>
    <row r="10" spans="1:3" s="192" customFormat="1" ht="19" x14ac:dyDescent="0.25">
      <c r="B10" s="192" t="s">
        <v>20</v>
      </c>
      <c r="C10" s="192" t="s">
        <v>32</v>
      </c>
    </row>
    <row r="11" spans="1:3" s="192" customFormat="1" ht="19" x14ac:dyDescent="0.25">
      <c r="B11" s="192" t="s">
        <v>2940</v>
      </c>
      <c r="C11" s="192" t="s">
        <v>2941</v>
      </c>
    </row>
    <row r="12" spans="1:3" s="192" customFormat="1" ht="19" x14ac:dyDescent="0.25">
      <c r="B12" s="192" t="s">
        <v>2942</v>
      </c>
      <c r="C12" s="192" t="s">
        <v>2943</v>
      </c>
    </row>
    <row r="13" spans="1:3" s="192" customFormat="1" ht="19" x14ac:dyDescent="0.25">
      <c r="B13" s="7" t="s">
        <v>57</v>
      </c>
      <c r="C13" s="7" t="s">
        <v>58</v>
      </c>
    </row>
    <row r="14" spans="1:3" s="194" customFormat="1" ht="19" x14ac:dyDescent="0.25">
      <c r="A14" s="192"/>
      <c r="B14" s="7" t="s">
        <v>954</v>
      </c>
      <c r="C14" s="7" t="s">
        <v>1004</v>
      </c>
    </row>
    <row r="15" spans="1:3" s="194" customFormat="1" ht="19" x14ac:dyDescent="0.25">
      <c r="A15" s="192"/>
      <c r="B15" s="7" t="s">
        <v>955</v>
      </c>
      <c r="C15" s="7" t="s">
        <v>1005</v>
      </c>
    </row>
    <row r="16" spans="1:3" s="192" customFormat="1" ht="19" x14ac:dyDescent="0.25">
      <c r="B16" s="7" t="s">
        <v>956</v>
      </c>
      <c r="C16" s="7" t="s">
        <v>1006</v>
      </c>
    </row>
    <row r="17" spans="1:3" s="192" customFormat="1" ht="19" x14ac:dyDescent="0.25">
      <c r="B17" s="7" t="s">
        <v>957</v>
      </c>
      <c r="C17" s="7" t="s">
        <v>1007</v>
      </c>
    </row>
    <row r="18" spans="1:3" s="192" customFormat="1" ht="19" x14ac:dyDescent="0.25">
      <c r="B18" s="7" t="s">
        <v>1009</v>
      </c>
      <c r="C18" s="7" t="s">
        <v>1010</v>
      </c>
    </row>
    <row r="19" spans="1:3" s="192" customFormat="1" ht="19" x14ac:dyDescent="0.25">
      <c r="B19" s="192" t="s">
        <v>2888</v>
      </c>
      <c r="C19" s="192" t="s">
        <v>2889</v>
      </c>
    </row>
    <row r="20" spans="1:3" s="192" customFormat="1" ht="19" x14ac:dyDescent="0.25"/>
    <row r="21" spans="1:3" s="194" customFormat="1" ht="19" x14ac:dyDescent="0.25">
      <c r="A21" s="192"/>
      <c r="B21" s="195"/>
      <c r="C21" s="7" t="s">
        <v>1003</v>
      </c>
    </row>
    <row r="22" spans="1:3" s="194" customFormat="1" ht="19" x14ac:dyDescent="0.25">
      <c r="A22" s="192"/>
      <c r="B22" s="196"/>
      <c r="C22" s="7" t="s">
        <v>2909</v>
      </c>
    </row>
    <row r="23" spans="1:3" s="194" customFormat="1" ht="19" x14ac:dyDescent="0.25">
      <c r="A23" s="192"/>
      <c r="B23" s="197"/>
      <c r="C23" s="7" t="s">
        <v>976</v>
      </c>
    </row>
    <row r="24" spans="1:3" s="194" customFormat="1" ht="19" x14ac:dyDescent="0.25">
      <c r="A24" s="192"/>
      <c r="B24" s="16">
        <v>27</v>
      </c>
      <c r="C24" s="7" t="s">
        <v>69</v>
      </c>
    </row>
    <row r="25" spans="1:3" s="194" customFormat="1" ht="19" x14ac:dyDescent="0.25">
      <c r="A25" s="192"/>
      <c r="B25" s="192"/>
      <c r="C25" s="7" t="s">
        <v>2910</v>
      </c>
    </row>
    <row r="26" spans="1:3" s="192" customFormat="1" ht="19" x14ac:dyDescent="0.25"/>
    <row r="27" spans="1:3" s="194" customFormat="1" ht="19" x14ac:dyDescent="0.25">
      <c r="A27" s="193"/>
      <c r="B27" s="7" t="s">
        <v>1011</v>
      </c>
      <c r="C27" s="192"/>
    </row>
    <row r="28" spans="1:3" ht="19" x14ac:dyDescent="0.25">
      <c r="A28" s="193"/>
      <c r="B28" s="7" t="s">
        <v>1008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E0FD0-FD66-6842-B395-457547364BDA}">
  <dimension ref="A1:AF1997"/>
  <sheetViews>
    <sheetView zoomScaleNormal="100" workbookViewId="0">
      <pane ySplit="3" topLeftCell="A791" activePane="bottomLeft" state="frozen"/>
      <selection pane="bottomLeft" activeCell="A831" sqref="A831"/>
    </sheetView>
  </sheetViews>
  <sheetFormatPr baseColWidth="10" defaultRowHeight="16" x14ac:dyDescent="0.2"/>
  <cols>
    <col min="1" max="1" width="4.83203125" style="254" customWidth="1"/>
    <col min="2" max="2" width="60.83203125" style="90" customWidth="1"/>
    <col min="3" max="3" width="30.6640625" style="90" customWidth="1"/>
    <col min="4" max="6" width="24.83203125" style="41" customWidth="1"/>
    <col min="7" max="7" width="24.6640625" style="41" customWidth="1"/>
    <col min="8" max="8" width="16.83203125" style="189" customWidth="1"/>
    <col min="9" max="10" width="16.83203125" style="188" customWidth="1"/>
    <col min="11" max="13" width="12.83203125" style="189" customWidth="1"/>
    <col min="14" max="15" width="12.83203125" style="41" customWidth="1"/>
    <col min="16" max="17" width="60.83203125" style="254" customWidth="1"/>
    <col min="18" max="18" width="16.83203125" style="189" customWidth="1"/>
    <col min="19" max="16384" width="10.83203125" style="254"/>
  </cols>
  <sheetData>
    <row r="1" spans="1:25" s="7" customFormat="1" ht="21" x14ac:dyDescent="0.25">
      <c r="A1" s="89" t="s">
        <v>102</v>
      </c>
      <c r="B1" s="20" t="s">
        <v>2933</v>
      </c>
      <c r="C1" s="254"/>
      <c r="D1" s="20"/>
      <c r="E1" s="20"/>
      <c r="F1" s="20"/>
      <c r="G1" s="20"/>
      <c r="H1" s="189"/>
      <c r="I1" s="188"/>
      <c r="J1" s="188"/>
      <c r="K1" s="189"/>
      <c r="L1" s="189"/>
      <c r="M1" s="189"/>
      <c r="N1" s="41"/>
      <c r="O1" s="41"/>
      <c r="P1" s="254"/>
      <c r="R1" s="189"/>
    </row>
    <row r="2" spans="1:25" s="6" customFormat="1" ht="40" x14ac:dyDescent="0.2">
      <c r="B2" s="21" t="s">
        <v>87</v>
      </c>
      <c r="C2" s="21" t="s">
        <v>2852</v>
      </c>
      <c r="D2" s="21" t="s">
        <v>13</v>
      </c>
      <c r="E2" s="62" t="s">
        <v>763</v>
      </c>
      <c r="F2" s="62" t="s">
        <v>762</v>
      </c>
      <c r="G2" s="21" t="s">
        <v>2945</v>
      </c>
      <c r="H2" s="21" t="s">
        <v>2854</v>
      </c>
      <c r="I2" s="21" t="s">
        <v>2026</v>
      </c>
      <c r="J2" s="21" t="s">
        <v>2027</v>
      </c>
      <c r="K2" s="21" t="s">
        <v>1972</v>
      </c>
      <c r="L2" s="21" t="s">
        <v>1971</v>
      </c>
      <c r="M2" s="21" t="s">
        <v>1131</v>
      </c>
      <c r="N2" s="21" t="s">
        <v>2029</v>
      </c>
      <c r="O2" s="21" t="s">
        <v>2028</v>
      </c>
      <c r="P2" s="21" t="s">
        <v>1100</v>
      </c>
      <c r="Q2" s="21" t="s">
        <v>45</v>
      </c>
      <c r="R2" s="21" t="s">
        <v>1970</v>
      </c>
    </row>
    <row r="3" spans="1:25" s="6" customFormat="1" ht="20" x14ac:dyDescent="0.2">
      <c r="A3" s="58"/>
      <c r="B3" s="90"/>
      <c r="C3" s="90"/>
      <c r="D3" s="18"/>
      <c r="E3" s="18"/>
      <c r="F3" s="18"/>
      <c r="G3" s="18"/>
      <c r="H3" s="18"/>
      <c r="I3" s="18" t="s">
        <v>64</v>
      </c>
      <c r="J3" s="18" t="s">
        <v>64</v>
      </c>
      <c r="K3" s="18" t="s">
        <v>2030</v>
      </c>
      <c r="L3" s="18" t="s">
        <v>2030</v>
      </c>
      <c r="M3" s="18"/>
      <c r="N3" s="18" t="s">
        <v>17</v>
      </c>
      <c r="O3" s="18" t="s">
        <v>17</v>
      </c>
      <c r="P3" s="19"/>
      <c r="Q3" s="19"/>
      <c r="R3" s="18"/>
    </row>
    <row r="4" spans="1:25" ht="20" x14ac:dyDescent="0.2">
      <c r="A4" s="58"/>
      <c r="B4" s="151" t="s">
        <v>1561</v>
      </c>
      <c r="C4" s="51" t="s">
        <v>3213</v>
      </c>
      <c r="D4" s="33" t="s">
        <v>106</v>
      </c>
      <c r="E4" s="33"/>
      <c r="F4" s="33"/>
      <c r="G4" s="33" t="s">
        <v>2876</v>
      </c>
      <c r="H4" s="33"/>
      <c r="I4" s="99"/>
      <c r="J4" s="99"/>
      <c r="K4" s="69"/>
      <c r="L4" s="69"/>
      <c r="M4" s="69"/>
      <c r="N4" s="69"/>
      <c r="O4" s="69"/>
      <c r="P4" s="19"/>
      <c r="Q4" s="19"/>
      <c r="R4" s="99">
        <v>1</v>
      </c>
    </row>
    <row r="5" spans="1:25" s="7" customFormat="1" ht="20" x14ac:dyDescent="0.25">
      <c r="A5" s="58"/>
      <c r="B5" s="151" t="s">
        <v>1562</v>
      </c>
      <c r="C5" s="51" t="s">
        <v>3359</v>
      </c>
      <c r="D5" s="33" t="s">
        <v>106</v>
      </c>
      <c r="E5" s="33"/>
      <c r="F5" s="33"/>
      <c r="G5" s="33" t="s">
        <v>2876</v>
      </c>
      <c r="H5" s="33"/>
      <c r="I5" s="99"/>
      <c r="J5" s="99"/>
      <c r="K5" s="69"/>
      <c r="L5" s="69"/>
      <c r="M5" s="69"/>
      <c r="N5" s="69"/>
      <c r="O5" s="69"/>
      <c r="P5" s="19"/>
      <c r="Q5" s="19"/>
      <c r="R5" s="99">
        <v>2</v>
      </c>
      <c r="S5" s="254"/>
      <c r="T5" s="254"/>
      <c r="U5" s="254"/>
      <c r="V5" s="254"/>
      <c r="W5" s="254"/>
      <c r="X5" s="254"/>
      <c r="Y5" s="254"/>
    </row>
    <row r="6" spans="1:25" ht="20" x14ac:dyDescent="0.2">
      <c r="A6" s="58"/>
      <c r="B6" s="151" t="s">
        <v>1563</v>
      </c>
      <c r="C6" s="51" t="s">
        <v>3524</v>
      </c>
      <c r="D6" s="33" t="s">
        <v>106</v>
      </c>
      <c r="E6" s="33"/>
      <c r="F6" s="33"/>
      <c r="G6" s="33" t="s">
        <v>2876</v>
      </c>
      <c r="H6" s="33"/>
      <c r="I6" s="99"/>
      <c r="J6" s="99"/>
      <c r="K6" s="69"/>
      <c r="L6" s="69"/>
      <c r="M6" s="69"/>
      <c r="N6" s="69"/>
      <c r="O6" s="69"/>
      <c r="P6" s="19"/>
      <c r="Q6" s="19"/>
      <c r="R6" s="99">
        <v>3</v>
      </c>
    </row>
    <row r="7" spans="1:25" ht="20" x14ac:dyDescent="0.2">
      <c r="A7" s="58"/>
      <c r="B7" s="151" t="s">
        <v>1564</v>
      </c>
      <c r="C7" s="51" t="s">
        <v>3087</v>
      </c>
      <c r="D7" s="33" t="s">
        <v>106</v>
      </c>
      <c r="E7" s="33">
        <v>49.493319300000003</v>
      </c>
      <c r="F7" s="33">
        <v>-115.36242369999999</v>
      </c>
      <c r="G7" s="33" t="s">
        <v>2876</v>
      </c>
      <c r="H7" s="33"/>
      <c r="I7" s="99"/>
      <c r="J7" s="99"/>
      <c r="K7" s="69"/>
      <c r="L7" s="69"/>
      <c r="M7" s="69"/>
      <c r="N7" s="69"/>
      <c r="O7" s="69"/>
      <c r="P7" s="19"/>
      <c r="Q7" s="19"/>
      <c r="R7" s="99">
        <v>4</v>
      </c>
    </row>
    <row r="8" spans="1:25" ht="20" x14ac:dyDescent="0.2">
      <c r="A8" s="58"/>
      <c r="B8" s="151" t="s">
        <v>1565</v>
      </c>
      <c r="C8" s="51" t="s">
        <v>3206</v>
      </c>
      <c r="D8" s="33" t="s">
        <v>106</v>
      </c>
      <c r="E8" s="33"/>
      <c r="F8" s="33"/>
      <c r="G8" s="33" t="s">
        <v>2876</v>
      </c>
      <c r="H8" s="33"/>
      <c r="I8" s="236"/>
      <c r="J8" s="236"/>
      <c r="K8" s="69"/>
      <c r="L8" s="69"/>
      <c r="M8" s="69"/>
      <c r="N8" s="69"/>
      <c r="O8" s="69"/>
      <c r="P8" s="19"/>
      <c r="Q8" s="19"/>
      <c r="R8" s="99">
        <v>5</v>
      </c>
    </row>
    <row r="9" spans="1:25" ht="20" x14ac:dyDescent="0.2">
      <c r="A9" s="58"/>
      <c r="B9" s="151" t="s">
        <v>1566</v>
      </c>
      <c r="C9" s="51" t="s">
        <v>3606</v>
      </c>
      <c r="D9" s="33" t="s">
        <v>106</v>
      </c>
      <c r="E9" s="33"/>
      <c r="F9" s="33"/>
      <c r="G9" s="33" t="s">
        <v>2876</v>
      </c>
      <c r="H9" s="33"/>
      <c r="I9" s="99"/>
      <c r="J9" s="99"/>
      <c r="K9" s="69"/>
      <c r="L9" s="69"/>
      <c r="M9" s="69"/>
      <c r="N9" s="69"/>
      <c r="O9" s="69"/>
      <c r="P9" s="19"/>
      <c r="Q9" s="19"/>
      <c r="R9" s="99">
        <v>6</v>
      </c>
    </row>
    <row r="10" spans="1:25" ht="20" x14ac:dyDescent="0.2">
      <c r="A10" s="58"/>
      <c r="B10" s="151" t="s">
        <v>1567</v>
      </c>
      <c r="C10" s="51" t="s">
        <v>3611</v>
      </c>
      <c r="D10" s="33" t="s">
        <v>106</v>
      </c>
      <c r="E10" s="33"/>
      <c r="F10" s="33"/>
      <c r="G10" s="33" t="s">
        <v>2876</v>
      </c>
      <c r="H10" s="33"/>
      <c r="I10" s="99"/>
      <c r="J10" s="99"/>
      <c r="K10" s="69"/>
      <c r="L10" s="69"/>
      <c r="M10" s="69"/>
      <c r="N10" s="69"/>
      <c r="O10" s="69"/>
      <c r="P10" s="19"/>
      <c r="Q10" s="19"/>
      <c r="R10" s="99">
        <v>7</v>
      </c>
    </row>
    <row r="11" spans="1:25" ht="20" x14ac:dyDescent="0.2">
      <c r="A11" s="58"/>
      <c r="B11" s="151" t="s">
        <v>1568</v>
      </c>
      <c r="C11" s="51" t="s">
        <v>3184</v>
      </c>
      <c r="D11" s="33" t="s">
        <v>106</v>
      </c>
      <c r="E11" s="33"/>
      <c r="F11" s="33"/>
      <c r="G11" s="33" t="s">
        <v>2876</v>
      </c>
      <c r="H11" s="237" t="s">
        <v>1545</v>
      </c>
      <c r="I11" s="290">
        <v>60</v>
      </c>
      <c r="J11" s="290">
        <v>25</v>
      </c>
      <c r="K11" s="1">
        <v>14</v>
      </c>
      <c r="L11" s="1">
        <v>15</v>
      </c>
      <c r="M11" s="131">
        <v>0.9</v>
      </c>
      <c r="N11" s="1">
        <f>K11*$M11</f>
        <v>12.6</v>
      </c>
      <c r="O11" s="1">
        <f>L11*$M11</f>
        <v>13.5</v>
      </c>
      <c r="P11" s="19"/>
      <c r="Q11" s="19"/>
      <c r="R11" s="99">
        <v>8</v>
      </c>
    </row>
    <row r="12" spans="1:25" ht="20" x14ac:dyDescent="0.2">
      <c r="A12" s="58"/>
      <c r="B12" s="151" t="s">
        <v>2290</v>
      </c>
      <c r="C12" s="51" t="s">
        <v>3089</v>
      </c>
      <c r="D12" s="33" t="s">
        <v>106</v>
      </c>
      <c r="E12" s="33">
        <v>49.372118</v>
      </c>
      <c r="F12" s="33">
        <v>-122.31242899999999</v>
      </c>
      <c r="G12" s="33" t="s">
        <v>2876</v>
      </c>
      <c r="H12" s="33"/>
      <c r="I12" s="99"/>
      <c r="J12" s="99"/>
      <c r="K12" s="69"/>
      <c r="L12" s="69"/>
      <c r="M12" s="69"/>
      <c r="N12" s="69"/>
      <c r="O12" s="69"/>
      <c r="P12" s="19"/>
      <c r="Q12" s="19"/>
      <c r="R12" s="99">
        <v>9</v>
      </c>
    </row>
    <row r="13" spans="1:25" ht="20" x14ac:dyDescent="0.2">
      <c r="A13" s="58"/>
      <c r="B13" s="151" t="s">
        <v>1570</v>
      </c>
      <c r="C13" s="51" t="s">
        <v>3214</v>
      </c>
      <c r="D13" s="33" t="s">
        <v>106</v>
      </c>
      <c r="E13" s="33"/>
      <c r="F13" s="33"/>
      <c r="G13" s="33" t="s">
        <v>2876</v>
      </c>
      <c r="H13" s="237" t="s">
        <v>1545</v>
      </c>
      <c r="I13" s="2">
        <v>230</v>
      </c>
      <c r="J13" s="2">
        <v>25</v>
      </c>
      <c r="K13" s="1">
        <v>79</v>
      </c>
      <c r="L13" s="1">
        <v>100</v>
      </c>
      <c r="M13" s="131">
        <v>0.9</v>
      </c>
      <c r="N13" s="1">
        <f t="shared" ref="N13:N23" si="0">K13*$M13</f>
        <v>71.100000000000009</v>
      </c>
      <c r="O13" s="1">
        <f t="shared" ref="O13:O23" si="1">L13*$M13</f>
        <v>90</v>
      </c>
      <c r="P13" s="19"/>
      <c r="Q13" s="19"/>
      <c r="R13" s="99">
        <v>10</v>
      </c>
    </row>
    <row r="14" spans="1:25" ht="20" x14ac:dyDescent="0.2">
      <c r="A14" s="58"/>
      <c r="B14" s="151" t="s">
        <v>1570</v>
      </c>
      <c r="C14" s="51" t="s">
        <v>3214</v>
      </c>
      <c r="D14" s="33" t="s">
        <v>106</v>
      </c>
      <c r="E14" s="33"/>
      <c r="F14" s="33"/>
      <c r="G14" s="33" t="s">
        <v>2876</v>
      </c>
      <c r="H14" s="237" t="s">
        <v>1546</v>
      </c>
      <c r="I14" s="2">
        <v>230</v>
      </c>
      <c r="J14" s="2">
        <v>25</v>
      </c>
      <c r="K14" s="1">
        <v>87</v>
      </c>
      <c r="L14" s="1">
        <v>100</v>
      </c>
      <c r="M14" s="131">
        <v>0.9</v>
      </c>
      <c r="N14" s="1">
        <f t="shared" si="0"/>
        <v>78.3</v>
      </c>
      <c r="O14" s="1">
        <f t="shared" si="1"/>
        <v>90</v>
      </c>
      <c r="P14" s="19"/>
      <c r="Q14" s="19"/>
      <c r="R14" s="99">
        <v>11</v>
      </c>
    </row>
    <row r="15" spans="1:25" ht="20" x14ac:dyDescent="0.2">
      <c r="A15" s="58"/>
      <c r="B15" s="151" t="s">
        <v>1570</v>
      </c>
      <c r="C15" s="51" t="s">
        <v>3214</v>
      </c>
      <c r="D15" s="33" t="s">
        <v>106</v>
      </c>
      <c r="E15" s="33"/>
      <c r="F15" s="33"/>
      <c r="G15" s="33" t="s">
        <v>2876</v>
      </c>
      <c r="H15" s="237" t="s">
        <v>1547</v>
      </c>
      <c r="I15" s="2">
        <v>60</v>
      </c>
      <c r="J15" s="2">
        <v>25</v>
      </c>
      <c r="K15" s="1">
        <v>49</v>
      </c>
      <c r="L15" s="1">
        <v>55</v>
      </c>
      <c r="M15" s="131">
        <v>0.9</v>
      </c>
      <c r="N15" s="1">
        <f t="shared" si="0"/>
        <v>44.1</v>
      </c>
      <c r="O15" s="1">
        <f t="shared" si="1"/>
        <v>49.5</v>
      </c>
      <c r="P15" s="19"/>
      <c r="Q15" s="19"/>
      <c r="R15" s="99">
        <v>12</v>
      </c>
    </row>
    <row r="16" spans="1:25" ht="20" x14ac:dyDescent="0.2">
      <c r="A16" s="58"/>
      <c r="B16" s="151" t="s">
        <v>1570</v>
      </c>
      <c r="C16" s="51" t="s">
        <v>3214</v>
      </c>
      <c r="D16" s="33" t="s">
        <v>106</v>
      </c>
      <c r="E16" s="33"/>
      <c r="F16" s="33"/>
      <c r="G16" s="33" t="s">
        <v>2876</v>
      </c>
      <c r="H16" s="237" t="s">
        <v>1548</v>
      </c>
      <c r="I16" s="2">
        <v>60</v>
      </c>
      <c r="J16" s="2">
        <v>25</v>
      </c>
      <c r="K16" s="1">
        <v>49</v>
      </c>
      <c r="L16" s="1">
        <v>55</v>
      </c>
      <c r="M16" s="131">
        <v>0.9</v>
      </c>
      <c r="N16" s="1">
        <f t="shared" si="0"/>
        <v>44.1</v>
      </c>
      <c r="O16" s="1">
        <f t="shared" si="1"/>
        <v>49.5</v>
      </c>
      <c r="P16" s="19"/>
      <c r="Q16" s="19"/>
      <c r="R16" s="99">
        <v>13</v>
      </c>
    </row>
    <row r="17" spans="1:20" ht="20" x14ac:dyDescent="0.2">
      <c r="A17" s="58"/>
      <c r="B17" s="151" t="s">
        <v>1571</v>
      </c>
      <c r="C17" s="51" t="s">
        <v>3363</v>
      </c>
      <c r="D17" s="33" t="s">
        <v>106</v>
      </c>
      <c r="E17" s="33"/>
      <c r="F17" s="33"/>
      <c r="G17" s="33" t="s">
        <v>2876</v>
      </c>
      <c r="H17" s="237" t="s">
        <v>1545</v>
      </c>
      <c r="I17" s="2">
        <v>60</v>
      </c>
      <c r="J17" s="2">
        <v>12</v>
      </c>
      <c r="K17" s="1">
        <v>48</v>
      </c>
      <c r="L17" s="1">
        <v>55</v>
      </c>
      <c r="M17" s="131">
        <v>0.9</v>
      </c>
      <c r="N17" s="1">
        <f t="shared" si="0"/>
        <v>43.2</v>
      </c>
      <c r="O17" s="1">
        <f t="shared" si="1"/>
        <v>49.5</v>
      </c>
      <c r="P17" s="19"/>
      <c r="Q17" s="19"/>
      <c r="R17" s="99">
        <v>14</v>
      </c>
    </row>
    <row r="18" spans="1:20" ht="20" x14ac:dyDescent="0.2">
      <c r="A18" s="58"/>
      <c r="B18" s="151" t="s">
        <v>1571</v>
      </c>
      <c r="C18" s="51" t="s">
        <v>3363</v>
      </c>
      <c r="D18" s="33" t="s">
        <v>106</v>
      </c>
      <c r="E18" s="33"/>
      <c r="F18" s="33"/>
      <c r="G18" s="33" t="s">
        <v>2876</v>
      </c>
      <c r="H18" s="237" t="s">
        <v>1549</v>
      </c>
      <c r="I18" s="2">
        <v>60</v>
      </c>
      <c r="J18" s="2">
        <v>12</v>
      </c>
      <c r="K18" s="1">
        <v>48</v>
      </c>
      <c r="L18" s="1">
        <v>62</v>
      </c>
      <c r="M18" s="131">
        <v>0.9</v>
      </c>
      <c r="N18" s="1">
        <f t="shared" si="0"/>
        <v>43.2</v>
      </c>
      <c r="O18" s="1">
        <f t="shared" si="1"/>
        <v>55.800000000000004</v>
      </c>
      <c r="P18" s="19"/>
      <c r="Q18" s="19"/>
      <c r="R18" s="99">
        <v>15</v>
      </c>
    </row>
    <row r="19" spans="1:20" ht="20" x14ac:dyDescent="0.2">
      <c r="A19" s="58"/>
      <c r="B19" s="151" t="s">
        <v>1571</v>
      </c>
      <c r="C19" s="51" t="s">
        <v>3363</v>
      </c>
      <c r="D19" s="33" t="s">
        <v>106</v>
      </c>
      <c r="E19" s="33"/>
      <c r="F19" s="33"/>
      <c r="G19" s="33" t="s">
        <v>2876</v>
      </c>
      <c r="H19" s="237" t="s">
        <v>1550</v>
      </c>
      <c r="I19" s="2">
        <v>60</v>
      </c>
      <c r="J19" s="2">
        <v>12</v>
      </c>
      <c r="K19" s="1">
        <v>48</v>
      </c>
      <c r="L19" s="1">
        <v>55</v>
      </c>
      <c r="M19" s="131">
        <v>0.9</v>
      </c>
      <c r="N19" s="1">
        <f t="shared" si="0"/>
        <v>43.2</v>
      </c>
      <c r="O19" s="1">
        <f t="shared" si="1"/>
        <v>49.5</v>
      </c>
      <c r="P19" s="19"/>
      <c r="Q19" s="19"/>
      <c r="R19" s="99">
        <v>16</v>
      </c>
    </row>
    <row r="20" spans="1:20" ht="20" x14ac:dyDescent="0.2">
      <c r="A20" s="58"/>
      <c r="B20" s="151" t="s">
        <v>114</v>
      </c>
      <c r="C20" s="51" t="s">
        <v>3364</v>
      </c>
      <c r="D20" s="33" t="s">
        <v>106</v>
      </c>
      <c r="E20" s="33"/>
      <c r="F20" s="33"/>
      <c r="G20" s="33" t="s">
        <v>2876</v>
      </c>
      <c r="H20" s="237" t="s">
        <v>1545</v>
      </c>
      <c r="I20" s="2">
        <v>138</v>
      </c>
      <c r="J20" s="2">
        <v>25</v>
      </c>
      <c r="K20" s="1">
        <v>28</v>
      </c>
      <c r="L20" s="1">
        <v>33</v>
      </c>
      <c r="M20" s="131">
        <v>0.9</v>
      </c>
      <c r="N20" s="1">
        <f t="shared" si="0"/>
        <v>25.2</v>
      </c>
      <c r="O20" s="1">
        <f t="shared" si="1"/>
        <v>29.7</v>
      </c>
      <c r="P20" s="19"/>
      <c r="Q20" s="19"/>
      <c r="R20" s="99">
        <v>17</v>
      </c>
    </row>
    <row r="21" spans="1:20" ht="20" x14ac:dyDescent="0.2">
      <c r="A21" s="58"/>
      <c r="B21" s="151" t="s">
        <v>114</v>
      </c>
      <c r="C21" s="51" t="s">
        <v>3364</v>
      </c>
      <c r="D21" s="33" t="s">
        <v>106</v>
      </c>
      <c r="E21" s="33"/>
      <c r="F21" s="33"/>
      <c r="G21" s="33" t="s">
        <v>2876</v>
      </c>
      <c r="H21" s="237" t="s">
        <v>1549</v>
      </c>
      <c r="I21" s="2">
        <v>138</v>
      </c>
      <c r="J21" s="2">
        <v>25</v>
      </c>
      <c r="K21" s="1">
        <v>28</v>
      </c>
      <c r="L21" s="1">
        <v>33</v>
      </c>
      <c r="M21" s="131">
        <v>0.9</v>
      </c>
      <c r="N21" s="1">
        <f t="shared" si="0"/>
        <v>25.2</v>
      </c>
      <c r="O21" s="1">
        <f t="shared" si="1"/>
        <v>29.7</v>
      </c>
      <c r="P21" s="19"/>
      <c r="Q21" s="19"/>
      <c r="R21" s="99">
        <v>18</v>
      </c>
    </row>
    <row r="22" spans="1:20" ht="20" x14ac:dyDescent="0.2">
      <c r="A22" s="58"/>
      <c r="B22" s="151" t="s">
        <v>1572</v>
      </c>
      <c r="C22" s="51" t="s">
        <v>3194</v>
      </c>
      <c r="D22" s="33" t="s">
        <v>106</v>
      </c>
      <c r="E22" s="33"/>
      <c r="F22" s="33"/>
      <c r="G22" s="33" t="s">
        <v>2876</v>
      </c>
      <c r="H22" s="237" t="s">
        <v>1551</v>
      </c>
      <c r="I22" s="2">
        <v>230</v>
      </c>
      <c r="J22" s="2">
        <v>25</v>
      </c>
      <c r="K22" s="1">
        <v>158</v>
      </c>
      <c r="L22" s="1">
        <v>200</v>
      </c>
      <c r="M22" s="131">
        <v>0.9</v>
      </c>
      <c r="N22" s="1">
        <f t="shared" si="0"/>
        <v>142.20000000000002</v>
      </c>
      <c r="O22" s="1">
        <f t="shared" si="1"/>
        <v>180</v>
      </c>
      <c r="P22" s="19"/>
      <c r="Q22" s="19"/>
      <c r="R22" s="99">
        <v>19</v>
      </c>
    </row>
    <row r="23" spans="1:20" ht="20" x14ac:dyDescent="0.2">
      <c r="A23" s="58"/>
      <c r="B23" s="151" t="s">
        <v>1572</v>
      </c>
      <c r="C23" s="51" t="s">
        <v>3194</v>
      </c>
      <c r="D23" s="33" t="s">
        <v>106</v>
      </c>
      <c r="E23" s="33"/>
      <c r="F23" s="33"/>
      <c r="G23" s="33" t="s">
        <v>2876</v>
      </c>
      <c r="H23" s="237" t="s">
        <v>1552</v>
      </c>
      <c r="I23" s="2">
        <v>230</v>
      </c>
      <c r="J23" s="2">
        <v>25</v>
      </c>
      <c r="K23" s="1">
        <v>158</v>
      </c>
      <c r="L23" s="1">
        <v>200</v>
      </c>
      <c r="M23" s="131">
        <v>0.9</v>
      </c>
      <c r="N23" s="1">
        <f t="shared" si="0"/>
        <v>142.20000000000002</v>
      </c>
      <c r="O23" s="1">
        <f t="shared" si="1"/>
        <v>180</v>
      </c>
      <c r="P23" s="19"/>
      <c r="Q23" s="19"/>
      <c r="R23" s="99">
        <v>20</v>
      </c>
    </row>
    <row r="24" spans="1:20" ht="20" x14ac:dyDescent="0.2">
      <c r="A24" s="58"/>
      <c r="B24" s="151" t="s">
        <v>1573</v>
      </c>
      <c r="C24" s="51" t="s">
        <v>3090</v>
      </c>
      <c r="D24" s="33" t="s">
        <v>106</v>
      </c>
      <c r="E24" s="33">
        <v>49.373362999999998</v>
      </c>
      <c r="F24" s="33">
        <v>-125.15062880000001</v>
      </c>
      <c r="G24" s="33" t="s">
        <v>2876</v>
      </c>
      <c r="H24" s="33"/>
      <c r="I24" s="99"/>
      <c r="J24" s="99"/>
      <c r="K24" s="69"/>
      <c r="L24" s="69"/>
      <c r="M24" s="69"/>
      <c r="N24" s="69"/>
      <c r="O24" s="69"/>
      <c r="P24" s="19"/>
      <c r="Q24" s="19"/>
      <c r="R24" s="99">
        <v>21</v>
      </c>
    </row>
    <row r="25" spans="1:20" ht="20" x14ac:dyDescent="0.2">
      <c r="A25" s="58"/>
      <c r="B25" s="151" t="s">
        <v>1574</v>
      </c>
      <c r="C25" s="51" t="s">
        <v>3091</v>
      </c>
      <c r="D25" s="33" t="s">
        <v>106</v>
      </c>
      <c r="E25" s="33">
        <v>49.914338299999997</v>
      </c>
      <c r="F25" s="33">
        <v>-123.3250321</v>
      </c>
      <c r="G25" s="33" t="s">
        <v>2876</v>
      </c>
      <c r="H25" s="33"/>
      <c r="I25" s="236"/>
      <c r="J25" s="236"/>
      <c r="K25" s="69"/>
      <c r="L25" s="69"/>
      <c r="M25" s="69"/>
      <c r="N25" s="69"/>
      <c r="O25" s="69"/>
      <c r="P25" s="19"/>
      <c r="Q25" s="19"/>
      <c r="R25" s="99">
        <v>22</v>
      </c>
      <c r="S25" s="25"/>
      <c r="T25" s="25"/>
    </row>
    <row r="26" spans="1:20" ht="20" x14ac:dyDescent="0.2">
      <c r="A26" s="58"/>
      <c r="B26" s="151" t="s">
        <v>1575</v>
      </c>
      <c r="C26" s="51" t="s">
        <v>3365</v>
      </c>
      <c r="D26" s="33" t="s">
        <v>106</v>
      </c>
      <c r="E26" s="33"/>
      <c r="F26" s="33"/>
      <c r="G26" s="33" t="s">
        <v>2876</v>
      </c>
      <c r="H26" s="237" t="s">
        <v>1545</v>
      </c>
      <c r="I26" s="2">
        <v>138</v>
      </c>
      <c r="J26" s="2">
        <v>25</v>
      </c>
      <c r="K26" s="1">
        <v>52</v>
      </c>
      <c r="L26" s="1">
        <v>67</v>
      </c>
      <c r="M26" s="131">
        <v>0.9</v>
      </c>
      <c r="N26" s="1">
        <f t="shared" ref="N26:O29" si="2">K26*$M26</f>
        <v>46.800000000000004</v>
      </c>
      <c r="O26" s="1">
        <f t="shared" si="2"/>
        <v>60.300000000000004</v>
      </c>
      <c r="P26" s="19"/>
      <c r="Q26" s="19"/>
      <c r="R26" s="99">
        <v>23</v>
      </c>
    </row>
    <row r="27" spans="1:20" ht="20" x14ac:dyDescent="0.2">
      <c r="A27" s="58"/>
      <c r="B27" s="151" t="s">
        <v>1575</v>
      </c>
      <c r="C27" s="51" t="s">
        <v>3365</v>
      </c>
      <c r="D27" s="33" t="s">
        <v>106</v>
      </c>
      <c r="E27" s="33"/>
      <c r="F27" s="33"/>
      <c r="G27" s="33" t="s">
        <v>2876</v>
      </c>
      <c r="H27" s="237" t="s">
        <v>1549</v>
      </c>
      <c r="I27" s="2">
        <v>138</v>
      </c>
      <c r="J27" s="2">
        <v>25</v>
      </c>
      <c r="K27" s="1">
        <v>52</v>
      </c>
      <c r="L27" s="1">
        <v>67</v>
      </c>
      <c r="M27" s="131">
        <v>0.9</v>
      </c>
      <c r="N27" s="1">
        <f t="shared" si="2"/>
        <v>46.800000000000004</v>
      </c>
      <c r="O27" s="1">
        <f t="shared" si="2"/>
        <v>60.300000000000004</v>
      </c>
      <c r="P27" s="19"/>
      <c r="Q27" s="19"/>
      <c r="R27" s="99">
        <v>24</v>
      </c>
    </row>
    <row r="28" spans="1:20" ht="20" x14ac:dyDescent="0.2">
      <c r="A28" s="58"/>
      <c r="B28" s="151" t="s">
        <v>1576</v>
      </c>
      <c r="C28" s="51" t="s">
        <v>3366</v>
      </c>
      <c r="D28" s="33" t="s">
        <v>106</v>
      </c>
      <c r="E28" s="33"/>
      <c r="F28" s="33"/>
      <c r="G28" s="33" t="s">
        <v>2876</v>
      </c>
      <c r="H28" s="237" t="s">
        <v>1545</v>
      </c>
      <c r="I28" s="2">
        <v>138</v>
      </c>
      <c r="J28" s="2">
        <v>12</v>
      </c>
      <c r="K28" s="1">
        <v>2</v>
      </c>
      <c r="L28" s="1">
        <v>2.4</v>
      </c>
      <c r="M28" s="131">
        <v>0.9</v>
      </c>
      <c r="N28" s="1">
        <f t="shared" si="2"/>
        <v>1.8</v>
      </c>
      <c r="O28" s="1">
        <f t="shared" si="2"/>
        <v>2.16</v>
      </c>
      <c r="P28" s="19"/>
      <c r="Q28" s="19"/>
      <c r="R28" s="99">
        <v>25</v>
      </c>
    </row>
    <row r="29" spans="1:20" ht="20" x14ac:dyDescent="0.2">
      <c r="A29" s="58"/>
      <c r="B29" s="151" t="s">
        <v>1576</v>
      </c>
      <c r="C29" s="51" t="s">
        <v>3366</v>
      </c>
      <c r="D29" s="33" t="s">
        <v>106</v>
      </c>
      <c r="E29" s="33"/>
      <c r="F29" s="33"/>
      <c r="G29" s="33" t="s">
        <v>2876</v>
      </c>
      <c r="H29" s="237" t="s">
        <v>1549</v>
      </c>
      <c r="I29" s="2">
        <v>12</v>
      </c>
      <c r="J29" s="2">
        <v>25</v>
      </c>
      <c r="K29" s="1">
        <v>0.3</v>
      </c>
      <c r="L29" s="1">
        <v>0.3</v>
      </c>
      <c r="M29" s="131">
        <v>0.9</v>
      </c>
      <c r="N29" s="1">
        <f t="shared" si="2"/>
        <v>0.27</v>
      </c>
      <c r="O29" s="1">
        <f t="shared" si="2"/>
        <v>0.27</v>
      </c>
      <c r="P29" s="19"/>
      <c r="Q29" s="19"/>
      <c r="R29" s="99">
        <v>26</v>
      </c>
    </row>
    <row r="30" spans="1:20" ht="20" x14ac:dyDescent="0.2">
      <c r="A30" s="58"/>
      <c r="B30" s="151" t="s">
        <v>1577</v>
      </c>
      <c r="C30" s="51" t="s">
        <v>3367</v>
      </c>
      <c r="D30" s="33" t="s">
        <v>106</v>
      </c>
      <c r="E30" s="33"/>
      <c r="F30" s="33"/>
      <c r="G30" s="33" t="s">
        <v>2876</v>
      </c>
      <c r="H30" s="33"/>
      <c r="I30" s="99"/>
      <c r="J30" s="99"/>
      <c r="K30" s="69"/>
      <c r="L30" s="69"/>
      <c r="M30" s="69"/>
      <c r="N30" s="69"/>
      <c r="O30" s="69"/>
      <c r="P30" s="19"/>
      <c r="Q30" s="19"/>
      <c r="R30" s="99">
        <v>27</v>
      </c>
    </row>
    <row r="31" spans="1:20" ht="20" x14ac:dyDescent="0.2">
      <c r="A31" s="58"/>
      <c r="B31" s="151" t="s">
        <v>2025</v>
      </c>
      <c r="C31" s="51" t="s">
        <v>3610</v>
      </c>
      <c r="D31" s="33" t="s">
        <v>106</v>
      </c>
      <c r="E31" s="33"/>
      <c r="F31" s="33"/>
      <c r="G31" s="33" t="s">
        <v>2876</v>
      </c>
      <c r="H31" s="33"/>
      <c r="I31" s="99"/>
      <c r="J31" s="99"/>
      <c r="K31" s="69"/>
      <c r="L31" s="69"/>
      <c r="M31" s="69"/>
      <c r="N31" s="69"/>
      <c r="O31" s="69"/>
      <c r="P31" s="19"/>
      <c r="Q31" s="19"/>
      <c r="R31" s="99">
        <v>28</v>
      </c>
    </row>
    <row r="32" spans="1:20" ht="20" x14ac:dyDescent="0.2">
      <c r="A32" s="58"/>
      <c r="B32" s="151" t="s">
        <v>1578</v>
      </c>
      <c r="C32" s="51" t="s">
        <v>3215</v>
      </c>
      <c r="D32" s="33" t="s">
        <v>106</v>
      </c>
      <c r="E32" s="33"/>
      <c r="F32" s="33"/>
      <c r="G32" s="33" t="s">
        <v>2876</v>
      </c>
      <c r="H32" s="237" t="s">
        <v>1545</v>
      </c>
      <c r="I32" s="2">
        <v>138</v>
      </c>
      <c r="J32" s="2">
        <v>25</v>
      </c>
      <c r="K32" s="1">
        <v>11.25</v>
      </c>
      <c r="L32" s="1">
        <v>12</v>
      </c>
      <c r="M32" s="131">
        <v>0.9</v>
      </c>
      <c r="N32" s="1">
        <f t="shared" ref="N32:O39" si="3">K32*$M32</f>
        <v>10.125</v>
      </c>
      <c r="O32" s="1">
        <f t="shared" si="3"/>
        <v>10.8</v>
      </c>
      <c r="P32" s="19"/>
      <c r="Q32" s="19"/>
      <c r="R32" s="99">
        <v>29</v>
      </c>
    </row>
    <row r="33" spans="1:25" ht="20" x14ac:dyDescent="0.2">
      <c r="A33" s="58"/>
      <c r="B33" s="151" t="s">
        <v>1579</v>
      </c>
      <c r="C33" s="51" t="s">
        <v>3541</v>
      </c>
      <c r="D33" s="33" t="s">
        <v>106</v>
      </c>
      <c r="E33" s="33"/>
      <c r="F33" s="33"/>
      <c r="G33" s="33" t="s">
        <v>2876</v>
      </c>
      <c r="H33" s="237" t="s">
        <v>1545</v>
      </c>
      <c r="I33" s="2">
        <v>138</v>
      </c>
      <c r="J33" s="2">
        <v>25</v>
      </c>
      <c r="K33" s="1">
        <v>16.7</v>
      </c>
      <c r="L33" s="1">
        <v>20</v>
      </c>
      <c r="M33" s="131">
        <v>0.9</v>
      </c>
      <c r="N33" s="1">
        <f t="shared" si="3"/>
        <v>15.03</v>
      </c>
      <c r="O33" s="1">
        <f t="shared" si="3"/>
        <v>18</v>
      </c>
      <c r="P33" s="19"/>
      <c r="Q33" s="19"/>
      <c r="R33" s="99">
        <v>30</v>
      </c>
    </row>
    <row r="34" spans="1:25" ht="20" x14ac:dyDescent="0.2">
      <c r="A34" s="58"/>
      <c r="B34" s="151" t="s">
        <v>1580</v>
      </c>
      <c r="C34" s="51" t="s">
        <v>3368</v>
      </c>
      <c r="D34" s="33" t="s">
        <v>106</v>
      </c>
      <c r="E34" s="33"/>
      <c r="F34" s="33"/>
      <c r="G34" s="33" t="s">
        <v>2876</v>
      </c>
      <c r="H34" s="237" t="s">
        <v>1545</v>
      </c>
      <c r="I34" s="2">
        <v>60</v>
      </c>
      <c r="J34" s="2">
        <v>12</v>
      </c>
      <c r="K34" s="1">
        <v>21</v>
      </c>
      <c r="L34" s="1">
        <v>26</v>
      </c>
      <c r="M34" s="131">
        <v>0.9</v>
      </c>
      <c r="N34" s="1">
        <f t="shared" si="3"/>
        <v>18.900000000000002</v>
      </c>
      <c r="O34" s="1">
        <f t="shared" si="3"/>
        <v>23.400000000000002</v>
      </c>
      <c r="P34" s="19"/>
      <c r="Q34" s="19"/>
      <c r="R34" s="99">
        <v>31</v>
      </c>
    </row>
    <row r="35" spans="1:25" ht="20" x14ac:dyDescent="0.2">
      <c r="A35" s="58"/>
      <c r="B35" s="151" t="s">
        <v>1580</v>
      </c>
      <c r="C35" s="51" t="s">
        <v>3368</v>
      </c>
      <c r="D35" s="33" t="s">
        <v>106</v>
      </c>
      <c r="E35" s="33"/>
      <c r="F35" s="33"/>
      <c r="G35" s="33" t="s">
        <v>2876</v>
      </c>
      <c r="H35" s="237" t="s">
        <v>1549</v>
      </c>
      <c r="I35" s="2">
        <v>60</v>
      </c>
      <c r="J35" s="2">
        <v>12</v>
      </c>
      <c r="K35" s="1">
        <v>21</v>
      </c>
      <c r="L35" s="1">
        <v>26</v>
      </c>
      <c r="M35" s="131">
        <v>0.9</v>
      </c>
      <c r="N35" s="1">
        <f t="shared" si="3"/>
        <v>18.900000000000002</v>
      </c>
      <c r="O35" s="1">
        <f t="shared" si="3"/>
        <v>23.400000000000002</v>
      </c>
      <c r="P35" s="19"/>
      <c r="Q35" s="19"/>
      <c r="R35" s="99">
        <v>32</v>
      </c>
    </row>
    <row r="36" spans="1:25" ht="20" x14ac:dyDescent="0.2">
      <c r="A36" s="58"/>
      <c r="B36" s="151" t="s">
        <v>1581</v>
      </c>
      <c r="C36" s="51" t="s">
        <v>3369</v>
      </c>
      <c r="D36" s="33" t="s">
        <v>106</v>
      </c>
      <c r="E36" s="33"/>
      <c r="F36" s="33"/>
      <c r="G36" s="33" t="s">
        <v>2876</v>
      </c>
      <c r="H36" s="237" t="s">
        <v>1545</v>
      </c>
      <c r="I36" s="2">
        <v>138</v>
      </c>
      <c r="J36" s="2">
        <v>25</v>
      </c>
      <c r="K36" s="1">
        <v>18.8</v>
      </c>
      <c r="L36" s="1">
        <v>23.2</v>
      </c>
      <c r="M36" s="131">
        <v>0.9</v>
      </c>
      <c r="N36" s="1">
        <f t="shared" si="3"/>
        <v>16.920000000000002</v>
      </c>
      <c r="O36" s="1">
        <f t="shared" si="3"/>
        <v>20.88</v>
      </c>
      <c r="P36" s="19"/>
      <c r="Q36" s="19"/>
      <c r="R36" s="99">
        <v>33</v>
      </c>
    </row>
    <row r="37" spans="1:25" ht="20" x14ac:dyDescent="0.2">
      <c r="A37" s="58"/>
      <c r="B37" s="151" t="s">
        <v>3693</v>
      </c>
      <c r="C37" s="51" t="s">
        <v>3719</v>
      </c>
      <c r="D37" s="33" t="s">
        <v>106</v>
      </c>
      <c r="E37" s="33">
        <v>49.811343399999998</v>
      </c>
      <c r="F37" s="33">
        <v>-121.4584751</v>
      </c>
      <c r="G37" s="33" t="s">
        <v>2876</v>
      </c>
      <c r="H37" s="237" t="s">
        <v>1545</v>
      </c>
      <c r="I37" s="290">
        <v>60</v>
      </c>
      <c r="J37" s="290">
        <v>25</v>
      </c>
      <c r="K37" s="1">
        <v>13</v>
      </c>
      <c r="L37" s="1">
        <v>15</v>
      </c>
      <c r="M37" s="131">
        <v>0.9</v>
      </c>
      <c r="N37" s="1">
        <f t="shared" si="3"/>
        <v>11.700000000000001</v>
      </c>
      <c r="O37" s="1">
        <f t="shared" si="3"/>
        <v>13.5</v>
      </c>
      <c r="P37" s="19"/>
      <c r="Q37" s="19"/>
      <c r="R37" s="99">
        <v>34</v>
      </c>
    </row>
    <row r="38" spans="1:25" ht="20" x14ac:dyDescent="0.2">
      <c r="A38" s="58"/>
      <c r="B38" s="151" t="s">
        <v>1582</v>
      </c>
      <c r="C38" s="51" t="s">
        <v>3216</v>
      </c>
      <c r="D38" s="33" t="s">
        <v>106</v>
      </c>
      <c r="E38" s="33"/>
      <c r="F38" s="33"/>
      <c r="G38" s="33" t="s">
        <v>2876</v>
      </c>
      <c r="H38" s="237" t="s">
        <v>1545</v>
      </c>
      <c r="I38" s="2">
        <v>60</v>
      </c>
      <c r="J38" s="2">
        <v>12</v>
      </c>
      <c r="K38" s="1">
        <v>79</v>
      </c>
      <c r="L38" s="1">
        <v>100</v>
      </c>
      <c r="M38" s="131">
        <v>0.9</v>
      </c>
      <c r="N38" s="1">
        <f t="shared" si="3"/>
        <v>71.100000000000009</v>
      </c>
      <c r="O38" s="1">
        <f t="shared" si="3"/>
        <v>90</v>
      </c>
      <c r="P38" s="19"/>
      <c r="Q38" s="19"/>
      <c r="R38" s="99">
        <v>35</v>
      </c>
    </row>
    <row r="39" spans="1:25" s="41" customFormat="1" ht="20" x14ac:dyDescent="0.2">
      <c r="A39" s="58"/>
      <c r="B39" s="151" t="s">
        <v>1582</v>
      </c>
      <c r="C39" s="51" t="s">
        <v>3216</v>
      </c>
      <c r="D39" s="33" t="s">
        <v>106</v>
      </c>
      <c r="E39" s="33"/>
      <c r="F39" s="33"/>
      <c r="G39" s="33" t="s">
        <v>2876</v>
      </c>
      <c r="H39" s="237" t="s">
        <v>1549</v>
      </c>
      <c r="I39" s="2">
        <v>60</v>
      </c>
      <c r="J39" s="2">
        <v>12</v>
      </c>
      <c r="K39" s="1">
        <v>79</v>
      </c>
      <c r="L39" s="1">
        <v>100</v>
      </c>
      <c r="M39" s="131">
        <v>0.9</v>
      </c>
      <c r="N39" s="1">
        <f t="shared" si="3"/>
        <v>71.100000000000009</v>
      </c>
      <c r="O39" s="1">
        <f t="shared" si="3"/>
        <v>90</v>
      </c>
      <c r="P39" s="19"/>
      <c r="Q39" s="19"/>
      <c r="R39" s="99">
        <v>36</v>
      </c>
      <c r="S39" s="254"/>
      <c r="T39" s="254"/>
      <c r="U39" s="254"/>
      <c r="V39" s="254"/>
      <c r="W39" s="254"/>
      <c r="X39" s="254"/>
      <c r="Y39" s="254"/>
    </row>
    <row r="40" spans="1:25" s="41" customFormat="1" ht="20" x14ac:dyDescent="0.2">
      <c r="A40" s="58"/>
      <c r="B40" s="151" t="s">
        <v>1583</v>
      </c>
      <c r="C40" s="51" t="s">
        <v>3217</v>
      </c>
      <c r="D40" s="33" t="s">
        <v>106</v>
      </c>
      <c r="E40" s="33"/>
      <c r="F40" s="33"/>
      <c r="G40" s="33" t="s">
        <v>2876</v>
      </c>
      <c r="H40" s="33"/>
      <c r="I40" s="99"/>
      <c r="J40" s="99"/>
      <c r="K40" s="69"/>
      <c r="L40" s="69"/>
      <c r="M40" s="69"/>
      <c r="N40" s="69"/>
      <c r="O40" s="69"/>
      <c r="P40" s="19"/>
      <c r="Q40" s="19"/>
      <c r="R40" s="99">
        <v>37</v>
      </c>
      <c r="S40" s="254"/>
      <c r="T40" s="254"/>
      <c r="U40" s="254"/>
      <c r="V40" s="254"/>
      <c r="W40" s="254"/>
      <c r="X40" s="254"/>
      <c r="Y40" s="254"/>
    </row>
    <row r="41" spans="1:25" s="41" customFormat="1" ht="20" x14ac:dyDescent="0.2">
      <c r="A41" s="58"/>
      <c r="B41" s="151" t="s">
        <v>1584</v>
      </c>
      <c r="C41" s="51" t="s">
        <v>3607</v>
      </c>
      <c r="D41" s="33" t="s">
        <v>106</v>
      </c>
      <c r="E41" s="33"/>
      <c r="F41" s="33"/>
      <c r="G41" s="33" t="s">
        <v>2876</v>
      </c>
      <c r="H41" s="33"/>
      <c r="I41" s="99"/>
      <c r="J41" s="99"/>
      <c r="K41" s="69"/>
      <c r="L41" s="69"/>
      <c r="M41" s="69"/>
      <c r="N41" s="69"/>
      <c r="O41" s="69"/>
      <c r="P41" s="19"/>
      <c r="Q41" s="19"/>
      <c r="R41" s="99">
        <v>38</v>
      </c>
      <c r="S41" s="254"/>
      <c r="T41" s="254"/>
      <c r="U41" s="254"/>
      <c r="V41" s="254"/>
      <c r="W41" s="254"/>
      <c r="X41" s="254"/>
      <c r="Y41" s="254"/>
    </row>
    <row r="42" spans="1:25" s="41" customFormat="1" ht="20" x14ac:dyDescent="0.2">
      <c r="A42" s="58"/>
      <c r="B42" s="151" t="s">
        <v>1585</v>
      </c>
      <c r="C42" s="51" t="s">
        <v>3613</v>
      </c>
      <c r="D42" s="33" t="s">
        <v>106</v>
      </c>
      <c r="E42" s="33"/>
      <c r="F42" s="33"/>
      <c r="G42" s="33" t="s">
        <v>2876</v>
      </c>
      <c r="H42" s="33"/>
      <c r="I42" s="99"/>
      <c r="J42" s="99"/>
      <c r="K42" s="69"/>
      <c r="L42" s="69"/>
      <c r="M42" s="69"/>
      <c r="N42" s="69"/>
      <c r="O42" s="69"/>
      <c r="P42" s="19"/>
      <c r="Q42" s="19"/>
      <c r="R42" s="99">
        <v>39</v>
      </c>
      <c r="S42" s="254"/>
      <c r="T42" s="254"/>
      <c r="U42" s="254"/>
      <c r="V42" s="254"/>
      <c r="W42" s="254"/>
      <c r="X42" s="254"/>
      <c r="Y42" s="254"/>
    </row>
    <row r="43" spans="1:25" s="41" customFormat="1" ht="20" x14ac:dyDescent="0.2">
      <c r="A43" s="58"/>
      <c r="B43" s="151" t="s">
        <v>2291</v>
      </c>
      <c r="C43" s="51" t="s">
        <v>3092</v>
      </c>
      <c r="D43" s="33" t="s">
        <v>106</v>
      </c>
      <c r="E43" s="33">
        <v>50.634999999999998</v>
      </c>
      <c r="F43" s="33">
        <v>-123.405</v>
      </c>
      <c r="G43" s="33" t="s">
        <v>2876</v>
      </c>
      <c r="H43" s="33"/>
      <c r="I43" s="236"/>
      <c r="J43" s="236"/>
      <c r="K43" s="69"/>
      <c r="L43" s="69"/>
      <c r="M43" s="69"/>
      <c r="N43" s="69"/>
      <c r="O43" s="69"/>
      <c r="P43" s="19"/>
      <c r="Q43" s="19"/>
      <c r="R43" s="99">
        <v>40</v>
      </c>
      <c r="S43" s="254"/>
      <c r="T43" s="254"/>
      <c r="U43" s="254"/>
      <c r="V43" s="254"/>
      <c r="W43" s="254"/>
      <c r="X43" s="254"/>
      <c r="Y43" s="254"/>
    </row>
    <row r="44" spans="1:25" s="41" customFormat="1" ht="20" x14ac:dyDescent="0.2">
      <c r="A44" s="58"/>
      <c r="B44" s="151" t="s">
        <v>1586</v>
      </c>
      <c r="C44" s="51" t="s">
        <v>3692</v>
      </c>
      <c r="D44" s="33" t="s">
        <v>106</v>
      </c>
      <c r="E44" s="33"/>
      <c r="F44" s="33"/>
      <c r="G44" s="33" t="s">
        <v>2876</v>
      </c>
      <c r="H44" s="33"/>
      <c r="I44" s="99"/>
      <c r="J44" s="99"/>
      <c r="K44" s="69"/>
      <c r="L44" s="69"/>
      <c r="M44" s="69"/>
      <c r="N44" s="69"/>
      <c r="O44" s="69"/>
      <c r="P44" s="19"/>
      <c r="Q44" s="19"/>
      <c r="R44" s="99">
        <v>41</v>
      </c>
      <c r="S44" s="254"/>
      <c r="T44" s="254"/>
      <c r="U44" s="254"/>
      <c r="V44" s="254"/>
      <c r="W44" s="254"/>
      <c r="X44" s="254"/>
      <c r="Y44" s="254"/>
    </row>
    <row r="45" spans="1:25" s="41" customFormat="1" ht="20" x14ac:dyDescent="0.2">
      <c r="A45" s="58"/>
      <c r="B45" s="151" t="s">
        <v>1587</v>
      </c>
      <c r="C45" s="51" t="s">
        <v>3219</v>
      </c>
      <c r="D45" s="33" t="s">
        <v>106</v>
      </c>
      <c r="E45" s="33"/>
      <c r="F45" s="33"/>
      <c r="G45" s="33" t="s">
        <v>2876</v>
      </c>
      <c r="H45" s="33"/>
      <c r="I45" s="99"/>
      <c r="J45" s="99"/>
      <c r="K45" s="69"/>
      <c r="L45" s="69"/>
      <c r="M45" s="69"/>
      <c r="N45" s="69"/>
      <c r="O45" s="69"/>
      <c r="P45" s="19"/>
      <c r="Q45" s="19"/>
      <c r="R45" s="99">
        <v>42</v>
      </c>
      <c r="S45" s="254"/>
      <c r="T45" s="254"/>
      <c r="U45" s="254"/>
      <c r="V45" s="254"/>
      <c r="W45" s="254"/>
      <c r="X45" s="254"/>
      <c r="Y45" s="254"/>
    </row>
    <row r="46" spans="1:25" s="41" customFormat="1" ht="20" x14ac:dyDescent="0.2">
      <c r="A46" s="58"/>
      <c r="B46" s="151" t="s">
        <v>2292</v>
      </c>
      <c r="C46" s="51" t="s">
        <v>3093</v>
      </c>
      <c r="D46" s="33" t="s">
        <v>106</v>
      </c>
      <c r="E46" s="33">
        <v>49.748007999999999</v>
      </c>
      <c r="F46" s="33">
        <v>-123.5159238</v>
      </c>
      <c r="G46" s="33" t="s">
        <v>2876</v>
      </c>
      <c r="H46" s="33"/>
      <c r="I46" s="99"/>
      <c r="J46" s="99"/>
      <c r="K46" s="69"/>
      <c r="L46" s="69"/>
      <c r="M46" s="69"/>
      <c r="N46" s="69"/>
      <c r="O46" s="69"/>
      <c r="P46" s="19"/>
      <c r="Q46" s="19"/>
      <c r="R46" s="99">
        <v>43</v>
      </c>
      <c r="S46" s="254"/>
      <c r="T46" s="254"/>
      <c r="U46" s="254"/>
      <c r="V46" s="254"/>
      <c r="W46" s="254"/>
      <c r="X46" s="254"/>
      <c r="Y46" s="254"/>
    </row>
    <row r="47" spans="1:25" s="41" customFormat="1" ht="20" x14ac:dyDescent="0.2">
      <c r="A47" s="58"/>
      <c r="B47" s="151" t="s">
        <v>2293</v>
      </c>
      <c r="C47" s="51" t="s">
        <v>3094</v>
      </c>
      <c r="D47" s="33" t="s">
        <v>106</v>
      </c>
      <c r="E47" s="33">
        <v>49.795389399999998</v>
      </c>
      <c r="F47" s="33">
        <v>-123.5720934</v>
      </c>
      <c r="G47" s="33" t="s">
        <v>2876</v>
      </c>
      <c r="H47" s="33"/>
      <c r="I47" s="236"/>
      <c r="J47" s="236"/>
      <c r="K47" s="69"/>
      <c r="L47" s="69"/>
      <c r="M47" s="69"/>
      <c r="N47" s="69"/>
      <c r="O47" s="69"/>
      <c r="P47" s="19"/>
      <c r="Q47" s="19"/>
      <c r="R47" s="99">
        <v>44</v>
      </c>
      <c r="S47" s="254"/>
      <c r="T47" s="254"/>
      <c r="U47" s="254"/>
      <c r="V47" s="254"/>
      <c r="W47" s="254"/>
      <c r="X47" s="254"/>
      <c r="Y47" s="254"/>
    </row>
    <row r="48" spans="1:25" s="41" customFormat="1" ht="20" x14ac:dyDescent="0.2">
      <c r="A48" s="58"/>
      <c r="B48" s="151" t="s">
        <v>2365</v>
      </c>
      <c r="C48" s="51" t="s">
        <v>3696</v>
      </c>
      <c r="D48" s="33" t="s">
        <v>106</v>
      </c>
      <c r="E48" s="33"/>
      <c r="F48" s="33"/>
      <c r="G48" s="33" t="s">
        <v>2876</v>
      </c>
      <c r="H48" s="33"/>
      <c r="I48" s="99"/>
      <c r="J48" s="99"/>
      <c r="K48" s="69"/>
      <c r="L48" s="69"/>
      <c r="M48" s="69"/>
      <c r="N48" s="69"/>
      <c r="O48" s="69"/>
      <c r="P48" s="19"/>
      <c r="Q48" s="19"/>
      <c r="R48" s="99">
        <v>45</v>
      </c>
      <c r="S48" s="254"/>
      <c r="T48" s="254"/>
      <c r="U48" s="254"/>
      <c r="V48" s="254"/>
      <c r="W48" s="254"/>
      <c r="X48" s="254"/>
      <c r="Y48" s="254"/>
    </row>
    <row r="49" spans="1:25" s="41" customFormat="1" ht="20" x14ac:dyDescent="0.2">
      <c r="A49" s="58"/>
      <c r="B49" s="151" t="s">
        <v>3564</v>
      </c>
      <c r="C49" s="51" t="s">
        <v>3567</v>
      </c>
      <c r="D49" s="33" t="s">
        <v>106</v>
      </c>
      <c r="E49" s="33"/>
      <c r="F49" s="33"/>
      <c r="G49" s="33" t="s">
        <v>2876</v>
      </c>
      <c r="H49" s="33"/>
      <c r="I49" s="99"/>
      <c r="J49" s="99"/>
      <c r="K49" s="69"/>
      <c r="L49" s="69"/>
      <c r="M49" s="69"/>
      <c r="N49" s="69"/>
      <c r="O49" s="69"/>
      <c r="P49" s="19"/>
      <c r="Q49" s="19"/>
      <c r="R49" s="99">
        <v>46</v>
      </c>
      <c r="S49" s="254"/>
      <c r="T49" s="254"/>
      <c r="U49" s="254"/>
      <c r="V49" s="254"/>
      <c r="W49" s="254"/>
      <c r="X49" s="254"/>
      <c r="Y49" s="254"/>
    </row>
    <row r="50" spans="1:25" s="41" customFormat="1" ht="20" x14ac:dyDescent="0.2">
      <c r="A50" s="58"/>
      <c r="B50" s="151" t="s">
        <v>1588</v>
      </c>
      <c r="C50" s="51" t="s">
        <v>3372</v>
      </c>
      <c r="D50" s="33" t="s">
        <v>106</v>
      </c>
      <c r="E50" s="33"/>
      <c r="F50" s="33"/>
      <c r="G50" s="33" t="s">
        <v>2876</v>
      </c>
      <c r="H50" s="237" t="s">
        <v>1545</v>
      </c>
      <c r="I50" s="2">
        <v>138</v>
      </c>
      <c r="J50" s="2">
        <v>25</v>
      </c>
      <c r="K50" s="1">
        <v>84</v>
      </c>
      <c r="L50" s="1">
        <v>100</v>
      </c>
      <c r="M50" s="131">
        <v>0.9</v>
      </c>
      <c r="N50" s="1">
        <f t="shared" ref="N50:O53" si="4">K50*$M50</f>
        <v>75.600000000000009</v>
      </c>
      <c r="O50" s="1">
        <f t="shared" si="4"/>
        <v>90</v>
      </c>
      <c r="P50" s="19"/>
      <c r="Q50" s="19"/>
      <c r="R50" s="99">
        <v>47</v>
      </c>
      <c r="S50" s="254"/>
      <c r="T50" s="254"/>
      <c r="U50" s="254"/>
      <c r="V50" s="254"/>
      <c r="W50" s="254"/>
      <c r="X50" s="254"/>
      <c r="Y50" s="254"/>
    </row>
    <row r="51" spans="1:25" s="41" customFormat="1" ht="20" x14ac:dyDescent="0.2">
      <c r="A51" s="58"/>
      <c r="B51" s="151" t="s">
        <v>1588</v>
      </c>
      <c r="C51" s="51" t="s">
        <v>3372</v>
      </c>
      <c r="D51" s="33" t="s">
        <v>106</v>
      </c>
      <c r="E51" s="33"/>
      <c r="F51" s="33"/>
      <c r="G51" s="33" t="s">
        <v>2876</v>
      </c>
      <c r="H51" s="237" t="s">
        <v>1549</v>
      </c>
      <c r="I51" s="2">
        <v>138</v>
      </c>
      <c r="J51" s="2">
        <v>25</v>
      </c>
      <c r="K51" s="1">
        <v>84</v>
      </c>
      <c r="L51" s="1">
        <v>100</v>
      </c>
      <c r="M51" s="131">
        <v>0.9</v>
      </c>
      <c r="N51" s="1">
        <f t="shared" si="4"/>
        <v>75.600000000000009</v>
      </c>
      <c r="O51" s="1">
        <f t="shared" si="4"/>
        <v>90</v>
      </c>
      <c r="P51" s="19"/>
      <c r="Q51" s="19"/>
      <c r="R51" s="99">
        <v>48</v>
      </c>
      <c r="S51" s="254"/>
      <c r="T51" s="254"/>
      <c r="U51" s="254"/>
      <c r="V51" s="254"/>
      <c r="W51" s="254"/>
      <c r="X51" s="254"/>
      <c r="Y51" s="254"/>
    </row>
    <row r="52" spans="1:25" s="41" customFormat="1" ht="20" x14ac:dyDescent="0.2">
      <c r="A52" s="58"/>
      <c r="B52" s="151" t="s">
        <v>1589</v>
      </c>
      <c r="C52" s="51" t="s">
        <v>3221</v>
      </c>
      <c r="D52" s="33" t="s">
        <v>106</v>
      </c>
      <c r="E52" s="33"/>
      <c r="F52" s="33"/>
      <c r="G52" s="33" t="s">
        <v>2876</v>
      </c>
      <c r="H52" s="237" t="s">
        <v>1545</v>
      </c>
      <c r="I52" s="2">
        <v>138</v>
      </c>
      <c r="J52" s="2">
        <v>25</v>
      </c>
      <c r="K52" s="1">
        <v>52</v>
      </c>
      <c r="L52" s="1">
        <v>66.3</v>
      </c>
      <c r="M52" s="131">
        <v>0.9</v>
      </c>
      <c r="N52" s="1">
        <f t="shared" si="4"/>
        <v>46.800000000000004</v>
      </c>
      <c r="O52" s="1">
        <f t="shared" si="4"/>
        <v>59.67</v>
      </c>
      <c r="P52" s="19"/>
      <c r="Q52" s="19"/>
      <c r="R52" s="99">
        <v>49</v>
      </c>
      <c r="S52" s="254"/>
      <c r="T52" s="254"/>
      <c r="U52" s="254"/>
      <c r="V52" s="254"/>
      <c r="W52" s="254"/>
      <c r="X52" s="254"/>
      <c r="Y52" s="254"/>
    </row>
    <row r="53" spans="1:25" s="41" customFormat="1" ht="20" x14ac:dyDescent="0.2">
      <c r="A53" s="58"/>
      <c r="B53" s="151" t="s">
        <v>1589</v>
      </c>
      <c r="C53" s="51" t="s">
        <v>3221</v>
      </c>
      <c r="D53" s="33" t="s">
        <v>106</v>
      </c>
      <c r="E53" s="33"/>
      <c r="F53" s="33"/>
      <c r="G53" s="33" t="s">
        <v>2876</v>
      </c>
      <c r="H53" s="237" t="s">
        <v>1550</v>
      </c>
      <c r="I53" s="2">
        <v>138</v>
      </c>
      <c r="J53" s="2">
        <v>25</v>
      </c>
      <c r="K53" s="1">
        <v>52</v>
      </c>
      <c r="L53" s="1">
        <v>66.3</v>
      </c>
      <c r="M53" s="131">
        <v>0.9</v>
      </c>
      <c r="N53" s="1">
        <f t="shared" si="4"/>
        <v>46.800000000000004</v>
      </c>
      <c r="O53" s="1">
        <f t="shared" si="4"/>
        <v>59.67</v>
      </c>
      <c r="P53" s="19"/>
      <c r="Q53" s="19"/>
      <c r="R53" s="99">
        <v>50</v>
      </c>
      <c r="S53" s="254"/>
      <c r="T53" s="254"/>
      <c r="U53" s="254"/>
      <c r="V53" s="254"/>
      <c r="W53" s="254"/>
      <c r="X53" s="254"/>
      <c r="Y53" s="254"/>
    </row>
    <row r="54" spans="1:25" s="41" customFormat="1" ht="20" x14ac:dyDescent="0.2">
      <c r="A54" s="58"/>
      <c r="B54" s="151" t="s">
        <v>1590</v>
      </c>
      <c r="C54" s="51" t="s">
        <v>3373</v>
      </c>
      <c r="D54" s="33" t="s">
        <v>106</v>
      </c>
      <c r="E54" s="33"/>
      <c r="F54" s="33"/>
      <c r="G54" s="33" t="s">
        <v>2876</v>
      </c>
      <c r="H54" s="33"/>
      <c r="I54" s="99"/>
      <c r="J54" s="99"/>
      <c r="K54" s="69"/>
      <c r="L54" s="69"/>
      <c r="M54" s="69"/>
      <c r="N54" s="69"/>
      <c r="O54" s="69"/>
      <c r="P54" s="19"/>
      <c r="Q54" s="19"/>
      <c r="R54" s="99">
        <v>51</v>
      </c>
      <c r="S54" s="254"/>
      <c r="T54" s="254"/>
      <c r="U54" s="254"/>
      <c r="V54" s="254"/>
      <c r="W54" s="254"/>
      <c r="X54" s="254"/>
      <c r="Y54" s="254"/>
    </row>
    <row r="55" spans="1:25" s="41" customFormat="1" ht="20" x14ac:dyDescent="0.2">
      <c r="A55" s="58"/>
      <c r="B55" s="151" t="s">
        <v>1591</v>
      </c>
      <c r="C55" s="51" t="s">
        <v>3536</v>
      </c>
      <c r="D55" s="33" t="s">
        <v>106</v>
      </c>
      <c r="E55" s="33"/>
      <c r="F55" s="33"/>
      <c r="G55" s="33" t="s">
        <v>2876</v>
      </c>
      <c r="H55" s="33"/>
      <c r="I55" s="99"/>
      <c r="J55" s="99"/>
      <c r="K55" s="69"/>
      <c r="L55" s="69"/>
      <c r="M55" s="69"/>
      <c r="N55" s="69"/>
      <c r="O55" s="69"/>
      <c r="P55" s="19"/>
      <c r="Q55" s="19"/>
      <c r="R55" s="99">
        <v>52</v>
      </c>
      <c r="S55" s="254"/>
      <c r="T55" s="254"/>
      <c r="U55" s="254"/>
      <c r="V55" s="254"/>
      <c r="W55" s="254"/>
      <c r="X55" s="254"/>
      <c r="Y55" s="254"/>
    </row>
    <row r="56" spans="1:25" s="41" customFormat="1" ht="20" x14ac:dyDescent="0.2">
      <c r="A56" s="58"/>
      <c r="B56" s="151" t="s">
        <v>1592</v>
      </c>
      <c r="C56" s="51" t="s">
        <v>3374</v>
      </c>
      <c r="D56" s="33" t="s">
        <v>106</v>
      </c>
      <c r="E56" s="33"/>
      <c r="F56" s="33"/>
      <c r="G56" s="33" t="s">
        <v>2876</v>
      </c>
      <c r="H56" s="33"/>
      <c r="I56" s="99"/>
      <c r="J56" s="99"/>
      <c r="K56" s="69"/>
      <c r="L56" s="69"/>
      <c r="M56" s="69"/>
      <c r="N56" s="69"/>
      <c r="O56" s="69"/>
      <c r="P56" s="19"/>
      <c r="Q56" s="19"/>
      <c r="R56" s="99">
        <v>53</v>
      </c>
      <c r="S56" s="254"/>
      <c r="T56" s="254"/>
      <c r="U56" s="254"/>
      <c r="V56" s="254"/>
      <c r="W56" s="254"/>
      <c r="X56" s="254"/>
      <c r="Y56" s="254"/>
    </row>
    <row r="57" spans="1:25" s="41" customFormat="1" ht="20" x14ac:dyDescent="0.2">
      <c r="A57" s="58"/>
      <c r="B57" s="151" t="s">
        <v>1593</v>
      </c>
      <c r="C57" s="51" t="s">
        <v>3375</v>
      </c>
      <c r="D57" s="33" t="s">
        <v>106</v>
      </c>
      <c r="E57" s="33"/>
      <c r="F57" s="33"/>
      <c r="G57" s="33" t="s">
        <v>2876</v>
      </c>
      <c r="H57" s="237" t="s">
        <v>1545</v>
      </c>
      <c r="I57" s="2">
        <v>138</v>
      </c>
      <c r="J57" s="2">
        <v>25</v>
      </c>
      <c r="K57" s="1">
        <v>17.399999999999999</v>
      </c>
      <c r="L57" s="1">
        <v>21.2</v>
      </c>
      <c r="M57" s="131">
        <v>0.9</v>
      </c>
      <c r="N57" s="1">
        <f>K57*$M57</f>
        <v>15.659999999999998</v>
      </c>
      <c r="O57" s="1">
        <f>L57*$M57</f>
        <v>19.079999999999998</v>
      </c>
      <c r="P57" s="19"/>
      <c r="Q57" s="19"/>
      <c r="R57" s="99">
        <v>54</v>
      </c>
      <c r="S57" s="254"/>
      <c r="T57" s="254"/>
      <c r="U57" s="254"/>
      <c r="V57" s="254"/>
      <c r="W57" s="254"/>
      <c r="X57" s="254"/>
      <c r="Y57" s="254"/>
    </row>
    <row r="58" spans="1:25" s="41" customFormat="1" ht="20" x14ac:dyDescent="0.2">
      <c r="A58" s="58"/>
      <c r="B58" s="151" t="s">
        <v>1594</v>
      </c>
      <c r="C58" s="51" t="s">
        <v>3223</v>
      </c>
      <c r="D58" s="33" t="s">
        <v>106</v>
      </c>
      <c r="E58" s="33"/>
      <c r="F58" s="33"/>
      <c r="G58" s="33" t="s">
        <v>2876</v>
      </c>
      <c r="H58" s="33"/>
      <c r="I58" s="99"/>
      <c r="J58" s="99"/>
      <c r="K58" s="69"/>
      <c r="L58" s="69"/>
      <c r="M58" s="69"/>
      <c r="N58" s="69"/>
      <c r="O58" s="69"/>
      <c r="P58" s="19"/>
      <c r="Q58" s="19"/>
      <c r="R58" s="99">
        <v>55</v>
      </c>
      <c r="S58" s="254"/>
      <c r="T58" s="254"/>
      <c r="U58" s="254"/>
      <c r="V58" s="254"/>
      <c r="W58" s="254"/>
      <c r="X58" s="254"/>
      <c r="Y58" s="254"/>
    </row>
    <row r="59" spans="1:25" s="41" customFormat="1" ht="20" x14ac:dyDescent="0.2">
      <c r="A59" s="58"/>
      <c r="B59" s="151" t="s">
        <v>1595</v>
      </c>
      <c r="C59" s="51" t="s">
        <v>3376</v>
      </c>
      <c r="D59" s="33" t="s">
        <v>106</v>
      </c>
      <c r="E59" s="33"/>
      <c r="F59" s="33"/>
      <c r="G59" s="33" t="s">
        <v>2876</v>
      </c>
      <c r="H59" s="33"/>
      <c r="I59" s="99"/>
      <c r="J59" s="99"/>
      <c r="K59" s="69"/>
      <c r="L59" s="69"/>
      <c r="M59" s="69"/>
      <c r="N59" s="69"/>
      <c r="O59" s="69"/>
      <c r="P59" s="19"/>
      <c r="Q59" s="19"/>
      <c r="R59" s="99">
        <v>56</v>
      </c>
      <c r="S59" s="254"/>
      <c r="T59" s="254"/>
      <c r="U59" s="254"/>
      <c r="V59" s="254"/>
      <c r="W59" s="254"/>
      <c r="X59" s="254"/>
      <c r="Y59" s="254"/>
    </row>
    <row r="60" spans="1:25" s="41" customFormat="1" ht="20" x14ac:dyDescent="0.2">
      <c r="A60" s="58"/>
      <c r="B60" s="151" t="s">
        <v>1596</v>
      </c>
      <c r="C60" s="51" t="s">
        <v>3224</v>
      </c>
      <c r="D60" s="33" t="s">
        <v>106</v>
      </c>
      <c r="E60" s="33"/>
      <c r="F60" s="33"/>
      <c r="G60" s="33" t="s">
        <v>2876</v>
      </c>
      <c r="H60" s="33"/>
      <c r="I60" s="99"/>
      <c r="J60" s="99"/>
      <c r="K60" s="69"/>
      <c r="L60" s="69"/>
      <c r="M60" s="69"/>
      <c r="N60" s="69"/>
      <c r="O60" s="69"/>
      <c r="P60" s="19"/>
      <c r="Q60" s="19"/>
      <c r="R60" s="99">
        <v>57</v>
      </c>
      <c r="S60" s="254"/>
      <c r="T60" s="254"/>
      <c r="U60" s="254"/>
      <c r="V60" s="254"/>
      <c r="W60" s="254"/>
      <c r="X60" s="254"/>
      <c r="Y60" s="254"/>
    </row>
    <row r="61" spans="1:25" s="41" customFormat="1" ht="20" x14ac:dyDescent="0.2">
      <c r="A61" s="58"/>
      <c r="B61" s="151" t="s">
        <v>2288</v>
      </c>
      <c r="C61" s="51" t="s">
        <v>3095</v>
      </c>
      <c r="D61" s="33" t="s">
        <v>106</v>
      </c>
      <c r="E61" s="33">
        <v>55.704125699999999</v>
      </c>
      <c r="F61" s="33">
        <v>-120.4263595</v>
      </c>
      <c r="G61" s="33" t="s">
        <v>2876</v>
      </c>
      <c r="H61" s="33"/>
      <c r="I61" s="236"/>
      <c r="J61" s="236"/>
      <c r="K61" s="69"/>
      <c r="L61" s="69"/>
      <c r="M61" s="69"/>
      <c r="N61" s="69"/>
      <c r="O61" s="69"/>
      <c r="P61" s="19"/>
      <c r="Q61" s="19"/>
      <c r="R61" s="99">
        <v>58</v>
      </c>
      <c r="S61" s="254"/>
      <c r="T61" s="254"/>
      <c r="U61" s="254"/>
      <c r="V61" s="254"/>
      <c r="W61" s="254"/>
      <c r="X61" s="254"/>
      <c r="Y61" s="254"/>
    </row>
    <row r="62" spans="1:25" s="41" customFormat="1" ht="20" x14ac:dyDescent="0.2">
      <c r="A62" s="58"/>
      <c r="B62" s="151" t="s">
        <v>1597</v>
      </c>
      <c r="C62" s="51" t="s">
        <v>3096</v>
      </c>
      <c r="D62" s="33" t="s">
        <v>106</v>
      </c>
      <c r="E62" s="33">
        <v>52.255329600000003</v>
      </c>
      <c r="F62" s="33">
        <v>-119.1808297</v>
      </c>
      <c r="G62" s="33" t="s">
        <v>2876</v>
      </c>
      <c r="H62" s="33"/>
      <c r="I62" s="236"/>
      <c r="J62" s="236"/>
      <c r="K62" s="69"/>
      <c r="L62" s="69"/>
      <c r="M62" s="69"/>
      <c r="N62" s="69"/>
      <c r="O62" s="69"/>
      <c r="P62" s="19"/>
      <c r="Q62" s="19"/>
      <c r="R62" s="99">
        <v>59</v>
      </c>
      <c r="S62" s="254"/>
      <c r="T62" s="254"/>
      <c r="U62" s="254"/>
      <c r="V62" s="254"/>
      <c r="W62" s="254"/>
      <c r="X62" s="254"/>
      <c r="Y62" s="254"/>
    </row>
    <row r="63" spans="1:25" s="41" customFormat="1" ht="20" x14ac:dyDescent="0.2">
      <c r="A63" s="58"/>
      <c r="B63" s="151" t="s">
        <v>1598</v>
      </c>
      <c r="C63" s="51" t="s">
        <v>3225</v>
      </c>
      <c r="D63" s="33" t="s">
        <v>106</v>
      </c>
      <c r="E63" s="33"/>
      <c r="F63" s="33"/>
      <c r="G63" s="33" t="s">
        <v>2876</v>
      </c>
      <c r="H63" s="237" t="s">
        <v>1545</v>
      </c>
      <c r="I63" s="2">
        <v>230</v>
      </c>
      <c r="J63" s="2">
        <v>12</v>
      </c>
      <c r="K63" s="1">
        <v>177</v>
      </c>
      <c r="L63" s="1">
        <v>214</v>
      </c>
      <c r="M63" s="131">
        <v>0.9</v>
      </c>
      <c r="N63" s="1">
        <f>K63*$M63</f>
        <v>159.30000000000001</v>
      </c>
      <c r="O63" s="1">
        <f>L63*$M63</f>
        <v>192.6</v>
      </c>
      <c r="P63" s="19"/>
      <c r="Q63" s="19"/>
      <c r="R63" s="99">
        <v>60</v>
      </c>
      <c r="S63" s="254"/>
      <c r="T63" s="254"/>
      <c r="U63" s="254"/>
      <c r="V63" s="254"/>
      <c r="W63" s="254"/>
      <c r="X63" s="254"/>
      <c r="Y63" s="254"/>
    </row>
    <row r="64" spans="1:25" s="41" customFormat="1" ht="20" x14ac:dyDescent="0.2">
      <c r="A64" s="58"/>
      <c r="B64" s="151" t="s">
        <v>1598</v>
      </c>
      <c r="C64" s="51" t="s">
        <v>3225</v>
      </c>
      <c r="D64" s="33" t="s">
        <v>106</v>
      </c>
      <c r="E64" s="33"/>
      <c r="F64" s="33"/>
      <c r="G64" s="33" t="s">
        <v>2876</v>
      </c>
      <c r="H64" s="237" t="s">
        <v>1549</v>
      </c>
      <c r="I64" s="2">
        <v>230</v>
      </c>
      <c r="J64" s="2">
        <v>12</v>
      </c>
      <c r="K64" s="1">
        <v>177</v>
      </c>
      <c r="L64" s="1">
        <v>214</v>
      </c>
      <c r="M64" s="131">
        <v>0.9</v>
      </c>
      <c r="N64" s="1">
        <f>K64*$M64</f>
        <v>159.30000000000001</v>
      </c>
      <c r="O64" s="1">
        <f>L64*$M64</f>
        <v>192.6</v>
      </c>
      <c r="P64" s="19"/>
      <c r="Q64" s="19"/>
      <c r="R64" s="99">
        <v>61</v>
      </c>
      <c r="S64" s="254"/>
      <c r="T64" s="254"/>
      <c r="U64" s="254"/>
      <c r="V64" s="254"/>
      <c r="W64" s="254"/>
      <c r="X64" s="254"/>
      <c r="Y64" s="254"/>
    </row>
    <row r="65" spans="1:25" s="41" customFormat="1" ht="20" x14ac:dyDescent="0.2">
      <c r="A65" s="58"/>
      <c r="B65" s="151" t="s">
        <v>1599</v>
      </c>
      <c r="C65" s="51" t="s">
        <v>3226</v>
      </c>
      <c r="D65" s="33" t="s">
        <v>106</v>
      </c>
      <c r="E65" s="33"/>
      <c r="F65" s="33"/>
      <c r="G65" s="33" t="s">
        <v>2876</v>
      </c>
      <c r="H65" s="33"/>
      <c r="I65" s="99"/>
      <c r="J65" s="99"/>
      <c r="K65" s="69"/>
      <c r="L65" s="69"/>
      <c r="M65" s="69"/>
      <c r="N65" s="69"/>
      <c r="O65" s="69"/>
      <c r="P65" s="19"/>
      <c r="Q65" s="19"/>
      <c r="R65" s="99">
        <v>62</v>
      </c>
      <c r="S65" s="254"/>
      <c r="T65" s="254"/>
      <c r="U65" s="254"/>
      <c r="V65" s="254"/>
      <c r="W65" s="254"/>
      <c r="X65" s="254"/>
      <c r="Y65" s="254"/>
    </row>
    <row r="66" spans="1:25" s="41" customFormat="1" ht="20" x14ac:dyDescent="0.2">
      <c r="A66" s="58"/>
      <c r="B66" s="151" t="s">
        <v>2289</v>
      </c>
      <c r="C66" s="51" t="s">
        <v>3097</v>
      </c>
      <c r="D66" s="33" t="s">
        <v>106</v>
      </c>
      <c r="E66" s="33">
        <v>49.600617700000001</v>
      </c>
      <c r="F66" s="33">
        <v>-123.426733</v>
      </c>
      <c r="G66" s="33" t="s">
        <v>2876</v>
      </c>
      <c r="H66" s="33"/>
      <c r="I66" s="99"/>
      <c r="J66" s="99"/>
      <c r="K66" s="69"/>
      <c r="L66" s="69"/>
      <c r="M66" s="69"/>
      <c r="N66" s="69"/>
      <c r="O66" s="69"/>
      <c r="P66" s="19"/>
      <c r="Q66" s="19"/>
      <c r="R66" s="99">
        <v>63</v>
      </c>
      <c r="S66" s="254"/>
      <c r="T66" s="254"/>
      <c r="U66" s="254"/>
      <c r="V66" s="254"/>
      <c r="W66" s="254"/>
      <c r="X66" s="254"/>
      <c r="Y66" s="254"/>
    </row>
    <row r="67" spans="1:25" s="41" customFormat="1" ht="20" x14ac:dyDescent="0.2">
      <c r="A67" s="58"/>
      <c r="B67" s="151" t="s">
        <v>1600</v>
      </c>
      <c r="C67" s="51" t="s">
        <v>3227</v>
      </c>
      <c r="D67" s="33" t="s">
        <v>106</v>
      </c>
      <c r="E67" s="33"/>
      <c r="F67" s="33"/>
      <c r="G67" s="33" t="s">
        <v>2876</v>
      </c>
      <c r="H67" s="33"/>
      <c r="I67" s="99"/>
      <c r="J67" s="99"/>
      <c r="K67" s="69"/>
      <c r="L67" s="69"/>
      <c r="M67" s="69"/>
      <c r="N67" s="69"/>
      <c r="O67" s="69"/>
      <c r="P67" s="19"/>
      <c r="Q67" s="19"/>
      <c r="R67" s="99">
        <v>64</v>
      </c>
      <c r="S67" s="254"/>
      <c r="T67" s="254"/>
      <c r="U67" s="254"/>
      <c r="V67" s="254"/>
      <c r="W67" s="254"/>
      <c r="X67" s="254"/>
      <c r="Y67" s="254"/>
    </row>
    <row r="68" spans="1:25" s="41" customFormat="1" ht="20" x14ac:dyDescent="0.2">
      <c r="A68" s="58"/>
      <c r="B68" s="151" t="s">
        <v>1601</v>
      </c>
      <c r="C68" s="51" t="s">
        <v>3720</v>
      </c>
      <c r="D68" s="33" t="s">
        <v>106</v>
      </c>
      <c r="E68" s="33">
        <v>50.729850399999997</v>
      </c>
      <c r="F68" s="33">
        <v>-122.2400375</v>
      </c>
      <c r="G68" s="33" t="s">
        <v>2876</v>
      </c>
      <c r="H68" s="237" t="s">
        <v>1553</v>
      </c>
      <c r="I68" s="290">
        <v>12.6</v>
      </c>
      <c r="J68" s="290">
        <v>12.6</v>
      </c>
      <c r="K68" s="1">
        <v>2</v>
      </c>
      <c r="L68" s="1">
        <v>2.2000000000000002</v>
      </c>
      <c r="M68" s="131">
        <v>0.9</v>
      </c>
      <c r="N68" s="1">
        <f>K68*$M68</f>
        <v>1.8</v>
      </c>
      <c r="O68" s="1">
        <f>L68*$M68</f>
        <v>1.9800000000000002</v>
      </c>
      <c r="P68" s="19"/>
      <c r="Q68" s="19"/>
      <c r="R68" s="99">
        <v>65</v>
      </c>
      <c r="S68" s="254"/>
      <c r="T68" s="254"/>
      <c r="U68" s="254"/>
      <c r="V68" s="254"/>
      <c r="W68" s="254"/>
      <c r="X68" s="254"/>
      <c r="Y68" s="254"/>
    </row>
    <row r="69" spans="1:25" s="41" customFormat="1" ht="20" x14ac:dyDescent="0.2">
      <c r="A69" s="58"/>
      <c r="B69" s="151" t="s">
        <v>1602</v>
      </c>
      <c r="C69" s="51" t="s">
        <v>3099</v>
      </c>
      <c r="D69" s="33" t="s">
        <v>106</v>
      </c>
      <c r="E69" s="33">
        <v>50.729850399999997</v>
      </c>
      <c r="F69" s="33">
        <v>-122.2400375</v>
      </c>
      <c r="G69" s="33" t="s">
        <v>2876</v>
      </c>
      <c r="H69" s="33"/>
      <c r="I69" s="236"/>
      <c r="J69" s="236"/>
      <c r="K69" s="69"/>
      <c r="L69" s="69"/>
      <c r="M69" s="69"/>
      <c r="N69" s="69"/>
      <c r="O69" s="69"/>
      <c r="P69" s="19"/>
      <c r="Q69" s="19"/>
      <c r="R69" s="99">
        <v>66</v>
      </c>
      <c r="S69" s="254"/>
      <c r="T69" s="254"/>
      <c r="U69" s="254"/>
      <c r="V69" s="254"/>
      <c r="W69" s="254"/>
      <c r="X69" s="254"/>
      <c r="Y69" s="254"/>
    </row>
    <row r="70" spans="1:25" s="41" customFormat="1" ht="20" x14ac:dyDescent="0.2">
      <c r="A70" s="58"/>
      <c r="B70" s="151" t="s">
        <v>1601</v>
      </c>
      <c r="C70" s="51" t="s">
        <v>3098</v>
      </c>
      <c r="D70" s="33" t="s">
        <v>106</v>
      </c>
      <c r="E70" s="33"/>
      <c r="F70" s="33"/>
      <c r="G70" s="33" t="s">
        <v>2876</v>
      </c>
      <c r="H70" s="33"/>
      <c r="I70" s="99"/>
      <c r="J70" s="99"/>
      <c r="K70" s="69"/>
      <c r="L70" s="69"/>
      <c r="M70" s="69"/>
      <c r="N70" s="69"/>
      <c r="O70" s="69"/>
      <c r="P70" s="19"/>
      <c r="Q70" s="19"/>
      <c r="R70" s="99">
        <v>67</v>
      </c>
      <c r="S70" s="254"/>
      <c r="T70" s="254"/>
      <c r="U70" s="254"/>
      <c r="V70" s="254"/>
      <c r="W70" s="254"/>
      <c r="X70" s="254"/>
      <c r="Y70" s="254"/>
    </row>
    <row r="71" spans="1:25" s="41" customFormat="1" ht="20" x14ac:dyDescent="0.2">
      <c r="A71" s="58"/>
      <c r="B71" s="151" t="s">
        <v>2294</v>
      </c>
      <c r="C71" s="51" t="s">
        <v>3580</v>
      </c>
      <c r="D71" s="33" t="s">
        <v>106</v>
      </c>
      <c r="E71" s="33"/>
      <c r="F71" s="33"/>
      <c r="G71" s="33" t="s">
        <v>2876</v>
      </c>
      <c r="H71" s="33"/>
      <c r="I71" s="99"/>
      <c r="J71" s="99"/>
      <c r="K71" s="69"/>
      <c r="L71" s="69"/>
      <c r="M71" s="69"/>
      <c r="N71" s="69"/>
      <c r="O71" s="69"/>
      <c r="P71" s="19"/>
      <c r="Q71" s="19"/>
      <c r="R71" s="99">
        <v>68</v>
      </c>
      <c r="S71" s="254"/>
      <c r="T71" s="254"/>
      <c r="U71" s="254"/>
      <c r="V71" s="254"/>
      <c r="W71" s="254"/>
      <c r="X71" s="254"/>
      <c r="Y71" s="254"/>
    </row>
    <row r="72" spans="1:25" s="41" customFormat="1" ht="20" x14ac:dyDescent="0.2">
      <c r="A72" s="58"/>
      <c r="B72" s="151" t="s">
        <v>2295</v>
      </c>
      <c r="C72" s="51" t="s">
        <v>3581</v>
      </c>
      <c r="D72" s="33" t="s">
        <v>106</v>
      </c>
      <c r="E72" s="33"/>
      <c r="F72" s="33"/>
      <c r="G72" s="33" t="s">
        <v>2876</v>
      </c>
      <c r="H72" s="33"/>
      <c r="I72" s="99"/>
      <c r="J72" s="99"/>
      <c r="K72" s="69"/>
      <c r="L72" s="69"/>
      <c r="M72" s="69"/>
      <c r="N72" s="69"/>
      <c r="O72" s="69"/>
      <c r="P72" s="19"/>
      <c r="Q72" s="19"/>
      <c r="R72" s="99">
        <v>69</v>
      </c>
      <c r="S72" s="254"/>
      <c r="T72" s="254"/>
      <c r="U72" s="254"/>
      <c r="V72" s="254"/>
      <c r="W72" s="254"/>
      <c r="X72" s="254"/>
      <c r="Y72" s="254"/>
    </row>
    <row r="73" spans="1:25" s="41" customFormat="1" ht="20" x14ac:dyDescent="0.2">
      <c r="A73" s="58"/>
      <c r="B73" s="151" t="s">
        <v>1955</v>
      </c>
      <c r="C73" s="51" t="s">
        <v>3101</v>
      </c>
      <c r="D73" s="33" t="s">
        <v>106</v>
      </c>
      <c r="E73" s="33">
        <v>54.027252500000003</v>
      </c>
      <c r="F73" s="33">
        <v>-129.8436681</v>
      </c>
      <c r="G73" s="33" t="s">
        <v>2876</v>
      </c>
      <c r="H73" s="33"/>
      <c r="I73" s="236"/>
      <c r="J73" s="236"/>
      <c r="K73" s="69"/>
      <c r="L73" s="69"/>
      <c r="M73" s="69"/>
      <c r="N73" s="69"/>
      <c r="O73" s="69"/>
      <c r="P73" s="19"/>
      <c r="Q73" s="19"/>
      <c r="R73" s="99">
        <v>70</v>
      </c>
      <c r="S73" s="254"/>
      <c r="T73" s="254"/>
      <c r="U73" s="254"/>
      <c r="V73" s="254"/>
      <c r="W73" s="254"/>
      <c r="X73" s="254"/>
      <c r="Y73" s="254"/>
    </row>
    <row r="74" spans="1:25" s="41" customFormat="1" ht="20" x14ac:dyDescent="0.2">
      <c r="A74" s="58"/>
      <c r="B74" s="151" t="s">
        <v>1603</v>
      </c>
      <c r="C74" s="51" t="s">
        <v>3697</v>
      </c>
      <c r="D74" s="33" t="s">
        <v>106</v>
      </c>
      <c r="E74" s="33"/>
      <c r="F74" s="33"/>
      <c r="G74" s="33" t="s">
        <v>2876</v>
      </c>
      <c r="H74" s="33"/>
      <c r="I74" s="99"/>
      <c r="J74" s="99"/>
      <c r="K74" s="69"/>
      <c r="L74" s="69"/>
      <c r="M74" s="69"/>
      <c r="N74" s="69"/>
      <c r="O74" s="69"/>
      <c r="P74" s="19"/>
      <c r="Q74" s="19"/>
      <c r="R74" s="99">
        <v>71</v>
      </c>
      <c r="S74" s="254"/>
      <c r="T74" s="254"/>
      <c r="U74" s="254"/>
      <c r="V74" s="254"/>
      <c r="W74" s="254"/>
      <c r="X74" s="254"/>
      <c r="Y74" s="254"/>
    </row>
    <row r="75" spans="1:25" s="41" customFormat="1" ht="20" x14ac:dyDescent="0.2">
      <c r="A75" s="58"/>
      <c r="B75" s="151" t="s">
        <v>1604</v>
      </c>
      <c r="C75" s="51" t="s">
        <v>3381</v>
      </c>
      <c r="D75" s="33" t="s">
        <v>106</v>
      </c>
      <c r="E75" s="33"/>
      <c r="F75" s="33"/>
      <c r="G75" s="33" t="s">
        <v>2876</v>
      </c>
      <c r="H75" s="237" t="s">
        <v>1545</v>
      </c>
      <c r="I75" s="2">
        <v>138</v>
      </c>
      <c r="J75" s="2">
        <v>25</v>
      </c>
      <c r="K75" s="1">
        <v>28</v>
      </c>
      <c r="L75" s="1">
        <v>33.299999999999997</v>
      </c>
      <c r="M75" s="131">
        <v>0.9</v>
      </c>
      <c r="N75" s="1">
        <f>K75*$M75</f>
        <v>25.2</v>
      </c>
      <c r="O75" s="1">
        <f>L75*$M75</f>
        <v>29.97</v>
      </c>
      <c r="P75" s="19"/>
      <c r="Q75" s="19"/>
      <c r="R75" s="99">
        <v>72</v>
      </c>
      <c r="S75" s="254"/>
      <c r="T75" s="254"/>
      <c r="U75" s="254"/>
      <c r="V75" s="254"/>
      <c r="W75" s="254"/>
      <c r="X75" s="254"/>
      <c r="Y75" s="254"/>
    </row>
    <row r="76" spans="1:25" s="41" customFormat="1" ht="20" x14ac:dyDescent="0.2">
      <c r="A76" s="58"/>
      <c r="B76" s="151" t="s">
        <v>1604</v>
      </c>
      <c r="C76" s="51" t="s">
        <v>3381</v>
      </c>
      <c r="D76" s="33" t="s">
        <v>106</v>
      </c>
      <c r="E76" s="33"/>
      <c r="F76" s="33"/>
      <c r="G76" s="33" t="s">
        <v>2876</v>
      </c>
      <c r="H76" s="237" t="s">
        <v>1549</v>
      </c>
      <c r="I76" s="2">
        <v>138</v>
      </c>
      <c r="J76" s="2">
        <v>25</v>
      </c>
      <c r="K76" s="1">
        <v>26.2</v>
      </c>
      <c r="L76" s="1">
        <v>33.299999999999997</v>
      </c>
      <c r="M76" s="131">
        <v>0.9</v>
      </c>
      <c r="N76" s="1">
        <f>K76*$M76</f>
        <v>23.58</v>
      </c>
      <c r="O76" s="1">
        <f>L76*$M76</f>
        <v>29.97</v>
      </c>
      <c r="P76" s="19"/>
      <c r="Q76" s="19"/>
      <c r="R76" s="99">
        <v>73</v>
      </c>
      <c r="S76" s="254"/>
      <c r="T76" s="254"/>
      <c r="U76" s="254"/>
      <c r="V76" s="254"/>
      <c r="W76" s="254"/>
      <c r="X76" s="254"/>
      <c r="Y76" s="254"/>
    </row>
    <row r="77" spans="1:25" s="41" customFormat="1" ht="20" x14ac:dyDescent="0.2">
      <c r="A77" s="58"/>
      <c r="B77" s="151" t="s">
        <v>3569</v>
      </c>
      <c r="C77" s="51" t="s">
        <v>3568</v>
      </c>
      <c r="D77" s="33" t="s">
        <v>106</v>
      </c>
      <c r="E77" s="33"/>
      <c r="F77" s="33"/>
      <c r="G77" s="33" t="s">
        <v>2876</v>
      </c>
      <c r="H77" s="33"/>
      <c r="I77" s="99"/>
      <c r="J77" s="99"/>
      <c r="K77" s="69"/>
      <c r="L77" s="69"/>
      <c r="M77" s="69"/>
      <c r="N77" s="69"/>
      <c r="O77" s="69"/>
      <c r="P77" s="19"/>
      <c r="Q77" s="19"/>
      <c r="R77" s="99">
        <v>74</v>
      </c>
      <c r="S77" s="254"/>
      <c r="T77" s="254"/>
      <c r="U77" s="254"/>
      <c r="V77" s="254"/>
      <c r="W77" s="254"/>
      <c r="X77" s="254"/>
      <c r="Y77" s="254"/>
    </row>
    <row r="78" spans="1:25" s="41" customFormat="1" ht="20" x14ac:dyDescent="0.2">
      <c r="A78" s="58"/>
      <c r="B78" s="151" t="s">
        <v>2297</v>
      </c>
      <c r="C78" s="51" t="s">
        <v>3103</v>
      </c>
      <c r="D78" s="33" t="s">
        <v>106</v>
      </c>
      <c r="E78" s="33">
        <v>49.693044999999998</v>
      </c>
      <c r="F78" s="33">
        <v>-121.859106</v>
      </c>
      <c r="G78" s="33" t="s">
        <v>2876</v>
      </c>
      <c r="H78" s="33"/>
      <c r="I78" s="99"/>
      <c r="J78" s="99"/>
      <c r="K78" s="69"/>
      <c r="L78" s="69"/>
      <c r="M78" s="69"/>
      <c r="N78" s="69"/>
      <c r="O78" s="69"/>
      <c r="P78" s="19"/>
      <c r="Q78" s="19"/>
      <c r="R78" s="99">
        <v>75</v>
      </c>
      <c r="S78" s="254"/>
      <c r="T78" s="254"/>
      <c r="U78" s="254"/>
      <c r="V78" s="254"/>
      <c r="W78" s="254"/>
      <c r="X78" s="254"/>
      <c r="Y78" s="254"/>
    </row>
    <row r="79" spans="1:25" s="41" customFormat="1" ht="20" x14ac:dyDescent="0.2">
      <c r="A79" s="58"/>
      <c r="B79" s="151" t="s">
        <v>1605</v>
      </c>
      <c r="C79" s="51" t="s">
        <v>3588</v>
      </c>
      <c r="D79" s="33" t="s">
        <v>106</v>
      </c>
      <c r="E79" s="33"/>
      <c r="F79" s="33"/>
      <c r="G79" s="33" t="s">
        <v>2876</v>
      </c>
      <c r="H79" s="33"/>
      <c r="I79" s="99"/>
      <c r="J79" s="99"/>
      <c r="K79" s="69"/>
      <c r="L79" s="69"/>
      <c r="M79" s="69"/>
      <c r="N79" s="69"/>
      <c r="O79" s="69"/>
      <c r="P79" s="19"/>
      <c r="Q79" s="19"/>
      <c r="R79" s="99">
        <v>76</v>
      </c>
      <c r="S79" s="254"/>
      <c r="T79" s="254"/>
      <c r="U79" s="254"/>
      <c r="V79" s="254"/>
      <c r="W79" s="254"/>
      <c r="X79" s="254"/>
      <c r="Y79" s="254"/>
    </row>
    <row r="80" spans="1:25" s="41" customFormat="1" ht="20" x14ac:dyDescent="0.2">
      <c r="A80" s="58"/>
      <c r="B80" s="151" t="s">
        <v>1606</v>
      </c>
      <c r="C80" s="51" t="s">
        <v>3382</v>
      </c>
      <c r="D80" s="33" t="s">
        <v>106</v>
      </c>
      <c r="E80" s="33"/>
      <c r="F80" s="33"/>
      <c r="G80" s="33" t="s">
        <v>2876</v>
      </c>
      <c r="H80" s="237" t="s">
        <v>1545</v>
      </c>
      <c r="I80" s="2">
        <v>60</v>
      </c>
      <c r="J80" s="2">
        <v>34</v>
      </c>
      <c r="K80" s="1">
        <v>5</v>
      </c>
      <c r="L80" s="1">
        <v>6</v>
      </c>
      <c r="M80" s="131">
        <v>0.9</v>
      </c>
      <c r="N80" s="1">
        <f>K80*$M80</f>
        <v>4.5</v>
      </c>
      <c r="O80" s="1">
        <f>L80*$M80</f>
        <v>5.4</v>
      </c>
      <c r="P80" s="19"/>
      <c r="Q80" s="19"/>
      <c r="R80" s="99">
        <v>77</v>
      </c>
      <c r="S80" s="254"/>
      <c r="T80" s="254"/>
      <c r="U80" s="254"/>
      <c r="V80" s="254"/>
      <c r="W80" s="254"/>
      <c r="X80" s="254"/>
      <c r="Y80" s="254"/>
    </row>
    <row r="81" spans="1:25" s="41" customFormat="1" ht="20" x14ac:dyDescent="0.2">
      <c r="A81" s="58"/>
      <c r="B81" s="230" t="s">
        <v>3694</v>
      </c>
      <c r="C81" s="51" t="s">
        <v>3695</v>
      </c>
      <c r="D81" s="51" t="s">
        <v>173</v>
      </c>
      <c r="E81" s="33"/>
      <c r="F81" s="33"/>
      <c r="G81" s="33" t="s">
        <v>2876</v>
      </c>
      <c r="H81" s="33"/>
      <c r="I81" s="236"/>
      <c r="J81" s="236"/>
      <c r="K81" s="69"/>
      <c r="L81" s="69"/>
      <c r="M81" s="69"/>
      <c r="N81" s="69"/>
      <c r="O81" s="69"/>
      <c r="P81" s="19"/>
      <c r="Q81" s="19"/>
      <c r="R81" s="99">
        <v>78</v>
      </c>
      <c r="S81" s="254"/>
      <c r="T81" s="254"/>
      <c r="U81" s="254"/>
      <c r="V81" s="254"/>
      <c r="W81" s="254"/>
      <c r="X81" s="254"/>
      <c r="Y81" s="254"/>
    </row>
    <row r="82" spans="1:25" s="41" customFormat="1" ht="20" x14ac:dyDescent="0.2">
      <c r="A82" s="58"/>
      <c r="B82" s="151" t="s">
        <v>1607</v>
      </c>
      <c r="C82" s="51" t="s">
        <v>3383</v>
      </c>
      <c r="D82" s="33" t="s">
        <v>106</v>
      </c>
      <c r="E82" s="33"/>
      <c r="F82" s="33"/>
      <c r="G82" s="33" t="s">
        <v>2876</v>
      </c>
      <c r="H82" s="33"/>
      <c r="I82" s="99"/>
      <c r="J82" s="99"/>
      <c r="K82" s="69"/>
      <c r="L82" s="69"/>
      <c r="M82" s="69"/>
      <c r="N82" s="69"/>
      <c r="O82" s="69"/>
      <c r="P82" s="19"/>
      <c r="Q82" s="19"/>
      <c r="R82" s="99">
        <v>79</v>
      </c>
      <c r="S82" s="254"/>
      <c r="T82" s="254"/>
      <c r="U82" s="254"/>
      <c r="V82" s="254"/>
      <c r="W82" s="254"/>
      <c r="X82" s="254"/>
      <c r="Y82" s="254"/>
    </row>
    <row r="83" spans="1:25" s="41" customFormat="1" ht="20" x14ac:dyDescent="0.2">
      <c r="A83" s="58"/>
      <c r="B83" s="151" t="s">
        <v>1608</v>
      </c>
      <c r="C83" s="51" t="s">
        <v>3229</v>
      </c>
      <c r="D83" s="33" t="s">
        <v>106</v>
      </c>
      <c r="E83" s="33"/>
      <c r="F83" s="33"/>
      <c r="G83" s="33" t="s">
        <v>2876</v>
      </c>
      <c r="H83" s="237" t="s">
        <v>1554</v>
      </c>
      <c r="I83" s="2">
        <v>66</v>
      </c>
      <c r="J83" s="2">
        <v>25</v>
      </c>
      <c r="K83" s="1">
        <v>43.7</v>
      </c>
      <c r="L83" s="1">
        <v>55.3</v>
      </c>
      <c r="M83" s="131">
        <v>0.9</v>
      </c>
      <c r="N83" s="1">
        <f t="shared" ref="N83:O87" si="5">K83*$M83</f>
        <v>39.330000000000005</v>
      </c>
      <c r="O83" s="1">
        <f t="shared" si="5"/>
        <v>49.769999999999996</v>
      </c>
      <c r="P83" s="19"/>
      <c r="Q83" s="19"/>
      <c r="R83" s="99">
        <v>80</v>
      </c>
      <c r="S83" s="254"/>
      <c r="T83" s="254"/>
      <c r="U83" s="254"/>
      <c r="V83" s="254"/>
      <c r="W83" s="254"/>
      <c r="X83" s="254"/>
      <c r="Y83" s="254"/>
    </row>
    <row r="84" spans="1:25" s="41" customFormat="1" ht="20" x14ac:dyDescent="0.2">
      <c r="A84" s="58"/>
      <c r="B84" s="151" t="s">
        <v>1608</v>
      </c>
      <c r="C84" s="51" t="s">
        <v>3229</v>
      </c>
      <c r="D84" s="33" t="s">
        <v>106</v>
      </c>
      <c r="E84" s="33"/>
      <c r="F84" s="33"/>
      <c r="G84" s="33" t="s">
        <v>2876</v>
      </c>
      <c r="H84" s="237" t="s">
        <v>1551</v>
      </c>
      <c r="I84" s="2">
        <v>66</v>
      </c>
      <c r="J84" s="2">
        <v>25</v>
      </c>
      <c r="K84" s="1">
        <v>43.7</v>
      </c>
      <c r="L84" s="1">
        <v>55.3</v>
      </c>
      <c r="M84" s="131">
        <v>0.9</v>
      </c>
      <c r="N84" s="1">
        <f t="shared" si="5"/>
        <v>39.330000000000005</v>
      </c>
      <c r="O84" s="1">
        <f t="shared" si="5"/>
        <v>49.769999999999996</v>
      </c>
      <c r="P84" s="19"/>
      <c r="Q84" s="19"/>
      <c r="R84" s="99">
        <v>81</v>
      </c>
      <c r="S84" s="254"/>
      <c r="T84" s="254"/>
      <c r="U84" s="254"/>
      <c r="V84" s="254"/>
      <c r="W84" s="254"/>
      <c r="X84" s="254"/>
      <c r="Y84" s="254"/>
    </row>
    <row r="85" spans="1:25" s="41" customFormat="1" ht="20" x14ac:dyDescent="0.2">
      <c r="A85" s="58"/>
      <c r="B85" s="151" t="s">
        <v>1609</v>
      </c>
      <c r="C85" s="51" t="s">
        <v>3384</v>
      </c>
      <c r="D85" s="33" t="s">
        <v>106</v>
      </c>
      <c r="E85" s="33"/>
      <c r="F85" s="33"/>
      <c r="G85" s="33" t="s">
        <v>2876</v>
      </c>
      <c r="H85" s="237" t="s">
        <v>1549</v>
      </c>
      <c r="I85" s="2">
        <v>230</v>
      </c>
      <c r="J85" s="2">
        <v>25</v>
      </c>
      <c r="K85" s="1">
        <v>158</v>
      </c>
      <c r="L85" s="1">
        <v>200</v>
      </c>
      <c r="M85" s="131">
        <v>0.9</v>
      </c>
      <c r="N85" s="1">
        <f t="shared" si="5"/>
        <v>142.20000000000002</v>
      </c>
      <c r="O85" s="1">
        <f t="shared" si="5"/>
        <v>180</v>
      </c>
      <c r="P85" s="19"/>
      <c r="Q85" s="19"/>
      <c r="R85" s="99">
        <v>82</v>
      </c>
      <c r="S85" s="254"/>
      <c r="T85" s="254"/>
      <c r="U85" s="254"/>
      <c r="V85" s="254"/>
      <c r="W85" s="254"/>
      <c r="X85" s="254"/>
      <c r="Y85" s="254"/>
    </row>
    <row r="86" spans="1:25" s="41" customFormat="1" ht="20" x14ac:dyDescent="0.2">
      <c r="A86" s="58"/>
      <c r="B86" s="151" t="s">
        <v>1609</v>
      </c>
      <c r="C86" s="51" t="s">
        <v>3384</v>
      </c>
      <c r="D86" s="33" t="s">
        <v>106</v>
      </c>
      <c r="E86" s="33"/>
      <c r="F86" s="33"/>
      <c r="G86" s="33" t="s">
        <v>2876</v>
      </c>
      <c r="H86" s="237" t="s">
        <v>1550</v>
      </c>
      <c r="I86" s="2">
        <v>230</v>
      </c>
      <c r="J86" s="2">
        <v>25</v>
      </c>
      <c r="K86" s="1">
        <v>87</v>
      </c>
      <c r="L86" s="1">
        <v>100</v>
      </c>
      <c r="M86" s="131">
        <v>0.9</v>
      </c>
      <c r="N86" s="1">
        <f t="shared" si="5"/>
        <v>78.3</v>
      </c>
      <c r="O86" s="1">
        <f t="shared" si="5"/>
        <v>90</v>
      </c>
      <c r="P86" s="19"/>
      <c r="Q86" s="19"/>
      <c r="R86" s="99">
        <v>83</v>
      </c>
      <c r="S86" s="254"/>
      <c r="T86" s="254"/>
      <c r="U86" s="254"/>
      <c r="V86" s="254"/>
      <c r="W86" s="254"/>
      <c r="X86" s="254"/>
      <c r="Y86" s="254"/>
    </row>
    <row r="87" spans="1:25" s="41" customFormat="1" ht="20" x14ac:dyDescent="0.2">
      <c r="A87" s="58"/>
      <c r="B87" s="151" t="s">
        <v>1609</v>
      </c>
      <c r="C87" s="51" t="s">
        <v>3384</v>
      </c>
      <c r="D87" s="33" t="s">
        <v>106</v>
      </c>
      <c r="E87" s="33"/>
      <c r="F87" s="33"/>
      <c r="G87" s="33" t="s">
        <v>2876</v>
      </c>
      <c r="H87" s="237" t="s">
        <v>1546</v>
      </c>
      <c r="I87" s="2">
        <v>230</v>
      </c>
      <c r="J87" s="2">
        <v>25</v>
      </c>
      <c r="K87" s="1">
        <v>87</v>
      </c>
      <c r="L87" s="1">
        <v>100</v>
      </c>
      <c r="M87" s="131">
        <v>0.9</v>
      </c>
      <c r="N87" s="1">
        <f t="shared" si="5"/>
        <v>78.3</v>
      </c>
      <c r="O87" s="1">
        <f t="shared" si="5"/>
        <v>90</v>
      </c>
      <c r="P87" s="19"/>
      <c r="Q87" s="19"/>
      <c r="R87" s="99">
        <v>84</v>
      </c>
      <c r="S87" s="254"/>
      <c r="T87" s="254"/>
      <c r="U87" s="254"/>
      <c r="V87" s="254"/>
      <c r="W87" s="254"/>
      <c r="X87" s="254"/>
      <c r="Y87" s="254"/>
    </row>
    <row r="88" spans="1:25" s="41" customFormat="1" ht="20" x14ac:dyDescent="0.2">
      <c r="A88" s="58"/>
      <c r="B88" s="151" t="s">
        <v>1610</v>
      </c>
      <c r="C88" s="51" t="s">
        <v>3618</v>
      </c>
      <c r="D88" s="33" t="s">
        <v>106</v>
      </c>
      <c r="E88" s="33"/>
      <c r="F88" s="33"/>
      <c r="G88" s="33" t="s">
        <v>2876</v>
      </c>
      <c r="H88" s="33"/>
      <c r="I88" s="99"/>
      <c r="J88" s="99"/>
      <c r="K88" s="69"/>
      <c r="L88" s="69"/>
      <c r="M88" s="69"/>
      <c r="N88" s="69"/>
      <c r="O88" s="69"/>
      <c r="P88" s="19"/>
      <c r="Q88" s="19"/>
      <c r="R88" s="99">
        <v>85</v>
      </c>
      <c r="S88" s="254"/>
      <c r="T88" s="254"/>
      <c r="U88" s="254"/>
      <c r="V88" s="254"/>
      <c r="W88" s="254"/>
      <c r="X88" s="254"/>
      <c r="Y88" s="254"/>
    </row>
    <row r="89" spans="1:25" s="41" customFormat="1" ht="20" x14ac:dyDescent="0.2">
      <c r="A89" s="58"/>
      <c r="B89" s="151" t="s">
        <v>1611</v>
      </c>
      <c r="C89" s="51" t="s">
        <v>3230</v>
      </c>
      <c r="D89" s="33" t="s">
        <v>106</v>
      </c>
      <c r="E89" s="33"/>
      <c r="F89" s="33"/>
      <c r="G89" s="33" t="s">
        <v>2876</v>
      </c>
      <c r="H89" s="237" t="s">
        <v>1545</v>
      </c>
      <c r="I89" s="2">
        <v>60</v>
      </c>
      <c r="J89" s="2">
        <v>12</v>
      </c>
      <c r="K89" s="1">
        <v>43.68</v>
      </c>
      <c r="L89" s="1">
        <v>55.33</v>
      </c>
      <c r="M89" s="131">
        <v>0.9</v>
      </c>
      <c r="N89" s="1">
        <f>K89*$M89</f>
        <v>39.311999999999998</v>
      </c>
      <c r="O89" s="1">
        <f>L89*$M89</f>
        <v>49.796999999999997</v>
      </c>
      <c r="P89" s="19"/>
      <c r="Q89" s="19"/>
      <c r="R89" s="99">
        <v>86</v>
      </c>
      <c r="S89" s="254"/>
      <c r="T89" s="254"/>
      <c r="U89" s="254"/>
      <c r="V89" s="254"/>
      <c r="W89" s="254"/>
      <c r="X89" s="254"/>
      <c r="Y89" s="254"/>
    </row>
    <row r="90" spans="1:25" s="41" customFormat="1" ht="20" x14ac:dyDescent="0.2">
      <c r="A90" s="58"/>
      <c r="B90" s="151" t="s">
        <v>1611</v>
      </c>
      <c r="C90" s="51" t="s">
        <v>3230</v>
      </c>
      <c r="D90" s="33" t="s">
        <v>106</v>
      </c>
      <c r="E90" s="33"/>
      <c r="F90" s="33"/>
      <c r="G90" s="33" t="s">
        <v>2876</v>
      </c>
      <c r="H90" s="237" t="s">
        <v>1549</v>
      </c>
      <c r="I90" s="2">
        <v>60</v>
      </c>
      <c r="J90" s="2">
        <v>12</v>
      </c>
      <c r="K90" s="1">
        <v>43.68</v>
      </c>
      <c r="L90" s="1">
        <v>55.33</v>
      </c>
      <c r="M90" s="131">
        <v>0.9</v>
      </c>
      <c r="N90" s="1">
        <f>K90*$M90</f>
        <v>39.311999999999998</v>
      </c>
      <c r="O90" s="1">
        <f>L90*$M90</f>
        <v>49.796999999999997</v>
      </c>
      <c r="P90" s="19"/>
      <c r="Q90" s="19"/>
      <c r="R90" s="99">
        <v>87</v>
      </c>
      <c r="S90" s="254"/>
      <c r="T90" s="254"/>
      <c r="U90" s="254"/>
      <c r="V90" s="254"/>
      <c r="W90" s="254"/>
      <c r="X90" s="254"/>
      <c r="Y90" s="254"/>
    </row>
    <row r="91" spans="1:25" s="41" customFormat="1" ht="20" x14ac:dyDescent="0.2">
      <c r="A91" s="58"/>
      <c r="B91" s="151" t="s">
        <v>107</v>
      </c>
      <c r="C91" s="51" t="s">
        <v>3232</v>
      </c>
      <c r="D91" s="33" t="s">
        <v>106</v>
      </c>
      <c r="E91" s="33"/>
      <c r="F91" s="33"/>
      <c r="G91" s="33" t="s">
        <v>2876</v>
      </c>
      <c r="H91" s="33"/>
      <c r="I91" s="99"/>
      <c r="J91" s="99"/>
      <c r="K91" s="69"/>
      <c r="L91" s="69"/>
      <c r="M91" s="69"/>
      <c r="N91" s="69"/>
      <c r="O91" s="69"/>
      <c r="P91" s="19"/>
      <c r="Q91" s="19"/>
      <c r="R91" s="99">
        <v>88</v>
      </c>
      <c r="S91" s="254"/>
      <c r="T91" s="254"/>
      <c r="U91" s="254"/>
      <c r="V91" s="254"/>
      <c r="W91" s="254"/>
      <c r="X91" s="254"/>
      <c r="Y91" s="254"/>
    </row>
    <row r="92" spans="1:25" s="41" customFormat="1" ht="20" x14ac:dyDescent="0.2">
      <c r="A92" s="58"/>
      <c r="B92" s="151" t="s">
        <v>234</v>
      </c>
      <c r="C92" s="51" t="s">
        <v>3385</v>
      </c>
      <c r="D92" s="33" t="s">
        <v>106</v>
      </c>
      <c r="E92" s="33"/>
      <c r="F92" s="33"/>
      <c r="G92" s="33" t="s">
        <v>2876</v>
      </c>
      <c r="H92" s="237" t="s">
        <v>1545</v>
      </c>
      <c r="I92" s="2">
        <v>138</v>
      </c>
      <c r="J92" s="2">
        <v>25</v>
      </c>
      <c r="K92" s="1">
        <v>77.25</v>
      </c>
      <c r="L92" s="1">
        <v>94.5</v>
      </c>
      <c r="M92" s="131">
        <v>0.9</v>
      </c>
      <c r="N92" s="1">
        <f t="shared" ref="N92:O96" si="6">K92*$M92</f>
        <v>69.525000000000006</v>
      </c>
      <c r="O92" s="1">
        <f t="shared" si="6"/>
        <v>85.05</v>
      </c>
      <c r="P92" s="19"/>
      <c r="Q92" s="19"/>
      <c r="R92" s="99">
        <v>89</v>
      </c>
      <c r="S92" s="254"/>
      <c r="T92" s="254"/>
      <c r="U92" s="254"/>
      <c r="V92" s="254"/>
      <c r="W92" s="254"/>
      <c r="X92" s="254"/>
      <c r="Y92" s="254"/>
    </row>
    <row r="93" spans="1:25" s="41" customFormat="1" ht="20" x14ac:dyDescent="0.2">
      <c r="A93" s="58"/>
      <c r="B93" s="151" t="s">
        <v>234</v>
      </c>
      <c r="C93" s="51" t="s">
        <v>3385</v>
      </c>
      <c r="D93" s="33" t="s">
        <v>106</v>
      </c>
      <c r="E93" s="33"/>
      <c r="F93" s="33"/>
      <c r="G93" s="33" t="s">
        <v>2876</v>
      </c>
      <c r="H93" s="237" t="s">
        <v>1549</v>
      </c>
      <c r="I93" s="2">
        <v>138</v>
      </c>
      <c r="J93" s="2">
        <v>25</v>
      </c>
      <c r="K93" s="1">
        <v>77.25</v>
      </c>
      <c r="L93" s="1">
        <v>94.5</v>
      </c>
      <c r="M93" s="131">
        <v>0.9</v>
      </c>
      <c r="N93" s="1">
        <f t="shared" si="6"/>
        <v>69.525000000000006</v>
      </c>
      <c r="O93" s="1">
        <f t="shared" si="6"/>
        <v>85.05</v>
      </c>
      <c r="P93" s="19"/>
      <c r="Q93" s="19"/>
      <c r="R93" s="99">
        <v>90</v>
      </c>
      <c r="S93" s="254"/>
      <c r="T93" s="254"/>
      <c r="U93" s="254"/>
      <c r="V93" s="254"/>
      <c r="W93" s="254"/>
      <c r="X93" s="254"/>
      <c r="Y93" s="254"/>
    </row>
    <row r="94" spans="1:25" s="41" customFormat="1" ht="20" x14ac:dyDescent="0.2">
      <c r="A94" s="58"/>
      <c r="B94" s="151" t="s">
        <v>234</v>
      </c>
      <c r="C94" s="51" t="s">
        <v>3385</v>
      </c>
      <c r="D94" s="33" t="s">
        <v>106</v>
      </c>
      <c r="E94" s="33"/>
      <c r="F94" s="33"/>
      <c r="G94" s="33" t="s">
        <v>2876</v>
      </c>
      <c r="H94" s="237" t="s">
        <v>1550</v>
      </c>
      <c r="I94" s="2">
        <v>138</v>
      </c>
      <c r="J94" s="2">
        <v>25</v>
      </c>
      <c r="K94" s="1">
        <v>81</v>
      </c>
      <c r="L94" s="1">
        <v>99.38</v>
      </c>
      <c r="M94" s="131">
        <v>0.9</v>
      </c>
      <c r="N94" s="1">
        <f t="shared" si="6"/>
        <v>72.900000000000006</v>
      </c>
      <c r="O94" s="1">
        <f t="shared" si="6"/>
        <v>89.441999999999993</v>
      </c>
      <c r="P94" s="19"/>
      <c r="Q94" s="19"/>
      <c r="R94" s="99">
        <v>91</v>
      </c>
      <c r="S94" s="254"/>
      <c r="T94" s="254"/>
      <c r="U94" s="254"/>
      <c r="V94" s="254"/>
      <c r="W94" s="254"/>
      <c r="X94" s="254"/>
      <c r="Y94" s="254"/>
    </row>
    <row r="95" spans="1:25" s="41" customFormat="1" ht="20" x14ac:dyDescent="0.2">
      <c r="A95" s="58"/>
      <c r="B95" s="151" t="s">
        <v>1612</v>
      </c>
      <c r="C95" s="51" t="s">
        <v>3233</v>
      </c>
      <c r="D95" s="33" t="s">
        <v>106</v>
      </c>
      <c r="E95" s="33"/>
      <c r="F95" s="33"/>
      <c r="G95" s="33" t="s">
        <v>2876</v>
      </c>
      <c r="H95" s="237" t="s">
        <v>1550</v>
      </c>
      <c r="I95" s="2">
        <v>230</v>
      </c>
      <c r="J95" s="2">
        <v>25</v>
      </c>
      <c r="K95" s="1">
        <v>158</v>
      </c>
      <c r="L95" s="1">
        <v>200</v>
      </c>
      <c r="M95" s="131">
        <v>0.9</v>
      </c>
      <c r="N95" s="1">
        <f t="shared" si="6"/>
        <v>142.20000000000002</v>
      </c>
      <c r="O95" s="1">
        <f t="shared" si="6"/>
        <v>180</v>
      </c>
      <c r="P95" s="19"/>
      <c r="Q95" s="19"/>
      <c r="R95" s="99">
        <v>92</v>
      </c>
      <c r="S95" s="254"/>
      <c r="T95" s="254"/>
      <c r="U95" s="254"/>
      <c r="V95" s="254"/>
      <c r="W95" s="254"/>
      <c r="X95" s="254"/>
      <c r="Y95" s="254"/>
    </row>
    <row r="96" spans="1:25" s="41" customFormat="1" ht="20" x14ac:dyDescent="0.2">
      <c r="A96" s="58"/>
      <c r="B96" s="151" t="s">
        <v>1612</v>
      </c>
      <c r="C96" s="51" t="s">
        <v>3233</v>
      </c>
      <c r="D96" s="33" t="s">
        <v>106</v>
      </c>
      <c r="E96" s="33"/>
      <c r="F96" s="33"/>
      <c r="G96" s="33" t="s">
        <v>2876</v>
      </c>
      <c r="H96" s="237" t="s">
        <v>1546</v>
      </c>
      <c r="I96" s="2">
        <v>230</v>
      </c>
      <c r="J96" s="2">
        <v>25</v>
      </c>
      <c r="K96" s="1">
        <v>158</v>
      </c>
      <c r="L96" s="1">
        <v>200</v>
      </c>
      <c r="M96" s="131">
        <v>0.9</v>
      </c>
      <c r="N96" s="1">
        <f t="shared" si="6"/>
        <v>142.20000000000002</v>
      </c>
      <c r="O96" s="1">
        <f t="shared" si="6"/>
        <v>180</v>
      </c>
      <c r="P96" s="19"/>
      <c r="Q96" s="19"/>
      <c r="R96" s="99">
        <v>93</v>
      </c>
      <c r="S96" s="254"/>
      <c r="T96" s="254"/>
      <c r="U96" s="254"/>
      <c r="V96" s="254"/>
      <c r="W96" s="254"/>
      <c r="X96" s="254"/>
      <c r="Y96" s="254"/>
    </row>
    <row r="97" spans="1:25" s="41" customFormat="1" ht="20" x14ac:dyDescent="0.2">
      <c r="A97" s="58"/>
      <c r="B97" s="151" t="s">
        <v>2298</v>
      </c>
      <c r="C97" s="51" t="s">
        <v>3104</v>
      </c>
      <c r="D97" s="33" t="s">
        <v>106</v>
      </c>
      <c r="E97" s="33">
        <v>52.997039000000001</v>
      </c>
      <c r="F97" s="33">
        <v>-122.4852664</v>
      </c>
      <c r="G97" s="33" t="s">
        <v>2876</v>
      </c>
      <c r="H97" s="33"/>
      <c r="I97" s="236"/>
      <c r="J97" s="236"/>
      <c r="K97" s="69"/>
      <c r="L97" s="69"/>
      <c r="M97" s="69"/>
      <c r="N97" s="69"/>
      <c r="O97" s="69"/>
      <c r="P97" s="19"/>
      <c r="Q97" s="19"/>
      <c r="R97" s="99">
        <v>94</v>
      </c>
      <c r="S97" s="254"/>
      <c r="T97" s="254"/>
      <c r="U97" s="254"/>
      <c r="V97" s="254"/>
      <c r="W97" s="254"/>
      <c r="X97" s="254"/>
      <c r="Y97" s="254"/>
    </row>
    <row r="98" spans="1:25" s="41" customFormat="1" ht="20" x14ac:dyDescent="0.2">
      <c r="A98" s="58"/>
      <c r="B98" s="151" t="s">
        <v>2299</v>
      </c>
      <c r="C98" s="51" t="s">
        <v>3591</v>
      </c>
      <c r="D98" s="33" t="s">
        <v>106</v>
      </c>
      <c r="E98" s="33"/>
      <c r="F98" s="33"/>
      <c r="G98" s="33" t="s">
        <v>2876</v>
      </c>
      <c r="H98" s="33"/>
      <c r="I98" s="99"/>
      <c r="J98" s="99"/>
      <c r="K98" s="69"/>
      <c r="L98" s="69"/>
      <c r="M98" s="69"/>
      <c r="N98" s="69"/>
      <c r="O98" s="69"/>
      <c r="P98" s="19"/>
      <c r="Q98" s="19"/>
      <c r="R98" s="99">
        <v>95</v>
      </c>
      <c r="S98" s="254"/>
      <c r="T98" s="254"/>
      <c r="U98" s="254"/>
      <c r="V98" s="254"/>
      <c r="W98" s="254"/>
      <c r="X98" s="254"/>
      <c r="Y98" s="254"/>
    </row>
    <row r="99" spans="1:25" s="41" customFormat="1" ht="20" x14ac:dyDescent="0.2">
      <c r="A99" s="58"/>
      <c r="B99" s="151" t="s">
        <v>1613</v>
      </c>
      <c r="C99" s="51" t="s">
        <v>3416</v>
      </c>
      <c r="D99" s="33" t="s">
        <v>106</v>
      </c>
      <c r="E99" s="33"/>
      <c r="F99" s="33"/>
      <c r="G99" s="33" t="s">
        <v>2876</v>
      </c>
      <c r="H99" s="33"/>
      <c r="I99" s="99"/>
      <c r="J99" s="99"/>
      <c r="K99" s="69"/>
      <c r="L99" s="69"/>
      <c r="M99" s="69"/>
      <c r="N99" s="69"/>
      <c r="O99" s="69"/>
      <c r="P99" s="19"/>
      <c r="Q99" s="19"/>
      <c r="R99" s="99">
        <v>96</v>
      </c>
      <c r="S99" s="254"/>
      <c r="T99" s="254"/>
      <c r="U99" s="254"/>
      <c r="V99" s="254"/>
      <c r="W99" s="254"/>
      <c r="X99" s="254"/>
      <c r="Y99" s="254"/>
    </row>
    <row r="100" spans="1:25" s="41" customFormat="1" ht="20" x14ac:dyDescent="0.2">
      <c r="A100" s="58"/>
      <c r="B100" s="151" t="s">
        <v>2300</v>
      </c>
      <c r="C100" s="51" t="s">
        <v>3105</v>
      </c>
      <c r="D100" s="33" t="s">
        <v>106</v>
      </c>
      <c r="E100" s="33">
        <v>48.875706700000002</v>
      </c>
      <c r="F100" s="33">
        <v>-123.6500286</v>
      </c>
      <c r="G100" s="33" t="s">
        <v>2876</v>
      </c>
      <c r="H100" s="33"/>
      <c r="I100" s="99"/>
      <c r="J100" s="99"/>
      <c r="K100" s="69"/>
      <c r="L100" s="69"/>
      <c r="M100" s="69"/>
      <c r="N100" s="69"/>
      <c r="O100" s="69"/>
      <c r="P100" s="19"/>
      <c r="Q100" s="19"/>
      <c r="R100" s="99">
        <v>97</v>
      </c>
      <c r="S100" s="254"/>
      <c r="T100" s="254"/>
      <c r="U100" s="254"/>
      <c r="V100" s="254"/>
      <c r="W100" s="254"/>
      <c r="X100" s="254"/>
      <c r="Y100" s="254"/>
    </row>
    <row r="101" spans="1:25" s="41" customFormat="1" ht="20" x14ac:dyDescent="0.2">
      <c r="A101" s="58"/>
      <c r="B101" s="151" t="s">
        <v>1614</v>
      </c>
      <c r="C101" s="51" t="s">
        <v>3423</v>
      </c>
      <c r="D101" s="33" t="s">
        <v>106</v>
      </c>
      <c r="E101" s="33"/>
      <c r="F101" s="33"/>
      <c r="G101" s="33" t="s">
        <v>2876</v>
      </c>
      <c r="H101" s="237" t="s">
        <v>1554</v>
      </c>
      <c r="I101" s="2">
        <v>66</v>
      </c>
      <c r="J101" s="2">
        <v>25</v>
      </c>
      <c r="K101" s="1">
        <v>43.7</v>
      </c>
      <c r="L101" s="1">
        <v>55.3</v>
      </c>
      <c r="M101" s="131">
        <v>0.9</v>
      </c>
      <c r="N101" s="1">
        <f t="shared" ref="N101:N111" si="7">K101*$M101</f>
        <v>39.330000000000005</v>
      </c>
      <c r="O101" s="1">
        <f t="shared" ref="O101:O111" si="8">L101*$M101</f>
        <v>49.769999999999996</v>
      </c>
      <c r="P101" s="19"/>
      <c r="Q101" s="19"/>
      <c r="R101" s="99">
        <v>98</v>
      </c>
      <c r="S101" s="254"/>
      <c r="T101" s="254"/>
      <c r="U101" s="254"/>
      <c r="V101" s="254"/>
      <c r="W101" s="254"/>
      <c r="X101" s="254"/>
      <c r="Y101" s="254"/>
    </row>
    <row r="102" spans="1:25" s="41" customFormat="1" ht="20" x14ac:dyDescent="0.2">
      <c r="A102" s="58"/>
      <c r="B102" s="151" t="s">
        <v>1614</v>
      </c>
      <c r="C102" s="51" t="s">
        <v>3423</v>
      </c>
      <c r="D102" s="33" t="s">
        <v>106</v>
      </c>
      <c r="E102" s="33"/>
      <c r="F102" s="33"/>
      <c r="G102" s="33" t="s">
        <v>2876</v>
      </c>
      <c r="H102" s="237" t="s">
        <v>1551</v>
      </c>
      <c r="I102" s="2">
        <v>66</v>
      </c>
      <c r="J102" s="2">
        <v>25</v>
      </c>
      <c r="K102" s="1">
        <v>43.7</v>
      </c>
      <c r="L102" s="1">
        <v>55.3</v>
      </c>
      <c r="M102" s="131">
        <v>0.9</v>
      </c>
      <c r="N102" s="1">
        <f t="shared" si="7"/>
        <v>39.330000000000005</v>
      </c>
      <c r="O102" s="1">
        <f t="shared" si="8"/>
        <v>49.769999999999996</v>
      </c>
      <c r="P102" s="19"/>
      <c r="Q102" s="19"/>
      <c r="R102" s="99">
        <v>99</v>
      </c>
      <c r="S102" s="254"/>
      <c r="T102" s="254"/>
      <c r="U102" s="254"/>
      <c r="V102" s="254"/>
      <c r="W102" s="254"/>
      <c r="X102" s="254"/>
      <c r="Y102" s="254"/>
    </row>
    <row r="103" spans="1:25" s="41" customFormat="1" ht="20" x14ac:dyDescent="0.2">
      <c r="A103" s="58"/>
      <c r="B103" s="151" t="s">
        <v>1615</v>
      </c>
      <c r="C103" s="51" t="s">
        <v>3362</v>
      </c>
      <c r="D103" s="33" t="s">
        <v>106</v>
      </c>
      <c r="E103" s="33"/>
      <c r="F103" s="33"/>
      <c r="G103" s="33" t="s">
        <v>2876</v>
      </c>
      <c r="H103" s="237" t="s">
        <v>1545</v>
      </c>
      <c r="I103" s="2">
        <v>60</v>
      </c>
      <c r="J103" s="2">
        <v>25</v>
      </c>
      <c r="K103" s="1">
        <v>44</v>
      </c>
      <c r="L103" s="1">
        <v>56</v>
      </c>
      <c r="M103" s="131">
        <v>0.9</v>
      </c>
      <c r="N103" s="1">
        <f t="shared" si="7"/>
        <v>39.6</v>
      </c>
      <c r="O103" s="1">
        <f t="shared" si="8"/>
        <v>50.4</v>
      </c>
      <c r="P103" s="19"/>
      <c r="Q103" s="19"/>
      <c r="R103" s="99">
        <v>100</v>
      </c>
      <c r="S103" s="254"/>
      <c r="T103" s="254"/>
      <c r="U103" s="254"/>
      <c r="V103" s="254"/>
      <c r="W103" s="254"/>
      <c r="X103" s="254"/>
      <c r="Y103" s="254"/>
    </row>
    <row r="104" spans="1:25" s="41" customFormat="1" ht="20" x14ac:dyDescent="0.2">
      <c r="A104" s="58"/>
      <c r="B104" s="151" t="s">
        <v>1615</v>
      </c>
      <c r="C104" s="51" t="s">
        <v>3362</v>
      </c>
      <c r="D104" s="33" t="s">
        <v>106</v>
      </c>
      <c r="E104" s="33"/>
      <c r="F104" s="33"/>
      <c r="G104" s="33" t="s">
        <v>2876</v>
      </c>
      <c r="H104" s="237" t="s">
        <v>1549</v>
      </c>
      <c r="I104" s="2">
        <v>60</v>
      </c>
      <c r="J104" s="2">
        <v>25</v>
      </c>
      <c r="K104" s="1">
        <v>44</v>
      </c>
      <c r="L104" s="1">
        <v>56</v>
      </c>
      <c r="M104" s="131">
        <v>0.9</v>
      </c>
      <c r="N104" s="1">
        <f t="shared" si="7"/>
        <v>39.6</v>
      </c>
      <c r="O104" s="1">
        <f t="shared" si="8"/>
        <v>50.4</v>
      </c>
      <c r="P104" s="19"/>
      <c r="Q104" s="19"/>
      <c r="R104" s="99">
        <v>101</v>
      </c>
      <c r="S104" s="254"/>
      <c r="T104" s="254"/>
      <c r="U104" s="254"/>
      <c r="V104" s="254"/>
      <c r="W104" s="254"/>
      <c r="X104" s="254"/>
      <c r="Y104" s="254"/>
    </row>
    <row r="105" spans="1:25" s="41" customFormat="1" ht="20" x14ac:dyDescent="0.2">
      <c r="A105" s="58"/>
      <c r="B105" s="151" t="s">
        <v>1616</v>
      </c>
      <c r="C105" s="51" t="s">
        <v>3387</v>
      </c>
      <c r="D105" s="33" t="s">
        <v>106</v>
      </c>
      <c r="E105" s="33"/>
      <c r="F105" s="33"/>
      <c r="G105" s="33" t="s">
        <v>2876</v>
      </c>
      <c r="H105" s="237" t="s">
        <v>1549</v>
      </c>
      <c r="I105" s="2">
        <v>138</v>
      </c>
      <c r="J105" s="2">
        <v>25</v>
      </c>
      <c r="K105" s="1">
        <v>18.8</v>
      </c>
      <c r="L105" s="1">
        <v>22.1</v>
      </c>
      <c r="M105" s="131">
        <v>0.9</v>
      </c>
      <c r="N105" s="1">
        <f t="shared" si="7"/>
        <v>16.920000000000002</v>
      </c>
      <c r="O105" s="1">
        <f t="shared" si="8"/>
        <v>19.89</v>
      </c>
      <c r="P105" s="19"/>
      <c r="Q105" s="19"/>
      <c r="R105" s="99">
        <v>102</v>
      </c>
      <c r="S105" s="254"/>
      <c r="T105" s="254"/>
      <c r="U105" s="254"/>
      <c r="V105" s="254"/>
      <c r="W105" s="254"/>
      <c r="X105" s="254"/>
      <c r="Y105" s="254"/>
    </row>
    <row r="106" spans="1:25" s="41" customFormat="1" ht="20" x14ac:dyDescent="0.2">
      <c r="A106" s="58"/>
      <c r="B106" s="151" t="s">
        <v>1617</v>
      </c>
      <c r="C106" s="51" t="s">
        <v>3189</v>
      </c>
      <c r="D106" s="33" t="s">
        <v>106</v>
      </c>
      <c r="E106" s="33"/>
      <c r="F106" s="33"/>
      <c r="G106" s="33" t="s">
        <v>2876</v>
      </c>
      <c r="H106" s="237" t="s">
        <v>1555</v>
      </c>
      <c r="I106" s="290">
        <v>60</v>
      </c>
      <c r="J106" s="290">
        <v>25</v>
      </c>
      <c r="K106" s="1">
        <v>8.82</v>
      </c>
      <c r="L106" s="1">
        <v>11.17</v>
      </c>
      <c r="M106" s="131">
        <v>0.9</v>
      </c>
      <c r="N106" s="1">
        <f t="shared" si="7"/>
        <v>7.9380000000000006</v>
      </c>
      <c r="O106" s="1">
        <f t="shared" si="8"/>
        <v>10.053000000000001</v>
      </c>
      <c r="P106" s="19"/>
      <c r="Q106" s="19"/>
      <c r="R106" s="99">
        <v>103</v>
      </c>
      <c r="S106" s="254"/>
      <c r="T106" s="254"/>
      <c r="U106" s="254"/>
      <c r="V106" s="254"/>
      <c r="W106" s="254"/>
      <c r="X106" s="254"/>
      <c r="Y106" s="254"/>
    </row>
    <row r="107" spans="1:25" s="41" customFormat="1" ht="20" x14ac:dyDescent="0.2">
      <c r="A107" s="58"/>
      <c r="B107" s="151" t="s">
        <v>1617</v>
      </c>
      <c r="C107" s="51" t="s">
        <v>3189</v>
      </c>
      <c r="D107" s="33" t="s">
        <v>106</v>
      </c>
      <c r="E107" s="33"/>
      <c r="F107" s="33"/>
      <c r="G107" s="33" t="s">
        <v>2876</v>
      </c>
      <c r="H107" s="237" t="s">
        <v>1556</v>
      </c>
      <c r="I107" s="290">
        <v>60</v>
      </c>
      <c r="J107" s="290">
        <v>25</v>
      </c>
      <c r="K107" s="1">
        <v>26.25</v>
      </c>
      <c r="L107" s="1">
        <v>33.25</v>
      </c>
      <c r="M107" s="131">
        <v>0.9</v>
      </c>
      <c r="N107" s="1">
        <f t="shared" si="7"/>
        <v>23.625</v>
      </c>
      <c r="O107" s="1">
        <f t="shared" si="8"/>
        <v>29.925000000000001</v>
      </c>
      <c r="P107" s="19"/>
      <c r="Q107" s="19"/>
      <c r="R107" s="99">
        <v>104</v>
      </c>
      <c r="S107" s="254"/>
      <c r="T107" s="254"/>
      <c r="U107" s="254"/>
      <c r="V107" s="254"/>
      <c r="W107" s="254"/>
      <c r="X107" s="254"/>
      <c r="Y107" s="254"/>
    </row>
    <row r="108" spans="1:25" s="41" customFormat="1" ht="20" x14ac:dyDescent="0.2">
      <c r="A108" s="58"/>
      <c r="B108" s="151" t="s">
        <v>1618</v>
      </c>
      <c r="C108" s="51" t="s">
        <v>3388</v>
      </c>
      <c r="D108" s="33" t="s">
        <v>106</v>
      </c>
      <c r="E108" s="33"/>
      <c r="F108" s="33"/>
      <c r="G108" s="33" t="s">
        <v>2876</v>
      </c>
      <c r="H108" s="237" t="s">
        <v>1545</v>
      </c>
      <c r="I108" s="2">
        <v>66</v>
      </c>
      <c r="J108" s="2">
        <v>25</v>
      </c>
      <c r="K108" s="1">
        <v>5.6</v>
      </c>
      <c r="L108" s="1">
        <v>6.7</v>
      </c>
      <c r="M108" s="131">
        <v>0.9</v>
      </c>
      <c r="N108" s="1">
        <f t="shared" si="7"/>
        <v>5.04</v>
      </c>
      <c r="O108" s="1">
        <f t="shared" si="8"/>
        <v>6.03</v>
      </c>
      <c r="P108" s="19"/>
      <c r="Q108" s="19"/>
      <c r="R108" s="99">
        <v>105</v>
      </c>
      <c r="S108" s="254"/>
      <c r="T108" s="254"/>
      <c r="U108" s="254"/>
      <c r="V108" s="254"/>
      <c r="W108" s="254"/>
      <c r="X108" s="254"/>
      <c r="Y108" s="254"/>
    </row>
    <row r="109" spans="1:25" s="41" customFormat="1" ht="20" x14ac:dyDescent="0.2">
      <c r="A109" s="58"/>
      <c r="B109" s="151" t="s">
        <v>1619</v>
      </c>
      <c r="C109" s="51" t="s">
        <v>3437</v>
      </c>
      <c r="D109" s="33" t="s">
        <v>106</v>
      </c>
      <c r="E109" s="33"/>
      <c r="F109" s="33"/>
      <c r="G109" s="33" t="s">
        <v>2876</v>
      </c>
      <c r="H109" s="237" t="s">
        <v>1545</v>
      </c>
      <c r="I109" s="2">
        <v>138</v>
      </c>
      <c r="J109" s="2">
        <v>25</v>
      </c>
      <c r="K109" s="1">
        <v>78.75</v>
      </c>
      <c r="L109" s="1">
        <v>100</v>
      </c>
      <c r="M109" s="131">
        <v>0.9</v>
      </c>
      <c r="N109" s="1">
        <f t="shared" si="7"/>
        <v>70.875</v>
      </c>
      <c r="O109" s="1">
        <f t="shared" si="8"/>
        <v>90</v>
      </c>
      <c r="P109" s="19"/>
      <c r="Q109" s="19"/>
      <c r="R109" s="99">
        <v>106</v>
      </c>
      <c r="S109" s="254"/>
      <c r="T109" s="254"/>
      <c r="U109" s="254"/>
      <c r="V109" s="254"/>
      <c r="W109" s="254"/>
      <c r="X109" s="254"/>
      <c r="Y109" s="254"/>
    </row>
    <row r="110" spans="1:25" s="41" customFormat="1" ht="20" x14ac:dyDescent="0.2">
      <c r="A110" s="58"/>
      <c r="B110" s="151" t="s">
        <v>1619</v>
      </c>
      <c r="C110" s="51" t="s">
        <v>3437</v>
      </c>
      <c r="D110" s="33" t="s">
        <v>106</v>
      </c>
      <c r="E110" s="33"/>
      <c r="F110" s="33"/>
      <c r="G110" s="33" t="s">
        <v>2876</v>
      </c>
      <c r="H110" s="237" t="s">
        <v>1549</v>
      </c>
      <c r="I110" s="2">
        <v>138</v>
      </c>
      <c r="J110" s="2">
        <v>25</v>
      </c>
      <c r="K110" s="1">
        <v>78.75</v>
      </c>
      <c r="L110" s="1">
        <v>100</v>
      </c>
      <c r="M110" s="131">
        <v>0.9</v>
      </c>
      <c r="N110" s="1">
        <f t="shared" si="7"/>
        <v>70.875</v>
      </c>
      <c r="O110" s="1">
        <f t="shared" si="8"/>
        <v>90</v>
      </c>
      <c r="P110" s="19"/>
      <c r="Q110" s="19"/>
      <c r="R110" s="99">
        <v>107</v>
      </c>
      <c r="S110" s="254"/>
      <c r="T110" s="254"/>
      <c r="U110" s="254"/>
      <c r="V110" s="254"/>
      <c r="W110" s="254"/>
      <c r="X110" s="254"/>
      <c r="Y110" s="254"/>
    </row>
    <row r="111" spans="1:25" ht="20" x14ac:dyDescent="0.2">
      <c r="A111" s="58"/>
      <c r="B111" s="151" t="s">
        <v>1619</v>
      </c>
      <c r="C111" s="51" t="s">
        <v>3437</v>
      </c>
      <c r="D111" s="33" t="s">
        <v>106</v>
      </c>
      <c r="E111" s="33"/>
      <c r="F111" s="33"/>
      <c r="G111" s="33" t="s">
        <v>2876</v>
      </c>
      <c r="H111" s="237" t="s">
        <v>1550</v>
      </c>
      <c r="I111" s="2">
        <v>138</v>
      </c>
      <c r="J111" s="2">
        <v>25</v>
      </c>
      <c r="K111" s="1">
        <v>78.75</v>
      </c>
      <c r="L111" s="1">
        <v>100</v>
      </c>
      <c r="M111" s="131">
        <v>0.9</v>
      </c>
      <c r="N111" s="1">
        <f t="shared" si="7"/>
        <v>70.875</v>
      </c>
      <c r="O111" s="1">
        <f t="shared" si="8"/>
        <v>90</v>
      </c>
      <c r="P111" s="19"/>
      <c r="Q111" s="19"/>
      <c r="R111" s="99">
        <v>108</v>
      </c>
    </row>
    <row r="112" spans="1:25" ht="20" x14ac:dyDescent="0.2">
      <c r="A112" s="58"/>
      <c r="B112" s="151" t="s">
        <v>1620</v>
      </c>
      <c r="C112" s="51" t="s">
        <v>3627</v>
      </c>
      <c r="D112" s="33" t="s">
        <v>106</v>
      </c>
      <c r="E112" s="33"/>
      <c r="F112" s="33"/>
      <c r="G112" s="33" t="s">
        <v>2876</v>
      </c>
      <c r="H112" s="33"/>
      <c r="I112" s="99"/>
      <c r="J112" s="99"/>
      <c r="K112" s="69"/>
      <c r="L112" s="69"/>
      <c r="M112" s="69"/>
      <c r="N112" s="69"/>
      <c r="O112" s="69"/>
      <c r="P112" s="19"/>
      <c r="Q112" s="19"/>
      <c r="R112" s="99">
        <v>109</v>
      </c>
    </row>
    <row r="113" spans="1:18" ht="20" x14ac:dyDescent="0.2">
      <c r="A113" s="58"/>
      <c r="B113" s="151" t="s">
        <v>1621</v>
      </c>
      <c r="C113" s="51" t="s">
        <v>3389</v>
      </c>
      <c r="D113" s="33" t="s">
        <v>106</v>
      </c>
      <c r="E113" s="33"/>
      <c r="F113" s="33"/>
      <c r="G113" s="33" t="s">
        <v>2876</v>
      </c>
      <c r="H113" s="237" t="s">
        <v>1545</v>
      </c>
      <c r="I113" s="2">
        <v>60</v>
      </c>
      <c r="J113" s="2">
        <v>25</v>
      </c>
      <c r="K113" s="1">
        <v>13.1</v>
      </c>
      <c r="L113" s="1">
        <v>16</v>
      </c>
      <c r="M113" s="131">
        <v>0.9</v>
      </c>
      <c r="N113" s="1">
        <f>K113*$M113</f>
        <v>11.79</v>
      </c>
      <c r="O113" s="1">
        <f>L113*$M113</f>
        <v>14.4</v>
      </c>
      <c r="P113" s="19"/>
      <c r="Q113" s="19"/>
      <c r="R113" s="99">
        <v>110</v>
      </c>
    </row>
    <row r="114" spans="1:18" ht="20" x14ac:dyDescent="0.2">
      <c r="A114" s="58"/>
      <c r="B114" s="151" t="s">
        <v>1622</v>
      </c>
      <c r="C114" s="51" t="s">
        <v>3390</v>
      </c>
      <c r="D114" s="33" t="s">
        <v>106</v>
      </c>
      <c r="E114" s="33"/>
      <c r="F114" s="33"/>
      <c r="G114" s="33" t="s">
        <v>2876</v>
      </c>
      <c r="H114" s="237" t="s">
        <v>1545</v>
      </c>
      <c r="I114" s="2">
        <v>138</v>
      </c>
      <c r="J114" s="2">
        <v>25</v>
      </c>
      <c r="K114" s="1">
        <v>28</v>
      </c>
      <c r="L114" s="1">
        <v>30</v>
      </c>
      <c r="M114" s="131">
        <v>0.9</v>
      </c>
      <c r="N114" s="1">
        <f>K114*$M114</f>
        <v>25.2</v>
      </c>
      <c r="O114" s="1">
        <f>L114*$M114</f>
        <v>27</v>
      </c>
      <c r="P114" s="19"/>
      <c r="Q114" s="19"/>
      <c r="R114" s="99">
        <v>111</v>
      </c>
    </row>
    <row r="115" spans="1:18" ht="20" x14ac:dyDescent="0.2">
      <c r="A115" s="58"/>
      <c r="B115" s="151" t="s">
        <v>1623</v>
      </c>
      <c r="C115" s="51" t="s">
        <v>3629</v>
      </c>
      <c r="D115" s="33" t="s">
        <v>106</v>
      </c>
      <c r="E115" s="33"/>
      <c r="F115" s="33"/>
      <c r="G115" s="33" t="s">
        <v>2876</v>
      </c>
      <c r="H115" s="33"/>
      <c r="I115" s="99"/>
      <c r="J115" s="99"/>
      <c r="K115" s="69"/>
      <c r="L115" s="69"/>
      <c r="M115" s="69"/>
      <c r="N115" s="69"/>
      <c r="O115" s="69"/>
      <c r="P115" s="19"/>
      <c r="Q115" s="19"/>
      <c r="R115" s="99">
        <v>112</v>
      </c>
    </row>
    <row r="116" spans="1:18" ht="20" x14ac:dyDescent="0.2">
      <c r="A116" s="58"/>
      <c r="B116" s="151" t="s">
        <v>1624</v>
      </c>
      <c r="C116" s="51" t="s">
        <v>3391</v>
      </c>
      <c r="D116" s="33" t="s">
        <v>106</v>
      </c>
      <c r="E116" s="33"/>
      <c r="F116" s="33"/>
      <c r="G116" s="33" t="s">
        <v>2876</v>
      </c>
      <c r="H116" s="33"/>
      <c r="I116" s="99"/>
      <c r="J116" s="99"/>
      <c r="K116" s="69"/>
      <c r="L116" s="69"/>
      <c r="M116" s="69"/>
      <c r="N116" s="69"/>
      <c r="O116" s="69"/>
      <c r="P116" s="19"/>
      <c r="Q116" s="19"/>
      <c r="R116" s="99">
        <v>113</v>
      </c>
    </row>
    <row r="117" spans="1:18" ht="20" x14ac:dyDescent="0.2">
      <c r="A117" s="58"/>
      <c r="B117" s="151" t="s">
        <v>1625</v>
      </c>
      <c r="C117" s="51" t="s">
        <v>3721</v>
      </c>
      <c r="D117" s="33" t="s">
        <v>106</v>
      </c>
      <c r="E117" s="33">
        <v>49.933701999999997</v>
      </c>
      <c r="F117" s="33">
        <v>-123.2909846</v>
      </c>
      <c r="G117" s="33" t="s">
        <v>2876</v>
      </c>
      <c r="H117" s="237" t="s">
        <v>1550</v>
      </c>
      <c r="I117" s="290">
        <v>230</v>
      </c>
      <c r="J117" s="290">
        <v>25</v>
      </c>
      <c r="K117" s="1">
        <v>4.5</v>
      </c>
      <c r="L117" s="1">
        <v>5.4</v>
      </c>
      <c r="M117" s="131">
        <v>0.9</v>
      </c>
      <c r="N117" s="1">
        <f t="shared" ref="N117:O119" si="9">K117*$M117</f>
        <v>4.05</v>
      </c>
      <c r="O117" s="1">
        <f t="shared" si="9"/>
        <v>4.8600000000000003</v>
      </c>
      <c r="P117" s="19"/>
      <c r="Q117" s="19"/>
      <c r="R117" s="99">
        <v>114</v>
      </c>
    </row>
    <row r="118" spans="1:18" ht="20" x14ac:dyDescent="0.2">
      <c r="A118" s="58"/>
      <c r="B118" s="151" t="s">
        <v>1626</v>
      </c>
      <c r="C118" s="51" t="s">
        <v>3392</v>
      </c>
      <c r="D118" s="33" t="s">
        <v>106</v>
      </c>
      <c r="E118" s="33"/>
      <c r="F118" s="33"/>
      <c r="G118" s="33" t="s">
        <v>2876</v>
      </c>
      <c r="H118" s="237" t="s">
        <v>1545</v>
      </c>
      <c r="I118" s="2">
        <v>138</v>
      </c>
      <c r="J118" s="2">
        <v>25</v>
      </c>
      <c r="K118" s="1">
        <v>78.8</v>
      </c>
      <c r="L118" s="1">
        <v>93.9</v>
      </c>
      <c r="M118" s="131">
        <v>0.9</v>
      </c>
      <c r="N118" s="1">
        <f t="shared" si="9"/>
        <v>70.92</v>
      </c>
      <c r="O118" s="1">
        <f t="shared" si="9"/>
        <v>84.51</v>
      </c>
      <c r="P118" s="19"/>
      <c r="Q118" s="19"/>
      <c r="R118" s="99">
        <v>115</v>
      </c>
    </row>
    <row r="119" spans="1:18" ht="20" x14ac:dyDescent="0.2">
      <c r="A119" s="58"/>
      <c r="B119" s="151" t="s">
        <v>1626</v>
      </c>
      <c r="C119" s="51" t="s">
        <v>3392</v>
      </c>
      <c r="D119" s="33" t="s">
        <v>106</v>
      </c>
      <c r="E119" s="33"/>
      <c r="F119" s="33"/>
      <c r="G119" s="33" t="s">
        <v>2876</v>
      </c>
      <c r="H119" s="237" t="s">
        <v>1549</v>
      </c>
      <c r="I119" s="2">
        <v>138</v>
      </c>
      <c r="J119" s="2">
        <v>25</v>
      </c>
      <c r="K119" s="1">
        <v>78.8</v>
      </c>
      <c r="L119" s="1">
        <v>93.9</v>
      </c>
      <c r="M119" s="131">
        <v>0.9</v>
      </c>
      <c r="N119" s="1">
        <f t="shared" si="9"/>
        <v>70.92</v>
      </c>
      <c r="O119" s="1">
        <f t="shared" si="9"/>
        <v>84.51</v>
      </c>
      <c r="P119" s="19"/>
      <c r="Q119" s="19"/>
      <c r="R119" s="99">
        <v>116</v>
      </c>
    </row>
    <row r="120" spans="1:18" ht="20" x14ac:dyDescent="0.2">
      <c r="A120" s="58"/>
      <c r="B120" s="151" t="s">
        <v>1627</v>
      </c>
      <c r="C120" s="51" t="s">
        <v>3619</v>
      </c>
      <c r="D120" s="33" t="s">
        <v>106</v>
      </c>
      <c r="E120" s="33"/>
      <c r="F120" s="33"/>
      <c r="G120" s="33" t="s">
        <v>2876</v>
      </c>
      <c r="H120" s="33"/>
      <c r="I120" s="99"/>
      <c r="J120" s="99"/>
      <c r="K120" s="69"/>
      <c r="L120" s="69"/>
      <c r="M120" s="69"/>
      <c r="N120" s="69"/>
      <c r="O120" s="69"/>
      <c r="P120" s="19"/>
      <c r="Q120" s="19"/>
      <c r="R120" s="99">
        <v>117</v>
      </c>
    </row>
    <row r="121" spans="1:18" ht="20" x14ac:dyDescent="0.2">
      <c r="A121" s="58"/>
      <c r="B121" s="151" t="s">
        <v>1628</v>
      </c>
      <c r="C121" s="51" t="s">
        <v>3107</v>
      </c>
      <c r="D121" s="33" t="s">
        <v>106</v>
      </c>
      <c r="E121" s="33">
        <v>49.1769186</v>
      </c>
      <c r="F121" s="33">
        <v>-125.39557240000001</v>
      </c>
      <c r="G121" s="33" t="s">
        <v>2876</v>
      </c>
      <c r="H121" s="33"/>
      <c r="I121" s="99"/>
      <c r="J121" s="99"/>
      <c r="K121" s="69"/>
      <c r="L121" s="69"/>
      <c r="M121" s="69"/>
      <c r="N121" s="69"/>
      <c r="O121" s="69"/>
      <c r="P121" s="19"/>
      <c r="Q121" s="19"/>
      <c r="R121" s="99">
        <v>118</v>
      </c>
    </row>
    <row r="122" spans="1:18" ht="20" x14ac:dyDescent="0.2">
      <c r="A122" s="58"/>
      <c r="B122" s="151" t="s">
        <v>1629</v>
      </c>
      <c r="C122" s="51" t="s">
        <v>3395</v>
      </c>
      <c r="D122" s="33" t="s">
        <v>106</v>
      </c>
      <c r="E122" s="33"/>
      <c r="F122" s="33"/>
      <c r="G122" s="33" t="s">
        <v>2876</v>
      </c>
      <c r="H122" s="237" t="s">
        <v>1545</v>
      </c>
      <c r="I122" s="2">
        <v>60</v>
      </c>
      <c r="J122" s="2">
        <v>12</v>
      </c>
      <c r="K122" s="1">
        <v>3.8</v>
      </c>
      <c r="L122" s="1">
        <v>4.5</v>
      </c>
      <c r="M122" s="131">
        <v>0.9</v>
      </c>
      <c r="N122" s="1">
        <f t="shared" ref="N122:O126" si="10">K122*$M122</f>
        <v>3.42</v>
      </c>
      <c r="O122" s="1">
        <f t="shared" si="10"/>
        <v>4.05</v>
      </c>
      <c r="P122" s="19"/>
      <c r="Q122" s="19"/>
      <c r="R122" s="99">
        <v>119</v>
      </c>
    </row>
    <row r="123" spans="1:18" ht="20" x14ac:dyDescent="0.2">
      <c r="A123" s="58"/>
      <c r="B123" s="151" t="s">
        <v>1630</v>
      </c>
      <c r="C123" s="51" t="s">
        <v>3235</v>
      </c>
      <c r="D123" s="33" t="s">
        <v>106</v>
      </c>
      <c r="E123" s="33"/>
      <c r="F123" s="33"/>
      <c r="G123" s="33" t="s">
        <v>2876</v>
      </c>
      <c r="H123" s="237" t="s">
        <v>1545</v>
      </c>
      <c r="I123" s="2">
        <v>230</v>
      </c>
      <c r="J123" s="2">
        <v>25</v>
      </c>
      <c r="K123" s="1">
        <v>158</v>
      </c>
      <c r="L123" s="1">
        <v>200</v>
      </c>
      <c r="M123" s="131">
        <v>0.9</v>
      </c>
      <c r="N123" s="1">
        <f t="shared" si="10"/>
        <v>142.20000000000002</v>
      </c>
      <c r="O123" s="1">
        <f t="shared" si="10"/>
        <v>180</v>
      </c>
      <c r="P123" s="19"/>
      <c r="Q123" s="19"/>
      <c r="R123" s="99">
        <v>120</v>
      </c>
    </row>
    <row r="124" spans="1:18" ht="20" x14ac:dyDescent="0.2">
      <c r="A124" s="58"/>
      <c r="B124" s="151" t="s">
        <v>1630</v>
      </c>
      <c r="C124" s="51" t="s">
        <v>3235</v>
      </c>
      <c r="D124" s="33" t="s">
        <v>106</v>
      </c>
      <c r="E124" s="33"/>
      <c r="F124" s="33"/>
      <c r="G124" s="33" t="s">
        <v>2876</v>
      </c>
      <c r="H124" s="237" t="s">
        <v>1550</v>
      </c>
      <c r="I124" s="2">
        <v>230</v>
      </c>
      <c r="J124" s="2">
        <v>25</v>
      </c>
      <c r="K124" s="1">
        <v>158</v>
      </c>
      <c r="L124" s="1">
        <v>200</v>
      </c>
      <c r="M124" s="131">
        <v>0.9</v>
      </c>
      <c r="N124" s="1">
        <f t="shared" si="10"/>
        <v>142.20000000000002</v>
      </c>
      <c r="O124" s="1">
        <f t="shared" si="10"/>
        <v>180</v>
      </c>
      <c r="P124" s="19"/>
      <c r="Q124" s="19"/>
      <c r="R124" s="99">
        <v>121</v>
      </c>
    </row>
    <row r="125" spans="1:18" ht="20" x14ac:dyDescent="0.2">
      <c r="A125" s="58"/>
      <c r="B125" s="151" t="s">
        <v>1630</v>
      </c>
      <c r="C125" s="51" t="s">
        <v>3235</v>
      </c>
      <c r="D125" s="33" t="s">
        <v>106</v>
      </c>
      <c r="E125" s="33"/>
      <c r="F125" s="33"/>
      <c r="G125" s="33" t="s">
        <v>2876</v>
      </c>
      <c r="H125" s="237" t="s">
        <v>1546</v>
      </c>
      <c r="I125" s="2">
        <v>230</v>
      </c>
      <c r="J125" s="2">
        <v>25</v>
      </c>
      <c r="K125" s="1">
        <v>88</v>
      </c>
      <c r="L125" s="1">
        <v>112</v>
      </c>
      <c r="M125" s="131">
        <v>0.9</v>
      </c>
      <c r="N125" s="1">
        <f t="shared" si="10"/>
        <v>79.2</v>
      </c>
      <c r="O125" s="1">
        <f t="shared" si="10"/>
        <v>100.8</v>
      </c>
      <c r="P125" s="19"/>
      <c r="Q125" s="19"/>
      <c r="R125" s="99">
        <v>122</v>
      </c>
    </row>
    <row r="126" spans="1:18" ht="20" x14ac:dyDescent="0.2">
      <c r="A126" s="58"/>
      <c r="B126" s="151" t="s">
        <v>1630</v>
      </c>
      <c r="C126" s="51" t="s">
        <v>3235</v>
      </c>
      <c r="D126" s="33" t="s">
        <v>106</v>
      </c>
      <c r="E126" s="33"/>
      <c r="F126" s="33"/>
      <c r="G126" s="33" t="s">
        <v>2876</v>
      </c>
      <c r="H126" s="237" t="s">
        <v>1547</v>
      </c>
      <c r="I126" s="2">
        <v>230</v>
      </c>
      <c r="J126" s="2">
        <v>25</v>
      </c>
      <c r="K126" s="1">
        <v>88</v>
      </c>
      <c r="L126" s="1">
        <v>112</v>
      </c>
      <c r="M126" s="131">
        <v>0.9</v>
      </c>
      <c r="N126" s="1">
        <f t="shared" si="10"/>
        <v>79.2</v>
      </c>
      <c r="O126" s="1">
        <f t="shared" si="10"/>
        <v>100.8</v>
      </c>
      <c r="P126" s="19"/>
      <c r="Q126" s="19"/>
      <c r="R126" s="99">
        <v>123</v>
      </c>
    </row>
    <row r="127" spans="1:18" ht="20" x14ac:dyDescent="0.2">
      <c r="A127" s="58"/>
      <c r="B127" s="151" t="s">
        <v>2301</v>
      </c>
      <c r="C127" s="51" t="s">
        <v>3108</v>
      </c>
      <c r="D127" s="33" t="s">
        <v>106</v>
      </c>
      <c r="E127" s="33">
        <v>49.710933300000001</v>
      </c>
      <c r="F127" s="33">
        <v>-123.5321081</v>
      </c>
      <c r="G127" s="33" t="s">
        <v>2876</v>
      </c>
      <c r="H127" s="33"/>
      <c r="I127" s="99"/>
      <c r="J127" s="99"/>
      <c r="K127" s="69"/>
      <c r="L127" s="69"/>
      <c r="M127" s="69"/>
      <c r="N127" s="69"/>
      <c r="O127" s="69"/>
      <c r="P127" s="19"/>
      <c r="Q127" s="19"/>
      <c r="R127" s="99">
        <v>124</v>
      </c>
    </row>
    <row r="128" spans="1:18" ht="20" x14ac:dyDescent="0.2">
      <c r="A128" s="58"/>
      <c r="B128" s="151" t="s">
        <v>1631</v>
      </c>
      <c r="C128" s="51" t="s">
        <v>3397</v>
      </c>
      <c r="D128" s="33" t="s">
        <v>106</v>
      </c>
      <c r="E128" s="33"/>
      <c r="F128" s="33"/>
      <c r="G128" s="33" t="s">
        <v>2876</v>
      </c>
      <c r="H128" s="33"/>
      <c r="I128" s="99"/>
      <c r="J128" s="99"/>
      <c r="K128" s="69"/>
      <c r="L128" s="69"/>
      <c r="M128" s="69"/>
      <c r="N128" s="69"/>
      <c r="O128" s="69"/>
      <c r="P128" s="19"/>
      <c r="Q128" s="19"/>
      <c r="R128" s="99">
        <v>125</v>
      </c>
    </row>
    <row r="129" spans="1:18" ht="20" x14ac:dyDescent="0.2">
      <c r="A129" s="58"/>
      <c r="B129" s="151" t="s">
        <v>1632</v>
      </c>
      <c r="C129" s="51" t="s">
        <v>3398</v>
      </c>
      <c r="D129" s="33" t="s">
        <v>106</v>
      </c>
      <c r="E129" s="33"/>
      <c r="F129" s="33"/>
      <c r="G129" s="33" t="s">
        <v>2876</v>
      </c>
      <c r="H129" s="33"/>
      <c r="I129" s="99"/>
      <c r="J129" s="99"/>
      <c r="K129" s="69"/>
      <c r="L129" s="69"/>
      <c r="M129" s="69"/>
      <c r="N129" s="69"/>
      <c r="O129" s="69"/>
      <c r="P129" s="19"/>
      <c r="Q129" s="19"/>
      <c r="R129" s="99">
        <v>126</v>
      </c>
    </row>
    <row r="130" spans="1:18" ht="20" x14ac:dyDescent="0.2">
      <c r="A130" s="58"/>
      <c r="B130" s="151" t="s">
        <v>1633</v>
      </c>
      <c r="C130" s="51" t="s">
        <v>3400</v>
      </c>
      <c r="D130" s="33" t="s">
        <v>106</v>
      </c>
      <c r="E130" s="33"/>
      <c r="F130" s="33"/>
      <c r="G130" s="33" t="s">
        <v>2876</v>
      </c>
      <c r="H130" s="237" t="s">
        <v>1545</v>
      </c>
      <c r="I130" s="2">
        <v>60</v>
      </c>
      <c r="J130" s="2">
        <v>12</v>
      </c>
      <c r="K130" s="1">
        <v>44</v>
      </c>
      <c r="L130" s="1">
        <v>44</v>
      </c>
      <c r="M130" s="131">
        <v>0.9</v>
      </c>
      <c r="N130" s="1">
        <f>K130*$M130</f>
        <v>39.6</v>
      </c>
      <c r="O130" s="1">
        <f>L130*$M130</f>
        <v>39.6</v>
      </c>
      <c r="P130" s="19"/>
      <c r="Q130" s="19"/>
      <c r="R130" s="99">
        <v>127</v>
      </c>
    </row>
    <row r="131" spans="1:18" ht="20" x14ac:dyDescent="0.2">
      <c r="A131" s="58"/>
      <c r="B131" s="151" t="s">
        <v>1633</v>
      </c>
      <c r="C131" s="51" t="s">
        <v>3400</v>
      </c>
      <c r="D131" s="33" t="s">
        <v>106</v>
      </c>
      <c r="E131" s="33"/>
      <c r="F131" s="33"/>
      <c r="G131" s="33" t="s">
        <v>2876</v>
      </c>
      <c r="H131" s="237" t="s">
        <v>1550</v>
      </c>
      <c r="I131" s="2">
        <v>60</v>
      </c>
      <c r="J131" s="2">
        <v>12</v>
      </c>
      <c r="K131" s="1">
        <v>44</v>
      </c>
      <c r="L131" s="1">
        <v>44</v>
      </c>
      <c r="M131" s="131">
        <v>0.9</v>
      </c>
      <c r="N131" s="1">
        <f>K131*$M131</f>
        <v>39.6</v>
      </c>
      <c r="O131" s="1">
        <f>L131*$M131</f>
        <v>39.6</v>
      </c>
      <c r="P131" s="19"/>
      <c r="Q131" s="19"/>
      <c r="R131" s="99">
        <v>128</v>
      </c>
    </row>
    <row r="132" spans="1:18" ht="20" x14ac:dyDescent="0.2">
      <c r="A132" s="58"/>
      <c r="B132" s="151" t="s">
        <v>1634</v>
      </c>
      <c r="C132" s="51" t="s">
        <v>3401</v>
      </c>
      <c r="D132" s="33" t="s">
        <v>106</v>
      </c>
      <c r="E132" s="33"/>
      <c r="F132" s="33"/>
      <c r="G132" s="33" t="s">
        <v>2876</v>
      </c>
      <c r="H132" s="33"/>
      <c r="I132" s="99"/>
      <c r="J132" s="99"/>
      <c r="K132" s="69"/>
      <c r="L132" s="69"/>
      <c r="M132" s="69"/>
      <c r="N132" s="69"/>
      <c r="O132" s="69"/>
      <c r="P132" s="19"/>
      <c r="Q132" s="19"/>
      <c r="R132" s="99">
        <v>129</v>
      </c>
    </row>
    <row r="133" spans="1:18" ht="20" x14ac:dyDescent="0.2">
      <c r="A133" s="58"/>
      <c r="B133" s="151" t="s">
        <v>1635</v>
      </c>
      <c r="C133" s="51" t="s">
        <v>3238</v>
      </c>
      <c r="D133" s="33" t="s">
        <v>106</v>
      </c>
      <c r="E133" s="33"/>
      <c r="F133" s="33"/>
      <c r="G133" s="33" t="s">
        <v>2876</v>
      </c>
      <c r="H133" s="33"/>
      <c r="I133" s="99"/>
      <c r="J133" s="99"/>
      <c r="K133" s="69"/>
      <c r="L133" s="69"/>
      <c r="M133" s="69"/>
      <c r="N133" s="69"/>
      <c r="O133" s="69"/>
      <c r="P133" s="19"/>
      <c r="Q133" s="19"/>
      <c r="R133" s="99">
        <v>130</v>
      </c>
    </row>
    <row r="134" spans="1:18" ht="20" x14ac:dyDescent="0.2">
      <c r="A134" s="58"/>
      <c r="B134" s="151" t="s">
        <v>1636</v>
      </c>
      <c r="C134" s="51" t="s">
        <v>3239</v>
      </c>
      <c r="D134" s="33" t="s">
        <v>106</v>
      </c>
      <c r="E134" s="33"/>
      <c r="F134" s="33"/>
      <c r="G134" s="33" t="s">
        <v>2876</v>
      </c>
      <c r="H134" s="33"/>
      <c r="I134" s="99"/>
      <c r="J134" s="99"/>
      <c r="K134" s="69"/>
      <c r="L134" s="69"/>
      <c r="M134" s="69"/>
      <c r="N134" s="69"/>
      <c r="O134" s="69"/>
      <c r="P134" s="19"/>
      <c r="Q134" s="19"/>
      <c r="R134" s="99">
        <v>131</v>
      </c>
    </row>
    <row r="135" spans="1:18" ht="20" x14ac:dyDescent="0.2">
      <c r="A135" s="58"/>
      <c r="B135" s="151" t="s">
        <v>1637</v>
      </c>
      <c r="C135" s="51" t="s">
        <v>3207</v>
      </c>
      <c r="D135" s="33" t="s">
        <v>106</v>
      </c>
      <c r="E135" s="33">
        <v>49.528363800000001</v>
      </c>
      <c r="F135" s="33">
        <v>-115.7577758</v>
      </c>
      <c r="G135" s="33" t="s">
        <v>2876</v>
      </c>
      <c r="H135" s="33"/>
      <c r="I135" s="99"/>
      <c r="J135" s="99"/>
      <c r="K135" s="69"/>
      <c r="L135" s="69"/>
      <c r="M135" s="69"/>
      <c r="N135" s="69"/>
      <c r="O135" s="69"/>
      <c r="P135" s="19"/>
      <c r="Q135" s="19"/>
      <c r="R135" s="99">
        <v>132</v>
      </c>
    </row>
    <row r="136" spans="1:18" ht="20" x14ac:dyDescent="0.2">
      <c r="A136" s="58"/>
      <c r="B136" s="151" t="s">
        <v>2342</v>
      </c>
      <c r="C136" s="51" t="s">
        <v>3111</v>
      </c>
      <c r="D136" s="33" t="s">
        <v>106</v>
      </c>
      <c r="E136" s="33"/>
      <c r="F136" s="33"/>
      <c r="G136" s="33" t="s">
        <v>2876</v>
      </c>
      <c r="H136" s="33"/>
      <c r="I136" s="99"/>
      <c r="J136" s="99"/>
      <c r="K136" s="69"/>
      <c r="L136" s="69"/>
      <c r="M136" s="69"/>
      <c r="N136" s="69"/>
      <c r="O136" s="69"/>
      <c r="P136" s="19"/>
      <c r="Q136" s="19"/>
      <c r="R136" s="99">
        <v>133</v>
      </c>
    </row>
    <row r="137" spans="1:18" ht="20" x14ac:dyDescent="0.2">
      <c r="A137" s="58"/>
      <c r="B137" s="151" t="s">
        <v>1638</v>
      </c>
      <c r="C137" s="51" t="s">
        <v>3211</v>
      </c>
      <c r="D137" s="33" t="s">
        <v>106</v>
      </c>
      <c r="E137" s="33"/>
      <c r="F137" s="33"/>
      <c r="G137" s="33" t="s">
        <v>2876</v>
      </c>
      <c r="H137" s="237" t="s">
        <v>1549</v>
      </c>
      <c r="I137" s="2">
        <v>230</v>
      </c>
      <c r="J137" s="2">
        <v>12</v>
      </c>
      <c r="K137" s="1">
        <v>79</v>
      </c>
      <c r="L137" s="1">
        <v>100</v>
      </c>
      <c r="M137" s="131">
        <v>0.9</v>
      </c>
      <c r="N137" s="1">
        <f t="shared" ref="N137:O141" si="11">K137*$M137</f>
        <v>71.100000000000009</v>
      </c>
      <c r="O137" s="1">
        <f t="shared" si="11"/>
        <v>90</v>
      </c>
      <c r="P137" s="19"/>
      <c r="Q137" s="19"/>
      <c r="R137" s="99">
        <v>134</v>
      </c>
    </row>
    <row r="138" spans="1:18" ht="20" x14ac:dyDescent="0.2">
      <c r="A138" s="58"/>
      <c r="B138" s="151" t="s">
        <v>1638</v>
      </c>
      <c r="C138" s="51" t="s">
        <v>3211</v>
      </c>
      <c r="D138" s="33" t="s">
        <v>106</v>
      </c>
      <c r="E138" s="33"/>
      <c r="F138" s="33"/>
      <c r="G138" s="33" t="s">
        <v>2876</v>
      </c>
      <c r="H138" s="237" t="s">
        <v>1550</v>
      </c>
      <c r="I138" s="2">
        <v>230</v>
      </c>
      <c r="J138" s="2">
        <v>12</v>
      </c>
      <c r="K138" s="1">
        <v>79</v>
      </c>
      <c r="L138" s="1">
        <v>100</v>
      </c>
      <c r="M138" s="131">
        <v>0.9</v>
      </c>
      <c r="N138" s="1">
        <f t="shared" si="11"/>
        <v>71.100000000000009</v>
      </c>
      <c r="O138" s="1">
        <f t="shared" si="11"/>
        <v>90</v>
      </c>
      <c r="P138" s="19"/>
      <c r="Q138" s="19"/>
      <c r="R138" s="99">
        <v>135</v>
      </c>
    </row>
    <row r="139" spans="1:18" ht="20" x14ac:dyDescent="0.2">
      <c r="A139" s="58"/>
      <c r="B139" s="151" t="s">
        <v>1639</v>
      </c>
      <c r="C139" s="51" t="s">
        <v>3240</v>
      </c>
      <c r="D139" s="33" t="s">
        <v>106</v>
      </c>
      <c r="E139" s="33"/>
      <c r="F139" s="33"/>
      <c r="G139" s="33" t="s">
        <v>2876</v>
      </c>
      <c r="H139" s="237" t="s">
        <v>1545</v>
      </c>
      <c r="I139" s="2">
        <v>230</v>
      </c>
      <c r="J139" s="2">
        <v>12</v>
      </c>
      <c r="K139" s="1">
        <v>158</v>
      </c>
      <c r="L139" s="1">
        <v>200</v>
      </c>
      <c r="M139" s="131">
        <v>0.9</v>
      </c>
      <c r="N139" s="1">
        <f t="shared" si="11"/>
        <v>142.20000000000002</v>
      </c>
      <c r="O139" s="1">
        <f t="shared" si="11"/>
        <v>180</v>
      </c>
      <c r="P139" s="19"/>
      <c r="Q139" s="19"/>
      <c r="R139" s="99">
        <v>136</v>
      </c>
    </row>
    <row r="140" spans="1:18" ht="20" x14ac:dyDescent="0.2">
      <c r="A140" s="58"/>
      <c r="B140" s="151" t="s">
        <v>1639</v>
      </c>
      <c r="C140" s="51" t="s">
        <v>3240</v>
      </c>
      <c r="D140" s="33" t="s">
        <v>106</v>
      </c>
      <c r="E140" s="33"/>
      <c r="F140" s="33"/>
      <c r="G140" s="33" t="s">
        <v>2876</v>
      </c>
      <c r="H140" s="237" t="s">
        <v>1549</v>
      </c>
      <c r="I140" s="2">
        <v>230</v>
      </c>
      <c r="J140" s="2">
        <v>12</v>
      </c>
      <c r="K140" s="1">
        <v>158</v>
      </c>
      <c r="L140" s="1">
        <v>200</v>
      </c>
      <c r="M140" s="131">
        <v>0.9</v>
      </c>
      <c r="N140" s="1">
        <f t="shared" si="11"/>
        <v>142.20000000000002</v>
      </c>
      <c r="O140" s="1">
        <f t="shared" si="11"/>
        <v>180</v>
      </c>
      <c r="P140" s="19"/>
      <c r="Q140" s="19"/>
      <c r="R140" s="99">
        <v>137</v>
      </c>
    </row>
    <row r="141" spans="1:18" ht="20" x14ac:dyDescent="0.2">
      <c r="A141" s="58"/>
      <c r="B141" s="151" t="s">
        <v>1639</v>
      </c>
      <c r="C141" s="51" t="s">
        <v>3240</v>
      </c>
      <c r="D141" s="33" t="s">
        <v>106</v>
      </c>
      <c r="E141" s="33"/>
      <c r="F141" s="33"/>
      <c r="G141" s="33" t="s">
        <v>2876</v>
      </c>
      <c r="H141" s="237" t="s">
        <v>1550</v>
      </c>
      <c r="I141" s="2">
        <v>230</v>
      </c>
      <c r="J141" s="2">
        <v>12</v>
      </c>
      <c r="K141" s="1">
        <v>158</v>
      </c>
      <c r="L141" s="1">
        <v>200</v>
      </c>
      <c r="M141" s="131">
        <v>0.9</v>
      </c>
      <c r="N141" s="1">
        <f t="shared" si="11"/>
        <v>142.20000000000002</v>
      </c>
      <c r="O141" s="1">
        <f t="shared" si="11"/>
        <v>180</v>
      </c>
      <c r="P141" s="19"/>
      <c r="Q141" s="19"/>
      <c r="R141" s="99">
        <v>138</v>
      </c>
    </row>
    <row r="142" spans="1:18" ht="20" x14ac:dyDescent="0.2">
      <c r="A142" s="58"/>
      <c r="B142" s="151" t="s">
        <v>2302</v>
      </c>
      <c r="C142" s="51" t="s">
        <v>3112</v>
      </c>
      <c r="D142" s="33" t="s">
        <v>106</v>
      </c>
      <c r="E142" s="33">
        <v>50.789020499999999</v>
      </c>
      <c r="F142" s="33">
        <v>-128.00329500000001</v>
      </c>
      <c r="G142" s="33" t="s">
        <v>2876</v>
      </c>
      <c r="H142" s="33"/>
      <c r="I142" s="236"/>
      <c r="J142" s="236"/>
      <c r="K142" s="69"/>
      <c r="L142" s="69"/>
      <c r="M142" s="69"/>
      <c r="N142" s="69"/>
      <c r="O142" s="69"/>
      <c r="P142" s="19"/>
      <c r="Q142" s="19"/>
      <c r="R142" s="99">
        <v>139</v>
      </c>
    </row>
    <row r="143" spans="1:18" ht="20" x14ac:dyDescent="0.2">
      <c r="A143" s="58"/>
      <c r="B143" s="151" t="s">
        <v>1640</v>
      </c>
      <c r="C143" s="51" t="s">
        <v>3113</v>
      </c>
      <c r="D143" s="33" t="s">
        <v>106</v>
      </c>
      <c r="E143" s="33">
        <v>49.8771816</v>
      </c>
      <c r="F143" s="33">
        <v>-123.1598934</v>
      </c>
      <c r="G143" s="33" t="s">
        <v>2876</v>
      </c>
      <c r="H143" s="33"/>
      <c r="I143" s="236"/>
      <c r="J143" s="236"/>
      <c r="K143" s="69"/>
      <c r="L143" s="69"/>
      <c r="M143" s="69"/>
      <c r="N143" s="69"/>
      <c r="O143" s="69"/>
      <c r="P143" s="19"/>
      <c r="Q143" s="19"/>
      <c r="R143" s="99">
        <v>140</v>
      </c>
    </row>
    <row r="144" spans="1:18" ht="20" x14ac:dyDescent="0.2">
      <c r="A144" s="58"/>
      <c r="B144" s="151" t="s">
        <v>1641</v>
      </c>
      <c r="C144" s="51" t="s">
        <v>3406</v>
      </c>
      <c r="D144" s="33" t="s">
        <v>106</v>
      </c>
      <c r="E144" s="33"/>
      <c r="F144" s="33"/>
      <c r="G144" s="33" t="s">
        <v>2876</v>
      </c>
      <c r="H144" s="33"/>
      <c r="I144" s="99"/>
      <c r="J144" s="99"/>
      <c r="K144" s="69"/>
      <c r="L144" s="69"/>
      <c r="M144" s="69"/>
      <c r="N144" s="69"/>
      <c r="O144" s="69"/>
      <c r="P144" s="19"/>
      <c r="Q144" s="19"/>
      <c r="R144" s="99">
        <v>141</v>
      </c>
    </row>
    <row r="145" spans="1:18" ht="20" x14ac:dyDescent="0.2">
      <c r="A145" s="58"/>
      <c r="B145" s="151" t="s">
        <v>1642</v>
      </c>
      <c r="C145" s="51" t="s">
        <v>3625</v>
      </c>
      <c r="D145" s="33" t="s">
        <v>106</v>
      </c>
      <c r="E145" s="33"/>
      <c r="F145" s="33"/>
      <c r="G145" s="33" t="s">
        <v>2876</v>
      </c>
      <c r="H145" s="33"/>
      <c r="I145" s="99"/>
      <c r="J145" s="99"/>
      <c r="K145" s="69"/>
      <c r="L145" s="69"/>
      <c r="M145" s="69"/>
      <c r="N145" s="69"/>
      <c r="O145" s="69"/>
      <c r="P145" s="19"/>
      <c r="Q145" s="19"/>
      <c r="R145" s="99">
        <v>142</v>
      </c>
    </row>
    <row r="146" spans="1:18" ht="20" x14ac:dyDescent="0.2">
      <c r="A146" s="58"/>
      <c r="B146" s="151" t="s">
        <v>165</v>
      </c>
      <c r="C146" s="51" t="s">
        <v>3241</v>
      </c>
      <c r="D146" s="33" t="s">
        <v>106</v>
      </c>
      <c r="E146" s="33"/>
      <c r="F146" s="33"/>
      <c r="G146" s="33" t="s">
        <v>2876</v>
      </c>
      <c r="H146" s="237" t="s">
        <v>1545</v>
      </c>
      <c r="I146" s="290">
        <v>138</v>
      </c>
      <c r="J146" s="290">
        <v>25</v>
      </c>
      <c r="K146" s="1">
        <v>52.5</v>
      </c>
      <c r="L146" s="1">
        <v>66.5</v>
      </c>
      <c r="M146" s="131">
        <v>0.9</v>
      </c>
      <c r="N146" s="1">
        <f>K146*$M146</f>
        <v>47.25</v>
      </c>
      <c r="O146" s="1">
        <f>L146*$M146</f>
        <v>59.85</v>
      </c>
      <c r="P146" s="19"/>
      <c r="Q146" s="19"/>
      <c r="R146" s="99">
        <v>143</v>
      </c>
    </row>
    <row r="147" spans="1:18" ht="20" x14ac:dyDescent="0.2">
      <c r="A147" s="58"/>
      <c r="B147" s="151" t="s">
        <v>165</v>
      </c>
      <c r="C147" s="51" t="s">
        <v>3241</v>
      </c>
      <c r="D147" s="33" t="s">
        <v>106</v>
      </c>
      <c r="E147" s="33"/>
      <c r="F147" s="33"/>
      <c r="G147" s="33" t="s">
        <v>2876</v>
      </c>
      <c r="H147" s="237" t="s">
        <v>1549</v>
      </c>
      <c r="I147" s="290">
        <v>138</v>
      </c>
      <c r="J147" s="290">
        <v>25</v>
      </c>
      <c r="K147" s="1">
        <v>52.5</v>
      </c>
      <c r="L147" s="1">
        <v>66.5</v>
      </c>
      <c r="M147" s="131">
        <v>0.9</v>
      </c>
      <c r="N147" s="1">
        <f>K147*$M147</f>
        <v>47.25</v>
      </c>
      <c r="O147" s="1">
        <f>L147*$M147</f>
        <v>59.85</v>
      </c>
      <c r="P147" s="19"/>
      <c r="Q147" s="19"/>
      <c r="R147" s="99">
        <v>144</v>
      </c>
    </row>
    <row r="148" spans="1:18" ht="20" x14ac:dyDescent="0.2">
      <c r="A148" s="58"/>
      <c r="B148" s="151" t="s">
        <v>1643</v>
      </c>
      <c r="C148" s="51" t="s">
        <v>3242</v>
      </c>
      <c r="D148" s="33" t="s">
        <v>106</v>
      </c>
      <c r="E148" s="33"/>
      <c r="F148" s="33"/>
      <c r="G148" s="33" t="s">
        <v>2876</v>
      </c>
      <c r="H148" s="33"/>
      <c r="I148" s="99"/>
      <c r="J148" s="99"/>
      <c r="K148" s="69"/>
      <c r="L148" s="69"/>
      <c r="M148" s="69"/>
      <c r="N148" s="69"/>
      <c r="O148" s="69"/>
      <c r="P148" s="19"/>
      <c r="Q148" s="19"/>
      <c r="R148" s="99">
        <v>145</v>
      </c>
    </row>
    <row r="149" spans="1:18" ht="20" x14ac:dyDescent="0.2">
      <c r="A149" s="58"/>
      <c r="B149" s="151" t="s">
        <v>125</v>
      </c>
      <c r="C149" s="51" t="s">
        <v>3377</v>
      </c>
      <c r="D149" s="33" t="s">
        <v>106</v>
      </c>
      <c r="E149" s="33"/>
      <c r="F149" s="33"/>
      <c r="G149" s="33" t="s">
        <v>2876</v>
      </c>
      <c r="H149" s="237" t="s">
        <v>1545</v>
      </c>
      <c r="I149" s="2">
        <v>138</v>
      </c>
      <c r="J149" s="2">
        <v>25</v>
      </c>
      <c r="K149" s="1">
        <v>56</v>
      </c>
      <c r="L149" s="1">
        <v>66.5</v>
      </c>
      <c r="M149" s="131">
        <v>0.9</v>
      </c>
      <c r="N149" s="1">
        <f t="shared" ref="N149:O153" si="12">K149*$M149</f>
        <v>50.4</v>
      </c>
      <c r="O149" s="1">
        <f t="shared" si="12"/>
        <v>59.85</v>
      </c>
      <c r="P149" s="19"/>
      <c r="Q149" s="19"/>
      <c r="R149" s="99">
        <v>146</v>
      </c>
    </row>
    <row r="150" spans="1:18" ht="20" x14ac:dyDescent="0.2">
      <c r="A150" s="58"/>
      <c r="B150" s="151" t="s">
        <v>125</v>
      </c>
      <c r="C150" s="51" t="s">
        <v>3377</v>
      </c>
      <c r="D150" s="33" t="s">
        <v>106</v>
      </c>
      <c r="E150" s="33"/>
      <c r="F150" s="33"/>
      <c r="G150" s="33" t="s">
        <v>2876</v>
      </c>
      <c r="H150" s="237" t="s">
        <v>1549</v>
      </c>
      <c r="I150" s="2">
        <v>138</v>
      </c>
      <c r="J150" s="2">
        <v>25</v>
      </c>
      <c r="K150" s="1">
        <v>56</v>
      </c>
      <c r="L150" s="1">
        <v>66.5</v>
      </c>
      <c r="M150" s="131">
        <v>0.9</v>
      </c>
      <c r="N150" s="1">
        <f t="shared" si="12"/>
        <v>50.4</v>
      </c>
      <c r="O150" s="1">
        <f t="shared" si="12"/>
        <v>59.85</v>
      </c>
      <c r="P150" s="19"/>
      <c r="Q150" s="19"/>
      <c r="R150" s="99">
        <v>147</v>
      </c>
    </row>
    <row r="151" spans="1:18" ht="20" x14ac:dyDescent="0.2">
      <c r="A151" s="58"/>
      <c r="B151" s="151" t="s">
        <v>125</v>
      </c>
      <c r="C151" s="51" t="s">
        <v>3377</v>
      </c>
      <c r="D151" s="33" t="s">
        <v>106</v>
      </c>
      <c r="E151" s="33"/>
      <c r="F151" s="33"/>
      <c r="G151" s="33" t="s">
        <v>2876</v>
      </c>
      <c r="H151" s="237" t="s">
        <v>1550</v>
      </c>
      <c r="I151" s="2">
        <v>138</v>
      </c>
      <c r="J151" s="2">
        <v>25</v>
      </c>
      <c r="K151" s="1">
        <v>78.75</v>
      </c>
      <c r="L151" s="1">
        <v>100</v>
      </c>
      <c r="M151" s="131">
        <v>0.9</v>
      </c>
      <c r="N151" s="1">
        <f t="shared" si="12"/>
        <v>70.875</v>
      </c>
      <c r="O151" s="1">
        <f t="shared" si="12"/>
        <v>90</v>
      </c>
      <c r="P151" s="19"/>
      <c r="Q151" s="19"/>
      <c r="R151" s="99">
        <v>148</v>
      </c>
    </row>
    <row r="152" spans="1:18" ht="20" x14ac:dyDescent="0.2">
      <c r="A152" s="58"/>
      <c r="B152" s="151" t="s">
        <v>1644</v>
      </c>
      <c r="C152" s="51" t="s">
        <v>3410</v>
      </c>
      <c r="D152" s="33" t="s">
        <v>106</v>
      </c>
      <c r="E152" s="33"/>
      <c r="F152" s="33"/>
      <c r="G152" s="33" t="s">
        <v>2876</v>
      </c>
      <c r="H152" s="237" t="s">
        <v>1545</v>
      </c>
      <c r="I152" s="2">
        <v>60</v>
      </c>
      <c r="J152" s="2">
        <v>12</v>
      </c>
      <c r="K152" s="1">
        <v>49.7</v>
      </c>
      <c r="L152" s="1">
        <v>61.85</v>
      </c>
      <c r="M152" s="131">
        <v>0.9</v>
      </c>
      <c r="N152" s="1">
        <f t="shared" si="12"/>
        <v>44.730000000000004</v>
      </c>
      <c r="O152" s="1">
        <f t="shared" si="12"/>
        <v>55.664999999999999</v>
      </c>
      <c r="P152" s="19"/>
      <c r="Q152" s="19"/>
      <c r="R152" s="99">
        <v>149</v>
      </c>
    </row>
    <row r="153" spans="1:18" ht="20" x14ac:dyDescent="0.2">
      <c r="A153" s="58"/>
      <c r="B153" s="151" t="s">
        <v>1644</v>
      </c>
      <c r="C153" s="51" t="s">
        <v>3410</v>
      </c>
      <c r="D153" s="33" t="s">
        <v>106</v>
      </c>
      <c r="E153" s="33"/>
      <c r="F153" s="33"/>
      <c r="G153" s="33" t="s">
        <v>2876</v>
      </c>
      <c r="H153" s="237" t="s">
        <v>1550</v>
      </c>
      <c r="I153" s="2">
        <v>60</v>
      </c>
      <c r="J153" s="2">
        <v>12</v>
      </c>
      <c r="K153" s="1">
        <v>49.7</v>
      </c>
      <c r="L153" s="1">
        <v>61.85</v>
      </c>
      <c r="M153" s="131">
        <v>0.9</v>
      </c>
      <c r="N153" s="1">
        <f t="shared" si="12"/>
        <v>44.730000000000004</v>
      </c>
      <c r="O153" s="1">
        <f t="shared" si="12"/>
        <v>55.664999999999999</v>
      </c>
      <c r="P153" s="19"/>
      <c r="Q153" s="19"/>
      <c r="R153" s="99">
        <v>150</v>
      </c>
    </row>
    <row r="154" spans="1:18" ht="20" x14ac:dyDescent="0.2">
      <c r="A154" s="58"/>
      <c r="B154" s="151" t="s">
        <v>1645</v>
      </c>
      <c r="C154" s="51" t="s">
        <v>3411</v>
      </c>
      <c r="D154" s="33" t="s">
        <v>106</v>
      </c>
      <c r="E154" s="33"/>
      <c r="F154" s="33"/>
      <c r="G154" s="33" t="s">
        <v>2876</v>
      </c>
      <c r="H154" s="33"/>
      <c r="I154" s="99"/>
      <c r="J154" s="99"/>
      <c r="K154" s="69"/>
      <c r="L154" s="69"/>
      <c r="M154" s="69"/>
      <c r="N154" s="69"/>
      <c r="O154" s="69"/>
      <c r="P154" s="19"/>
      <c r="Q154" s="19"/>
      <c r="R154" s="99">
        <v>151</v>
      </c>
    </row>
    <row r="155" spans="1:18" ht="20" x14ac:dyDescent="0.2">
      <c r="A155" s="58"/>
      <c r="B155" s="151" t="s">
        <v>2303</v>
      </c>
      <c r="C155" s="51" t="s">
        <v>3114</v>
      </c>
      <c r="D155" s="33" t="s">
        <v>106</v>
      </c>
      <c r="E155" s="33">
        <v>49.7675628</v>
      </c>
      <c r="F155" s="33">
        <v>-122.1509539</v>
      </c>
      <c r="G155" s="33" t="s">
        <v>2876</v>
      </c>
      <c r="H155" s="33"/>
      <c r="I155" s="236"/>
      <c r="J155" s="236"/>
      <c r="K155" s="69"/>
      <c r="L155" s="69"/>
      <c r="M155" s="69"/>
      <c r="N155" s="69"/>
      <c r="O155" s="69"/>
      <c r="P155" s="19"/>
      <c r="Q155" s="19"/>
      <c r="R155" s="99">
        <v>152</v>
      </c>
    </row>
    <row r="156" spans="1:18" ht="20" x14ac:dyDescent="0.2">
      <c r="A156" s="58"/>
      <c r="B156" s="151" t="s">
        <v>1647</v>
      </c>
      <c r="C156" s="51" t="s">
        <v>3482</v>
      </c>
      <c r="D156" s="33" t="s">
        <v>106</v>
      </c>
      <c r="E156" s="33"/>
      <c r="F156" s="33"/>
      <c r="G156" s="33" t="s">
        <v>2876</v>
      </c>
      <c r="H156" s="237" t="s">
        <v>1545</v>
      </c>
      <c r="I156" s="2">
        <v>60</v>
      </c>
      <c r="J156" s="2">
        <v>12</v>
      </c>
      <c r="K156" s="1">
        <v>88</v>
      </c>
      <c r="L156" s="1">
        <v>112</v>
      </c>
      <c r="M156" s="131">
        <v>0.9</v>
      </c>
      <c r="N156" s="1">
        <f t="shared" ref="N156:O160" si="13">K156*$M156</f>
        <v>79.2</v>
      </c>
      <c r="O156" s="1">
        <f t="shared" si="13"/>
        <v>100.8</v>
      </c>
      <c r="P156" s="19"/>
      <c r="Q156" s="19"/>
      <c r="R156" s="99">
        <v>153</v>
      </c>
    </row>
    <row r="157" spans="1:18" ht="20" x14ac:dyDescent="0.2">
      <c r="A157" s="58"/>
      <c r="B157" s="151" t="s">
        <v>1647</v>
      </c>
      <c r="C157" s="51" t="s">
        <v>3482</v>
      </c>
      <c r="D157" s="33" t="s">
        <v>106</v>
      </c>
      <c r="E157" s="33"/>
      <c r="F157" s="33"/>
      <c r="G157" s="33" t="s">
        <v>2876</v>
      </c>
      <c r="H157" s="237" t="s">
        <v>1549</v>
      </c>
      <c r="I157" s="2">
        <v>60</v>
      </c>
      <c r="J157" s="2">
        <v>12</v>
      </c>
      <c r="K157" s="1">
        <v>88</v>
      </c>
      <c r="L157" s="1">
        <v>112</v>
      </c>
      <c r="M157" s="131">
        <v>0.9</v>
      </c>
      <c r="N157" s="1">
        <f t="shared" si="13"/>
        <v>79.2</v>
      </c>
      <c r="O157" s="1">
        <f t="shared" si="13"/>
        <v>100.8</v>
      </c>
      <c r="P157" s="19"/>
      <c r="Q157" s="19"/>
      <c r="R157" s="99">
        <v>154</v>
      </c>
    </row>
    <row r="158" spans="1:18" ht="20" x14ac:dyDescent="0.2">
      <c r="A158" s="58"/>
      <c r="B158" s="151" t="s">
        <v>1647</v>
      </c>
      <c r="C158" s="51" t="s">
        <v>3482</v>
      </c>
      <c r="D158" s="33" t="s">
        <v>106</v>
      </c>
      <c r="E158" s="33"/>
      <c r="F158" s="33"/>
      <c r="G158" s="33" t="s">
        <v>2876</v>
      </c>
      <c r="H158" s="237" t="s">
        <v>1550</v>
      </c>
      <c r="I158" s="2">
        <v>60</v>
      </c>
      <c r="J158" s="2">
        <v>12</v>
      </c>
      <c r="K158" s="1">
        <v>88</v>
      </c>
      <c r="L158" s="1">
        <v>112</v>
      </c>
      <c r="M158" s="131">
        <v>0.9</v>
      </c>
      <c r="N158" s="1">
        <f t="shared" si="13"/>
        <v>79.2</v>
      </c>
      <c r="O158" s="1">
        <f t="shared" si="13"/>
        <v>100.8</v>
      </c>
      <c r="P158" s="19"/>
      <c r="Q158" s="19"/>
      <c r="R158" s="99">
        <v>155</v>
      </c>
    </row>
    <row r="159" spans="1:18" ht="20" x14ac:dyDescent="0.2">
      <c r="A159" s="58"/>
      <c r="B159" s="151" t="s">
        <v>1647</v>
      </c>
      <c r="C159" s="51" t="s">
        <v>3482</v>
      </c>
      <c r="D159" s="33" t="s">
        <v>106</v>
      </c>
      <c r="E159" s="33"/>
      <c r="F159" s="33"/>
      <c r="G159" s="33" t="s">
        <v>2876</v>
      </c>
      <c r="H159" s="237" t="s">
        <v>1546</v>
      </c>
      <c r="I159" s="2">
        <v>60</v>
      </c>
      <c r="J159" s="2">
        <v>12</v>
      </c>
      <c r="K159" s="1">
        <v>88</v>
      </c>
      <c r="L159" s="1">
        <v>112</v>
      </c>
      <c r="M159" s="131">
        <v>0.9</v>
      </c>
      <c r="N159" s="1">
        <f t="shared" si="13"/>
        <v>79.2</v>
      </c>
      <c r="O159" s="1">
        <f t="shared" si="13"/>
        <v>100.8</v>
      </c>
      <c r="P159" s="19"/>
      <c r="Q159" s="19"/>
      <c r="R159" s="99">
        <v>156</v>
      </c>
    </row>
    <row r="160" spans="1:18" ht="20" x14ac:dyDescent="0.2">
      <c r="A160" s="58"/>
      <c r="B160" s="151" t="s">
        <v>1648</v>
      </c>
      <c r="C160" s="51" t="s">
        <v>3412</v>
      </c>
      <c r="D160" s="33" t="s">
        <v>106</v>
      </c>
      <c r="E160" s="33"/>
      <c r="F160" s="33"/>
      <c r="G160" s="33" t="s">
        <v>2876</v>
      </c>
      <c r="H160" s="237" t="s">
        <v>1545</v>
      </c>
      <c r="I160" s="2">
        <v>66</v>
      </c>
      <c r="J160" s="2">
        <v>7.2</v>
      </c>
      <c r="K160" s="1">
        <v>0.2</v>
      </c>
      <c r="L160" s="1">
        <v>0.24</v>
      </c>
      <c r="M160" s="131">
        <v>0.9</v>
      </c>
      <c r="N160" s="1">
        <f t="shared" si="13"/>
        <v>0.18000000000000002</v>
      </c>
      <c r="O160" s="1">
        <f t="shared" si="13"/>
        <v>0.216</v>
      </c>
      <c r="P160" s="19"/>
      <c r="Q160" s="19"/>
      <c r="R160" s="99">
        <v>157</v>
      </c>
    </row>
    <row r="161" spans="1:18" ht="20" x14ac:dyDescent="0.2">
      <c r="A161" s="58"/>
      <c r="B161" s="151" t="s">
        <v>1649</v>
      </c>
      <c r="C161" s="51" t="s">
        <v>3243</v>
      </c>
      <c r="D161" s="33" t="s">
        <v>106</v>
      </c>
      <c r="E161" s="33"/>
      <c r="F161" s="33"/>
      <c r="G161" s="33" t="s">
        <v>2876</v>
      </c>
      <c r="H161" s="33"/>
      <c r="I161" s="99"/>
      <c r="J161" s="99"/>
      <c r="K161" s="69"/>
      <c r="L161" s="69"/>
      <c r="M161" s="69"/>
      <c r="N161" s="69"/>
      <c r="O161" s="69"/>
      <c r="P161" s="19"/>
      <c r="Q161" s="19"/>
      <c r="R161" s="99">
        <v>158</v>
      </c>
    </row>
    <row r="162" spans="1:18" ht="20" x14ac:dyDescent="0.2">
      <c r="A162" s="58"/>
      <c r="B162" s="151" t="s">
        <v>2304</v>
      </c>
      <c r="C162" s="51" t="s">
        <v>3115</v>
      </c>
      <c r="D162" s="33" t="s">
        <v>106</v>
      </c>
      <c r="E162" s="33">
        <v>55.811774700000001</v>
      </c>
      <c r="F162" s="33">
        <v>-122.24735339999999</v>
      </c>
      <c r="G162" s="33" t="s">
        <v>2876</v>
      </c>
      <c r="H162" s="33"/>
      <c r="I162" s="236"/>
      <c r="J162" s="236"/>
      <c r="K162" s="69"/>
      <c r="L162" s="69"/>
      <c r="M162" s="69"/>
      <c r="N162" s="69"/>
      <c r="O162" s="69"/>
      <c r="P162" s="19"/>
      <c r="Q162" s="19"/>
      <c r="R162" s="99">
        <v>159</v>
      </c>
    </row>
    <row r="163" spans="1:18" ht="20" x14ac:dyDescent="0.2">
      <c r="A163" s="58"/>
      <c r="B163" s="151" t="s">
        <v>1650</v>
      </c>
      <c r="C163" s="51" t="s">
        <v>3631</v>
      </c>
      <c r="D163" s="33" t="s">
        <v>106</v>
      </c>
      <c r="E163" s="33"/>
      <c r="F163" s="33"/>
      <c r="G163" s="33" t="s">
        <v>2876</v>
      </c>
      <c r="H163" s="33"/>
      <c r="I163" s="99"/>
      <c r="J163" s="99"/>
      <c r="K163" s="69"/>
      <c r="L163" s="69"/>
      <c r="M163" s="69"/>
      <c r="N163" s="69"/>
      <c r="O163" s="69"/>
      <c r="P163" s="19"/>
      <c r="Q163" s="19"/>
      <c r="R163" s="99">
        <v>160</v>
      </c>
    </row>
    <row r="164" spans="1:18" ht="20" x14ac:dyDescent="0.2">
      <c r="A164" s="58"/>
      <c r="B164" s="151" t="s">
        <v>1651</v>
      </c>
      <c r="C164" s="51" t="s">
        <v>3244</v>
      </c>
      <c r="D164" s="33" t="s">
        <v>106</v>
      </c>
      <c r="E164" s="33"/>
      <c r="F164" s="33"/>
      <c r="G164" s="33" t="s">
        <v>2876</v>
      </c>
      <c r="H164" s="33"/>
      <c r="I164" s="99"/>
      <c r="J164" s="99"/>
      <c r="K164" s="69"/>
      <c r="L164" s="69"/>
      <c r="M164" s="69"/>
      <c r="N164" s="69"/>
      <c r="O164" s="69"/>
      <c r="P164" s="19"/>
      <c r="Q164" s="19"/>
      <c r="R164" s="99">
        <v>161</v>
      </c>
    </row>
    <row r="165" spans="1:18" ht="20" x14ac:dyDescent="0.2">
      <c r="A165" s="58"/>
      <c r="B165" s="151" t="s">
        <v>1652</v>
      </c>
      <c r="C165" s="51" t="s">
        <v>3413</v>
      </c>
      <c r="D165" s="33" t="s">
        <v>106</v>
      </c>
      <c r="E165" s="33"/>
      <c r="F165" s="33"/>
      <c r="G165" s="33" t="s">
        <v>2876</v>
      </c>
      <c r="H165" s="33"/>
      <c r="I165" s="99"/>
      <c r="J165" s="99"/>
      <c r="K165" s="69"/>
      <c r="L165" s="69"/>
      <c r="M165" s="69"/>
      <c r="N165" s="69"/>
      <c r="O165" s="69"/>
      <c r="P165" s="19"/>
      <c r="Q165" s="19"/>
      <c r="R165" s="99">
        <v>162</v>
      </c>
    </row>
    <row r="166" spans="1:18" ht="20" x14ac:dyDescent="0.2">
      <c r="A166" s="58"/>
      <c r="B166" s="151" t="s">
        <v>2305</v>
      </c>
      <c r="C166" s="51" t="s">
        <v>3116</v>
      </c>
      <c r="D166" s="33" t="s">
        <v>106</v>
      </c>
      <c r="E166" s="33">
        <v>54.383480499999997</v>
      </c>
      <c r="F166" s="33">
        <v>-128.91485299999999</v>
      </c>
      <c r="G166" s="33" t="s">
        <v>2876</v>
      </c>
      <c r="H166" s="33"/>
      <c r="I166" s="236"/>
      <c r="J166" s="236"/>
      <c r="K166" s="69"/>
      <c r="L166" s="69"/>
      <c r="M166" s="69"/>
      <c r="N166" s="69"/>
      <c r="O166" s="69"/>
      <c r="P166" s="19"/>
      <c r="Q166" s="19"/>
      <c r="R166" s="99">
        <v>163</v>
      </c>
    </row>
    <row r="167" spans="1:18" ht="20" x14ac:dyDescent="0.2">
      <c r="A167" s="58"/>
      <c r="B167" s="151" t="s">
        <v>1653</v>
      </c>
      <c r="C167" s="51" t="s">
        <v>3117</v>
      </c>
      <c r="D167" s="33" t="s">
        <v>106</v>
      </c>
      <c r="E167" s="33">
        <v>49.2964269</v>
      </c>
      <c r="F167" s="33">
        <v>-125.2755331</v>
      </c>
      <c r="G167" s="33" t="s">
        <v>2876</v>
      </c>
      <c r="H167" s="33"/>
      <c r="I167" s="99"/>
      <c r="J167" s="99"/>
      <c r="K167" s="69"/>
      <c r="L167" s="69"/>
      <c r="M167" s="69"/>
      <c r="N167" s="69"/>
      <c r="O167" s="69"/>
      <c r="P167" s="19"/>
      <c r="Q167" s="19"/>
      <c r="R167" s="99">
        <v>164</v>
      </c>
    </row>
    <row r="168" spans="1:18" ht="20" x14ac:dyDescent="0.2">
      <c r="A168" s="58"/>
      <c r="B168" s="151" t="s">
        <v>1654</v>
      </c>
      <c r="C168" s="51" t="s">
        <v>3246</v>
      </c>
      <c r="D168" s="33" t="s">
        <v>106</v>
      </c>
      <c r="E168" s="33"/>
      <c r="F168" s="33"/>
      <c r="G168" s="33" t="s">
        <v>2876</v>
      </c>
      <c r="H168" s="237" t="s">
        <v>1545</v>
      </c>
      <c r="I168" s="2">
        <v>138</v>
      </c>
      <c r="J168" s="2">
        <v>25</v>
      </c>
      <c r="K168" s="1">
        <v>80</v>
      </c>
      <c r="L168" s="1">
        <v>87.3</v>
      </c>
      <c r="M168" s="131">
        <v>0.9</v>
      </c>
      <c r="N168" s="1">
        <f t="shared" ref="N168:O170" si="14">K168*$M168</f>
        <v>72</v>
      </c>
      <c r="O168" s="1">
        <f t="shared" si="14"/>
        <v>78.569999999999993</v>
      </c>
      <c r="P168" s="19"/>
      <c r="Q168" s="19"/>
      <c r="R168" s="99">
        <v>165</v>
      </c>
    </row>
    <row r="169" spans="1:18" ht="20" x14ac:dyDescent="0.2">
      <c r="A169" s="58"/>
      <c r="B169" s="151" t="s">
        <v>1654</v>
      </c>
      <c r="C169" s="51" t="s">
        <v>3246</v>
      </c>
      <c r="D169" s="33" t="s">
        <v>106</v>
      </c>
      <c r="E169" s="33"/>
      <c r="F169" s="33"/>
      <c r="G169" s="33" t="s">
        <v>2876</v>
      </c>
      <c r="H169" s="237" t="s">
        <v>1550</v>
      </c>
      <c r="I169" s="2">
        <v>138</v>
      </c>
      <c r="J169" s="2">
        <v>25</v>
      </c>
      <c r="K169" s="1">
        <v>88.2</v>
      </c>
      <c r="L169" s="1">
        <v>107.2</v>
      </c>
      <c r="M169" s="131">
        <v>0.9</v>
      </c>
      <c r="N169" s="1">
        <f t="shared" si="14"/>
        <v>79.38000000000001</v>
      </c>
      <c r="O169" s="1">
        <f t="shared" si="14"/>
        <v>96.48</v>
      </c>
      <c r="P169" s="19"/>
      <c r="Q169" s="19"/>
      <c r="R169" s="99">
        <v>166</v>
      </c>
    </row>
    <row r="170" spans="1:18" ht="20" x14ac:dyDescent="0.2">
      <c r="A170" s="58"/>
      <c r="B170" s="151" t="s">
        <v>1654</v>
      </c>
      <c r="C170" s="51" t="s">
        <v>3246</v>
      </c>
      <c r="D170" s="33" t="s">
        <v>106</v>
      </c>
      <c r="E170" s="33"/>
      <c r="F170" s="33"/>
      <c r="G170" s="33" t="s">
        <v>2876</v>
      </c>
      <c r="H170" s="237" t="s">
        <v>1546</v>
      </c>
      <c r="I170" s="2">
        <v>138</v>
      </c>
      <c r="J170" s="2">
        <v>25</v>
      </c>
      <c r="K170" s="1">
        <v>80</v>
      </c>
      <c r="L170" s="1">
        <v>87.3</v>
      </c>
      <c r="M170" s="131">
        <v>0.9</v>
      </c>
      <c r="N170" s="1">
        <f t="shared" si="14"/>
        <v>72</v>
      </c>
      <c r="O170" s="1">
        <f t="shared" si="14"/>
        <v>78.569999999999993</v>
      </c>
      <c r="P170" s="19"/>
      <c r="Q170" s="19"/>
      <c r="R170" s="99">
        <v>167</v>
      </c>
    </row>
    <row r="171" spans="1:18" ht="20" x14ac:dyDescent="0.2">
      <c r="A171" s="58"/>
      <c r="B171" s="151" t="s">
        <v>2287</v>
      </c>
      <c r="C171" s="51" t="s">
        <v>3659</v>
      </c>
      <c r="D171" s="33" t="s">
        <v>106</v>
      </c>
      <c r="E171" s="33"/>
      <c r="F171" s="33"/>
      <c r="G171" s="33" t="s">
        <v>2876</v>
      </c>
      <c r="H171" s="33"/>
      <c r="I171" s="99"/>
      <c r="J171" s="99"/>
      <c r="K171" s="69"/>
      <c r="L171" s="69"/>
      <c r="M171" s="69"/>
      <c r="N171" s="69"/>
      <c r="O171" s="69"/>
      <c r="P171" s="19"/>
      <c r="Q171" s="19"/>
      <c r="R171" s="99">
        <v>168</v>
      </c>
    </row>
    <row r="172" spans="1:18" ht="20" x14ac:dyDescent="0.2">
      <c r="A172" s="58"/>
      <c r="B172" s="151" t="s">
        <v>1655</v>
      </c>
      <c r="C172" s="51" t="s">
        <v>3634</v>
      </c>
      <c r="D172" s="33" t="s">
        <v>106</v>
      </c>
      <c r="E172" s="33"/>
      <c r="F172" s="33"/>
      <c r="G172" s="33" t="s">
        <v>2876</v>
      </c>
      <c r="H172" s="33"/>
      <c r="I172" s="99"/>
      <c r="J172" s="99"/>
      <c r="K172" s="69"/>
      <c r="L172" s="69"/>
      <c r="M172" s="69"/>
      <c r="N172" s="69"/>
      <c r="O172" s="69"/>
      <c r="P172" s="19"/>
      <c r="Q172" s="19"/>
      <c r="R172" s="99">
        <v>169</v>
      </c>
    </row>
    <row r="173" spans="1:18" ht="20" x14ac:dyDescent="0.2">
      <c r="A173" s="58"/>
      <c r="B173" s="151" t="s">
        <v>1656</v>
      </c>
      <c r="C173" s="51" t="s">
        <v>3635</v>
      </c>
      <c r="D173" s="33" t="s">
        <v>106</v>
      </c>
      <c r="E173" s="33"/>
      <c r="F173" s="33"/>
      <c r="G173" s="33" t="s">
        <v>2876</v>
      </c>
      <c r="H173" s="33"/>
      <c r="I173" s="99"/>
      <c r="J173" s="99"/>
      <c r="K173" s="69"/>
      <c r="L173" s="69"/>
      <c r="M173" s="69"/>
      <c r="N173" s="69"/>
      <c r="O173" s="69"/>
      <c r="P173" s="19"/>
      <c r="Q173" s="19"/>
      <c r="R173" s="99">
        <v>170</v>
      </c>
    </row>
    <row r="174" spans="1:18" ht="20" x14ac:dyDescent="0.2">
      <c r="A174" s="58"/>
      <c r="B174" s="151" t="s">
        <v>2269</v>
      </c>
      <c r="C174" s="51" t="s">
        <v>3415</v>
      </c>
      <c r="D174" s="33" t="s">
        <v>106</v>
      </c>
      <c r="E174" s="33"/>
      <c r="F174" s="33"/>
      <c r="G174" s="33" t="s">
        <v>2876</v>
      </c>
      <c r="H174" s="237" t="s">
        <v>1545</v>
      </c>
      <c r="I174" s="2">
        <v>138</v>
      </c>
      <c r="J174" s="2">
        <v>25</v>
      </c>
      <c r="K174" s="1">
        <v>18.600000000000001</v>
      </c>
      <c r="L174" s="1">
        <v>22.1</v>
      </c>
      <c r="M174" s="131">
        <v>0.9</v>
      </c>
      <c r="N174" s="1">
        <f>K174*$M174</f>
        <v>16.740000000000002</v>
      </c>
      <c r="O174" s="1">
        <f>L174*$M174</f>
        <v>19.89</v>
      </c>
      <c r="P174" s="19"/>
      <c r="Q174" s="19"/>
      <c r="R174" s="99">
        <v>171</v>
      </c>
    </row>
    <row r="175" spans="1:18" ht="20" x14ac:dyDescent="0.2">
      <c r="A175" s="58"/>
      <c r="B175" s="151" t="s">
        <v>2269</v>
      </c>
      <c r="C175" s="51" t="s">
        <v>3415</v>
      </c>
      <c r="D175" s="33" t="s">
        <v>106</v>
      </c>
      <c r="E175" s="33"/>
      <c r="F175" s="33"/>
      <c r="G175" s="33" t="s">
        <v>2876</v>
      </c>
      <c r="H175" s="237" t="s">
        <v>1549</v>
      </c>
      <c r="I175" s="2">
        <v>138</v>
      </c>
      <c r="J175" s="2">
        <v>25</v>
      </c>
      <c r="K175" s="1">
        <v>12.9</v>
      </c>
      <c r="L175" s="1">
        <v>15</v>
      </c>
      <c r="M175" s="131">
        <v>0.9</v>
      </c>
      <c r="N175" s="1">
        <f>K175*$M175</f>
        <v>11.610000000000001</v>
      </c>
      <c r="O175" s="1">
        <f>L175*$M175</f>
        <v>13.5</v>
      </c>
      <c r="P175" s="19"/>
      <c r="Q175" s="19"/>
      <c r="R175" s="99">
        <v>172</v>
      </c>
    </row>
    <row r="176" spans="1:18" ht="20" x14ac:dyDescent="0.2">
      <c r="A176" s="58"/>
      <c r="B176" s="151" t="s">
        <v>1657</v>
      </c>
      <c r="C176" s="51" t="s">
        <v>3632</v>
      </c>
      <c r="D176" s="33" t="s">
        <v>106</v>
      </c>
      <c r="E176" s="33"/>
      <c r="F176" s="33"/>
      <c r="G176" s="33" t="s">
        <v>2876</v>
      </c>
      <c r="H176" s="33"/>
      <c r="I176" s="99"/>
      <c r="J176" s="99"/>
      <c r="K176" s="69"/>
      <c r="L176" s="69"/>
      <c r="M176" s="69"/>
      <c r="N176" s="69"/>
      <c r="O176" s="69"/>
      <c r="P176" s="19"/>
      <c r="Q176" s="19"/>
      <c r="R176" s="99">
        <v>173</v>
      </c>
    </row>
    <row r="177" spans="1:18" ht="20" x14ac:dyDescent="0.2">
      <c r="A177" s="58"/>
      <c r="B177" s="151" t="s">
        <v>1658</v>
      </c>
      <c r="C177" s="51" t="s">
        <v>3434</v>
      </c>
      <c r="D177" s="33" t="s">
        <v>106</v>
      </c>
      <c r="E177" s="33"/>
      <c r="F177" s="33"/>
      <c r="G177" s="33" t="s">
        <v>2876</v>
      </c>
      <c r="H177" s="33"/>
      <c r="I177" s="99"/>
      <c r="J177" s="99"/>
      <c r="K177" s="69"/>
      <c r="L177" s="69"/>
      <c r="M177" s="69"/>
      <c r="N177" s="69"/>
      <c r="O177" s="69"/>
      <c r="P177" s="19"/>
      <c r="Q177" s="19"/>
      <c r="R177" s="99">
        <v>174</v>
      </c>
    </row>
    <row r="178" spans="1:18" ht="20" x14ac:dyDescent="0.2">
      <c r="A178" s="58"/>
      <c r="B178" s="151" t="s">
        <v>1659</v>
      </c>
      <c r="C178" s="51" t="s">
        <v>3118</v>
      </c>
      <c r="D178" s="33" t="s">
        <v>106</v>
      </c>
      <c r="E178" s="33">
        <v>49.290066600000003</v>
      </c>
      <c r="F178" s="33">
        <v>-115.10461340000001</v>
      </c>
      <c r="G178" s="33" t="s">
        <v>2876</v>
      </c>
      <c r="H178" s="33"/>
      <c r="I178" s="99"/>
      <c r="J178" s="99"/>
      <c r="K178" s="69"/>
      <c r="L178" s="69"/>
      <c r="M178" s="69"/>
      <c r="N178" s="69"/>
      <c r="O178" s="69"/>
      <c r="P178" s="19"/>
      <c r="Q178" s="19"/>
      <c r="R178" s="99">
        <v>175</v>
      </c>
    </row>
    <row r="179" spans="1:18" ht="20" x14ac:dyDescent="0.2">
      <c r="A179" s="58"/>
      <c r="B179" s="151" t="s">
        <v>1660</v>
      </c>
      <c r="C179" s="51" t="s">
        <v>3418</v>
      </c>
      <c r="D179" s="33" t="s">
        <v>106</v>
      </c>
      <c r="E179" s="33"/>
      <c r="F179" s="33"/>
      <c r="G179" s="33" t="s">
        <v>2876</v>
      </c>
      <c r="H179" s="237" t="s">
        <v>1545</v>
      </c>
      <c r="I179" s="2">
        <v>138</v>
      </c>
      <c r="J179" s="2">
        <v>25</v>
      </c>
      <c r="K179" s="1">
        <v>10.6</v>
      </c>
      <c r="L179" s="1">
        <v>13.3</v>
      </c>
      <c r="M179" s="131">
        <v>0.9</v>
      </c>
      <c r="N179" s="1">
        <f>K179*$M179</f>
        <v>9.5399999999999991</v>
      </c>
      <c r="O179" s="1">
        <f>L179*$M179</f>
        <v>11.97</v>
      </c>
      <c r="P179" s="19"/>
      <c r="Q179" s="19"/>
      <c r="R179" s="99">
        <v>176</v>
      </c>
    </row>
    <row r="180" spans="1:18" ht="20" x14ac:dyDescent="0.2">
      <c r="A180" s="58"/>
      <c r="B180" s="151" t="s">
        <v>1660</v>
      </c>
      <c r="C180" s="51" t="s">
        <v>3418</v>
      </c>
      <c r="D180" s="33" t="s">
        <v>106</v>
      </c>
      <c r="E180" s="33"/>
      <c r="F180" s="33"/>
      <c r="G180" s="33" t="s">
        <v>2876</v>
      </c>
      <c r="H180" s="237" t="s">
        <v>1549</v>
      </c>
      <c r="I180" s="2">
        <v>138</v>
      </c>
      <c r="J180" s="2">
        <v>25</v>
      </c>
      <c r="K180" s="1">
        <v>25</v>
      </c>
      <c r="L180" s="1">
        <v>30</v>
      </c>
      <c r="M180" s="131">
        <v>0.9</v>
      </c>
      <c r="N180" s="1">
        <f>K180*$M180</f>
        <v>22.5</v>
      </c>
      <c r="O180" s="1">
        <f>L180*$M180</f>
        <v>27</v>
      </c>
      <c r="P180" s="19"/>
      <c r="Q180" s="19"/>
      <c r="R180" s="99">
        <v>177</v>
      </c>
    </row>
    <row r="181" spans="1:18" ht="20" x14ac:dyDescent="0.2">
      <c r="A181" s="58"/>
      <c r="B181" s="151" t="s">
        <v>1661</v>
      </c>
      <c r="C181" s="51" t="s">
        <v>3638</v>
      </c>
      <c r="D181" s="33" t="s">
        <v>106</v>
      </c>
      <c r="E181" s="33"/>
      <c r="F181" s="33"/>
      <c r="G181" s="33" t="s">
        <v>2876</v>
      </c>
      <c r="H181" s="33"/>
      <c r="I181" s="99"/>
      <c r="J181" s="99"/>
      <c r="K181" s="69"/>
      <c r="L181" s="69"/>
      <c r="M181" s="69"/>
      <c r="N181" s="69"/>
      <c r="O181" s="69"/>
      <c r="P181" s="19"/>
      <c r="Q181" s="19"/>
      <c r="R181" s="99">
        <v>178</v>
      </c>
    </row>
    <row r="182" spans="1:18" ht="20" x14ac:dyDescent="0.2">
      <c r="A182" s="58"/>
      <c r="B182" s="151" t="s">
        <v>1662</v>
      </c>
      <c r="C182" s="51" t="s">
        <v>3639</v>
      </c>
      <c r="D182" s="33" t="s">
        <v>106</v>
      </c>
      <c r="E182" s="33"/>
      <c r="F182" s="33"/>
      <c r="G182" s="33" t="s">
        <v>2876</v>
      </c>
      <c r="H182" s="33"/>
      <c r="I182" s="99"/>
      <c r="J182" s="99"/>
      <c r="K182" s="69"/>
      <c r="L182" s="69"/>
      <c r="M182" s="69"/>
      <c r="N182" s="69"/>
      <c r="O182" s="69"/>
      <c r="P182" s="19"/>
      <c r="Q182" s="19"/>
      <c r="R182" s="99">
        <v>179</v>
      </c>
    </row>
    <row r="183" spans="1:18" ht="20" x14ac:dyDescent="0.2">
      <c r="A183" s="58"/>
      <c r="B183" s="151" t="s">
        <v>1663</v>
      </c>
      <c r="C183" s="51" t="s">
        <v>3640</v>
      </c>
      <c r="D183" s="33" t="s">
        <v>106</v>
      </c>
      <c r="E183" s="33"/>
      <c r="F183" s="33"/>
      <c r="G183" s="33" t="s">
        <v>2876</v>
      </c>
      <c r="H183" s="33"/>
      <c r="I183" s="99"/>
      <c r="J183" s="99"/>
      <c r="K183" s="69"/>
      <c r="L183" s="69"/>
      <c r="M183" s="69"/>
      <c r="N183" s="69"/>
      <c r="O183" s="69"/>
      <c r="P183" s="19"/>
      <c r="Q183" s="19"/>
      <c r="R183" s="99">
        <v>180</v>
      </c>
    </row>
    <row r="184" spans="1:18" ht="20" x14ac:dyDescent="0.2">
      <c r="A184" s="58"/>
      <c r="B184" s="151" t="s">
        <v>1664</v>
      </c>
      <c r="C184" s="51" t="s">
        <v>3378</v>
      </c>
      <c r="D184" s="33" t="s">
        <v>106</v>
      </c>
      <c r="E184" s="33"/>
      <c r="F184" s="33"/>
      <c r="G184" s="33" t="s">
        <v>2876</v>
      </c>
      <c r="H184" s="237" t="s">
        <v>1549</v>
      </c>
      <c r="I184" s="2">
        <v>230</v>
      </c>
      <c r="J184" s="2">
        <v>12</v>
      </c>
      <c r="K184" s="1">
        <v>157.5</v>
      </c>
      <c r="L184" s="1">
        <v>200</v>
      </c>
      <c r="M184" s="131">
        <v>0.9</v>
      </c>
      <c r="N184" s="1">
        <f>K184*$M184</f>
        <v>141.75</v>
      </c>
      <c r="O184" s="1">
        <f>L184*$M184</f>
        <v>180</v>
      </c>
      <c r="P184" s="19"/>
      <c r="Q184" s="19"/>
      <c r="R184" s="99">
        <v>181</v>
      </c>
    </row>
    <row r="185" spans="1:18" ht="20" x14ac:dyDescent="0.2">
      <c r="A185" s="58"/>
      <c r="B185" s="151" t="s">
        <v>1664</v>
      </c>
      <c r="C185" s="51" t="s">
        <v>3378</v>
      </c>
      <c r="D185" s="33" t="s">
        <v>106</v>
      </c>
      <c r="E185" s="33"/>
      <c r="F185" s="33"/>
      <c r="G185" s="33" t="s">
        <v>2876</v>
      </c>
      <c r="H185" s="237" t="s">
        <v>1557</v>
      </c>
      <c r="I185" s="2">
        <v>230</v>
      </c>
      <c r="J185" s="2">
        <v>12</v>
      </c>
      <c r="K185" s="1">
        <v>168</v>
      </c>
      <c r="L185" s="1">
        <v>200</v>
      </c>
      <c r="M185" s="131">
        <v>0.9</v>
      </c>
      <c r="N185" s="1">
        <f>K185*$M185</f>
        <v>151.20000000000002</v>
      </c>
      <c r="O185" s="1">
        <f>L185*$M185</f>
        <v>180</v>
      </c>
      <c r="P185" s="19"/>
      <c r="Q185" s="19"/>
      <c r="R185" s="99">
        <v>182</v>
      </c>
    </row>
    <row r="186" spans="1:18" ht="20" x14ac:dyDescent="0.2">
      <c r="A186" s="58"/>
      <c r="B186" s="151" t="s">
        <v>1665</v>
      </c>
      <c r="C186" s="51" t="s">
        <v>3637</v>
      </c>
      <c r="D186" s="33" t="s">
        <v>106</v>
      </c>
      <c r="E186" s="33"/>
      <c r="F186" s="33"/>
      <c r="G186" s="33" t="s">
        <v>2876</v>
      </c>
      <c r="H186" s="33"/>
      <c r="I186" s="99"/>
      <c r="J186" s="99"/>
      <c r="K186" s="69"/>
      <c r="L186" s="69"/>
      <c r="M186" s="69"/>
      <c r="N186" s="69"/>
      <c r="O186" s="69"/>
      <c r="P186" s="19"/>
      <c r="Q186" s="19"/>
      <c r="R186" s="99">
        <v>183</v>
      </c>
    </row>
    <row r="187" spans="1:18" ht="20" x14ac:dyDescent="0.2">
      <c r="A187" s="58"/>
      <c r="B187" s="151" t="s">
        <v>2306</v>
      </c>
      <c r="C187" s="51" t="s">
        <v>3119</v>
      </c>
      <c r="D187" s="33" t="s">
        <v>106</v>
      </c>
      <c r="E187" s="33">
        <v>50.675080800000003</v>
      </c>
      <c r="F187" s="33">
        <v>-123.9602757</v>
      </c>
      <c r="G187" s="33" t="s">
        <v>2876</v>
      </c>
      <c r="H187" s="33"/>
      <c r="I187" s="236"/>
      <c r="J187" s="236"/>
      <c r="K187" s="69"/>
      <c r="L187" s="69"/>
      <c r="M187" s="69"/>
      <c r="N187" s="69"/>
      <c r="O187" s="69"/>
      <c r="P187" s="19"/>
      <c r="Q187" s="19"/>
      <c r="R187" s="99">
        <v>184</v>
      </c>
    </row>
    <row r="188" spans="1:18" ht="20" x14ac:dyDescent="0.2">
      <c r="A188" s="58"/>
      <c r="B188" s="151" t="s">
        <v>1666</v>
      </c>
      <c r="C188" s="51" t="s">
        <v>3641</v>
      </c>
      <c r="D188" s="33" t="s">
        <v>106</v>
      </c>
      <c r="E188" s="33"/>
      <c r="F188" s="33"/>
      <c r="G188" s="33" t="s">
        <v>2876</v>
      </c>
      <c r="H188" s="33"/>
      <c r="I188" s="99"/>
      <c r="J188" s="99"/>
      <c r="K188" s="69"/>
      <c r="L188" s="69"/>
      <c r="M188" s="69"/>
      <c r="N188" s="69"/>
      <c r="O188" s="69"/>
      <c r="P188" s="19"/>
      <c r="Q188" s="19"/>
      <c r="R188" s="99">
        <v>185</v>
      </c>
    </row>
    <row r="189" spans="1:18" ht="20" x14ac:dyDescent="0.2">
      <c r="A189" s="58"/>
      <c r="B189" s="151" t="s">
        <v>1667</v>
      </c>
      <c r="C189" s="51" t="s">
        <v>3633</v>
      </c>
      <c r="D189" s="33" t="s">
        <v>106</v>
      </c>
      <c r="E189" s="33"/>
      <c r="F189" s="33"/>
      <c r="G189" s="33" t="s">
        <v>2876</v>
      </c>
      <c r="H189" s="33"/>
      <c r="I189" s="99"/>
      <c r="J189" s="99"/>
      <c r="K189" s="69"/>
      <c r="L189" s="69"/>
      <c r="M189" s="69"/>
      <c r="N189" s="69"/>
      <c r="O189" s="69"/>
      <c r="P189" s="19"/>
      <c r="Q189" s="19"/>
      <c r="R189" s="99">
        <v>186</v>
      </c>
    </row>
    <row r="190" spans="1:18" ht="20" x14ac:dyDescent="0.2">
      <c r="A190" s="58"/>
      <c r="B190" s="151" t="s">
        <v>1668</v>
      </c>
      <c r="C190" s="51" t="s">
        <v>3419</v>
      </c>
      <c r="D190" s="33" t="s">
        <v>106</v>
      </c>
      <c r="E190" s="33"/>
      <c r="F190" s="33"/>
      <c r="G190" s="33" t="s">
        <v>2876</v>
      </c>
      <c r="H190" s="33"/>
      <c r="I190" s="99"/>
      <c r="J190" s="99"/>
      <c r="K190" s="69"/>
      <c r="L190" s="69"/>
      <c r="M190" s="69"/>
      <c r="N190" s="69"/>
      <c r="O190" s="69"/>
      <c r="P190" s="19"/>
      <c r="Q190" s="19"/>
      <c r="R190" s="99">
        <v>187</v>
      </c>
    </row>
    <row r="191" spans="1:18" ht="20" x14ac:dyDescent="0.2">
      <c r="A191" s="58"/>
      <c r="B191" s="151" t="s">
        <v>1669</v>
      </c>
      <c r="C191" s="51" t="s">
        <v>3420</v>
      </c>
      <c r="D191" s="33" t="s">
        <v>106</v>
      </c>
      <c r="E191" s="33"/>
      <c r="F191" s="33"/>
      <c r="G191" s="33" t="s">
        <v>2876</v>
      </c>
      <c r="H191" s="33"/>
      <c r="I191" s="99"/>
      <c r="J191" s="99"/>
      <c r="K191" s="69"/>
      <c r="L191" s="69"/>
      <c r="M191" s="69"/>
      <c r="N191" s="69"/>
      <c r="O191" s="69"/>
      <c r="P191" s="19"/>
      <c r="Q191" s="19"/>
      <c r="R191" s="99">
        <v>188</v>
      </c>
    </row>
    <row r="192" spans="1:18" ht="20" x14ac:dyDescent="0.2">
      <c r="A192" s="58"/>
      <c r="B192" s="151" t="s">
        <v>1670</v>
      </c>
      <c r="C192" s="51" t="s">
        <v>3644</v>
      </c>
      <c r="D192" s="33" t="s">
        <v>106</v>
      </c>
      <c r="E192" s="33"/>
      <c r="F192" s="33"/>
      <c r="G192" s="33" t="s">
        <v>2876</v>
      </c>
      <c r="H192" s="33"/>
      <c r="I192" s="99"/>
      <c r="J192" s="99"/>
      <c r="K192" s="69"/>
      <c r="L192" s="69"/>
      <c r="M192" s="69"/>
      <c r="N192" s="69"/>
      <c r="O192" s="69"/>
      <c r="P192" s="19"/>
      <c r="Q192" s="19"/>
      <c r="R192" s="99">
        <v>189</v>
      </c>
    </row>
    <row r="193" spans="1:18" ht="20" x14ac:dyDescent="0.2">
      <c r="A193" s="58"/>
      <c r="B193" s="151" t="s">
        <v>1671</v>
      </c>
      <c r="C193" s="51" t="s">
        <v>3183</v>
      </c>
      <c r="D193" s="33" t="s">
        <v>106</v>
      </c>
      <c r="E193" s="33"/>
      <c r="F193" s="33"/>
      <c r="G193" s="33" t="s">
        <v>2876</v>
      </c>
      <c r="H193" s="237" t="s">
        <v>1545</v>
      </c>
      <c r="I193" s="290">
        <v>230</v>
      </c>
      <c r="J193" s="290">
        <v>25</v>
      </c>
      <c r="K193" s="1">
        <v>78.75</v>
      </c>
      <c r="L193" s="1">
        <v>99.75</v>
      </c>
      <c r="M193" s="131">
        <v>0.9</v>
      </c>
      <c r="N193" s="1">
        <f>K193*$M193</f>
        <v>70.875</v>
      </c>
      <c r="O193" s="1">
        <f>L193*$M193</f>
        <v>89.775000000000006</v>
      </c>
      <c r="P193" s="19"/>
      <c r="Q193" s="19"/>
      <c r="R193" s="99">
        <v>190</v>
      </c>
    </row>
    <row r="194" spans="1:18" ht="20" x14ac:dyDescent="0.2">
      <c r="A194" s="58"/>
      <c r="B194" s="151" t="s">
        <v>1671</v>
      </c>
      <c r="C194" s="51" t="s">
        <v>3183</v>
      </c>
      <c r="D194" s="33" t="s">
        <v>106</v>
      </c>
      <c r="E194" s="33"/>
      <c r="F194" s="33"/>
      <c r="G194" s="33" t="s">
        <v>2876</v>
      </c>
      <c r="H194" s="237" t="s">
        <v>1549</v>
      </c>
      <c r="I194" s="290">
        <v>230</v>
      </c>
      <c r="J194" s="290">
        <v>25</v>
      </c>
      <c r="K194" s="1">
        <v>78.75</v>
      </c>
      <c r="L194" s="1">
        <v>99.75</v>
      </c>
      <c r="M194" s="131">
        <v>0.9</v>
      </c>
      <c r="N194" s="1">
        <f>K194*$M194</f>
        <v>70.875</v>
      </c>
      <c r="O194" s="1">
        <f>L194*$M194</f>
        <v>89.775000000000006</v>
      </c>
      <c r="P194" s="19"/>
      <c r="Q194" s="19"/>
      <c r="R194" s="99">
        <v>191</v>
      </c>
    </row>
    <row r="195" spans="1:18" ht="20" x14ac:dyDescent="0.2">
      <c r="A195" s="58"/>
      <c r="B195" s="151" t="s">
        <v>1672</v>
      </c>
      <c r="C195" s="51" t="s">
        <v>3624</v>
      </c>
      <c r="D195" s="33" t="s">
        <v>106</v>
      </c>
      <c r="E195" s="33"/>
      <c r="F195" s="33"/>
      <c r="G195" s="33" t="s">
        <v>2876</v>
      </c>
      <c r="H195" s="33"/>
      <c r="I195" s="99"/>
      <c r="J195" s="99"/>
      <c r="K195" s="69"/>
      <c r="L195" s="69"/>
      <c r="M195" s="69"/>
      <c r="N195" s="69"/>
      <c r="O195" s="69"/>
      <c r="P195" s="19"/>
      <c r="Q195" s="19"/>
      <c r="R195" s="99">
        <v>192</v>
      </c>
    </row>
    <row r="196" spans="1:18" ht="20" x14ac:dyDescent="0.2">
      <c r="A196" s="58"/>
      <c r="B196" s="151" t="s">
        <v>1673</v>
      </c>
      <c r="C196" s="51" t="s">
        <v>3643</v>
      </c>
      <c r="D196" s="33" t="s">
        <v>106</v>
      </c>
      <c r="E196" s="33"/>
      <c r="F196" s="33"/>
      <c r="G196" s="33" t="s">
        <v>2876</v>
      </c>
      <c r="H196" s="33"/>
      <c r="I196" s="99"/>
      <c r="J196" s="99"/>
      <c r="K196" s="69"/>
      <c r="L196" s="69"/>
      <c r="M196" s="69"/>
      <c r="N196" s="69"/>
      <c r="O196" s="69"/>
      <c r="P196" s="19"/>
      <c r="Q196" s="19"/>
      <c r="R196" s="99">
        <v>193</v>
      </c>
    </row>
    <row r="197" spans="1:18" ht="20" x14ac:dyDescent="0.2">
      <c r="A197" s="58"/>
      <c r="B197" s="151" t="s">
        <v>2368</v>
      </c>
      <c r="C197" s="51" t="s">
        <v>3120</v>
      </c>
      <c r="D197" s="33" t="s">
        <v>106</v>
      </c>
      <c r="E197" s="33">
        <v>54.489317</v>
      </c>
      <c r="F197" s="33">
        <v>-124.21527500000001</v>
      </c>
      <c r="G197" s="33" t="s">
        <v>2876</v>
      </c>
      <c r="H197" s="33"/>
      <c r="I197" s="236"/>
      <c r="J197" s="236"/>
      <c r="K197" s="69"/>
      <c r="L197" s="69"/>
      <c r="M197" s="69"/>
      <c r="N197" s="69"/>
      <c r="O197" s="69"/>
      <c r="P197" s="19"/>
      <c r="Q197" s="19"/>
      <c r="R197" s="99">
        <v>194</v>
      </c>
    </row>
    <row r="198" spans="1:18" ht="20" x14ac:dyDescent="0.2">
      <c r="A198" s="58"/>
      <c r="B198" s="151" t="s">
        <v>1674</v>
      </c>
      <c r="C198" s="51" t="s">
        <v>3422</v>
      </c>
      <c r="D198" s="33" t="s">
        <v>106</v>
      </c>
      <c r="E198" s="33"/>
      <c r="F198" s="33"/>
      <c r="G198" s="33" t="s">
        <v>2876</v>
      </c>
      <c r="H198" s="237" t="s">
        <v>1545</v>
      </c>
      <c r="I198" s="2">
        <v>66</v>
      </c>
      <c r="J198" s="2">
        <v>25</v>
      </c>
      <c r="K198" s="1">
        <v>46.8</v>
      </c>
      <c r="L198" s="1">
        <v>55.3</v>
      </c>
      <c r="M198" s="131">
        <v>0.9</v>
      </c>
      <c r="N198" s="1">
        <f t="shared" ref="N198:O202" si="15">K198*$M198</f>
        <v>42.12</v>
      </c>
      <c r="O198" s="1">
        <f t="shared" si="15"/>
        <v>49.769999999999996</v>
      </c>
      <c r="P198" s="19"/>
      <c r="Q198" s="19"/>
      <c r="R198" s="99">
        <v>195</v>
      </c>
    </row>
    <row r="199" spans="1:18" ht="20" x14ac:dyDescent="0.2">
      <c r="A199" s="58"/>
      <c r="B199" s="151" t="s">
        <v>1674</v>
      </c>
      <c r="C199" s="51" t="s">
        <v>3422</v>
      </c>
      <c r="D199" s="33" t="s">
        <v>106</v>
      </c>
      <c r="E199" s="33"/>
      <c r="F199" s="33"/>
      <c r="G199" s="33" t="s">
        <v>2876</v>
      </c>
      <c r="H199" s="237" t="s">
        <v>1549</v>
      </c>
      <c r="I199" s="2">
        <v>66</v>
      </c>
      <c r="J199" s="2">
        <v>25</v>
      </c>
      <c r="K199" s="1">
        <v>42</v>
      </c>
      <c r="L199" s="1">
        <v>53.2</v>
      </c>
      <c r="M199" s="131">
        <v>0.9</v>
      </c>
      <c r="N199" s="1">
        <f t="shared" si="15"/>
        <v>37.800000000000004</v>
      </c>
      <c r="O199" s="1">
        <f t="shared" si="15"/>
        <v>47.88</v>
      </c>
      <c r="P199" s="19"/>
      <c r="Q199" s="19"/>
      <c r="R199" s="99">
        <v>196</v>
      </c>
    </row>
    <row r="200" spans="1:18" ht="20" x14ac:dyDescent="0.2">
      <c r="A200" s="58"/>
      <c r="B200" s="151" t="s">
        <v>1675</v>
      </c>
      <c r="C200" s="51" t="s">
        <v>3247</v>
      </c>
      <c r="D200" s="33" t="s">
        <v>106</v>
      </c>
      <c r="E200" s="33"/>
      <c r="F200" s="33"/>
      <c r="G200" s="33" t="s">
        <v>2876</v>
      </c>
      <c r="H200" s="237" t="s">
        <v>1545</v>
      </c>
      <c r="I200" s="2">
        <v>138</v>
      </c>
      <c r="J200" s="2">
        <v>25</v>
      </c>
      <c r="K200" s="1">
        <v>78.75</v>
      </c>
      <c r="L200" s="1">
        <v>100</v>
      </c>
      <c r="M200" s="131">
        <v>0.9</v>
      </c>
      <c r="N200" s="1">
        <f t="shared" si="15"/>
        <v>70.875</v>
      </c>
      <c r="O200" s="1">
        <f t="shared" si="15"/>
        <v>90</v>
      </c>
      <c r="P200" s="19"/>
      <c r="Q200" s="19"/>
      <c r="R200" s="99">
        <v>197</v>
      </c>
    </row>
    <row r="201" spans="1:18" ht="20" x14ac:dyDescent="0.2">
      <c r="A201" s="58"/>
      <c r="B201" s="151" t="s">
        <v>1675</v>
      </c>
      <c r="C201" s="51" t="s">
        <v>3247</v>
      </c>
      <c r="D201" s="33" t="s">
        <v>106</v>
      </c>
      <c r="E201" s="33"/>
      <c r="F201" s="33"/>
      <c r="G201" s="33" t="s">
        <v>2876</v>
      </c>
      <c r="H201" s="237" t="s">
        <v>1549</v>
      </c>
      <c r="I201" s="2">
        <v>138</v>
      </c>
      <c r="J201" s="2">
        <v>25</v>
      </c>
      <c r="K201" s="1">
        <v>56</v>
      </c>
      <c r="L201" s="1">
        <v>66.5</v>
      </c>
      <c r="M201" s="131">
        <v>0.9</v>
      </c>
      <c r="N201" s="1">
        <f t="shared" si="15"/>
        <v>50.4</v>
      </c>
      <c r="O201" s="1">
        <f t="shared" si="15"/>
        <v>59.85</v>
      </c>
      <c r="P201" s="19"/>
      <c r="Q201" s="19"/>
      <c r="R201" s="99">
        <v>198</v>
      </c>
    </row>
    <row r="202" spans="1:18" ht="20" x14ac:dyDescent="0.2">
      <c r="A202" s="58"/>
      <c r="B202" s="151" t="s">
        <v>1675</v>
      </c>
      <c r="C202" s="51" t="s">
        <v>3247</v>
      </c>
      <c r="D202" s="33" t="s">
        <v>106</v>
      </c>
      <c r="E202" s="33"/>
      <c r="F202" s="33"/>
      <c r="G202" s="33" t="s">
        <v>2876</v>
      </c>
      <c r="H202" s="237" t="s">
        <v>1550</v>
      </c>
      <c r="I202" s="2">
        <v>138</v>
      </c>
      <c r="J202" s="2">
        <v>25</v>
      </c>
      <c r="K202" s="1">
        <v>56</v>
      </c>
      <c r="L202" s="1">
        <v>66.5</v>
      </c>
      <c r="M202" s="131">
        <v>0.9</v>
      </c>
      <c r="N202" s="1">
        <f t="shared" si="15"/>
        <v>50.4</v>
      </c>
      <c r="O202" s="1">
        <f t="shared" si="15"/>
        <v>59.85</v>
      </c>
      <c r="P202" s="19"/>
      <c r="Q202" s="19"/>
      <c r="R202" s="99">
        <v>199</v>
      </c>
    </row>
    <row r="203" spans="1:18" ht="20" x14ac:dyDescent="0.2">
      <c r="A203" s="58"/>
      <c r="B203" s="151" t="s">
        <v>2307</v>
      </c>
      <c r="C203" s="51" t="s">
        <v>3121</v>
      </c>
      <c r="D203" s="33" t="s">
        <v>106</v>
      </c>
      <c r="E203" s="33">
        <v>56.7171618</v>
      </c>
      <c r="F203" s="33">
        <v>-130.6866014</v>
      </c>
      <c r="G203" s="33" t="s">
        <v>2876</v>
      </c>
      <c r="H203" s="33"/>
      <c r="I203" s="236"/>
      <c r="J203" s="236"/>
      <c r="K203" s="69"/>
      <c r="L203" s="69"/>
      <c r="M203" s="69"/>
      <c r="N203" s="69"/>
      <c r="O203" s="69"/>
      <c r="P203" s="19"/>
      <c r="Q203" s="19"/>
      <c r="R203" s="99">
        <v>200</v>
      </c>
    </row>
    <row r="204" spans="1:18" ht="20" x14ac:dyDescent="0.2">
      <c r="A204" s="58"/>
      <c r="B204" s="151" t="s">
        <v>1956</v>
      </c>
      <c r="C204" s="51" t="s">
        <v>3122</v>
      </c>
      <c r="D204" s="33" t="s">
        <v>106</v>
      </c>
      <c r="E204" s="33">
        <v>53.983530700000003</v>
      </c>
      <c r="F204" s="33">
        <v>-129.7342438</v>
      </c>
      <c r="G204" s="33" t="s">
        <v>2876</v>
      </c>
      <c r="H204" s="33"/>
      <c r="I204" s="236"/>
      <c r="J204" s="236"/>
      <c r="K204" s="69"/>
      <c r="L204" s="69"/>
      <c r="M204" s="69"/>
      <c r="N204" s="69"/>
      <c r="O204" s="69"/>
      <c r="P204" s="19"/>
      <c r="Q204" s="19"/>
      <c r="R204" s="99">
        <v>201</v>
      </c>
    </row>
    <row r="205" spans="1:18" ht="20" x14ac:dyDescent="0.2">
      <c r="A205" s="58"/>
      <c r="B205" s="151" t="s">
        <v>1676</v>
      </c>
      <c r="C205" s="51" t="s">
        <v>3248</v>
      </c>
      <c r="D205" s="33" t="s">
        <v>106</v>
      </c>
      <c r="E205" s="33"/>
      <c r="F205" s="33"/>
      <c r="G205" s="33" t="s">
        <v>2876</v>
      </c>
      <c r="H205" s="237" t="s">
        <v>1545</v>
      </c>
      <c r="I205" s="2">
        <v>230</v>
      </c>
      <c r="J205" s="2">
        <v>25</v>
      </c>
      <c r="K205" s="1">
        <v>158</v>
      </c>
      <c r="L205" s="1">
        <v>200</v>
      </c>
      <c r="M205" s="131">
        <v>0.9</v>
      </c>
      <c r="N205" s="1">
        <f t="shared" ref="N205:O208" si="16">K205*$M205</f>
        <v>142.20000000000002</v>
      </c>
      <c r="O205" s="1">
        <f t="shared" si="16"/>
        <v>180</v>
      </c>
      <c r="P205" s="19"/>
      <c r="Q205" s="19"/>
      <c r="R205" s="99">
        <v>202</v>
      </c>
    </row>
    <row r="206" spans="1:18" ht="20" x14ac:dyDescent="0.2">
      <c r="A206" s="58"/>
      <c r="B206" s="151" t="s">
        <v>1676</v>
      </c>
      <c r="C206" s="51" t="s">
        <v>3248</v>
      </c>
      <c r="D206" s="33" t="s">
        <v>106</v>
      </c>
      <c r="E206" s="33"/>
      <c r="F206" s="33"/>
      <c r="G206" s="33" t="s">
        <v>2876</v>
      </c>
      <c r="H206" s="237" t="s">
        <v>1549</v>
      </c>
      <c r="I206" s="2">
        <v>230</v>
      </c>
      <c r="J206" s="2">
        <v>25</v>
      </c>
      <c r="K206" s="1">
        <v>158</v>
      </c>
      <c r="L206" s="1">
        <v>200</v>
      </c>
      <c r="M206" s="131">
        <v>0.9</v>
      </c>
      <c r="N206" s="1">
        <f t="shared" si="16"/>
        <v>142.20000000000002</v>
      </c>
      <c r="O206" s="1">
        <f t="shared" si="16"/>
        <v>180</v>
      </c>
      <c r="P206" s="19"/>
      <c r="Q206" s="19"/>
      <c r="R206" s="99">
        <v>203</v>
      </c>
    </row>
    <row r="207" spans="1:18" ht="20" x14ac:dyDescent="0.2">
      <c r="A207" s="58"/>
      <c r="B207" s="151" t="s">
        <v>1677</v>
      </c>
      <c r="C207" s="51" t="s">
        <v>3249</v>
      </c>
      <c r="D207" s="33" t="s">
        <v>106</v>
      </c>
      <c r="E207" s="33"/>
      <c r="F207" s="33"/>
      <c r="G207" s="33" t="s">
        <v>2876</v>
      </c>
      <c r="H207" s="237" t="s">
        <v>1545</v>
      </c>
      <c r="I207" s="2">
        <v>66</v>
      </c>
      <c r="J207" s="2">
        <v>25</v>
      </c>
      <c r="K207" s="1">
        <v>13.75</v>
      </c>
      <c r="L207" s="1">
        <v>16.600000000000001</v>
      </c>
      <c r="M207" s="131">
        <v>0.9</v>
      </c>
      <c r="N207" s="1">
        <f t="shared" si="16"/>
        <v>12.375</v>
      </c>
      <c r="O207" s="1">
        <f t="shared" si="16"/>
        <v>14.940000000000001</v>
      </c>
      <c r="P207" s="19"/>
      <c r="Q207" s="19"/>
      <c r="R207" s="99">
        <v>204</v>
      </c>
    </row>
    <row r="208" spans="1:18" ht="20" x14ac:dyDescent="0.2">
      <c r="A208" s="58"/>
      <c r="B208" s="151" t="s">
        <v>1677</v>
      </c>
      <c r="C208" s="51" t="s">
        <v>3249</v>
      </c>
      <c r="D208" s="33" t="s">
        <v>106</v>
      </c>
      <c r="E208" s="33"/>
      <c r="F208" s="33"/>
      <c r="G208" s="33" t="s">
        <v>2876</v>
      </c>
      <c r="H208" s="237" t="s">
        <v>1549</v>
      </c>
      <c r="I208" s="2">
        <v>66</v>
      </c>
      <c r="J208" s="2">
        <v>25</v>
      </c>
      <c r="K208" s="1">
        <v>28</v>
      </c>
      <c r="L208" s="1">
        <v>33.299999999999997</v>
      </c>
      <c r="M208" s="131">
        <v>0.9</v>
      </c>
      <c r="N208" s="1">
        <f t="shared" si="16"/>
        <v>25.2</v>
      </c>
      <c r="O208" s="1">
        <f t="shared" si="16"/>
        <v>29.97</v>
      </c>
      <c r="P208" s="19"/>
      <c r="Q208" s="19"/>
      <c r="R208" s="99">
        <v>205</v>
      </c>
    </row>
    <row r="209" spans="1:18" ht="20" x14ac:dyDescent="0.2">
      <c r="A209" s="58"/>
      <c r="B209" s="151" t="s">
        <v>1678</v>
      </c>
      <c r="C209" s="51" t="s">
        <v>3645</v>
      </c>
      <c r="D209" s="33" t="s">
        <v>106</v>
      </c>
      <c r="E209" s="33"/>
      <c r="F209" s="33"/>
      <c r="G209" s="33" t="s">
        <v>2876</v>
      </c>
      <c r="H209" s="33"/>
      <c r="I209" s="99"/>
      <c r="J209" s="99"/>
      <c r="K209" s="69"/>
      <c r="L209" s="69"/>
      <c r="M209" s="69"/>
      <c r="N209" s="69"/>
      <c r="O209" s="69"/>
      <c r="P209" s="19"/>
      <c r="Q209" s="19"/>
      <c r="R209" s="99">
        <v>206</v>
      </c>
    </row>
    <row r="210" spans="1:18" ht="20" x14ac:dyDescent="0.2">
      <c r="A210" s="58"/>
      <c r="B210" s="151" t="s">
        <v>1679</v>
      </c>
      <c r="C210" s="51" t="s">
        <v>3425</v>
      </c>
      <c r="D210" s="33" t="s">
        <v>106</v>
      </c>
      <c r="E210" s="33"/>
      <c r="F210" s="33"/>
      <c r="G210" s="33" t="s">
        <v>2876</v>
      </c>
      <c r="H210" s="237" t="s">
        <v>1545</v>
      </c>
      <c r="I210" s="2">
        <v>60</v>
      </c>
      <c r="J210" s="2">
        <v>12</v>
      </c>
      <c r="K210" s="1">
        <v>4</v>
      </c>
      <c r="L210" s="1">
        <v>4.8</v>
      </c>
      <c r="M210" s="131">
        <v>0.9</v>
      </c>
      <c r="N210" s="1">
        <f>K210*$M210</f>
        <v>3.6</v>
      </c>
      <c r="O210" s="1">
        <f>L210*$M210</f>
        <v>4.32</v>
      </c>
      <c r="P210" s="19"/>
      <c r="Q210" s="19"/>
      <c r="R210" s="99">
        <v>207</v>
      </c>
    </row>
    <row r="211" spans="1:18" ht="20" x14ac:dyDescent="0.2">
      <c r="A211" s="58"/>
      <c r="B211" s="151" t="s">
        <v>1679</v>
      </c>
      <c r="C211" s="51" t="s">
        <v>3425</v>
      </c>
      <c r="D211" s="33" t="s">
        <v>106</v>
      </c>
      <c r="E211" s="33"/>
      <c r="F211" s="33"/>
      <c r="G211" s="33" t="s">
        <v>2876</v>
      </c>
      <c r="H211" s="237" t="s">
        <v>1549</v>
      </c>
      <c r="I211" s="2">
        <v>60</v>
      </c>
      <c r="J211" s="2">
        <v>12</v>
      </c>
      <c r="K211" s="1">
        <v>12.5</v>
      </c>
      <c r="L211" s="1">
        <v>15</v>
      </c>
      <c r="M211" s="131">
        <v>0.9</v>
      </c>
      <c r="N211" s="1">
        <f>K211*$M211</f>
        <v>11.25</v>
      </c>
      <c r="O211" s="1">
        <f>L211*$M211</f>
        <v>13.5</v>
      </c>
      <c r="P211" s="19"/>
      <c r="Q211" s="19"/>
      <c r="R211" s="99">
        <v>208</v>
      </c>
    </row>
    <row r="212" spans="1:18" ht="20" x14ac:dyDescent="0.2">
      <c r="A212" s="58"/>
      <c r="B212" s="151" t="s">
        <v>1680</v>
      </c>
      <c r="C212" s="51" t="s">
        <v>3652</v>
      </c>
      <c r="D212" s="33" t="s">
        <v>106</v>
      </c>
      <c r="E212" s="33"/>
      <c r="F212" s="33"/>
      <c r="G212" s="33" t="s">
        <v>2876</v>
      </c>
      <c r="H212" s="33"/>
      <c r="I212" s="99"/>
      <c r="J212" s="99"/>
      <c r="K212" s="69"/>
      <c r="L212" s="69"/>
      <c r="M212" s="69"/>
      <c r="N212" s="69"/>
      <c r="O212" s="69"/>
      <c r="P212" s="19"/>
      <c r="Q212" s="19"/>
      <c r="R212" s="99">
        <v>209</v>
      </c>
    </row>
    <row r="213" spans="1:18" ht="20" x14ac:dyDescent="0.2">
      <c r="A213" s="58"/>
      <c r="B213" s="151" t="s">
        <v>1681</v>
      </c>
      <c r="C213" s="51" t="s">
        <v>3250</v>
      </c>
      <c r="D213" s="33" t="s">
        <v>106</v>
      </c>
      <c r="E213" s="33"/>
      <c r="F213" s="33"/>
      <c r="G213" s="33" t="s">
        <v>2876</v>
      </c>
      <c r="H213" s="237" t="s">
        <v>1545</v>
      </c>
      <c r="I213" s="2">
        <v>60</v>
      </c>
      <c r="J213" s="2">
        <v>25</v>
      </c>
      <c r="K213" s="1">
        <v>25</v>
      </c>
      <c r="L213" s="1">
        <v>30</v>
      </c>
      <c r="M213" s="131">
        <v>0.9</v>
      </c>
      <c r="N213" s="1">
        <f>K213*$M213</f>
        <v>22.5</v>
      </c>
      <c r="O213" s="1">
        <f>L213*$M213</f>
        <v>27</v>
      </c>
      <c r="P213" s="19"/>
      <c r="Q213" s="19"/>
      <c r="R213" s="99">
        <v>210</v>
      </c>
    </row>
    <row r="214" spans="1:18" ht="20" x14ac:dyDescent="0.2">
      <c r="A214" s="58"/>
      <c r="B214" s="151" t="s">
        <v>1681</v>
      </c>
      <c r="C214" s="51" t="s">
        <v>3250</v>
      </c>
      <c r="D214" s="33" t="s">
        <v>106</v>
      </c>
      <c r="E214" s="33"/>
      <c r="F214" s="33"/>
      <c r="G214" s="33" t="s">
        <v>2876</v>
      </c>
      <c r="H214" s="237" t="s">
        <v>1549</v>
      </c>
      <c r="I214" s="2">
        <v>60</v>
      </c>
      <c r="J214" s="2">
        <v>25</v>
      </c>
      <c r="K214" s="1">
        <v>26.2</v>
      </c>
      <c r="L214" s="1">
        <v>33.299999999999997</v>
      </c>
      <c r="M214" s="131">
        <v>0.9</v>
      </c>
      <c r="N214" s="1">
        <f>K214*$M214</f>
        <v>23.58</v>
      </c>
      <c r="O214" s="1">
        <f>L214*$M214</f>
        <v>29.97</v>
      </c>
      <c r="P214" s="19"/>
      <c r="Q214" s="19"/>
      <c r="R214" s="99">
        <v>211</v>
      </c>
    </row>
    <row r="215" spans="1:18" ht="20" x14ac:dyDescent="0.2">
      <c r="A215" s="58"/>
      <c r="B215" s="151" t="s">
        <v>1682</v>
      </c>
      <c r="C215" s="51" t="s">
        <v>3123</v>
      </c>
      <c r="D215" s="33" t="s">
        <v>106</v>
      </c>
      <c r="E215" s="33">
        <v>58.800980000000003</v>
      </c>
      <c r="F215" s="33">
        <v>-122.756204</v>
      </c>
      <c r="G215" s="33" t="s">
        <v>2876</v>
      </c>
      <c r="H215" s="33"/>
      <c r="I215" s="236"/>
      <c r="J215" s="236"/>
      <c r="K215" s="69"/>
      <c r="L215" s="69"/>
      <c r="M215" s="69"/>
      <c r="N215" s="69"/>
      <c r="O215" s="69"/>
      <c r="P215" s="19"/>
      <c r="Q215" s="19"/>
      <c r="R215" s="99">
        <v>212</v>
      </c>
    </row>
    <row r="216" spans="1:18" ht="20" x14ac:dyDescent="0.2">
      <c r="A216" s="58"/>
      <c r="B216" s="151" t="s">
        <v>1683</v>
      </c>
      <c r="C216" s="51" t="s">
        <v>3427</v>
      </c>
      <c r="D216" s="33" t="s">
        <v>106</v>
      </c>
      <c r="E216" s="33"/>
      <c r="F216" s="33"/>
      <c r="G216" s="33" t="s">
        <v>2876</v>
      </c>
      <c r="H216" s="237" t="s">
        <v>1545</v>
      </c>
      <c r="I216" s="2">
        <v>138</v>
      </c>
      <c r="J216" s="2">
        <v>25</v>
      </c>
      <c r="K216" s="1">
        <v>26.3</v>
      </c>
      <c r="L216" s="1">
        <v>33.299999999999997</v>
      </c>
      <c r="M216" s="131">
        <v>0.9</v>
      </c>
      <c r="N216" s="1">
        <f>K216*$M216</f>
        <v>23.67</v>
      </c>
      <c r="O216" s="1">
        <f>L216*$M216</f>
        <v>29.97</v>
      </c>
      <c r="P216" s="19"/>
      <c r="Q216" s="19"/>
      <c r="R216" s="99">
        <v>213</v>
      </c>
    </row>
    <row r="217" spans="1:18" ht="20" x14ac:dyDescent="0.2">
      <c r="A217" s="58"/>
      <c r="B217" s="151" t="s">
        <v>1683</v>
      </c>
      <c r="C217" s="51" t="s">
        <v>3427</v>
      </c>
      <c r="D217" s="33" t="s">
        <v>106</v>
      </c>
      <c r="E217" s="33"/>
      <c r="F217" s="33"/>
      <c r="G217" s="33" t="s">
        <v>2876</v>
      </c>
      <c r="H217" s="237" t="s">
        <v>1549</v>
      </c>
      <c r="I217" s="2">
        <v>138</v>
      </c>
      <c r="J217" s="2">
        <v>25</v>
      </c>
      <c r="K217" s="1">
        <v>26.3</v>
      </c>
      <c r="L217" s="1">
        <v>33.299999999999997</v>
      </c>
      <c r="M217" s="131">
        <v>0.9</v>
      </c>
      <c r="N217" s="1">
        <f>K217*$M217</f>
        <v>23.67</v>
      </c>
      <c r="O217" s="1">
        <f>L217*$M217</f>
        <v>29.97</v>
      </c>
      <c r="P217" s="19"/>
      <c r="Q217" s="19"/>
      <c r="R217" s="99">
        <v>214</v>
      </c>
    </row>
    <row r="218" spans="1:18" ht="20" x14ac:dyDescent="0.2">
      <c r="A218" s="58"/>
      <c r="B218" s="151" t="s">
        <v>1684</v>
      </c>
      <c r="C218" s="51" t="s">
        <v>3428</v>
      </c>
      <c r="D218" s="33" t="s">
        <v>106</v>
      </c>
      <c r="E218" s="33"/>
      <c r="F218" s="33"/>
      <c r="G218" s="33" t="s">
        <v>2876</v>
      </c>
      <c r="H218" s="33"/>
      <c r="I218" s="99"/>
      <c r="J218" s="99"/>
      <c r="K218" s="69"/>
      <c r="L218" s="69"/>
      <c r="M218" s="69"/>
      <c r="N218" s="69"/>
      <c r="O218" s="69"/>
      <c r="P218" s="19"/>
      <c r="Q218" s="19"/>
      <c r="R218" s="99">
        <v>215</v>
      </c>
    </row>
    <row r="219" spans="1:18" ht="20" x14ac:dyDescent="0.2">
      <c r="A219" s="58"/>
      <c r="B219" s="151" t="s">
        <v>213</v>
      </c>
      <c r="C219" s="51" t="s">
        <v>3429</v>
      </c>
      <c r="D219" s="33" t="s">
        <v>106</v>
      </c>
      <c r="E219" s="33"/>
      <c r="F219" s="33"/>
      <c r="G219" s="33" t="s">
        <v>2876</v>
      </c>
      <c r="H219" s="237" t="s">
        <v>1545</v>
      </c>
      <c r="I219" s="2">
        <v>60</v>
      </c>
      <c r="J219" s="2">
        <v>25</v>
      </c>
      <c r="K219" s="1">
        <v>2.67</v>
      </c>
      <c r="L219" s="1">
        <v>3.2</v>
      </c>
      <c r="M219" s="131">
        <v>0.9</v>
      </c>
      <c r="N219" s="1">
        <f>K219*$M219</f>
        <v>2.403</v>
      </c>
      <c r="O219" s="1">
        <f>L219*$M219</f>
        <v>2.8800000000000003</v>
      </c>
      <c r="P219" s="19"/>
      <c r="Q219" s="19"/>
      <c r="R219" s="99">
        <v>216</v>
      </c>
    </row>
    <row r="220" spans="1:18" ht="20" x14ac:dyDescent="0.2">
      <c r="A220" s="58"/>
      <c r="B220" s="151" t="s">
        <v>2308</v>
      </c>
      <c r="C220" s="51" t="s">
        <v>3124</v>
      </c>
      <c r="D220" s="33" t="s">
        <v>106</v>
      </c>
      <c r="E220" s="33">
        <v>49.783363299999998</v>
      </c>
      <c r="F220" s="33">
        <v>-122.2346636</v>
      </c>
      <c r="G220" s="33" t="s">
        <v>2876</v>
      </c>
      <c r="H220" s="33"/>
      <c r="I220" s="236"/>
      <c r="J220" s="236"/>
      <c r="K220" s="69"/>
      <c r="L220" s="69"/>
      <c r="M220" s="69"/>
      <c r="N220" s="69"/>
      <c r="O220" s="69"/>
      <c r="P220" s="19"/>
      <c r="Q220" s="19"/>
      <c r="R220" s="99">
        <v>217</v>
      </c>
    </row>
    <row r="221" spans="1:18" ht="20" x14ac:dyDescent="0.2">
      <c r="A221" s="58"/>
      <c r="B221" s="151" t="s">
        <v>1685</v>
      </c>
      <c r="C221" s="51" t="s">
        <v>3125</v>
      </c>
      <c r="D221" s="33" t="s">
        <v>106</v>
      </c>
      <c r="E221" s="33">
        <v>49.579287899999997</v>
      </c>
      <c r="F221" s="33">
        <v>-123.2019765</v>
      </c>
      <c r="G221" s="33" t="s">
        <v>2876</v>
      </c>
      <c r="H221" s="33"/>
      <c r="I221" s="99"/>
      <c r="J221" s="99"/>
      <c r="K221" s="69"/>
      <c r="L221" s="69"/>
      <c r="M221" s="69"/>
      <c r="N221" s="69"/>
      <c r="O221" s="69"/>
      <c r="P221" s="19"/>
      <c r="Q221" s="19"/>
      <c r="R221" s="99">
        <v>218</v>
      </c>
    </row>
    <row r="222" spans="1:18" ht="20" x14ac:dyDescent="0.2">
      <c r="A222" s="58"/>
      <c r="B222" s="151" t="s">
        <v>1686</v>
      </c>
      <c r="C222" s="51" t="s">
        <v>3646</v>
      </c>
      <c r="D222" s="33" t="s">
        <v>106</v>
      </c>
      <c r="E222" s="33"/>
      <c r="F222" s="33"/>
      <c r="G222" s="33" t="s">
        <v>2876</v>
      </c>
      <c r="H222" s="33"/>
      <c r="I222" s="99"/>
      <c r="J222" s="99"/>
      <c r="K222" s="69"/>
      <c r="L222" s="69"/>
      <c r="M222" s="69"/>
      <c r="N222" s="69"/>
      <c r="O222" s="69"/>
      <c r="P222" s="19"/>
      <c r="Q222" s="19"/>
      <c r="R222" s="99">
        <v>219</v>
      </c>
    </row>
    <row r="223" spans="1:18" ht="20" x14ac:dyDescent="0.2">
      <c r="A223" s="58"/>
      <c r="B223" s="151" t="s">
        <v>209</v>
      </c>
      <c r="C223" s="51" t="s">
        <v>3190</v>
      </c>
      <c r="D223" s="33" t="s">
        <v>106</v>
      </c>
      <c r="E223" s="33"/>
      <c r="F223" s="33"/>
      <c r="G223" s="33" t="s">
        <v>2876</v>
      </c>
      <c r="H223" s="237" t="s">
        <v>1545</v>
      </c>
      <c r="I223" s="290">
        <v>66</v>
      </c>
      <c r="J223" s="290">
        <v>25</v>
      </c>
      <c r="K223" s="1">
        <v>14</v>
      </c>
      <c r="L223" s="1">
        <v>15</v>
      </c>
      <c r="M223" s="131">
        <v>0.9</v>
      </c>
      <c r="N223" s="1">
        <f>K223*$M223</f>
        <v>12.6</v>
      </c>
      <c r="O223" s="1">
        <f>L223*$M223</f>
        <v>13.5</v>
      </c>
      <c r="P223" s="19"/>
      <c r="Q223" s="19"/>
      <c r="R223" s="99">
        <v>220</v>
      </c>
    </row>
    <row r="224" spans="1:18" ht="20" x14ac:dyDescent="0.2">
      <c r="A224" s="58"/>
      <c r="B224" s="151" t="s">
        <v>1687</v>
      </c>
      <c r="C224" s="51" t="s">
        <v>3647</v>
      </c>
      <c r="D224" s="33" t="s">
        <v>106</v>
      </c>
      <c r="E224" s="33"/>
      <c r="F224" s="33"/>
      <c r="G224" s="33" t="s">
        <v>2876</v>
      </c>
      <c r="H224" s="33"/>
      <c r="I224" s="99"/>
      <c r="J224" s="99"/>
      <c r="K224" s="69"/>
      <c r="L224" s="69"/>
      <c r="M224" s="69"/>
      <c r="N224" s="69"/>
      <c r="O224" s="69"/>
      <c r="P224" s="19"/>
      <c r="Q224" s="19"/>
      <c r="R224" s="99">
        <v>221</v>
      </c>
    </row>
    <row r="225" spans="1:18" ht="20" x14ac:dyDescent="0.2">
      <c r="A225" s="58"/>
      <c r="B225" s="151" t="s">
        <v>1688</v>
      </c>
      <c r="C225" s="51" t="s">
        <v>3430</v>
      </c>
      <c r="D225" s="33" t="s">
        <v>106</v>
      </c>
      <c r="E225" s="33"/>
      <c r="F225" s="33"/>
      <c r="G225" s="33" t="s">
        <v>2876</v>
      </c>
      <c r="H225" s="237" t="s">
        <v>1545</v>
      </c>
      <c r="I225" s="2">
        <v>60</v>
      </c>
      <c r="J225" s="2">
        <v>12</v>
      </c>
      <c r="K225" s="1">
        <v>1.7</v>
      </c>
      <c r="L225" s="1">
        <v>2.1</v>
      </c>
      <c r="M225" s="131">
        <v>0.9</v>
      </c>
      <c r="N225" s="1">
        <f t="shared" ref="N225:O227" si="17">K225*$M225</f>
        <v>1.53</v>
      </c>
      <c r="O225" s="1">
        <f t="shared" si="17"/>
        <v>1.8900000000000001</v>
      </c>
      <c r="P225" s="19"/>
      <c r="Q225" s="19"/>
      <c r="R225" s="99">
        <v>222</v>
      </c>
    </row>
    <row r="226" spans="1:18" ht="20" x14ac:dyDescent="0.2">
      <c r="A226" s="58"/>
      <c r="B226" s="151" t="s">
        <v>1689</v>
      </c>
      <c r="C226" s="51" t="s">
        <v>3431</v>
      </c>
      <c r="D226" s="33" t="s">
        <v>106</v>
      </c>
      <c r="E226" s="33"/>
      <c r="F226" s="33"/>
      <c r="G226" s="33" t="s">
        <v>2876</v>
      </c>
      <c r="H226" s="237" t="s">
        <v>1545</v>
      </c>
      <c r="I226" s="2">
        <v>138</v>
      </c>
      <c r="J226" s="2">
        <v>25</v>
      </c>
      <c r="K226" s="1">
        <v>28</v>
      </c>
      <c r="L226" s="1">
        <v>33.25</v>
      </c>
      <c r="M226" s="131">
        <v>0.9</v>
      </c>
      <c r="N226" s="1">
        <f t="shared" si="17"/>
        <v>25.2</v>
      </c>
      <c r="O226" s="1">
        <f t="shared" si="17"/>
        <v>29.925000000000001</v>
      </c>
      <c r="P226" s="19"/>
      <c r="Q226" s="19"/>
      <c r="R226" s="99">
        <v>223</v>
      </c>
    </row>
    <row r="227" spans="1:18" ht="20" x14ac:dyDescent="0.2">
      <c r="A227" s="58"/>
      <c r="B227" s="151" t="s">
        <v>1689</v>
      </c>
      <c r="C227" s="51" t="s">
        <v>3431</v>
      </c>
      <c r="D227" s="33" t="s">
        <v>106</v>
      </c>
      <c r="E227" s="33"/>
      <c r="F227" s="33"/>
      <c r="G227" s="33" t="s">
        <v>2876</v>
      </c>
      <c r="H227" s="237" t="s">
        <v>1549</v>
      </c>
      <c r="I227" s="2">
        <v>138</v>
      </c>
      <c r="J227" s="2">
        <v>25</v>
      </c>
      <c r="K227" s="1">
        <v>26.25</v>
      </c>
      <c r="L227" s="1">
        <v>33.25</v>
      </c>
      <c r="M227" s="131">
        <v>0.9</v>
      </c>
      <c r="N227" s="1">
        <f t="shared" si="17"/>
        <v>23.625</v>
      </c>
      <c r="O227" s="1">
        <f t="shared" si="17"/>
        <v>29.925000000000001</v>
      </c>
      <c r="P227" s="19"/>
      <c r="Q227" s="19"/>
      <c r="R227" s="99">
        <v>224</v>
      </c>
    </row>
    <row r="228" spans="1:18" ht="20" x14ac:dyDescent="0.2">
      <c r="A228" s="58"/>
      <c r="B228" s="151" t="s">
        <v>1690</v>
      </c>
      <c r="C228" s="51" t="s">
        <v>3433</v>
      </c>
      <c r="D228" s="33" t="s">
        <v>106</v>
      </c>
      <c r="E228" s="33"/>
      <c r="F228" s="33"/>
      <c r="G228" s="33" t="s">
        <v>2876</v>
      </c>
      <c r="H228" s="33"/>
      <c r="I228" s="99"/>
      <c r="J228" s="99"/>
      <c r="K228" s="69"/>
      <c r="L228" s="69"/>
      <c r="M228" s="69"/>
      <c r="N228" s="69"/>
      <c r="O228" s="69"/>
      <c r="P228" s="19"/>
      <c r="Q228" s="19"/>
      <c r="R228" s="99">
        <v>225</v>
      </c>
    </row>
    <row r="229" spans="1:18" ht="20" x14ac:dyDescent="0.2">
      <c r="A229" s="58"/>
      <c r="B229" s="151" t="s">
        <v>1691</v>
      </c>
      <c r="C229" s="51" t="s">
        <v>3648</v>
      </c>
      <c r="D229" s="33" t="s">
        <v>106</v>
      </c>
      <c r="E229" s="33"/>
      <c r="F229" s="33"/>
      <c r="G229" s="33" t="s">
        <v>2876</v>
      </c>
      <c r="H229" s="33"/>
      <c r="I229" s="99"/>
      <c r="J229" s="99"/>
      <c r="K229" s="69"/>
      <c r="L229" s="69"/>
      <c r="M229" s="69"/>
      <c r="N229" s="69"/>
      <c r="O229" s="69"/>
      <c r="P229" s="19"/>
      <c r="Q229" s="19"/>
      <c r="R229" s="99">
        <v>226</v>
      </c>
    </row>
    <row r="230" spans="1:18" ht="20" x14ac:dyDescent="0.2">
      <c r="A230" s="58"/>
      <c r="B230" s="151" t="s">
        <v>2270</v>
      </c>
      <c r="C230" s="51" t="s">
        <v>3649</v>
      </c>
      <c r="D230" s="33" t="s">
        <v>106</v>
      </c>
      <c r="E230" s="33"/>
      <c r="F230" s="33"/>
      <c r="G230" s="33" t="s">
        <v>2876</v>
      </c>
      <c r="H230" s="33"/>
      <c r="I230" s="99"/>
      <c r="J230" s="99"/>
      <c r="K230" s="69"/>
      <c r="L230" s="69"/>
      <c r="M230" s="69"/>
      <c r="N230" s="69"/>
      <c r="O230" s="69"/>
      <c r="P230" s="19"/>
      <c r="Q230" s="19"/>
      <c r="R230" s="99">
        <v>227</v>
      </c>
    </row>
    <row r="231" spans="1:18" ht="20" x14ac:dyDescent="0.2">
      <c r="A231" s="58"/>
      <c r="B231" s="151" t="s">
        <v>1692</v>
      </c>
      <c r="C231" s="51" t="s">
        <v>3192</v>
      </c>
      <c r="D231" s="33" t="s">
        <v>106</v>
      </c>
      <c r="E231" s="33"/>
      <c r="F231" s="33"/>
      <c r="G231" s="33" t="s">
        <v>2876</v>
      </c>
      <c r="H231" s="33"/>
      <c r="I231" s="99"/>
      <c r="J231" s="99"/>
      <c r="K231" s="69"/>
      <c r="L231" s="69"/>
      <c r="M231" s="69"/>
      <c r="N231" s="69"/>
      <c r="O231" s="69"/>
      <c r="P231" s="19"/>
      <c r="Q231" s="19"/>
      <c r="R231" s="99">
        <v>228</v>
      </c>
    </row>
    <row r="232" spans="1:18" ht="20" x14ac:dyDescent="0.2">
      <c r="A232" s="58"/>
      <c r="B232" s="151" t="s">
        <v>1693</v>
      </c>
      <c r="C232" s="51" t="s">
        <v>3252</v>
      </c>
      <c r="D232" s="33" t="s">
        <v>106</v>
      </c>
      <c r="E232" s="33"/>
      <c r="F232" s="33"/>
      <c r="G232" s="33" t="s">
        <v>2876</v>
      </c>
      <c r="H232" s="237" t="s">
        <v>1545</v>
      </c>
      <c r="I232" s="2">
        <v>60</v>
      </c>
      <c r="J232" s="2">
        <v>4</v>
      </c>
      <c r="K232" s="1">
        <v>26</v>
      </c>
      <c r="L232" s="1">
        <v>33</v>
      </c>
      <c r="M232" s="131">
        <v>0.9</v>
      </c>
      <c r="N232" s="1">
        <f t="shared" ref="N232:O239" si="18">K232*$M232</f>
        <v>23.400000000000002</v>
      </c>
      <c r="O232" s="1">
        <f t="shared" si="18"/>
        <v>29.7</v>
      </c>
      <c r="P232" s="19"/>
      <c r="Q232" s="19"/>
      <c r="R232" s="99">
        <v>229</v>
      </c>
    </row>
    <row r="233" spans="1:18" ht="20" x14ac:dyDescent="0.2">
      <c r="A233" s="58"/>
      <c r="B233" s="151" t="s">
        <v>1693</v>
      </c>
      <c r="C233" s="51" t="s">
        <v>3252</v>
      </c>
      <c r="D233" s="33" t="s">
        <v>106</v>
      </c>
      <c r="E233" s="33"/>
      <c r="F233" s="33"/>
      <c r="G233" s="33" t="s">
        <v>2876</v>
      </c>
      <c r="H233" s="237" t="s">
        <v>1549</v>
      </c>
      <c r="I233" s="2">
        <v>60</v>
      </c>
      <c r="J233" s="2">
        <v>4</v>
      </c>
      <c r="K233" s="1">
        <v>26</v>
      </c>
      <c r="L233" s="1">
        <v>33</v>
      </c>
      <c r="M233" s="131">
        <v>0.9</v>
      </c>
      <c r="N233" s="1">
        <f t="shared" si="18"/>
        <v>23.400000000000002</v>
      </c>
      <c r="O233" s="1">
        <f t="shared" si="18"/>
        <v>29.7</v>
      </c>
      <c r="P233" s="19"/>
      <c r="Q233" s="19"/>
      <c r="R233" s="99">
        <v>230</v>
      </c>
    </row>
    <row r="234" spans="1:18" ht="20" x14ac:dyDescent="0.2">
      <c r="A234" s="58"/>
      <c r="B234" s="151" t="s">
        <v>263</v>
      </c>
      <c r="C234" s="51" t="s">
        <v>3463</v>
      </c>
      <c r="D234" s="33" t="s">
        <v>106</v>
      </c>
      <c r="E234" s="33"/>
      <c r="F234" s="33"/>
      <c r="G234" s="33" t="s">
        <v>2876</v>
      </c>
      <c r="H234" s="237" t="s">
        <v>1545</v>
      </c>
      <c r="I234" s="2">
        <v>60</v>
      </c>
      <c r="J234" s="2">
        <v>25</v>
      </c>
      <c r="K234" s="1">
        <v>26.2</v>
      </c>
      <c r="L234" s="1">
        <v>33.299999999999997</v>
      </c>
      <c r="M234" s="131">
        <v>0.9</v>
      </c>
      <c r="N234" s="1">
        <f t="shared" si="18"/>
        <v>23.58</v>
      </c>
      <c r="O234" s="1">
        <f t="shared" si="18"/>
        <v>29.97</v>
      </c>
      <c r="P234" s="19"/>
      <c r="Q234" s="19"/>
      <c r="R234" s="99">
        <v>231</v>
      </c>
    </row>
    <row r="235" spans="1:18" ht="20" x14ac:dyDescent="0.2">
      <c r="A235" s="58"/>
      <c r="B235" s="151" t="s">
        <v>263</v>
      </c>
      <c r="C235" s="51" t="s">
        <v>3463</v>
      </c>
      <c r="D235" s="33" t="s">
        <v>106</v>
      </c>
      <c r="E235" s="33"/>
      <c r="F235" s="33"/>
      <c r="G235" s="33" t="s">
        <v>2876</v>
      </c>
      <c r="H235" s="237" t="s">
        <v>1550</v>
      </c>
      <c r="I235" s="2">
        <v>60</v>
      </c>
      <c r="J235" s="2">
        <v>25</v>
      </c>
      <c r="K235" s="1">
        <v>26.2</v>
      </c>
      <c r="L235" s="1">
        <v>33.299999999999997</v>
      </c>
      <c r="M235" s="131">
        <v>0.9</v>
      </c>
      <c r="N235" s="1">
        <f t="shared" si="18"/>
        <v>23.58</v>
      </c>
      <c r="O235" s="1">
        <f t="shared" si="18"/>
        <v>29.97</v>
      </c>
      <c r="P235" s="19"/>
      <c r="Q235" s="19"/>
      <c r="R235" s="99">
        <v>232</v>
      </c>
    </row>
    <row r="236" spans="1:18" ht="20" x14ac:dyDescent="0.2">
      <c r="A236" s="58"/>
      <c r="B236" s="151" t="s">
        <v>1694</v>
      </c>
      <c r="C236" s="51" t="s">
        <v>3197</v>
      </c>
      <c r="D236" s="33" t="s">
        <v>106</v>
      </c>
      <c r="E236" s="33"/>
      <c r="F236" s="33"/>
      <c r="G236" s="33" t="s">
        <v>2876</v>
      </c>
      <c r="H236" s="237" t="s">
        <v>1545</v>
      </c>
      <c r="I236" s="2">
        <v>138</v>
      </c>
      <c r="J236" s="2">
        <v>25</v>
      </c>
      <c r="K236" s="1">
        <v>28</v>
      </c>
      <c r="L236" s="1">
        <v>33.25</v>
      </c>
      <c r="M236" s="131">
        <v>0.9</v>
      </c>
      <c r="N236" s="1">
        <f t="shared" si="18"/>
        <v>25.2</v>
      </c>
      <c r="O236" s="1">
        <f t="shared" si="18"/>
        <v>29.925000000000001</v>
      </c>
      <c r="P236" s="19"/>
      <c r="Q236" s="19"/>
      <c r="R236" s="99">
        <v>233</v>
      </c>
    </row>
    <row r="237" spans="1:18" ht="20" x14ac:dyDescent="0.2">
      <c r="A237" s="58"/>
      <c r="B237" s="151" t="s">
        <v>1694</v>
      </c>
      <c r="C237" s="51" t="s">
        <v>3197</v>
      </c>
      <c r="D237" s="33" t="s">
        <v>106</v>
      </c>
      <c r="E237" s="33"/>
      <c r="F237" s="33"/>
      <c r="G237" s="33" t="s">
        <v>2876</v>
      </c>
      <c r="H237" s="237" t="s">
        <v>1549</v>
      </c>
      <c r="I237" s="2">
        <v>138</v>
      </c>
      <c r="J237" s="2">
        <v>25</v>
      </c>
      <c r="K237" s="1">
        <v>26.25</v>
      </c>
      <c r="L237" s="1">
        <v>33.25</v>
      </c>
      <c r="M237" s="131">
        <v>0.9</v>
      </c>
      <c r="N237" s="1">
        <f t="shared" si="18"/>
        <v>23.625</v>
      </c>
      <c r="O237" s="1">
        <f t="shared" si="18"/>
        <v>29.925000000000001</v>
      </c>
      <c r="P237" s="19"/>
      <c r="Q237" s="19"/>
      <c r="R237" s="99">
        <v>234</v>
      </c>
    </row>
    <row r="238" spans="1:18" ht="20" x14ac:dyDescent="0.2">
      <c r="A238" s="58"/>
      <c r="B238" s="151" t="s">
        <v>184</v>
      </c>
      <c r="C238" s="51" t="s">
        <v>3253</v>
      </c>
      <c r="D238" s="33" t="s">
        <v>106</v>
      </c>
      <c r="E238" s="33"/>
      <c r="F238" s="33"/>
      <c r="G238" s="33" t="s">
        <v>2876</v>
      </c>
      <c r="H238" s="237" t="s">
        <v>1549</v>
      </c>
      <c r="I238" s="290">
        <v>138</v>
      </c>
      <c r="J238" s="290">
        <v>25</v>
      </c>
      <c r="K238" s="1">
        <v>10.5</v>
      </c>
      <c r="L238" s="1">
        <v>13.3</v>
      </c>
      <c r="M238" s="131">
        <v>0.9</v>
      </c>
      <c r="N238" s="1">
        <f t="shared" si="18"/>
        <v>9.4500000000000011</v>
      </c>
      <c r="O238" s="1">
        <f t="shared" si="18"/>
        <v>11.97</v>
      </c>
      <c r="P238" s="19"/>
      <c r="Q238" s="19"/>
      <c r="R238" s="99">
        <v>235</v>
      </c>
    </row>
    <row r="239" spans="1:18" ht="20" x14ac:dyDescent="0.2">
      <c r="A239" s="58"/>
      <c r="B239" s="151" t="s">
        <v>184</v>
      </c>
      <c r="C239" s="51" t="s">
        <v>3253</v>
      </c>
      <c r="D239" s="33" t="s">
        <v>106</v>
      </c>
      <c r="E239" s="33"/>
      <c r="F239" s="33"/>
      <c r="G239" s="33" t="s">
        <v>2876</v>
      </c>
      <c r="H239" s="237" t="s">
        <v>1550</v>
      </c>
      <c r="I239" s="290">
        <v>138</v>
      </c>
      <c r="J239" s="290">
        <v>25</v>
      </c>
      <c r="K239" s="1">
        <v>10.5</v>
      </c>
      <c r="L239" s="1">
        <v>13.3</v>
      </c>
      <c r="M239" s="131">
        <v>0.9</v>
      </c>
      <c r="N239" s="1">
        <f t="shared" si="18"/>
        <v>9.4500000000000011</v>
      </c>
      <c r="O239" s="1">
        <f t="shared" si="18"/>
        <v>11.97</v>
      </c>
      <c r="P239" s="19"/>
      <c r="Q239" s="19"/>
      <c r="R239" s="99">
        <v>236</v>
      </c>
    </row>
    <row r="240" spans="1:18" ht="20" x14ac:dyDescent="0.2">
      <c r="A240" s="58"/>
      <c r="B240" s="151" t="s">
        <v>1695</v>
      </c>
      <c r="C240" s="51" t="s">
        <v>3256</v>
      </c>
      <c r="D240" s="33" t="s">
        <v>106</v>
      </c>
      <c r="E240" s="33"/>
      <c r="F240" s="33"/>
      <c r="G240" s="33" t="s">
        <v>2876</v>
      </c>
      <c r="H240" s="33"/>
      <c r="I240" s="99"/>
      <c r="J240" s="99"/>
      <c r="K240" s="69"/>
      <c r="L240" s="69"/>
      <c r="M240" s="69"/>
      <c r="N240" s="69"/>
      <c r="O240" s="69"/>
      <c r="P240" s="19"/>
      <c r="Q240" s="19"/>
      <c r="R240" s="99">
        <v>237</v>
      </c>
    </row>
    <row r="241" spans="1:18" ht="20" x14ac:dyDescent="0.2">
      <c r="A241" s="58"/>
      <c r="B241" s="151" t="s">
        <v>1696</v>
      </c>
      <c r="C241" s="51" t="s">
        <v>3399</v>
      </c>
      <c r="D241" s="33" t="s">
        <v>106</v>
      </c>
      <c r="E241" s="33"/>
      <c r="F241" s="33"/>
      <c r="G241" s="33" t="s">
        <v>2876</v>
      </c>
      <c r="H241" s="237" t="s">
        <v>1545</v>
      </c>
      <c r="I241" s="2">
        <v>60</v>
      </c>
      <c r="J241" s="2">
        <v>4</v>
      </c>
      <c r="K241" s="1">
        <v>21</v>
      </c>
      <c r="L241" s="1">
        <v>26</v>
      </c>
      <c r="M241" s="131">
        <v>0.9</v>
      </c>
      <c r="N241" s="1">
        <f t="shared" ref="N241:O244" si="19">K241*$M241</f>
        <v>18.900000000000002</v>
      </c>
      <c r="O241" s="1">
        <f t="shared" si="19"/>
        <v>23.400000000000002</v>
      </c>
      <c r="P241" s="19"/>
      <c r="Q241" s="19"/>
      <c r="R241" s="99">
        <v>238</v>
      </c>
    </row>
    <row r="242" spans="1:18" ht="20" x14ac:dyDescent="0.2">
      <c r="A242" s="58"/>
      <c r="B242" s="151" t="s">
        <v>1696</v>
      </c>
      <c r="C242" s="51" t="s">
        <v>3399</v>
      </c>
      <c r="D242" s="33" t="s">
        <v>106</v>
      </c>
      <c r="E242" s="33"/>
      <c r="F242" s="33"/>
      <c r="G242" s="33" t="s">
        <v>2876</v>
      </c>
      <c r="H242" s="237" t="s">
        <v>1549</v>
      </c>
      <c r="I242" s="2">
        <v>60</v>
      </c>
      <c r="J242" s="2">
        <v>4</v>
      </c>
      <c r="K242" s="1">
        <v>21</v>
      </c>
      <c r="L242" s="1">
        <v>26</v>
      </c>
      <c r="M242" s="131">
        <v>0.9</v>
      </c>
      <c r="N242" s="1">
        <f t="shared" si="19"/>
        <v>18.900000000000002</v>
      </c>
      <c r="O242" s="1">
        <f t="shared" si="19"/>
        <v>23.400000000000002</v>
      </c>
      <c r="P242" s="19"/>
      <c r="Q242" s="19"/>
      <c r="R242" s="99">
        <v>239</v>
      </c>
    </row>
    <row r="243" spans="1:18" ht="20" x14ac:dyDescent="0.2">
      <c r="A243" s="58"/>
      <c r="B243" s="151" t="s">
        <v>1697</v>
      </c>
      <c r="C243" s="51" t="s">
        <v>3435</v>
      </c>
      <c r="D243" s="33" t="s">
        <v>106</v>
      </c>
      <c r="E243" s="33"/>
      <c r="F243" s="33"/>
      <c r="G243" s="33" t="s">
        <v>2876</v>
      </c>
      <c r="H243" s="237" t="s">
        <v>1545</v>
      </c>
      <c r="I243" s="2">
        <v>138</v>
      </c>
      <c r="J243" s="2">
        <v>25</v>
      </c>
      <c r="K243" s="1">
        <v>28</v>
      </c>
      <c r="L243" s="1">
        <v>33.6</v>
      </c>
      <c r="M243" s="131">
        <v>0.9</v>
      </c>
      <c r="N243" s="1">
        <f t="shared" si="19"/>
        <v>25.2</v>
      </c>
      <c r="O243" s="1">
        <f t="shared" si="19"/>
        <v>30.240000000000002</v>
      </c>
      <c r="P243" s="19"/>
      <c r="Q243" s="19"/>
      <c r="R243" s="99">
        <v>240</v>
      </c>
    </row>
    <row r="244" spans="1:18" ht="20" x14ac:dyDescent="0.2">
      <c r="A244" s="58"/>
      <c r="B244" s="151" t="s">
        <v>1698</v>
      </c>
      <c r="C244" s="51" t="s">
        <v>3436</v>
      </c>
      <c r="D244" s="33" t="s">
        <v>106</v>
      </c>
      <c r="E244" s="33"/>
      <c r="F244" s="33"/>
      <c r="G244" s="33" t="s">
        <v>2876</v>
      </c>
      <c r="H244" s="237" t="s">
        <v>1545</v>
      </c>
      <c r="I244" s="2">
        <v>60</v>
      </c>
      <c r="J244" s="2">
        <v>25</v>
      </c>
      <c r="K244" s="1">
        <v>25</v>
      </c>
      <c r="L244" s="1">
        <v>30</v>
      </c>
      <c r="M244" s="131">
        <v>0.9</v>
      </c>
      <c r="N244" s="1">
        <f t="shared" si="19"/>
        <v>22.5</v>
      </c>
      <c r="O244" s="1">
        <f t="shared" si="19"/>
        <v>27</v>
      </c>
      <c r="P244" s="19"/>
      <c r="Q244" s="19"/>
      <c r="R244" s="99">
        <v>241</v>
      </c>
    </row>
    <row r="245" spans="1:18" ht="20" x14ac:dyDescent="0.2">
      <c r="A245" s="58"/>
      <c r="B245" s="151" t="s">
        <v>1699</v>
      </c>
      <c r="C245" s="51" t="s">
        <v>3126</v>
      </c>
      <c r="D245" s="33" t="s">
        <v>106</v>
      </c>
      <c r="E245" s="33">
        <v>56.014797000000002</v>
      </c>
      <c r="F245" s="33">
        <v>-122.1957438</v>
      </c>
      <c r="G245" s="33" t="s">
        <v>2876</v>
      </c>
      <c r="H245" s="33"/>
      <c r="I245" s="236"/>
      <c r="J245" s="236"/>
      <c r="K245" s="69"/>
      <c r="L245" s="69"/>
      <c r="M245" s="69"/>
      <c r="N245" s="69"/>
      <c r="O245" s="69"/>
      <c r="P245" s="19"/>
      <c r="Q245" s="19"/>
      <c r="R245" s="99">
        <v>242</v>
      </c>
    </row>
    <row r="246" spans="1:18" ht="20" x14ac:dyDescent="0.2">
      <c r="A246" s="58"/>
      <c r="B246" s="151" t="s">
        <v>1700</v>
      </c>
      <c r="C246" s="51" t="s">
        <v>3257</v>
      </c>
      <c r="D246" s="33" t="s">
        <v>106</v>
      </c>
      <c r="E246" s="33"/>
      <c r="F246" s="33"/>
      <c r="G246" s="33" t="s">
        <v>2876</v>
      </c>
      <c r="H246" s="237" t="s">
        <v>1547</v>
      </c>
      <c r="I246" s="2">
        <v>230</v>
      </c>
      <c r="J246" s="2">
        <v>25</v>
      </c>
      <c r="K246" s="1">
        <v>78.75</v>
      </c>
      <c r="L246" s="1">
        <v>100</v>
      </c>
      <c r="M246" s="131">
        <v>0.9</v>
      </c>
      <c r="N246" s="1">
        <f t="shared" ref="N246:O250" si="20">K246*$M246</f>
        <v>70.875</v>
      </c>
      <c r="O246" s="1">
        <f t="shared" si="20"/>
        <v>90</v>
      </c>
      <c r="P246" s="19"/>
      <c r="Q246" s="19"/>
      <c r="R246" s="99">
        <v>243</v>
      </c>
    </row>
    <row r="247" spans="1:18" ht="20" x14ac:dyDescent="0.2">
      <c r="A247" s="58"/>
      <c r="B247" s="151" t="s">
        <v>1700</v>
      </c>
      <c r="C247" s="51" t="s">
        <v>3257</v>
      </c>
      <c r="D247" s="33" t="s">
        <v>106</v>
      </c>
      <c r="E247" s="33"/>
      <c r="F247" s="33"/>
      <c r="G247" s="33" t="s">
        <v>2876</v>
      </c>
      <c r="H247" s="237" t="s">
        <v>1548</v>
      </c>
      <c r="I247" s="2">
        <v>230</v>
      </c>
      <c r="J247" s="2">
        <v>25</v>
      </c>
      <c r="K247" s="1">
        <v>78.75</v>
      </c>
      <c r="L247" s="1">
        <v>100</v>
      </c>
      <c r="M247" s="131">
        <v>0.9</v>
      </c>
      <c r="N247" s="1">
        <f t="shared" si="20"/>
        <v>70.875</v>
      </c>
      <c r="O247" s="1">
        <f t="shared" si="20"/>
        <v>90</v>
      </c>
      <c r="P247" s="19"/>
      <c r="Q247" s="19"/>
      <c r="R247" s="99">
        <v>244</v>
      </c>
    </row>
    <row r="248" spans="1:18" ht="20" x14ac:dyDescent="0.2">
      <c r="A248" s="58"/>
      <c r="B248" s="151" t="s">
        <v>1701</v>
      </c>
      <c r="C248" s="51" t="s">
        <v>3438</v>
      </c>
      <c r="D248" s="33" t="s">
        <v>106</v>
      </c>
      <c r="E248" s="33"/>
      <c r="F248" s="33"/>
      <c r="G248" s="33" t="s">
        <v>2876</v>
      </c>
      <c r="H248" s="237" t="s">
        <v>1545</v>
      </c>
      <c r="I248" s="2">
        <v>138</v>
      </c>
      <c r="J248" s="2">
        <v>12</v>
      </c>
      <c r="K248" s="1">
        <v>29.4</v>
      </c>
      <c r="L248" s="1">
        <v>37.24</v>
      </c>
      <c r="M248" s="131">
        <v>0.9</v>
      </c>
      <c r="N248" s="1">
        <f t="shared" si="20"/>
        <v>26.46</v>
      </c>
      <c r="O248" s="1">
        <f t="shared" si="20"/>
        <v>33.516000000000005</v>
      </c>
      <c r="P248" s="19"/>
      <c r="Q248" s="19"/>
      <c r="R248" s="99">
        <v>245</v>
      </c>
    </row>
    <row r="249" spans="1:18" ht="20" x14ac:dyDescent="0.2">
      <c r="A249" s="58"/>
      <c r="B249" s="151" t="s">
        <v>1701</v>
      </c>
      <c r="C249" s="51" t="s">
        <v>3438</v>
      </c>
      <c r="D249" s="33" t="s">
        <v>106</v>
      </c>
      <c r="E249" s="33"/>
      <c r="F249" s="33"/>
      <c r="G249" s="33" t="s">
        <v>2876</v>
      </c>
      <c r="H249" s="237" t="s">
        <v>1549</v>
      </c>
      <c r="I249" s="2">
        <v>138</v>
      </c>
      <c r="J249" s="2">
        <v>25</v>
      </c>
      <c r="K249" s="1">
        <v>29.4</v>
      </c>
      <c r="L249" s="1">
        <v>37.24</v>
      </c>
      <c r="M249" s="131">
        <v>0.9</v>
      </c>
      <c r="N249" s="1">
        <f t="shared" si="20"/>
        <v>26.46</v>
      </c>
      <c r="O249" s="1">
        <f t="shared" si="20"/>
        <v>33.516000000000005</v>
      </c>
      <c r="P249" s="19"/>
      <c r="Q249" s="19"/>
      <c r="R249" s="99">
        <v>246</v>
      </c>
    </row>
    <row r="250" spans="1:18" ht="20" x14ac:dyDescent="0.2">
      <c r="A250" s="58"/>
      <c r="B250" s="151" t="s">
        <v>1701</v>
      </c>
      <c r="C250" s="51" t="s">
        <v>3438</v>
      </c>
      <c r="D250" s="33" t="s">
        <v>106</v>
      </c>
      <c r="E250" s="33"/>
      <c r="F250" s="33"/>
      <c r="G250" s="33" t="s">
        <v>2876</v>
      </c>
      <c r="H250" s="237" t="s">
        <v>1558</v>
      </c>
      <c r="I250" s="2">
        <v>25</v>
      </c>
      <c r="J250" s="2">
        <v>12</v>
      </c>
      <c r="K250" s="1">
        <v>26.25</v>
      </c>
      <c r="L250" s="1">
        <v>33.25</v>
      </c>
      <c r="M250" s="131">
        <v>0.9</v>
      </c>
      <c r="N250" s="1">
        <f t="shared" si="20"/>
        <v>23.625</v>
      </c>
      <c r="O250" s="1">
        <f t="shared" si="20"/>
        <v>29.925000000000001</v>
      </c>
      <c r="P250" s="19"/>
      <c r="Q250" s="19"/>
      <c r="R250" s="99">
        <v>247</v>
      </c>
    </row>
    <row r="251" spans="1:18" ht="20" x14ac:dyDescent="0.2">
      <c r="A251" s="58"/>
      <c r="B251" s="151" t="s">
        <v>2023</v>
      </c>
      <c r="C251" s="51" t="s">
        <v>3439</v>
      </c>
      <c r="D251" s="33" t="s">
        <v>106</v>
      </c>
      <c r="E251" s="33"/>
      <c r="F251" s="33"/>
      <c r="G251" s="33" t="s">
        <v>2876</v>
      </c>
      <c r="H251" s="33"/>
      <c r="I251" s="99"/>
      <c r="J251" s="99"/>
      <c r="K251" s="69"/>
      <c r="L251" s="69"/>
      <c r="M251" s="69"/>
      <c r="N251" s="69"/>
      <c r="O251" s="69"/>
      <c r="P251" s="19"/>
      <c r="Q251" s="19"/>
      <c r="R251" s="99">
        <v>248</v>
      </c>
    </row>
    <row r="252" spans="1:18" ht="20" x14ac:dyDescent="0.2">
      <c r="A252" s="58"/>
      <c r="B252" s="151" t="s">
        <v>1702</v>
      </c>
      <c r="C252" s="51" t="s">
        <v>3650</v>
      </c>
      <c r="D252" s="33" t="s">
        <v>106</v>
      </c>
      <c r="E252" s="33"/>
      <c r="F252" s="33"/>
      <c r="G252" s="33" t="s">
        <v>2876</v>
      </c>
      <c r="H252" s="33"/>
      <c r="I252" s="99"/>
      <c r="J252" s="99"/>
      <c r="K252" s="69"/>
      <c r="L252" s="69"/>
      <c r="M252" s="69"/>
      <c r="N252" s="69"/>
      <c r="O252" s="69"/>
      <c r="P252" s="19"/>
      <c r="Q252" s="19"/>
      <c r="R252" s="99">
        <v>249</v>
      </c>
    </row>
    <row r="253" spans="1:18" ht="20" x14ac:dyDescent="0.2">
      <c r="A253" s="58"/>
      <c r="B253" s="151" t="s">
        <v>1703</v>
      </c>
      <c r="C253" s="51" t="s">
        <v>3440</v>
      </c>
      <c r="D253" s="33" t="s">
        <v>106</v>
      </c>
      <c r="E253" s="33"/>
      <c r="F253" s="33"/>
      <c r="G253" s="33" t="s">
        <v>2876</v>
      </c>
      <c r="H253" s="237" t="s">
        <v>1545</v>
      </c>
      <c r="I253" s="2">
        <v>66</v>
      </c>
      <c r="J253" s="2">
        <v>2.4</v>
      </c>
      <c r="K253" s="1">
        <v>0.08</v>
      </c>
      <c r="L253" s="1">
        <v>0.09</v>
      </c>
      <c r="M253" s="131">
        <v>0.9</v>
      </c>
      <c r="N253" s="1">
        <f>K253*$M253</f>
        <v>7.2000000000000008E-2</v>
      </c>
      <c r="O253" s="1">
        <f>L253*$M253</f>
        <v>8.1000000000000003E-2</v>
      </c>
      <c r="P253" s="19"/>
      <c r="Q253" s="19"/>
      <c r="R253" s="99">
        <v>250</v>
      </c>
    </row>
    <row r="254" spans="1:18" ht="20" x14ac:dyDescent="0.2">
      <c r="A254" s="58"/>
      <c r="B254" s="151" t="s">
        <v>1704</v>
      </c>
      <c r="C254" s="51" t="s">
        <v>3651</v>
      </c>
      <c r="D254" s="33" t="s">
        <v>106</v>
      </c>
      <c r="E254" s="33"/>
      <c r="F254" s="33"/>
      <c r="G254" s="33" t="s">
        <v>2876</v>
      </c>
      <c r="H254" s="33"/>
      <c r="I254" s="99"/>
      <c r="J254" s="99"/>
      <c r="K254" s="69"/>
      <c r="L254" s="69"/>
      <c r="M254" s="69"/>
      <c r="N254" s="69"/>
      <c r="O254" s="69"/>
      <c r="P254" s="19"/>
      <c r="Q254" s="19"/>
      <c r="R254" s="99">
        <v>251</v>
      </c>
    </row>
    <row r="255" spans="1:18" ht="20" x14ac:dyDescent="0.2">
      <c r="A255" s="58"/>
      <c r="B255" s="151" t="s">
        <v>1705</v>
      </c>
      <c r="C255" s="51" t="s">
        <v>3441</v>
      </c>
      <c r="D255" s="33" t="s">
        <v>106</v>
      </c>
      <c r="E255" s="33"/>
      <c r="F255" s="33"/>
      <c r="G255" s="33" t="s">
        <v>2876</v>
      </c>
      <c r="H255" s="33"/>
      <c r="I255" s="99"/>
      <c r="J255" s="99"/>
      <c r="K255" s="69"/>
      <c r="L255" s="69"/>
      <c r="M255" s="69"/>
      <c r="N255" s="69"/>
      <c r="O255" s="69"/>
      <c r="P255" s="19"/>
      <c r="Q255" s="19"/>
      <c r="R255" s="99">
        <v>252</v>
      </c>
    </row>
    <row r="256" spans="1:18" ht="20" x14ac:dyDescent="0.2">
      <c r="A256" s="58"/>
      <c r="B256" s="151" t="s">
        <v>1706</v>
      </c>
      <c r="C256" s="51" t="s">
        <v>3442</v>
      </c>
      <c r="D256" s="33" t="s">
        <v>106</v>
      </c>
      <c r="E256" s="33"/>
      <c r="F256" s="33"/>
      <c r="G256" s="33" t="s">
        <v>2876</v>
      </c>
      <c r="H256" s="33"/>
      <c r="I256" s="99"/>
      <c r="J256" s="99"/>
      <c r="K256" s="69"/>
      <c r="L256" s="69"/>
      <c r="M256" s="69"/>
      <c r="N256" s="69"/>
      <c r="O256" s="69"/>
      <c r="P256" s="19"/>
      <c r="Q256" s="19"/>
      <c r="R256" s="99">
        <v>253</v>
      </c>
    </row>
    <row r="257" spans="1:18" ht="20" x14ac:dyDescent="0.2">
      <c r="A257" s="58"/>
      <c r="B257" s="151" t="s">
        <v>1707</v>
      </c>
      <c r="C257" s="51" t="s">
        <v>3258</v>
      </c>
      <c r="D257" s="33" t="s">
        <v>106</v>
      </c>
      <c r="E257" s="33"/>
      <c r="F257" s="33"/>
      <c r="G257" s="33" t="s">
        <v>2876</v>
      </c>
      <c r="H257" s="237" t="s">
        <v>1551</v>
      </c>
      <c r="I257" s="2">
        <v>138</v>
      </c>
      <c r="J257" s="2">
        <v>25</v>
      </c>
      <c r="K257" s="1">
        <v>78.75</v>
      </c>
      <c r="L257" s="1">
        <v>100</v>
      </c>
      <c r="M257" s="131">
        <v>0.9</v>
      </c>
      <c r="N257" s="1">
        <f t="shared" ref="N257:O260" si="21">K257*$M257</f>
        <v>70.875</v>
      </c>
      <c r="O257" s="1">
        <f t="shared" si="21"/>
        <v>90</v>
      </c>
      <c r="P257" s="19"/>
      <c r="Q257" s="19"/>
      <c r="R257" s="99">
        <v>254</v>
      </c>
    </row>
    <row r="258" spans="1:18" ht="20" x14ac:dyDescent="0.2">
      <c r="A258" s="58"/>
      <c r="B258" s="151" t="s">
        <v>1707</v>
      </c>
      <c r="C258" s="51" t="s">
        <v>3258</v>
      </c>
      <c r="D258" s="33" t="s">
        <v>106</v>
      </c>
      <c r="E258" s="33"/>
      <c r="F258" s="33"/>
      <c r="G258" s="33" t="s">
        <v>2876</v>
      </c>
      <c r="H258" s="237" t="s">
        <v>1552</v>
      </c>
      <c r="I258" s="2">
        <v>138</v>
      </c>
      <c r="J258" s="2">
        <v>25</v>
      </c>
      <c r="K258" s="1">
        <v>78.75</v>
      </c>
      <c r="L258" s="1">
        <v>100</v>
      </c>
      <c r="M258" s="131">
        <v>0.9</v>
      </c>
      <c r="N258" s="1">
        <f t="shared" si="21"/>
        <v>70.875</v>
      </c>
      <c r="O258" s="1">
        <f t="shared" si="21"/>
        <v>90</v>
      </c>
      <c r="P258" s="19"/>
      <c r="Q258" s="19"/>
      <c r="R258" s="99">
        <v>255</v>
      </c>
    </row>
    <row r="259" spans="1:18" ht="20" x14ac:dyDescent="0.2">
      <c r="A259" s="58"/>
      <c r="B259" s="151" t="s">
        <v>1707</v>
      </c>
      <c r="C259" s="51" t="s">
        <v>3258</v>
      </c>
      <c r="D259" s="33" t="s">
        <v>106</v>
      </c>
      <c r="E259" s="33"/>
      <c r="F259" s="33"/>
      <c r="G259" s="33" t="s">
        <v>2876</v>
      </c>
      <c r="H259" s="237" t="s">
        <v>1557</v>
      </c>
      <c r="I259" s="2">
        <v>138</v>
      </c>
      <c r="J259" s="2">
        <v>25</v>
      </c>
      <c r="K259" s="1">
        <v>78.75</v>
      </c>
      <c r="L259" s="1">
        <v>100</v>
      </c>
      <c r="M259" s="131">
        <v>0.9</v>
      </c>
      <c r="N259" s="1">
        <f t="shared" si="21"/>
        <v>70.875</v>
      </c>
      <c r="O259" s="1">
        <f t="shared" si="21"/>
        <v>90</v>
      </c>
      <c r="P259" s="19"/>
      <c r="Q259" s="19"/>
      <c r="R259" s="99">
        <v>256</v>
      </c>
    </row>
    <row r="260" spans="1:18" ht="20" x14ac:dyDescent="0.2">
      <c r="A260" s="58"/>
      <c r="B260" s="151" t="s">
        <v>2615</v>
      </c>
      <c r="C260" s="51" t="s">
        <v>3444</v>
      </c>
      <c r="D260" s="33" t="s">
        <v>106</v>
      </c>
      <c r="E260" s="33"/>
      <c r="F260" s="33"/>
      <c r="G260" s="33" t="s">
        <v>2876</v>
      </c>
      <c r="H260" s="237" t="s">
        <v>1545</v>
      </c>
      <c r="I260" s="2">
        <v>66</v>
      </c>
      <c r="J260" s="2">
        <v>25</v>
      </c>
      <c r="K260" s="1">
        <v>12.5</v>
      </c>
      <c r="L260" s="1">
        <v>15</v>
      </c>
      <c r="M260" s="131">
        <v>0.9</v>
      </c>
      <c r="N260" s="1">
        <f t="shared" si="21"/>
        <v>11.25</v>
      </c>
      <c r="O260" s="1">
        <f t="shared" si="21"/>
        <v>13.5</v>
      </c>
      <c r="P260" s="19"/>
      <c r="Q260" s="19"/>
      <c r="R260" s="99">
        <v>257</v>
      </c>
    </row>
    <row r="261" spans="1:18" ht="20" x14ac:dyDescent="0.2">
      <c r="A261" s="58"/>
      <c r="B261" s="151" t="s">
        <v>1708</v>
      </c>
      <c r="C261" s="51" t="s">
        <v>3599</v>
      </c>
      <c r="D261" s="33" t="s">
        <v>106</v>
      </c>
      <c r="E261" s="33"/>
      <c r="F261" s="33"/>
      <c r="G261" s="33" t="s">
        <v>2876</v>
      </c>
      <c r="H261" s="33"/>
      <c r="I261" s="99"/>
      <c r="J261" s="99"/>
      <c r="K261" s="69"/>
      <c r="L261" s="69"/>
      <c r="M261" s="69"/>
      <c r="N261" s="69"/>
      <c r="O261" s="69"/>
      <c r="P261" s="19"/>
      <c r="Q261" s="19"/>
      <c r="R261" s="99">
        <v>258</v>
      </c>
    </row>
    <row r="262" spans="1:18" ht="20" x14ac:dyDescent="0.2">
      <c r="A262" s="58"/>
      <c r="B262" s="151" t="s">
        <v>1709</v>
      </c>
      <c r="C262" s="51" t="s">
        <v>3672</v>
      </c>
      <c r="D262" s="33" t="s">
        <v>106</v>
      </c>
      <c r="E262" s="33"/>
      <c r="F262" s="33"/>
      <c r="G262" s="33" t="s">
        <v>2876</v>
      </c>
      <c r="H262" s="33"/>
      <c r="I262" s="236"/>
      <c r="J262" s="236"/>
      <c r="K262" s="69"/>
      <c r="L262" s="69"/>
      <c r="M262" s="69"/>
      <c r="N262" s="69"/>
      <c r="O262" s="69"/>
      <c r="P262" s="19"/>
      <c r="Q262" s="19"/>
      <c r="R262" s="99">
        <v>259</v>
      </c>
    </row>
    <row r="263" spans="1:18" ht="20" x14ac:dyDescent="0.2">
      <c r="A263" s="58"/>
      <c r="B263" s="151" t="s">
        <v>1710</v>
      </c>
      <c r="C263" s="51" t="s">
        <v>3445</v>
      </c>
      <c r="D263" s="33" t="s">
        <v>106</v>
      </c>
      <c r="E263" s="33"/>
      <c r="F263" s="33"/>
      <c r="G263" s="33" t="s">
        <v>2876</v>
      </c>
      <c r="H263" s="237" t="s">
        <v>1545</v>
      </c>
      <c r="I263" s="2">
        <v>60</v>
      </c>
      <c r="J263" s="2">
        <v>12</v>
      </c>
      <c r="K263" s="1">
        <v>28</v>
      </c>
      <c r="L263" s="1">
        <v>33.25</v>
      </c>
      <c r="M263" s="131">
        <v>0.9</v>
      </c>
      <c r="N263" s="1">
        <f t="shared" ref="N263:O267" si="22">K263*$M263</f>
        <v>25.2</v>
      </c>
      <c r="O263" s="1">
        <f t="shared" si="22"/>
        <v>29.925000000000001</v>
      </c>
      <c r="P263" s="19"/>
      <c r="Q263" s="19"/>
      <c r="R263" s="99">
        <v>260</v>
      </c>
    </row>
    <row r="264" spans="1:18" ht="20" x14ac:dyDescent="0.2">
      <c r="A264" s="58"/>
      <c r="B264" s="151" t="s">
        <v>1710</v>
      </c>
      <c r="C264" s="51" t="s">
        <v>3445</v>
      </c>
      <c r="D264" s="33" t="s">
        <v>106</v>
      </c>
      <c r="E264" s="33"/>
      <c r="F264" s="33"/>
      <c r="G264" s="33" t="s">
        <v>2876</v>
      </c>
      <c r="H264" s="237" t="s">
        <v>1549</v>
      </c>
      <c r="I264" s="2">
        <v>60</v>
      </c>
      <c r="J264" s="2">
        <v>12</v>
      </c>
      <c r="K264" s="1">
        <v>28</v>
      </c>
      <c r="L264" s="1">
        <v>33.25</v>
      </c>
      <c r="M264" s="131">
        <v>0.9</v>
      </c>
      <c r="N264" s="1">
        <f t="shared" si="22"/>
        <v>25.2</v>
      </c>
      <c r="O264" s="1">
        <f t="shared" si="22"/>
        <v>29.925000000000001</v>
      </c>
      <c r="P264" s="19"/>
      <c r="Q264" s="19"/>
      <c r="R264" s="99">
        <v>261</v>
      </c>
    </row>
    <row r="265" spans="1:18" ht="20" x14ac:dyDescent="0.2">
      <c r="A265" s="58"/>
      <c r="B265" s="151" t="s">
        <v>1711</v>
      </c>
      <c r="C265" s="51" t="s">
        <v>3446</v>
      </c>
      <c r="D265" s="33" t="s">
        <v>106</v>
      </c>
      <c r="E265" s="33"/>
      <c r="F265" s="33"/>
      <c r="G265" s="33" t="s">
        <v>2876</v>
      </c>
      <c r="H265" s="237" t="s">
        <v>1545</v>
      </c>
      <c r="I265" s="2">
        <v>138</v>
      </c>
      <c r="J265" s="2">
        <v>25</v>
      </c>
      <c r="K265" s="1">
        <v>16.899999999999999</v>
      </c>
      <c r="L265" s="1">
        <v>20.7</v>
      </c>
      <c r="M265" s="131">
        <v>0.9</v>
      </c>
      <c r="N265" s="1">
        <f t="shared" si="22"/>
        <v>15.209999999999999</v>
      </c>
      <c r="O265" s="1">
        <f t="shared" si="22"/>
        <v>18.63</v>
      </c>
      <c r="P265" s="19"/>
      <c r="Q265" s="19"/>
      <c r="R265" s="99">
        <v>262</v>
      </c>
    </row>
    <row r="266" spans="1:18" ht="20" x14ac:dyDescent="0.2">
      <c r="A266" s="58"/>
      <c r="B266" s="151" t="s">
        <v>1711</v>
      </c>
      <c r="C266" s="51" t="s">
        <v>3446</v>
      </c>
      <c r="D266" s="33" t="s">
        <v>106</v>
      </c>
      <c r="E266" s="33"/>
      <c r="F266" s="33"/>
      <c r="G266" s="33" t="s">
        <v>2876</v>
      </c>
      <c r="H266" s="237" t="s">
        <v>1549</v>
      </c>
      <c r="I266" s="2">
        <v>138</v>
      </c>
      <c r="J266" s="2">
        <v>25</v>
      </c>
      <c r="K266" s="1">
        <v>25</v>
      </c>
      <c r="L266" s="1">
        <v>33.299999999999997</v>
      </c>
      <c r="M266" s="131">
        <v>0.9</v>
      </c>
      <c r="N266" s="1">
        <f t="shared" si="22"/>
        <v>22.5</v>
      </c>
      <c r="O266" s="1">
        <f t="shared" si="22"/>
        <v>29.97</v>
      </c>
      <c r="P266" s="19"/>
      <c r="Q266" s="19"/>
      <c r="R266" s="99">
        <v>263</v>
      </c>
    </row>
    <row r="267" spans="1:18" ht="20" x14ac:dyDescent="0.2">
      <c r="A267" s="58"/>
      <c r="B267" s="151" t="s">
        <v>1712</v>
      </c>
      <c r="C267" s="51" t="s">
        <v>3261</v>
      </c>
      <c r="D267" s="33" t="s">
        <v>106</v>
      </c>
      <c r="E267" s="33"/>
      <c r="F267" s="33"/>
      <c r="G267" s="33" t="s">
        <v>2876</v>
      </c>
      <c r="H267" s="237" t="s">
        <v>1549</v>
      </c>
      <c r="I267" s="2">
        <v>60</v>
      </c>
      <c r="J267" s="2">
        <v>25</v>
      </c>
      <c r="K267" s="1">
        <v>5</v>
      </c>
      <c r="L267" s="1">
        <v>5</v>
      </c>
      <c r="M267" s="131">
        <v>0.9</v>
      </c>
      <c r="N267" s="1">
        <f t="shared" si="22"/>
        <v>4.5</v>
      </c>
      <c r="O267" s="1">
        <f t="shared" si="22"/>
        <v>4.5</v>
      </c>
      <c r="P267" s="19"/>
      <c r="Q267" s="19"/>
      <c r="R267" s="99">
        <v>264</v>
      </c>
    </row>
    <row r="268" spans="1:18" ht="20" x14ac:dyDescent="0.2">
      <c r="A268" s="58"/>
      <c r="B268" s="151" t="s">
        <v>1713</v>
      </c>
      <c r="C268" s="51" t="s">
        <v>3193</v>
      </c>
      <c r="D268" s="33" t="s">
        <v>106</v>
      </c>
      <c r="E268" s="33"/>
      <c r="F268" s="33"/>
      <c r="G268" s="33" t="s">
        <v>2876</v>
      </c>
      <c r="H268" s="33"/>
      <c r="I268" s="99"/>
      <c r="J268" s="99"/>
      <c r="K268" s="69"/>
      <c r="L268" s="69"/>
      <c r="M268" s="69"/>
      <c r="N268" s="69"/>
      <c r="O268" s="69"/>
      <c r="P268" s="19"/>
      <c r="Q268" s="19"/>
      <c r="R268" s="99">
        <v>265</v>
      </c>
    </row>
    <row r="269" spans="1:18" ht="20" x14ac:dyDescent="0.2">
      <c r="A269" s="58"/>
      <c r="B269" s="151" t="s">
        <v>1714</v>
      </c>
      <c r="C269" s="51" t="s">
        <v>3262</v>
      </c>
      <c r="D269" s="33" t="s">
        <v>106</v>
      </c>
      <c r="E269" s="33"/>
      <c r="F269" s="33"/>
      <c r="G269" s="33" t="s">
        <v>2876</v>
      </c>
      <c r="H269" s="237" t="s">
        <v>1547</v>
      </c>
      <c r="I269" s="2">
        <v>60</v>
      </c>
      <c r="J269" s="2">
        <v>25</v>
      </c>
      <c r="K269" s="1">
        <v>43.7</v>
      </c>
      <c r="L269" s="1">
        <v>55.2</v>
      </c>
      <c r="M269" s="131">
        <v>0.9</v>
      </c>
      <c r="N269" s="1">
        <f>K269*$M269</f>
        <v>39.330000000000005</v>
      </c>
      <c r="O269" s="1">
        <f>L269*$M269</f>
        <v>49.680000000000007</v>
      </c>
      <c r="P269" s="19"/>
      <c r="Q269" s="19"/>
      <c r="R269" s="99">
        <v>266</v>
      </c>
    </row>
    <row r="270" spans="1:18" ht="20" x14ac:dyDescent="0.2">
      <c r="A270" s="58"/>
      <c r="B270" s="151" t="s">
        <v>1714</v>
      </c>
      <c r="C270" s="51" t="s">
        <v>3262</v>
      </c>
      <c r="D270" s="33" t="s">
        <v>106</v>
      </c>
      <c r="E270" s="33"/>
      <c r="F270" s="33"/>
      <c r="G270" s="33" t="s">
        <v>2876</v>
      </c>
      <c r="H270" s="237" t="s">
        <v>1548</v>
      </c>
      <c r="I270" s="2">
        <v>60</v>
      </c>
      <c r="J270" s="2">
        <v>25</v>
      </c>
      <c r="K270" s="1">
        <v>43.7</v>
      </c>
      <c r="L270" s="1">
        <v>55.2</v>
      </c>
      <c r="M270" s="131">
        <v>0.9</v>
      </c>
      <c r="N270" s="1">
        <f>K270*$M270</f>
        <v>39.330000000000005</v>
      </c>
      <c r="O270" s="1">
        <f>L270*$M270</f>
        <v>49.680000000000007</v>
      </c>
      <c r="P270" s="19"/>
      <c r="Q270" s="19"/>
      <c r="R270" s="99">
        <v>267</v>
      </c>
    </row>
    <row r="271" spans="1:18" ht="20" x14ac:dyDescent="0.2">
      <c r="A271" s="58"/>
      <c r="B271" s="151" t="s">
        <v>1715</v>
      </c>
      <c r="C271" s="51" t="s">
        <v>3450</v>
      </c>
      <c r="D271" s="33" t="s">
        <v>106</v>
      </c>
      <c r="E271" s="33"/>
      <c r="F271" s="33"/>
      <c r="G271" s="33" t="s">
        <v>2876</v>
      </c>
      <c r="H271" s="33"/>
      <c r="I271" s="99"/>
      <c r="J271" s="99"/>
      <c r="K271" s="69"/>
      <c r="L271" s="69"/>
      <c r="M271" s="69"/>
      <c r="N271" s="69"/>
      <c r="O271" s="69"/>
      <c r="P271" s="19"/>
      <c r="Q271" s="19"/>
      <c r="R271" s="99">
        <v>268</v>
      </c>
    </row>
    <row r="272" spans="1:18" ht="20" x14ac:dyDescent="0.2">
      <c r="A272" s="58"/>
      <c r="B272" s="151" t="s">
        <v>1716</v>
      </c>
      <c r="C272" s="51" t="s">
        <v>3263</v>
      </c>
      <c r="D272" s="33" t="s">
        <v>106</v>
      </c>
      <c r="E272" s="33"/>
      <c r="F272" s="33"/>
      <c r="G272" s="33" t="s">
        <v>2876</v>
      </c>
      <c r="H272" s="237" t="s">
        <v>1545</v>
      </c>
      <c r="I272" s="2">
        <v>60</v>
      </c>
      <c r="J272" s="2">
        <v>25</v>
      </c>
      <c r="K272" s="1">
        <v>79</v>
      </c>
      <c r="L272" s="1">
        <v>96</v>
      </c>
      <c r="M272" s="131">
        <v>0.9</v>
      </c>
      <c r="N272" s="1">
        <f t="shared" ref="N272:N280" si="23">K272*$M272</f>
        <v>71.100000000000009</v>
      </c>
      <c r="O272" s="1">
        <f t="shared" ref="O272:O280" si="24">L272*$M272</f>
        <v>86.4</v>
      </c>
      <c r="P272" s="19"/>
      <c r="Q272" s="19"/>
      <c r="R272" s="99">
        <v>269</v>
      </c>
    </row>
    <row r="273" spans="1:18" ht="20" x14ac:dyDescent="0.2">
      <c r="A273" s="58"/>
      <c r="B273" s="151" t="s">
        <v>1716</v>
      </c>
      <c r="C273" s="51" t="s">
        <v>3263</v>
      </c>
      <c r="D273" s="33" t="s">
        <v>106</v>
      </c>
      <c r="E273" s="33"/>
      <c r="F273" s="33"/>
      <c r="G273" s="33" t="s">
        <v>2876</v>
      </c>
      <c r="H273" s="237" t="s">
        <v>1550</v>
      </c>
      <c r="I273" s="2">
        <v>60</v>
      </c>
      <c r="J273" s="2">
        <v>25</v>
      </c>
      <c r="K273" s="1">
        <v>79</v>
      </c>
      <c r="L273" s="1">
        <v>100</v>
      </c>
      <c r="M273" s="131">
        <v>0.9</v>
      </c>
      <c r="N273" s="1">
        <f t="shared" si="23"/>
        <v>71.100000000000009</v>
      </c>
      <c r="O273" s="1">
        <f t="shared" si="24"/>
        <v>90</v>
      </c>
      <c r="P273" s="19"/>
      <c r="Q273" s="19"/>
      <c r="R273" s="99">
        <v>270</v>
      </c>
    </row>
    <row r="274" spans="1:18" ht="20" x14ac:dyDescent="0.2">
      <c r="A274" s="58"/>
      <c r="B274" s="151" t="s">
        <v>228</v>
      </c>
      <c r="C274" s="51" t="s">
        <v>3195</v>
      </c>
      <c r="D274" s="33" t="s">
        <v>106</v>
      </c>
      <c r="E274" s="33"/>
      <c r="F274" s="33"/>
      <c r="G274" s="33" t="s">
        <v>2876</v>
      </c>
      <c r="H274" s="237" t="s">
        <v>1551</v>
      </c>
      <c r="I274" s="2">
        <v>60</v>
      </c>
      <c r="J274" s="2">
        <v>25</v>
      </c>
      <c r="K274" s="1">
        <v>15</v>
      </c>
      <c r="L274" s="1">
        <v>18</v>
      </c>
      <c r="M274" s="131">
        <v>0.9</v>
      </c>
      <c r="N274" s="1">
        <f t="shared" si="23"/>
        <v>13.5</v>
      </c>
      <c r="O274" s="1">
        <f t="shared" si="24"/>
        <v>16.2</v>
      </c>
      <c r="P274" s="19"/>
      <c r="Q274" s="19"/>
      <c r="R274" s="99">
        <v>271</v>
      </c>
    </row>
    <row r="275" spans="1:18" ht="20" x14ac:dyDescent="0.2">
      <c r="A275" s="58"/>
      <c r="B275" s="151" t="s">
        <v>228</v>
      </c>
      <c r="C275" s="51" t="s">
        <v>3195</v>
      </c>
      <c r="D275" s="33" t="s">
        <v>106</v>
      </c>
      <c r="E275" s="33"/>
      <c r="F275" s="33"/>
      <c r="G275" s="33" t="s">
        <v>2876</v>
      </c>
      <c r="H275" s="237" t="s">
        <v>1552</v>
      </c>
      <c r="I275" s="2">
        <v>60</v>
      </c>
      <c r="J275" s="2">
        <v>25</v>
      </c>
      <c r="K275" s="1">
        <v>15</v>
      </c>
      <c r="L275" s="1">
        <v>18</v>
      </c>
      <c r="M275" s="131">
        <v>0.9</v>
      </c>
      <c r="N275" s="1">
        <f t="shared" si="23"/>
        <v>13.5</v>
      </c>
      <c r="O275" s="1">
        <f t="shared" si="24"/>
        <v>16.2</v>
      </c>
      <c r="P275" s="19"/>
      <c r="Q275" s="19"/>
      <c r="R275" s="99">
        <v>272</v>
      </c>
    </row>
    <row r="276" spans="1:18" ht="20" x14ac:dyDescent="0.2">
      <c r="A276" s="58"/>
      <c r="B276" s="151" t="s">
        <v>1717</v>
      </c>
      <c r="C276" s="51" t="s">
        <v>3265</v>
      </c>
      <c r="D276" s="33" t="s">
        <v>106</v>
      </c>
      <c r="E276" s="33"/>
      <c r="F276" s="33"/>
      <c r="G276" s="33" t="s">
        <v>2876</v>
      </c>
      <c r="H276" s="237" t="s">
        <v>1546</v>
      </c>
      <c r="I276" s="2">
        <v>230</v>
      </c>
      <c r="J276" s="2">
        <v>12</v>
      </c>
      <c r="K276" s="1">
        <v>88</v>
      </c>
      <c r="L276" s="1">
        <v>112</v>
      </c>
      <c r="M276" s="131">
        <v>0.9</v>
      </c>
      <c r="N276" s="1">
        <f t="shared" si="23"/>
        <v>79.2</v>
      </c>
      <c r="O276" s="1">
        <f t="shared" si="24"/>
        <v>100.8</v>
      </c>
      <c r="P276" s="19"/>
      <c r="Q276" s="19"/>
      <c r="R276" s="99">
        <v>273</v>
      </c>
    </row>
    <row r="277" spans="1:18" ht="20" x14ac:dyDescent="0.2">
      <c r="A277" s="58"/>
      <c r="B277" s="151" t="s">
        <v>1717</v>
      </c>
      <c r="C277" s="51" t="s">
        <v>3265</v>
      </c>
      <c r="D277" s="33" t="s">
        <v>106</v>
      </c>
      <c r="E277" s="33"/>
      <c r="F277" s="33"/>
      <c r="G277" s="33" t="s">
        <v>2876</v>
      </c>
      <c r="H277" s="237" t="s">
        <v>1547</v>
      </c>
      <c r="I277" s="2">
        <v>230</v>
      </c>
      <c r="J277" s="2">
        <v>12</v>
      </c>
      <c r="K277" s="1">
        <v>88</v>
      </c>
      <c r="L277" s="1">
        <v>112</v>
      </c>
      <c r="M277" s="131">
        <v>0.9</v>
      </c>
      <c r="N277" s="1">
        <f t="shared" si="23"/>
        <v>79.2</v>
      </c>
      <c r="O277" s="1">
        <f t="shared" si="24"/>
        <v>100.8</v>
      </c>
      <c r="P277" s="19"/>
      <c r="Q277" s="19"/>
      <c r="R277" s="99">
        <v>274</v>
      </c>
    </row>
    <row r="278" spans="1:18" ht="20" x14ac:dyDescent="0.2">
      <c r="A278" s="58"/>
      <c r="B278" s="151" t="s">
        <v>1717</v>
      </c>
      <c r="C278" s="51" t="s">
        <v>3265</v>
      </c>
      <c r="D278" s="33" t="s">
        <v>106</v>
      </c>
      <c r="E278" s="33"/>
      <c r="F278" s="33"/>
      <c r="G278" s="33" t="s">
        <v>2876</v>
      </c>
      <c r="H278" s="237" t="s">
        <v>1548</v>
      </c>
      <c r="I278" s="2">
        <v>230</v>
      </c>
      <c r="J278" s="2">
        <v>12</v>
      </c>
      <c r="K278" s="1">
        <v>88</v>
      </c>
      <c r="L278" s="1">
        <v>112</v>
      </c>
      <c r="M278" s="131">
        <v>0.9</v>
      </c>
      <c r="N278" s="1">
        <f t="shared" si="23"/>
        <v>79.2</v>
      </c>
      <c r="O278" s="1">
        <f t="shared" si="24"/>
        <v>100.8</v>
      </c>
      <c r="P278" s="19"/>
      <c r="Q278" s="19"/>
      <c r="R278" s="99">
        <v>275</v>
      </c>
    </row>
    <row r="279" spans="1:18" ht="20" x14ac:dyDescent="0.2">
      <c r="A279" s="58"/>
      <c r="B279" s="151" t="s">
        <v>1717</v>
      </c>
      <c r="C279" s="51" t="s">
        <v>3265</v>
      </c>
      <c r="D279" s="33" t="s">
        <v>106</v>
      </c>
      <c r="E279" s="33"/>
      <c r="F279" s="33"/>
      <c r="G279" s="33" t="s">
        <v>2876</v>
      </c>
      <c r="H279" s="237" t="s">
        <v>1559</v>
      </c>
      <c r="I279" s="2">
        <v>230</v>
      </c>
      <c r="J279" s="2">
        <v>25</v>
      </c>
      <c r="K279" s="1">
        <v>158</v>
      </c>
      <c r="L279" s="1">
        <v>200</v>
      </c>
      <c r="M279" s="131">
        <v>0.9</v>
      </c>
      <c r="N279" s="1">
        <f t="shared" si="23"/>
        <v>142.20000000000002</v>
      </c>
      <c r="O279" s="1">
        <f t="shared" si="24"/>
        <v>180</v>
      </c>
      <c r="P279" s="19"/>
      <c r="Q279" s="19"/>
      <c r="R279" s="99">
        <v>276</v>
      </c>
    </row>
    <row r="280" spans="1:18" ht="20" x14ac:dyDescent="0.2">
      <c r="A280" s="58"/>
      <c r="B280" s="151" t="s">
        <v>1717</v>
      </c>
      <c r="C280" s="51" t="s">
        <v>3265</v>
      </c>
      <c r="D280" s="33" t="s">
        <v>106</v>
      </c>
      <c r="E280" s="33"/>
      <c r="F280" s="33"/>
      <c r="G280" s="33" t="s">
        <v>2876</v>
      </c>
      <c r="H280" s="237" t="s">
        <v>1555</v>
      </c>
      <c r="I280" s="2">
        <v>230</v>
      </c>
      <c r="J280" s="2">
        <v>25</v>
      </c>
      <c r="K280" s="1">
        <v>158</v>
      </c>
      <c r="L280" s="1">
        <v>200</v>
      </c>
      <c r="M280" s="131">
        <v>0.9</v>
      </c>
      <c r="N280" s="1">
        <f t="shared" si="23"/>
        <v>142.20000000000002</v>
      </c>
      <c r="O280" s="1">
        <f t="shared" si="24"/>
        <v>180</v>
      </c>
      <c r="P280" s="19"/>
      <c r="Q280" s="19"/>
      <c r="R280" s="99">
        <v>277</v>
      </c>
    </row>
    <row r="281" spans="1:18" ht="20" x14ac:dyDescent="0.2">
      <c r="A281" s="58"/>
      <c r="B281" s="151" t="s">
        <v>1718</v>
      </c>
      <c r="C281" s="51" t="s">
        <v>3448</v>
      </c>
      <c r="D281" s="33" t="s">
        <v>106</v>
      </c>
      <c r="E281" s="33"/>
      <c r="F281" s="33"/>
      <c r="G281" s="33" t="s">
        <v>2876</v>
      </c>
      <c r="H281" s="33"/>
      <c r="I281" s="99"/>
      <c r="J281" s="99"/>
      <c r="K281" s="69"/>
      <c r="L281" s="69"/>
      <c r="M281" s="69"/>
      <c r="N281" s="69"/>
      <c r="O281" s="69"/>
      <c r="P281" s="19"/>
      <c r="Q281" s="19"/>
      <c r="R281" s="99">
        <v>278</v>
      </c>
    </row>
    <row r="282" spans="1:18" ht="20" x14ac:dyDescent="0.2">
      <c r="A282" s="58"/>
      <c r="B282" s="151" t="s">
        <v>1719</v>
      </c>
      <c r="C282" s="51" t="s">
        <v>3449</v>
      </c>
      <c r="D282" s="33" t="s">
        <v>106</v>
      </c>
      <c r="E282" s="33"/>
      <c r="F282" s="33"/>
      <c r="G282" s="33" t="s">
        <v>2876</v>
      </c>
      <c r="H282" s="237" t="s">
        <v>1545</v>
      </c>
      <c r="I282" s="2">
        <v>60</v>
      </c>
      <c r="J282" s="2">
        <v>25</v>
      </c>
      <c r="K282" s="1">
        <v>79</v>
      </c>
      <c r="L282" s="1">
        <v>100</v>
      </c>
      <c r="M282" s="131">
        <v>0.9</v>
      </c>
      <c r="N282" s="1">
        <f t="shared" ref="N282:O285" si="25">K282*$M282</f>
        <v>71.100000000000009</v>
      </c>
      <c r="O282" s="1">
        <f t="shared" si="25"/>
        <v>90</v>
      </c>
      <c r="P282" s="19"/>
      <c r="Q282" s="19"/>
      <c r="R282" s="99">
        <v>279</v>
      </c>
    </row>
    <row r="283" spans="1:18" ht="20" x14ac:dyDescent="0.2">
      <c r="A283" s="58"/>
      <c r="B283" s="151" t="s">
        <v>1719</v>
      </c>
      <c r="C283" s="51" t="s">
        <v>3449</v>
      </c>
      <c r="D283" s="33" t="s">
        <v>106</v>
      </c>
      <c r="E283" s="33"/>
      <c r="F283" s="33"/>
      <c r="G283" s="33" t="s">
        <v>2876</v>
      </c>
      <c r="H283" s="237" t="s">
        <v>1549</v>
      </c>
      <c r="I283" s="2">
        <v>60</v>
      </c>
      <c r="J283" s="2">
        <v>25</v>
      </c>
      <c r="K283" s="1">
        <v>79</v>
      </c>
      <c r="L283" s="1">
        <v>100</v>
      </c>
      <c r="M283" s="131">
        <v>0.9</v>
      </c>
      <c r="N283" s="1">
        <f t="shared" si="25"/>
        <v>71.100000000000009</v>
      </c>
      <c r="O283" s="1">
        <f t="shared" si="25"/>
        <v>90</v>
      </c>
      <c r="P283" s="19"/>
      <c r="Q283" s="19"/>
      <c r="R283" s="99">
        <v>280</v>
      </c>
    </row>
    <row r="284" spans="1:18" ht="20" x14ac:dyDescent="0.2">
      <c r="A284" s="58"/>
      <c r="B284" s="151" t="s">
        <v>1720</v>
      </c>
      <c r="C284" s="51" t="s">
        <v>3409</v>
      </c>
      <c r="D284" s="33" t="s">
        <v>106</v>
      </c>
      <c r="E284" s="33"/>
      <c r="F284" s="33"/>
      <c r="G284" s="33" t="s">
        <v>2876</v>
      </c>
      <c r="H284" s="237" t="s">
        <v>1545</v>
      </c>
      <c r="I284" s="2">
        <v>60</v>
      </c>
      <c r="J284" s="2">
        <v>12</v>
      </c>
      <c r="K284" s="1">
        <v>26.25</v>
      </c>
      <c r="L284" s="1">
        <v>33.25</v>
      </c>
      <c r="M284" s="131">
        <v>0.9</v>
      </c>
      <c r="N284" s="1">
        <f t="shared" si="25"/>
        <v>23.625</v>
      </c>
      <c r="O284" s="1">
        <f t="shared" si="25"/>
        <v>29.925000000000001</v>
      </c>
      <c r="P284" s="19"/>
      <c r="Q284" s="19"/>
      <c r="R284" s="99">
        <v>281</v>
      </c>
    </row>
    <row r="285" spans="1:18" ht="20" x14ac:dyDescent="0.2">
      <c r="A285" s="58"/>
      <c r="B285" s="151" t="s">
        <v>1720</v>
      </c>
      <c r="C285" s="51" t="s">
        <v>3409</v>
      </c>
      <c r="D285" s="33" t="s">
        <v>106</v>
      </c>
      <c r="E285" s="33"/>
      <c r="F285" s="33"/>
      <c r="G285" s="33" t="s">
        <v>2876</v>
      </c>
      <c r="H285" s="237" t="s">
        <v>1549</v>
      </c>
      <c r="I285" s="2">
        <v>60</v>
      </c>
      <c r="J285" s="2">
        <v>12</v>
      </c>
      <c r="K285" s="1">
        <v>26.25</v>
      </c>
      <c r="L285" s="1">
        <v>33.25</v>
      </c>
      <c r="M285" s="131">
        <v>0.9</v>
      </c>
      <c r="N285" s="1">
        <f t="shared" si="25"/>
        <v>23.625</v>
      </c>
      <c r="O285" s="1">
        <f t="shared" si="25"/>
        <v>29.925000000000001</v>
      </c>
      <c r="P285" s="19"/>
      <c r="Q285" s="19"/>
      <c r="R285" s="99">
        <v>282</v>
      </c>
    </row>
    <row r="286" spans="1:18" ht="20" x14ac:dyDescent="0.2">
      <c r="A286" s="58"/>
      <c r="B286" s="151" t="s">
        <v>1721</v>
      </c>
      <c r="C286" s="51" t="s">
        <v>3700</v>
      </c>
      <c r="D286" s="33" t="s">
        <v>106</v>
      </c>
      <c r="E286" s="33">
        <v>49.522021000000002</v>
      </c>
      <c r="F286" s="33">
        <v>-123.4861618</v>
      </c>
      <c r="G286" s="33" t="s">
        <v>2876</v>
      </c>
      <c r="H286" s="33"/>
      <c r="I286" s="99"/>
      <c r="J286" s="99"/>
      <c r="K286" s="69"/>
      <c r="L286" s="69"/>
      <c r="M286" s="69"/>
      <c r="N286" s="69"/>
      <c r="O286" s="69"/>
      <c r="P286" s="19"/>
      <c r="Q286" s="19"/>
      <c r="R286" s="99">
        <v>283</v>
      </c>
    </row>
    <row r="287" spans="1:18" ht="20" x14ac:dyDescent="0.2">
      <c r="A287" s="58"/>
      <c r="B287" s="151" t="s">
        <v>1722</v>
      </c>
      <c r="C287" s="51" t="s">
        <v>3266</v>
      </c>
      <c r="D287" s="33" t="s">
        <v>106</v>
      </c>
      <c r="E287" s="33"/>
      <c r="F287" s="33"/>
      <c r="G287" s="33" t="s">
        <v>2876</v>
      </c>
      <c r="H287" s="237" t="s">
        <v>1545</v>
      </c>
      <c r="I287" s="2">
        <v>230</v>
      </c>
      <c r="J287" s="2">
        <v>25</v>
      </c>
      <c r="K287" s="1">
        <v>157.5</v>
      </c>
      <c r="L287" s="1">
        <v>200</v>
      </c>
      <c r="M287" s="131">
        <v>0.9</v>
      </c>
      <c r="N287" s="1">
        <f t="shared" ref="N287:O292" si="26">K287*$M287</f>
        <v>141.75</v>
      </c>
      <c r="O287" s="1">
        <f t="shared" si="26"/>
        <v>180</v>
      </c>
      <c r="P287" s="19"/>
      <c r="Q287" s="19"/>
      <c r="R287" s="99">
        <v>284</v>
      </c>
    </row>
    <row r="288" spans="1:18" ht="20" x14ac:dyDescent="0.2">
      <c r="A288" s="58"/>
      <c r="B288" s="151" t="s">
        <v>1722</v>
      </c>
      <c r="C288" s="51" t="s">
        <v>3266</v>
      </c>
      <c r="D288" s="33" t="s">
        <v>106</v>
      </c>
      <c r="E288" s="33"/>
      <c r="F288" s="33"/>
      <c r="G288" s="33" t="s">
        <v>2876</v>
      </c>
      <c r="H288" s="237" t="s">
        <v>1549</v>
      </c>
      <c r="I288" s="2">
        <v>230</v>
      </c>
      <c r="J288" s="2">
        <v>25</v>
      </c>
      <c r="K288" s="1">
        <v>157.5</v>
      </c>
      <c r="L288" s="1">
        <v>200</v>
      </c>
      <c r="M288" s="131">
        <v>0.9</v>
      </c>
      <c r="N288" s="1">
        <f t="shared" si="26"/>
        <v>141.75</v>
      </c>
      <c r="O288" s="1">
        <f t="shared" si="26"/>
        <v>180</v>
      </c>
      <c r="P288" s="19"/>
      <c r="Q288" s="19"/>
      <c r="R288" s="99">
        <v>285</v>
      </c>
    </row>
    <row r="289" spans="1:18" ht="20" x14ac:dyDescent="0.2">
      <c r="A289" s="58"/>
      <c r="B289" s="151" t="s">
        <v>1722</v>
      </c>
      <c r="C289" s="51" t="s">
        <v>3266</v>
      </c>
      <c r="D289" s="33" t="s">
        <v>106</v>
      </c>
      <c r="E289" s="33"/>
      <c r="F289" s="33"/>
      <c r="G289" s="33" t="s">
        <v>2876</v>
      </c>
      <c r="H289" s="237" t="s">
        <v>1551</v>
      </c>
      <c r="I289" s="2">
        <v>230</v>
      </c>
      <c r="J289" s="2">
        <v>12</v>
      </c>
      <c r="K289" s="1">
        <v>157.5</v>
      </c>
      <c r="L289" s="1">
        <v>200</v>
      </c>
      <c r="M289" s="131">
        <v>0.9</v>
      </c>
      <c r="N289" s="1">
        <f t="shared" si="26"/>
        <v>141.75</v>
      </c>
      <c r="O289" s="1">
        <f t="shared" si="26"/>
        <v>180</v>
      </c>
      <c r="P289" s="19"/>
      <c r="Q289" s="19"/>
      <c r="R289" s="99">
        <v>286</v>
      </c>
    </row>
    <row r="290" spans="1:18" ht="20" x14ac:dyDescent="0.2">
      <c r="A290" s="58"/>
      <c r="B290" s="151" t="s">
        <v>1722</v>
      </c>
      <c r="C290" s="51" t="s">
        <v>3266</v>
      </c>
      <c r="D290" s="33" t="s">
        <v>106</v>
      </c>
      <c r="E290" s="33"/>
      <c r="F290" s="33"/>
      <c r="G290" s="33" t="s">
        <v>2876</v>
      </c>
      <c r="H290" s="237" t="s">
        <v>1552</v>
      </c>
      <c r="I290" s="2">
        <v>230</v>
      </c>
      <c r="J290" s="2">
        <v>12</v>
      </c>
      <c r="K290" s="1">
        <v>168</v>
      </c>
      <c r="L290" s="1">
        <v>200</v>
      </c>
      <c r="M290" s="131">
        <v>0.9</v>
      </c>
      <c r="N290" s="1">
        <f t="shared" si="26"/>
        <v>151.20000000000002</v>
      </c>
      <c r="O290" s="1">
        <f t="shared" si="26"/>
        <v>180</v>
      </c>
      <c r="P290" s="19"/>
      <c r="Q290" s="19"/>
      <c r="R290" s="99">
        <v>287</v>
      </c>
    </row>
    <row r="291" spans="1:18" ht="20" x14ac:dyDescent="0.2">
      <c r="A291" s="58"/>
      <c r="B291" s="151" t="s">
        <v>1723</v>
      </c>
      <c r="C291" s="51" t="s">
        <v>3267</v>
      </c>
      <c r="D291" s="33" t="s">
        <v>106</v>
      </c>
      <c r="E291" s="33"/>
      <c r="F291" s="33"/>
      <c r="G291" s="33" t="s">
        <v>2876</v>
      </c>
      <c r="H291" s="237" t="s">
        <v>1549</v>
      </c>
      <c r="I291" s="2">
        <v>138</v>
      </c>
      <c r="J291" s="2">
        <v>25</v>
      </c>
      <c r="K291" s="1">
        <v>18.7</v>
      </c>
      <c r="L291" s="1">
        <v>22.1</v>
      </c>
      <c r="M291" s="131">
        <v>0.9</v>
      </c>
      <c r="N291" s="1">
        <f t="shared" si="26"/>
        <v>16.829999999999998</v>
      </c>
      <c r="O291" s="1">
        <f t="shared" si="26"/>
        <v>19.89</v>
      </c>
      <c r="P291" s="19"/>
      <c r="Q291" s="19"/>
      <c r="R291" s="99">
        <v>288</v>
      </c>
    </row>
    <row r="292" spans="1:18" ht="20" x14ac:dyDescent="0.2">
      <c r="A292" s="58"/>
      <c r="B292" s="151" t="s">
        <v>1723</v>
      </c>
      <c r="C292" s="51" t="s">
        <v>3267</v>
      </c>
      <c r="D292" s="33" t="s">
        <v>106</v>
      </c>
      <c r="E292" s="33"/>
      <c r="F292" s="33"/>
      <c r="G292" s="33" t="s">
        <v>2876</v>
      </c>
      <c r="H292" s="237" t="s">
        <v>1550</v>
      </c>
      <c r="I292" s="2">
        <v>138</v>
      </c>
      <c r="J292" s="2">
        <v>25</v>
      </c>
      <c r="K292" s="1">
        <v>18.8</v>
      </c>
      <c r="L292" s="1">
        <v>22</v>
      </c>
      <c r="M292" s="131">
        <v>0.9</v>
      </c>
      <c r="N292" s="1">
        <f t="shared" si="26"/>
        <v>16.920000000000002</v>
      </c>
      <c r="O292" s="1">
        <f t="shared" si="26"/>
        <v>19.8</v>
      </c>
      <c r="P292" s="19"/>
      <c r="Q292" s="19"/>
      <c r="R292" s="99">
        <v>289</v>
      </c>
    </row>
    <row r="293" spans="1:18" ht="20" x14ac:dyDescent="0.2">
      <c r="A293" s="58"/>
      <c r="B293" s="151" t="s">
        <v>1724</v>
      </c>
      <c r="C293" s="51" t="s">
        <v>3452</v>
      </c>
      <c r="D293" s="33" t="s">
        <v>106</v>
      </c>
      <c r="E293" s="33"/>
      <c r="F293" s="33"/>
      <c r="G293" s="33" t="s">
        <v>2876</v>
      </c>
      <c r="H293" s="33"/>
      <c r="I293" s="99"/>
      <c r="J293" s="99"/>
      <c r="K293" s="69"/>
      <c r="L293" s="69"/>
      <c r="M293" s="69"/>
      <c r="N293" s="69"/>
      <c r="O293" s="69"/>
      <c r="P293" s="19"/>
      <c r="Q293" s="19"/>
      <c r="R293" s="99">
        <v>290</v>
      </c>
    </row>
    <row r="294" spans="1:18" ht="20" x14ac:dyDescent="0.2">
      <c r="A294" s="58"/>
      <c r="B294" s="151" t="s">
        <v>1725</v>
      </c>
      <c r="C294" s="51" t="s">
        <v>3453</v>
      </c>
      <c r="D294" s="33" t="s">
        <v>106</v>
      </c>
      <c r="E294" s="33"/>
      <c r="F294" s="33"/>
      <c r="G294" s="33" t="s">
        <v>2876</v>
      </c>
      <c r="H294" s="237" t="s">
        <v>1545</v>
      </c>
      <c r="I294" s="2">
        <v>138</v>
      </c>
      <c r="J294" s="2">
        <v>25</v>
      </c>
      <c r="K294" s="1">
        <v>80</v>
      </c>
      <c r="L294" s="1">
        <v>87.3</v>
      </c>
      <c r="M294" s="131">
        <v>0.9</v>
      </c>
      <c r="N294" s="1">
        <f>K294*$M294</f>
        <v>72</v>
      </c>
      <c r="O294" s="1">
        <f>L294*$M294</f>
        <v>78.569999999999993</v>
      </c>
      <c r="P294" s="19"/>
      <c r="Q294" s="19"/>
      <c r="R294" s="99">
        <v>291</v>
      </c>
    </row>
    <row r="295" spans="1:18" ht="20" x14ac:dyDescent="0.2">
      <c r="A295" s="58"/>
      <c r="B295" s="151" t="s">
        <v>1725</v>
      </c>
      <c r="C295" s="51" t="s">
        <v>3453</v>
      </c>
      <c r="D295" s="33" t="s">
        <v>106</v>
      </c>
      <c r="E295" s="33"/>
      <c r="F295" s="33"/>
      <c r="G295" s="33" t="s">
        <v>2876</v>
      </c>
      <c r="H295" s="237" t="s">
        <v>1549</v>
      </c>
      <c r="I295" s="2">
        <v>138</v>
      </c>
      <c r="J295" s="2">
        <v>25</v>
      </c>
      <c r="K295" s="1">
        <v>78.8</v>
      </c>
      <c r="L295" s="1">
        <v>87.3</v>
      </c>
      <c r="M295" s="131">
        <v>0.9</v>
      </c>
      <c r="N295" s="1">
        <f>K295*$M295</f>
        <v>70.92</v>
      </c>
      <c r="O295" s="1">
        <f>L295*$M295</f>
        <v>78.569999999999993</v>
      </c>
      <c r="P295" s="19"/>
      <c r="Q295" s="19"/>
      <c r="R295" s="99">
        <v>292</v>
      </c>
    </row>
    <row r="296" spans="1:18" ht="20" x14ac:dyDescent="0.2">
      <c r="A296" s="58"/>
      <c r="B296" s="151" t="s">
        <v>1726</v>
      </c>
      <c r="C296" s="51" t="s">
        <v>3269</v>
      </c>
      <c r="D296" s="33" t="s">
        <v>106</v>
      </c>
      <c r="E296" s="33"/>
      <c r="F296" s="33"/>
      <c r="G296" s="33" t="s">
        <v>2876</v>
      </c>
      <c r="H296" s="33"/>
      <c r="I296" s="99"/>
      <c r="J296" s="99"/>
      <c r="K296" s="69"/>
      <c r="L296" s="69"/>
      <c r="M296" s="69"/>
      <c r="N296" s="69"/>
      <c r="O296" s="69"/>
      <c r="P296" s="19"/>
      <c r="Q296" s="19"/>
      <c r="R296" s="99">
        <v>293</v>
      </c>
    </row>
    <row r="297" spans="1:18" ht="20" x14ac:dyDescent="0.2">
      <c r="A297" s="58"/>
      <c r="B297" s="151" t="s">
        <v>1727</v>
      </c>
      <c r="C297" s="51" t="s">
        <v>3528</v>
      </c>
      <c r="D297" s="33" t="s">
        <v>106</v>
      </c>
      <c r="E297" s="33"/>
      <c r="F297" s="33"/>
      <c r="G297" s="33" t="s">
        <v>2876</v>
      </c>
      <c r="H297" s="237" t="s">
        <v>1545</v>
      </c>
      <c r="I297" s="2">
        <v>138</v>
      </c>
      <c r="J297" s="2">
        <v>25</v>
      </c>
      <c r="K297" s="1">
        <v>18.8</v>
      </c>
      <c r="L297" s="1">
        <v>22.1</v>
      </c>
      <c r="M297" s="131">
        <v>0.9</v>
      </c>
      <c r="N297" s="1">
        <f>K297*$M297</f>
        <v>16.920000000000002</v>
      </c>
      <c r="O297" s="1">
        <f>L297*$M297</f>
        <v>19.89</v>
      </c>
      <c r="P297" s="19"/>
      <c r="Q297" s="19"/>
      <c r="R297" s="99">
        <v>294</v>
      </c>
    </row>
    <row r="298" spans="1:18" ht="20" x14ac:dyDescent="0.2">
      <c r="A298" s="58"/>
      <c r="B298" s="151" t="s">
        <v>1727</v>
      </c>
      <c r="C298" s="51" t="s">
        <v>3528</v>
      </c>
      <c r="D298" s="33" t="s">
        <v>106</v>
      </c>
      <c r="E298" s="33"/>
      <c r="F298" s="33"/>
      <c r="G298" s="33" t="s">
        <v>2876</v>
      </c>
      <c r="H298" s="237" t="s">
        <v>1549</v>
      </c>
      <c r="I298" s="2">
        <v>138</v>
      </c>
      <c r="J298" s="2">
        <v>25</v>
      </c>
      <c r="K298" s="1">
        <v>28</v>
      </c>
      <c r="L298" s="1">
        <v>33.299999999999997</v>
      </c>
      <c r="M298" s="131">
        <v>0.9</v>
      </c>
      <c r="N298" s="1">
        <f>K298*$M298</f>
        <v>25.2</v>
      </c>
      <c r="O298" s="1">
        <f>L298*$M298</f>
        <v>29.97</v>
      </c>
      <c r="P298" s="19"/>
      <c r="Q298" s="19"/>
      <c r="R298" s="99">
        <v>295</v>
      </c>
    </row>
    <row r="299" spans="1:18" ht="20" x14ac:dyDescent="0.2">
      <c r="A299" s="58"/>
      <c r="B299" s="151" t="s">
        <v>1728</v>
      </c>
      <c r="C299" s="51" t="s">
        <v>3127</v>
      </c>
      <c r="D299" s="33" t="s">
        <v>106</v>
      </c>
      <c r="E299" s="33">
        <v>50.069090000000003</v>
      </c>
      <c r="F299" s="33">
        <v>-125.28187800000001</v>
      </c>
      <c r="G299" s="33" t="s">
        <v>2876</v>
      </c>
      <c r="H299" s="33"/>
      <c r="I299" s="236"/>
      <c r="J299" s="236"/>
      <c r="K299" s="69"/>
      <c r="L299" s="69"/>
      <c r="M299" s="69"/>
      <c r="N299" s="69"/>
      <c r="O299" s="69"/>
      <c r="P299" s="19"/>
      <c r="Q299" s="19"/>
      <c r="R299" s="99">
        <v>296</v>
      </c>
    </row>
    <row r="300" spans="1:18" ht="20" x14ac:dyDescent="0.2">
      <c r="A300" s="58"/>
      <c r="B300" s="151" t="s">
        <v>1729</v>
      </c>
      <c r="C300" s="51" t="s">
        <v>3202</v>
      </c>
      <c r="D300" s="33" t="s">
        <v>106</v>
      </c>
      <c r="E300" s="33"/>
      <c r="F300" s="33"/>
      <c r="G300" s="33" t="s">
        <v>2876</v>
      </c>
      <c r="H300" s="237" t="s">
        <v>1545</v>
      </c>
      <c r="I300" s="290">
        <v>230</v>
      </c>
      <c r="J300" s="290">
        <v>25</v>
      </c>
      <c r="K300" s="1">
        <v>27.4</v>
      </c>
      <c r="L300" s="1">
        <v>33.799999999999997</v>
      </c>
      <c r="M300" s="131">
        <v>0.9</v>
      </c>
      <c r="N300" s="1">
        <f>K300*$M300</f>
        <v>24.66</v>
      </c>
      <c r="O300" s="1">
        <f>L300*$M300</f>
        <v>30.419999999999998</v>
      </c>
      <c r="P300" s="19"/>
      <c r="Q300" s="19"/>
      <c r="R300" s="99">
        <v>297</v>
      </c>
    </row>
    <row r="301" spans="1:18" ht="20" x14ac:dyDescent="0.2">
      <c r="A301" s="58"/>
      <c r="B301" s="151" t="s">
        <v>1729</v>
      </c>
      <c r="C301" s="51" t="s">
        <v>3202</v>
      </c>
      <c r="D301" s="33" t="s">
        <v>106</v>
      </c>
      <c r="E301" s="33"/>
      <c r="F301" s="33"/>
      <c r="G301" s="33" t="s">
        <v>2876</v>
      </c>
      <c r="H301" s="237" t="s">
        <v>1549</v>
      </c>
      <c r="I301" s="290">
        <v>230</v>
      </c>
      <c r="J301" s="290">
        <v>25</v>
      </c>
      <c r="K301" s="1">
        <v>27.4</v>
      </c>
      <c r="L301" s="1">
        <v>33.799999999999997</v>
      </c>
      <c r="M301" s="131">
        <v>0.9</v>
      </c>
      <c r="N301" s="1">
        <f>K301*$M301</f>
        <v>24.66</v>
      </c>
      <c r="O301" s="1">
        <f>L301*$M301</f>
        <v>30.419999999999998</v>
      </c>
      <c r="P301" s="19"/>
      <c r="Q301" s="19"/>
      <c r="R301" s="99">
        <v>298</v>
      </c>
    </row>
    <row r="302" spans="1:18" ht="20" x14ac:dyDescent="0.2">
      <c r="A302" s="58"/>
      <c r="B302" s="151" t="s">
        <v>1730</v>
      </c>
      <c r="C302" s="51" t="s">
        <v>3204</v>
      </c>
      <c r="D302" s="33" t="s">
        <v>106</v>
      </c>
      <c r="E302" s="33"/>
      <c r="F302" s="33"/>
      <c r="G302" s="33" t="s">
        <v>2876</v>
      </c>
      <c r="H302" s="33"/>
      <c r="I302" s="99"/>
      <c r="J302" s="99"/>
      <c r="K302" s="69"/>
      <c r="L302" s="69"/>
      <c r="M302" s="69"/>
      <c r="N302" s="69"/>
      <c r="O302" s="69"/>
      <c r="P302" s="19"/>
      <c r="Q302" s="19"/>
      <c r="R302" s="99">
        <v>299</v>
      </c>
    </row>
    <row r="303" spans="1:18" ht="20" x14ac:dyDescent="0.2">
      <c r="A303" s="58"/>
      <c r="B303" s="151" t="s">
        <v>1731</v>
      </c>
      <c r="C303" s="51" t="s">
        <v>3208</v>
      </c>
      <c r="D303" s="33" t="s">
        <v>106</v>
      </c>
      <c r="E303" s="33"/>
      <c r="F303" s="33"/>
      <c r="G303" s="33" t="s">
        <v>2876</v>
      </c>
      <c r="H303" s="237" t="s">
        <v>1546</v>
      </c>
      <c r="I303" s="290">
        <v>60</v>
      </c>
      <c r="J303" s="290">
        <v>25</v>
      </c>
      <c r="K303" s="1">
        <v>13.7</v>
      </c>
      <c r="L303" s="1">
        <v>15</v>
      </c>
      <c r="M303" s="131">
        <v>0.9</v>
      </c>
      <c r="N303" s="1">
        <f>K303*$M303</f>
        <v>12.33</v>
      </c>
      <c r="O303" s="1">
        <f>L303*$M303</f>
        <v>13.5</v>
      </c>
      <c r="P303" s="19"/>
      <c r="Q303" s="19"/>
      <c r="R303" s="99">
        <v>300</v>
      </c>
    </row>
    <row r="304" spans="1:18" ht="20" x14ac:dyDescent="0.2">
      <c r="A304" s="58"/>
      <c r="B304" s="151" t="s">
        <v>1732</v>
      </c>
      <c r="C304" s="51" t="s">
        <v>3701</v>
      </c>
      <c r="D304" s="33" t="s">
        <v>106</v>
      </c>
      <c r="E304" s="33"/>
      <c r="F304" s="33"/>
      <c r="G304" s="33" t="s">
        <v>2876</v>
      </c>
      <c r="H304" s="33"/>
      <c r="I304" s="99"/>
      <c r="J304" s="99"/>
      <c r="K304" s="69"/>
      <c r="L304" s="69"/>
      <c r="M304" s="69"/>
      <c r="N304" s="69"/>
      <c r="O304" s="69"/>
      <c r="P304" s="19"/>
      <c r="Q304" s="19"/>
      <c r="R304" s="99">
        <v>301</v>
      </c>
    </row>
    <row r="305" spans="1:18" ht="20" x14ac:dyDescent="0.2">
      <c r="A305" s="58"/>
      <c r="B305" s="151" t="s">
        <v>1733</v>
      </c>
      <c r="C305" s="51" t="s">
        <v>3455</v>
      </c>
      <c r="D305" s="33" t="s">
        <v>106</v>
      </c>
      <c r="E305" s="33"/>
      <c r="F305" s="33"/>
      <c r="G305" s="33" t="s">
        <v>2876</v>
      </c>
      <c r="H305" s="237" t="s">
        <v>1545</v>
      </c>
      <c r="I305" s="2">
        <v>66</v>
      </c>
      <c r="J305" s="2">
        <v>25</v>
      </c>
      <c r="K305" s="1">
        <v>10</v>
      </c>
      <c r="L305" s="1">
        <v>12</v>
      </c>
      <c r="M305" s="131">
        <v>0.9</v>
      </c>
      <c r="N305" s="1">
        <f>K305*$M305</f>
        <v>9</v>
      </c>
      <c r="O305" s="1">
        <f>L305*$M305</f>
        <v>10.8</v>
      </c>
      <c r="P305" s="19"/>
      <c r="Q305" s="19"/>
      <c r="R305" s="99">
        <v>302</v>
      </c>
    </row>
    <row r="306" spans="1:18" ht="20" x14ac:dyDescent="0.2">
      <c r="A306" s="58"/>
      <c r="B306" s="151" t="s">
        <v>1734</v>
      </c>
      <c r="C306" s="51" t="s">
        <v>3128</v>
      </c>
      <c r="D306" s="33" t="s">
        <v>106</v>
      </c>
      <c r="E306" s="33">
        <v>50.043999999999997</v>
      </c>
      <c r="F306" s="33">
        <v>-125.3108929</v>
      </c>
      <c r="G306" s="33" t="s">
        <v>2876</v>
      </c>
      <c r="H306" s="33"/>
      <c r="I306" s="236"/>
      <c r="J306" s="236"/>
      <c r="K306" s="69"/>
      <c r="L306" s="69"/>
      <c r="M306" s="69"/>
      <c r="N306" s="69"/>
      <c r="O306" s="69"/>
      <c r="P306" s="19"/>
      <c r="Q306" s="19"/>
      <c r="R306" s="99">
        <v>303</v>
      </c>
    </row>
    <row r="307" spans="1:18" ht="20" x14ac:dyDescent="0.2">
      <c r="A307" s="58"/>
      <c r="B307" s="151" t="s">
        <v>1735</v>
      </c>
      <c r="C307" s="51" t="s">
        <v>3270</v>
      </c>
      <c r="D307" s="33" t="s">
        <v>106</v>
      </c>
      <c r="E307" s="33"/>
      <c r="F307" s="33"/>
      <c r="G307" s="33" t="s">
        <v>2876</v>
      </c>
      <c r="H307" s="237" t="s">
        <v>1545</v>
      </c>
      <c r="I307" s="2">
        <v>60</v>
      </c>
      <c r="J307" s="2">
        <v>12</v>
      </c>
      <c r="K307" s="1">
        <v>52.5</v>
      </c>
      <c r="L307" s="1">
        <v>66.5</v>
      </c>
      <c r="M307" s="131">
        <v>0.9</v>
      </c>
      <c r="N307" s="1">
        <f>K307*$M307</f>
        <v>47.25</v>
      </c>
      <c r="O307" s="1">
        <f>L307*$M307</f>
        <v>59.85</v>
      </c>
      <c r="P307" s="19"/>
      <c r="Q307" s="19"/>
      <c r="R307" s="99">
        <v>304</v>
      </c>
    </row>
    <row r="308" spans="1:18" ht="20" x14ac:dyDescent="0.2">
      <c r="A308" s="58"/>
      <c r="B308" s="151" t="s">
        <v>1735</v>
      </c>
      <c r="C308" s="51" t="s">
        <v>3270</v>
      </c>
      <c r="D308" s="33" t="s">
        <v>106</v>
      </c>
      <c r="E308" s="33"/>
      <c r="F308" s="33"/>
      <c r="G308" s="33" t="s">
        <v>2876</v>
      </c>
      <c r="H308" s="237" t="s">
        <v>1549</v>
      </c>
      <c r="I308" s="2">
        <v>60</v>
      </c>
      <c r="J308" s="2">
        <v>12</v>
      </c>
      <c r="K308" s="1">
        <v>46.5</v>
      </c>
      <c r="L308" s="1">
        <v>55.33</v>
      </c>
      <c r="M308" s="131">
        <v>0.9</v>
      </c>
      <c r="N308" s="1">
        <f>K308*$M308</f>
        <v>41.85</v>
      </c>
      <c r="O308" s="1">
        <f>L308*$M308</f>
        <v>49.796999999999997</v>
      </c>
      <c r="P308" s="19"/>
      <c r="Q308" s="19"/>
      <c r="R308" s="99">
        <v>305</v>
      </c>
    </row>
    <row r="309" spans="1:18" ht="20" x14ac:dyDescent="0.2">
      <c r="A309" s="58"/>
      <c r="B309" s="151" t="s">
        <v>2309</v>
      </c>
      <c r="C309" s="51" t="s">
        <v>3129</v>
      </c>
      <c r="D309" s="33" t="s">
        <v>106</v>
      </c>
      <c r="E309" s="33">
        <v>50.604008200000003</v>
      </c>
      <c r="F309" s="33">
        <v>-124.02489129999999</v>
      </c>
      <c r="G309" s="33" t="s">
        <v>2876</v>
      </c>
      <c r="H309" s="33"/>
      <c r="I309" s="236"/>
      <c r="J309" s="236"/>
      <c r="K309" s="69"/>
      <c r="L309" s="69"/>
      <c r="M309" s="69"/>
      <c r="N309" s="69"/>
      <c r="O309" s="69"/>
      <c r="P309" s="19"/>
      <c r="Q309" s="19"/>
      <c r="R309" s="99">
        <v>306</v>
      </c>
    </row>
    <row r="310" spans="1:18" ht="20" x14ac:dyDescent="0.2">
      <c r="A310" s="58"/>
      <c r="B310" s="151" t="s">
        <v>1736</v>
      </c>
      <c r="C310" s="51" t="s">
        <v>3130</v>
      </c>
      <c r="D310" s="33" t="s">
        <v>106</v>
      </c>
      <c r="E310" s="33">
        <v>50.828210400000003</v>
      </c>
      <c r="F310" s="33">
        <v>-123.05682</v>
      </c>
      <c r="G310" s="33" t="s">
        <v>2876</v>
      </c>
      <c r="H310" s="33"/>
      <c r="I310" s="236"/>
      <c r="J310" s="236"/>
      <c r="K310" s="69"/>
      <c r="L310" s="69"/>
      <c r="M310" s="69"/>
      <c r="N310" s="69"/>
      <c r="O310" s="69"/>
      <c r="P310" s="19"/>
      <c r="Q310" s="19"/>
      <c r="R310" s="99">
        <v>307</v>
      </c>
    </row>
    <row r="311" spans="1:18" ht="20" x14ac:dyDescent="0.2">
      <c r="A311" s="58"/>
      <c r="B311" s="151" t="s">
        <v>1737</v>
      </c>
      <c r="C311" s="51" t="s">
        <v>3271</v>
      </c>
      <c r="D311" s="33" t="s">
        <v>106</v>
      </c>
      <c r="E311" s="33"/>
      <c r="F311" s="33"/>
      <c r="G311" s="33" t="s">
        <v>2876</v>
      </c>
      <c r="H311" s="237" t="s">
        <v>1545</v>
      </c>
      <c r="I311" s="2">
        <v>60</v>
      </c>
      <c r="J311" s="2">
        <v>25</v>
      </c>
      <c r="K311" s="1">
        <v>13.7</v>
      </c>
      <c r="L311" s="1">
        <v>17.5</v>
      </c>
      <c r="M311" s="131">
        <v>0.9</v>
      </c>
      <c r="N311" s="1">
        <f t="shared" ref="N311:O314" si="27">K311*$M311</f>
        <v>12.33</v>
      </c>
      <c r="O311" s="1">
        <f t="shared" si="27"/>
        <v>15.75</v>
      </c>
      <c r="P311" s="19"/>
      <c r="Q311" s="19"/>
      <c r="R311" s="99">
        <v>308</v>
      </c>
    </row>
    <row r="312" spans="1:18" ht="20" x14ac:dyDescent="0.2">
      <c r="A312" s="58"/>
      <c r="B312" s="151" t="s">
        <v>1737</v>
      </c>
      <c r="C312" s="51" t="s">
        <v>3271</v>
      </c>
      <c r="D312" s="33" t="s">
        <v>106</v>
      </c>
      <c r="E312" s="33"/>
      <c r="F312" s="33"/>
      <c r="G312" s="33" t="s">
        <v>2876</v>
      </c>
      <c r="H312" s="237" t="s">
        <v>1549</v>
      </c>
      <c r="I312" s="2">
        <v>60</v>
      </c>
      <c r="J312" s="2">
        <v>25</v>
      </c>
      <c r="K312" s="1">
        <v>13.7</v>
      </c>
      <c r="L312" s="1">
        <v>17.5</v>
      </c>
      <c r="M312" s="131">
        <v>0.9</v>
      </c>
      <c r="N312" s="1">
        <f t="shared" si="27"/>
        <v>12.33</v>
      </c>
      <c r="O312" s="1">
        <f t="shared" si="27"/>
        <v>15.75</v>
      </c>
      <c r="P312" s="19"/>
      <c r="Q312" s="19"/>
      <c r="R312" s="99">
        <v>309</v>
      </c>
    </row>
    <row r="313" spans="1:18" ht="20" x14ac:dyDescent="0.2">
      <c r="A313" s="58"/>
      <c r="B313" s="151" t="s">
        <v>2310</v>
      </c>
      <c r="C313" s="51" t="s">
        <v>3722</v>
      </c>
      <c r="D313" s="33" t="s">
        <v>106</v>
      </c>
      <c r="E313" s="33">
        <v>48.429655400000001</v>
      </c>
      <c r="F313" s="33">
        <v>-124.0522509</v>
      </c>
      <c r="G313" s="33" t="s">
        <v>2876</v>
      </c>
      <c r="H313" s="237" t="s">
        <v>1545</v>
      </c>
      <c r="I313" s="2">
        <v>138</v>
      </c>
      <c r="J313" s="2">
        <v>25</v>
      </c>
      <c r="K313" s="1">
        <v>26.3</v>
      </c>
      <c r="L313" s="1">
        <v>33.299999999999997</v>
      </c>
      <c r="M313" s="131">
        <v>0.9</v>
      </c>
      <c r="N313" s="1">
        <f t="shared" si="27"/>
        <v>23.67</v>
      </c>
      <c r="O313" s="1">
        <f t="shared" si="27"/>
        <v>29.97</v>
      </c>
      <c r="P313" s="19"/>
      <c r="Q313" s="19"/>
      <c r="R313" s="99">
        <v>310</v>
      </c>
    </row>
    <row r="314" spans="1:18" ht="20" x14ac:dyDescent="0.2">
      <c r="A314" s="58"/>
      <c r="B314" s="151" t="s">
        <v>2310</v>
      </c>
      <c r="C314" s="51" t="s">
        <v>3722</v>
      </c>
      <c r="D314" s="33" t="s">
        <v>106</v>
      </c>
      <c r="E314" s="33">
        <v>48.429655400000001</v>
      </c>
      <c r="F314" s="33">
        <v>-124.0522509</v>
      </c>
      <c r="G314" s="33" t="s">
        <v>2876</v>
      </c>
      <c r="H314" s="237" t="s">
        <v>1549</v>
      </c>
      <c r="I314" s="2">
        <v>138</v>
      </c>
      <c r="J314" s="2">
        <v>25</v>
      </c>
      <c r="K314" s="1">
        <v>26.3</v>
      </c>
      <c r="L314" s="1">
        <v>33.299999999999997</v>
      </c>
      <c r="M314" s="131">
        <v>0.9</v>
      </c>
      <c r="N314" s="1">
        <f t="shared" si="27"/>
        <v>23.67</v>
      </c>
      <c r="O314" s="1">
        <f t="shared" si="27"/>
        <v>29.97</v>
      </c>
      <c r="P314" s="19"/>
      <c r="Q314" s="19"/>
      <c r="R314" s="99">
        <v>311</v>
      </c>
    </row>
    <row r="315" spans="1:18" ht="20" x14ac:dyDescent="0.2">
      <c r="A315" s="58"/>
      <c r="B315" s="151" t="s">
        <v>1738</v>
      </c>
      <c r="C315" s="51" t="s">
        <v>3187</v>
      </c>
      <c r="D315" s="33" t="s">
        <v>106</v>
      </c>
      <c r="E315" s="33"/>
      <c r="F315" s="33"/>
      <c r="G315" s="33" t="s">
        <v>2876</v>
      </c>
      <c r="H315" s="33"/>
      <c r="I315" s="99"/>
      <c r="J315" s="99"/>
      <c r="K315" s="69"/>
      <c r="L315" s="69"/>
      <c r="M315" s="69"/>
      <c r="N315" s="69"/>
      <c r="O315" s="69"/>
      <c r="P315" s="19"/>
      <c r="Q315" s="19"/>
      <c r="R315" s="99">
        <v>312</v>
      </c>
    </row>
    <row r="316" spans="1:18" ht="20" x14ac:dyDescent="0.2">
      <c r="A316" s="58"/>
      <c r="B316" s="151" t="s">
        <v>1739</v>
      </c>
      <c r="C316" s="51" t="s">
        <v>3458</v>
      </c>
      <c r="D316" s="33" t="s">
        <v>106</v>
      </c>
      <c r="E316" s="33"/>
      <c r="F316" s="33"/>
      <c r="G316" s="33" t="s">
        <v>2876</v>
      </c>
      <c r="H316" s="33"/>
      <c r="I316" s="99"/>
      <c r="J316" s="99"/>
      <c r="K316" s="69"/>
      <c r="L316" s="69"/>
      <c r="M316" s="69"/>
      <c r="N316" s="69"/>
      <c r="O316" s="69"/>
      <c r="P316" s="19"/>
      <c r="Q316" s="19"/>
      <c r="R316" s="99">
        <v>313</v>
      </c>
    </row>
    <row r="317" spans="1:18" ht="20" x14ac:dyDescent="0.2">
      <c r="A317" s="58"/>
      <c r="B317" s="151" t="s">
        <v>1740</v>
      </c>
      <c r="C317" s="51" t="s">
        <v>3201</v>
      </c>
      <c r="D317" s="33" t="s">
        <v>106</v>
      </c>
      <c r="E317" s="33"/>
      <c r="F317" s="33"/>
      <c r="G317" s="33" t="s">
        <v>2876</v>
      </c>
      <c r="H317" s="33"/>
      <c r="I317" s="236"/>
      <c r="J317" s="236"/>
      <c r="K317" s="69"/>
      <c r="L317" s="69"/>
      <c r="M317" s="69"/>
      <c r="N317" s="69"/>
      <c r="O317" s="69"/>
      <c r="P317" s="19"/>
      <c r="Q317" s="19"/>
      <c r="R317" s="99">
        <v>314</v>
      </c>
    </row>
    <row r="318" spans="1:18" ht="20" x14ac:dyDescent="0.2">
      <c r="A318" s="58"/>
      <c r="B318" s="151" t="s">
        <v>1741</v>
      </c>
      <c r="C318" s="51" t="s">
        <v>3520</v>
      </c>
      <c r="D318" s="33" t="s">
        <v>106</v>
      </c>
      <c r="E318" s="33"/>
      <c r="F318" s="33"/>
      <c r="G318" s="33" t="s">
        <v>2876</v>
      </c>
      <c r="H318" s="237" t="s">
        <v>1545</v>
      </c>
      <c r="I318" s="2">
        <v>66</v>
      </c>
      <c r="J318" s="2">
        <v>25</v>
      </c>
      <c r="K318" s="1">
        <v>28</v>
      </c>
      <c r="L318" s="1">
        <v>33.299999999999997</v>
      </c>
      <c r="M318" s="131">
        <v>0.9</v>
      </c>
      <c r="N318" s="1">
        <f>K318*$M318</f>
        <v>25.2</v>
      </c>
      <c r="O318" s="1">
        <f>L318*$M318</f>
        <v>29.97</v>
      </c>
      <c r="P318" s="19"/>
      <c r="Q318" s="19"/>
      <c r="R318" s="99">
        <v>315</v>
      </c>
    </row>
    <row r="319" spans="1:18" ht="20" x14ac:dyDescent="0.2">
      <c r="A319" s="58"/>
      <c r="B319" s="151" t="s">
        <v>1741</v>
      </c>
      <c r="C319" s="51" t="s">
        <v>3520</v>
      </c>
      <c r="D319" s="33" t="s">
        <v>106</v>
      </c>
      <c r="E319" s="33"/>
      <c r="F319" s="33"/>
      <c r="G319" s="33" t="s">
        <v>2876</v>
      </c>
      <c r="H319" s="237" t="s">
        <v>1549</v>
      </c>
      <c r="I319" s="2">
        <v>66</v>
      </c>
      <c r="J319" s="2">
        <v>25</v>
      </c>
      <c r="K319" s="1">
        <v>28</v>
      </c>
      <c r="L319" s="1">
        <v>33.299999999999997</v>
      </c>
      <c r="M319" s="131">
        <v>0.9</v>
      </c>
      <c r="N319" s="1">
        <f>K319*$M319</f>
        <v>25.2</v>
      </c>
      <c r="O319" s="1">
        <f>L319*$M319</f>
        <v>29.97</v>
      </c>
      <c r="P319" s="19"/>
      <c r="Q319" s="19"/>
      <c r="R319" s="99">
        <v>316</v>
      </c>
    </row>
    <row r="320" spans="1:18" ht="20" x14ac:dyDescent="0.2">
      <c r="A320" s="58"/>
      <c r="B320" s="151" t="s">
        <v>326</v>
      </c>
      <c r="C320" s="51" t="s">
        <v>3273</v>
      </c>
      <c r="D320" s="33" t="s">
        <v>106</v>
      </c>
      <c r="E320" s="33"/>
      <c r="F320" s="33"/>
      <c r="G320" s="33" t="s">
        <v>2876</v>
      </c>
      <c r="H320" s="33"/>
      <c r="I320" s="99"/>
      <c r="J320" s="99"/>
      <c r="K320" s="69"/>
      <c r="L320" s="69"/>
      <c r="M320" s="69"/>
      <c r="N320" s="69"/>
      <c r="O320" s="69"/>
      <c r="P320" s="19"/>
      <c r="Q320" s="19"/>
      <c r="R320" s="99">
        <v>317</v>
      </c>
    </row>
    <row r="321" spans="1:18" ht="20" x14ac:dyDescent="0.2">
      <c r="A321" s="58"/>
      <c r="B321" s="151" t="s">
        <v>2311</v>
      </c>
      <c r="C321" s="51" t="s">
        <v>3131</v>
      </c>
      <c r="D321" s="33" t="s">
        <v>106</v>
      </c>
      <c r="E321" s="33">
        <v>50.105063399999999</v>
      </c>
      <c r="F321" s="33">
        <v>-121.5671347</v>
      </c>
      <c r="G321" s="33" t="s">
        <v>2876</v>
      </c>
      <c r="H321" s="33"/>
      <c r="I321" s="236"/>
      <c r="J321" s="236"/>
      <c r="K321" s="69"/>
      <c r="L321" s="69"/>
      <c r="M321" s="69"/>
      <c r="N321" s="69"/>
      <c r="O321" s="69"/>
      <c r="P321" s="19"/>
      <c r="Q321" s="19"/>
      <c r="R321" s="99">
        <v>318</v>
      </c>
    </row>
    <row r="322" spans="1:18" ht="20" x14ac:dyDescent="0.2">
      <c r="A322" s="58"/>
      <c r="B322" s="151" t="s">
        <v>1742</v>
      </c>
      <c r="C322" s="51" t="s">
        <v>3132</v>
      </c>
      <c r="D322" s="33" t="s">
        <v>106</v>
      </c>
      <c r="E322" s="33">
        <v>49.453257899999997</v>
      </c>
      <c r="F322" s="33">
        <v>-117.51789650000001</v>
      </c>
      <c r="G322" s="33" t="s">
        <v>2876</v>
      </c>
      <c r="H322" s="33"/>
      <c r="I322" s="99"/>
      <c r="J322" s="99"/>
      <c r="K322" s="69"/>
      <c r="L322" s="69"/>
      <c r="M322" s="69"/>
      <c r="N322" s="69"/>
      <c r="O322" s="69"/>
      <c r="P322" s="19"/>
      <c r="Q322" s="19"/>
      <c r="R322" s="99">
        <v>319</v>
      </c>
    </row>
    <row r="323" spans="1:18" ht="20" x14ac:dyDescent="0.2">
      <c r="A323" s="58"/>
      <c r="B323" s="151" t="s">
        <v>1743</v>
      </c>
      <c r="C323" s="51" t="s">
        <v>3274</v>
      </c>
      <c r="D323" s="33" t="s">
        <v>106</v>
      </c>
      <c r="E323" s="33"/>
      <c r="F323" s="33"/>
      <c r="G323" s="33" t="s">
        <v>2876</v>
      </c>
      <c r="H323" s="237" t="s">
        <v>1547</v>
      </c>
      <c r="I323" s="2">
        <v>138</v>
      </c>
      <c r="J323" s="2">
        <v>25</v>
      </c>
      <c r="K323" s="1">
        <v>17.399999999999999</v>
      </c>
      <c r="L323" s="1">
        <v>22</v>
      </c>
      <c r="M323" s="131">
        <v>0.9</v>
      </c>
      <c r="N323" s="1">
        <f>K323*$M323</f>
        <v>15.659999999999998</v>
      </c>
      <c r="O323" s="1">
        <f>L323*$M323</f>
        <v>19.8</v>
      </c>
      <c r="P323" s="19"/>
      <c r="Q323" s="19"/>
      <c r="R323" s="99">
        <v>320</v>
      </c>
    </row>
    <row r="324" spans="1:18" ht="20" x14ac:dyDescent="0.2">
      <c r="A324" s="58"/>
      <c r="B324" s="151" t="s">
        <v>1744</v>
      </c>
      <c r="C324" s="51" t="s">
        <v>3275</v>
      </c>
      <c r="D324" s="33" t="s">
        <v>106</v>
      </c>
      <c r="E324" s="33"/>
      <c r="F324" s="33"/>
      <c r="G324" s="33" t="s">
        <v>2876</v>
      </c>
      <c r="H324" s="33"/>
      <c r="I324" s="99"/>
      <c r="J324" s="99"/>
      <c r="K324" s="69"/>
      <c r="L324" s="69"/>
      <c r="M324" s="69"/>
      <c r="N324" s="69"/>
      <c r="O324" s="69"/>
      <c r="P324" s="19"/>
      <c r="Q324" s="19"/>
      <c r="R324" s="99">
        <v>321</v>
      </c>
    </row>
    <row r="325" spans="1:18" ht="20" x14ac:dyDescent="0.2">
      <c r="A325" s="58"/>
      <c r="B325" s="151" t="s">
        <v>1745</v>
      </c>
      <c r="C325" s="51" t="s">
        <v>3461</v>
      </c>
      <c r="D325" s="33" t="s">
        <v>106</v>
      </c>
      <c r="E325" s="33"/>
      <c r="F325" s="33"/>
      <c r="G325" s="33" t="s">
        <v>2876</v>
      </c>
      <c r="H325" s="237" t="s">
        <v>1545</v>
      </c>
      <c r="I325" s="2">
        <v>60</v>
      </c>
      <c r="J325" s="2">
        <v>12</v>
      </c>
      <c r="K325" s="1">
        <v>21</v>
      </c>
      <c r="L325" s="1">
        <v>26</v>
      </c>
      <c r="M325" s="131">
        <v>0.9</v>
      </c>
      <c r="N325" s="1">
        <f t="shared" ref="N325:O327" si="28">K325*$M325</f>
        <v>18.900000000000002</v>
      </c>
      <c r="O325" s="1">
        <f t="shared" si="28"/>
        <v>23.400000000000002</v>
      </c>
      <c r="P325" s="19"/>
      <c r="Q325" s="19"/>
      <c r="R325" s="99">
        <v>322</v>
      </c>
    </row>
    <row r="326" spans="1:18" ht="20" x14ac:dyDescent="0.2">
      <c r="A326" s="58"/>
      <c r="B326" s="151" t="s">
        <v>1745</v>
      </c>
      <c r="C326" s="51" t="s">
        <v>3461</v>
      </c>
      <c r="D326" s="33" t="s">
        <v>106</v>
      </c>
      <c r="E326" s="33"/>
      <c r="F326" s="33"/>
      <c r="G326" s="33" t="s">
        <v>2876</v>
      </c>
      <c r="H326" s="237" t="s">
        <v>1549</v>
      </c>
      <c r="I326" s="2">
        <v>60</v>
      </c>
      <c r="J326" s="2">
        <v>12</v>
      </c>
      <c r="K326" s="1">
        <v>21</v>
      </c>
      <c r="L326" s="1">
        <v>26</v>
      </c>
      <c r="M326" s="131">
        <v>0.9</v>
      </c>
      <c r="N326" s="1">
        <f t="shared" si="28"/>
        <v>18.900000000000002</v>
      </c>
      <c r="O326" s="1">
        <f t="shared" si="28"/>
        <v>23.400000000000002</v>
      </c>
      <c r="P326" s="19"/>
      <c r="Q326" s="19"/>
      <c r="R326" s="99">
        <v>323</v>
      </c>
    </row>
    <row r="327" spans="1:18" ht="20" x14ac:dyDescent="0.2">
      <c r="A327" s="58"/>
      <c r="B327" s="151" t="s">
        <v>1746</v>
      </c>
      <c r="C327" s="51" t="s">
        <v>3278</v>
      </c>
      <c r="D327" s="33" t="s">
        <v>106</v>
      </c>
      <c r="E327" s="33"/>
      <c r="F327" s="33"/>
      <c r="G327" s="33" t="s">
        <v>2876</v>
      </c>
      <c r="H327" s="237" t="s">
        <v>1546</v>
      </c>
      <c r="I327" s="2">
        <v>138</v>
      </c>
      <c r="J327" s="2">
        <v>25</v>
      </c>
      <c r="K327" s="1">
        <v>28</v>
      </c>
      <c r="L327" s="1">
        <v>33.6</v>
      </c>
      <c r="M327" s="131">
        <v>0.9</v>
      </c>
      <c r="N327" s="1">
        <f t="shared" si="28"/>
        <v>25.2</v>
      </c>
      <c r="O327" s="1">
        <f t="shared" si="28"/>
        <v>30.240000000000002</v>
      </c>
      <c r="P327" s="19"/>
      <c r="Q327" s="19"/>
      <c r="R327" s="99">
        <v>324</v>
      </c>
    </row>
    <row r="328" spans="1:18" ht="20" x14ac:dyDescent="0.2">
      <c r="A328" s="58"/>
      <c r="B328" s="151" t="s">
        <v>1747</v>
      </c>
      <c r="C328" s="51" t="s">
        <v>3462</v>
      </c>
      <c r="D328" s="33" t="s">
        <v>106</v>
      </c>
      <c r="E328" s="33"/>
      <c r="F328" s="33"/>
      <c r="G328" s="33" t="s">
        <v>2876</v>
      </c>
      <c r="H328" s="33"/>
      <c r="I328" s="99"/>
      <c r="J328" s="99"/>
      <c r="K328" s="69"/>
      <c r="L328" s="69"/>
      <c r="M328" s="69"/>
      <c r="N328" s="69"/>
      <c r="O328" s="69"/>
      <c r="P328" s="19"/>
      <c r="Q328" s="19"/>
      <c r="R328" s="99">
        <v>325</v>
      </c>
    </row>
    <row r="329" spans="1:18" ht="20" x14ac:dyDescent="0.2">
      <c r="A329" s="58"/>
      <c r="B329" s="151" t="s">
        <v>1748</v>
      </c>
      <c r="C329" s="51" t="s">
        <v>3191</v>
      </c>
      <c r="D329" s="33" t="s">
        <v>106</v>
      </c>
      <c r="E329" s="33"/>
      <c r="F329" s="33"/>
      <c r="G329" s="33" t="s">
        <v>2876</v>
      </c>
      <c r="H329" s="33"/>
      <c r="I329" s="236"/>
      <c r="J329" s="236"/>
      <c r="K329" s="69"/>
      <c r="L329" s="69"/>
      <c r="M329" s="69"/>
      <c r="N329" s="69"/>
      <c r="O329" s="69"/>
      <c r="P329" s="19"/>
      <c r="Q329" s="19"/>
      <c r="R329" s="99">
        <v>326</v>
      </c>
    </row>
    <row r="330" spans="1:18" ht="20" x14ac:dyDescent="0.2">
      <c r="A330" s="58"/>
      <c r="B330" s="151" t="s">
        <v>1749</v>
      </c>
      <c r="C330" s="51" t="s">
        <v>3279</v>
      </c>
      <c r="D330" s="33" t="s">
        <v>106</v>
      </c>
      <c r="E330" s="33"/>
      <c r="F330" s="33"/>
      <c r="G330" s="33" t="s">
        <v>2876</v>
      </c>
      <c r="H330" s="237" t="s">
        <v>1559</v>
      </c>
      <c r="I330" s="2">
        <v>60</v>
      </c>
      <c r="J330" s="2">
        <v>12</v>
      </c>
      <c r="K330" s="1">
        <v>79</v>
      </c>
      <c r="L330" s="1">
        <v>100</v>
      </c>
      <c r="M330" s="131">
        <v>0.9</v>
      </c>
      <c r="N330" s="1">
        <f t="shared" ref="N330:O335" si="29">K330*$M330</f>
        <v>71.100000000000009</v>
      </c>
      <c r="O330" s="1">
        <f t="shared" si="29"/>
        <v>90</v>
      </c>
      <c r="P330" s="19"/>
      <c r="Q330" s="19"/>
      <c r="R330" s="99">
        <v>327</v>
      </c>
    </row>
    <row r="331" spans="1:18" ht="20" x14ac:dyDescent="0.2">
      <c r="A331" s="58"/>
      <c r="B331" s="151" t="s">
        <v>1749</v>
      </c>
      <c r="C331" s="51" t="s">
        <v>3279</v>
      </c>
      <c r="D331" s="33" t="s">
        <v>106</v>
      </c>
      <c r="E331" s="33"/>
      <c r="F331" s="33"/>
      <c r="G331" s="33" t="s">
        <v>2876</v>
      </c>
      <c r="H331" s="237" t="s">
        <v>1555</v>
      </c>
      <c r="I331" s="2">
        <v>60</v>
      </c>
      <c r="J331" s="2">
        <v>12</v>
      </c>
      <c r="K331" s="1">
        <v>79</v>
      </c>
      <c r="L331" s="1">
        <v>100</v>
      </c>
      <c r="M331" s="131">
        <v>0.9</v>
      </c>
      <c r="N331" s="1">
        <f t="shared" si="29"/>
        <v>71.100000000000009</v>
      </c>
      <c r="O331" s="1">
        <f t="shared" si="29"/>
        <v>90</v>
      </c>
      <c r="P331" s="19"/>
      <c r="Q331" s="19"/>
      <c r="R331" s="99">
        <v>328</v>
      </c>
    </row>
    <row r="332" spans="1:18" ht="20" x14ac:dyDescent="0.2">
      <c r="A332" s="58"/>
      <c r="B332" s="151" t="s">
        <v>1749</v>
      </c>
      <c r="C332" s="51" t="s">
        <v>3279</v>
      </c>
      <c r="D332" s="33" t="s">
        <v>106</v>
      </c>
      <c r="E332" s="33"/>
      <c r="F332" s="33"/>
      <c r="G332" s="33" t="s">
        <v>2876</v>
      </c>
      <c r="H332" s="237" t="s">
        <v>1547</v>
      </c>
      <c r="I332" s="2">
        <v>60</v>
      </c>
      <c r="J332" s="2">
        <v>4</v>
      </c>
      <c r="K332" s="1">
        <v>26</v>
      </c>
      <c r="L332" s="1">
        <v>33</v>
      </c>
      <c r="M332" s="131">
        <v>0.9</v>
      </c>
      <c r="N332" s="1">
        <f t="shared" si="29"/>
        <v>23.400000000000002</v>
      </c>
      <c r="O332" s="1">
        <f t="shared" si="29"/>
        <v>29.7</v>
      </c>
      <c r="P332" s="19"/>
      <c r="Q332" s="19"/>
      <c r="R332" s="99">
        <v>329</v>
      </c>
    </row>
    <row r="333" spans="1:18" ht="20" x14ac:dyDescent="0.2">
      <c r="A333" s="58"/>
      <c r="B333" s="151" t="s">
        <v>1749</v>
      </c>
      <c r="C333" s="51" t="s">
        <v>3279</v>
      </c>
      <c r="D333" s="33" t="s">
        <v>106</v>
      </c>
      <c r="E333" s="33"/>
      <c r="F333" s="33"/>
      <c r="G333" s="33" t="s">
        <v>2876</v>
      </c>
      <c r="H333" s="237" t="s">
        <v>1548</v>
      </c>
      <c r="I333" s="2">
        <v>60</v>
      </c>
      <c r="J333" s="2">
        <v>4</v>
      </c>
      <c r="K333" s="1">
        <v>26</v>
      </c>
      <c r="L333" s="1">
        <v>33</v>
      </c>
      <c r="M333" s="131">
        <v>0.9</v>
      </c>
      <c r="N333" s="1">
        <f t="shared" si="29"/>
        <v>23.400000000000002</v>
      </c>
      <c r="O333" s="1">
        <f t="shared" si="29"/>
        <v>29.7</v>
      </c>
      <c r="P333" s="19"/>
      <c r="Q333" s="19"/>
      <c r="R333" s="99">
        <v>330</v>
      </c>
    </row>
    <row r="334" spans="1:18" ht="20" x14ac:dyDescent="0.2">
      <c r="A334" s="58"/>
      <c r="B334" s="151" t="s">
        <v>1750</v>
      </c>
      <c r="C334" s="51" t="s">
        <v>3280</v>
      </c>
      <c r="D334" s="33" t="s">
        <v>106</v>
      </c>
      <c r="E334" s="33"/>
      <c r="F334" s="33"/>
      <c r="G334" s="33" t="s">
        <v>2876</v>
      </c>
      <c r="H334" s="237" t="s">
        <v>1546</v>
      </c>
      <c r="I334" s="2">
        <v>230</v>
      </c>
      <c r="J334" s="2">
        <v>25</v>
      </c>
      <c r="K334" s="1">
        <v>158</v>
      </c>
      <c r="L334" s="1">
        <v>200</v>
      </c>
      <c r="M334" s="131">
        <v>0.9</v>
      </c>
      <c r="N334" s="1">
        <f t="shared" si="29"/>
        <v>142.20000000000002</v>
      </c>
      <c r="O334" s="1">
        <f t="shared" si="29"/>
        <v>180</v>
      </c>
      <c r="P334" s="19"/>
      <c r="Q334" s="19"/>
      <c r="R334" s="99">
        <v>331</v>
      </c>
    </row>
    <row r="335" spans="1:18" ht="20" x14ac:dyDescent="0.2">
      <c r="A335" s="58"/>
      <c r="B335" s="151" t="s">
        <v>1750</v>
      </c>
      <c r="C335" s="51" t="s">
        <v>3280</v>
      </c>
      <c r="D335" s="33" t="s">
        <v>106</v>
      </c>
      <c r="E335" s="33"/>
      <c r="F335" s="33"/>
      <c r="G335" s="33" t="s">
        <v>2876</v>
      </c>
      <c r="H335" s="237" t="s">
        <v>1547</v>
      </c>
      <c r="I335" s="2">
        <v>230</v>
      </c>
      <c r="J335" s="2">
        <v>25</v>
      </c>
      <c r="K335" s="1">
        <v>158</v>
      </c>
      <c r="L335" s="1">
        <v>200</v>
      </c>
      <c r="M335" s="131">
        <v>0.9</v>
      </c>
      <c r="N335" s="1">
        <f t="shared" si="29"/>
        <v>142.20000000000002</v>
      </c>
      <c r="O335" s="1">
        <f t="shared" si="29"/>
        <v>180</v>
      </c>
      <c r="P335" s="19"/>
      <c r="Q335" s="19"/>
      <c r="R335" s="99">
        <v>332</v>
      </c>
    </row>
    <row r="336" spans="1:18" ht="20" x14ac:dyDescent="0.2">
      <c r="A336" s="58"/>
      <c r="B336" s="151" t="s">
        <v>1751</v>
      </c>
      <c r="C336" s="51" t="s">
        <v>3636</v>
      </c>
      <c r="D336" s="33" t="s">
        <v>106</v>
      </c>
      <c r="E336" s="33"/>
      <c r="F336" s="33"/>
      <c r="G336" s="33" t="s">
        <v>2876</v>
      </c>
      <c r="H336" s="33"/>
      <c r="I336" s="99"/>
      <c r="J336" s="99"/>
      <c r="K336" s="69"/>
      <c r="L336" s="69"/>
      <c r="M336" s="69"/>
      <c r="N336" s="69"/>
      <c r="O336" s="69"/>
      <c r="P336" s="19"/>
      <c r="Q336" s="19"/>
      <c r="R336" s="99">
        <v>333</v>
      </c>
    </row>
    <row r="337" spans="1:18" ht="20" x14ac:dyDescent="0.2">
      <c r="A337" s="58"/>
      <c r="B337" s="151" t="s">
        <v>244</v>
      </c>
      <c r="C337" s="51" t="s">
        <v>3281</v>
      </c>
      <c r="D337" s="33" t="s">
        <v>106</v>
      </c>
      <c r="E337" s="33"/>
      <c r="F337" s="33"/>
      <c r="G337" s="33" t="s">
        <v>2876</v>
      </c>
      <c r="H337" s="33"/>
      <c r="I337" s="99"/>
      <c r="J337" s="99"/>
      <c r="K337" s="69"/>
      <c r="L337" s="69"/>
      <c r="M337" s="69"/>
      <c r="N337" s="69"/>
      <c r="O337" s="69"/>
      <c r="P337" s="19"/>
      <c r="Q337" s="19"/>
      <c r="R337" s="99">
        <v>334</v>
      </c>
    </row>
    <row r="338" spans="1:18" ht="20" x14ac:dyDescent="0.2">
      <c r="A338" s="58"/>
      <c r="B338" s="151" t="s">
        <v>2312</v>
      </c>
      <c r="C338" s="51" t="s">
        <v>3133</v>
      </c>
      <c r="D338" s="33" t="s">
        <v>106</v>
      </c>
      <c r="E338" s="33">
        <v>50.519857100000003</v>
      </c>
      <c r="F338" s="33">
        <v>-126.87551089999999</v>
      </c>
      <c r="G338" s="33" t="s">
        <v>2876</v>
      </c>
      <c r="H338" s="33"/>
      <c r="I338" s="236"/>
      <c r="J338" s="236"/>
      <c r="K338" s="69"/>
      <c r="L338" s="69"/>
      <c r="M338" s="69"/>
      <c r="N338" s="69"/>
      <c r="O338" s="69"/>
      <c r="P338" s="19"/>
      <c r="Q338" s="19"/>
      <c r="R338" s="99">
        <v>335</v>
      </c>
    </row>
    <row r="339" spans="1:18" ht="20" x14ac:dyDescent="0.2">
      <c r="A339" s="58"/>
      <c r="B339" s="151" t="s">
        <v>1752</v>
      </c>
      <c r="C339" s="51" t="s">
        <v>3464</v>
      </c>
      <c r="D339" s="33" t="s">
        <v>106</v>
      </c>
      <c r="E339" s="33"/>
      <c r="F339" s="33"/>
      <c r="G339" s="33" t="s">
        <v>2876</v>
      </c>
      <c r="H339" s="33"/>
      <c r="I339" s="99"/>
      <c r="J339" s="99"/>
      <c r="K339" s="69"/>
      <c r="L339" s="69"/>
      <c r="M339" s="69"/>
      <c r="N339" s="69"/>
      <c r="O339" s="69"/>
      <c r="P339" s="19"/>
      <c r="Q339" s="19"/>
      <c r="R339" s="99">
        <v>336</v>
      </c>
    </row>
    <row r="340" spans="1:18" ht="20" x14ac:dyDescent="0.2">
      <c r="A340" s="58"/>
      <c r="B340" s="151" t="s">
        <v>1753</v>
      </c>
      <c r="C340" s="51" t="s">
        <v>3282</v>
      </c>
      <c r="D340" s="33" t="s">
        <v>106</v>
      </c>
      <c r="E340" s="33"/>
      <c r="F340" s="33"/>
      <c r="G340" s="33" t="s">
        <v>2876</v>
      </c>
      <c r="H340" s="33"/>
      <c r="I340" s="99"/>
      <c r="J340" s="99"/>
      <c r="K340" s="69"/>
      <c r="L340" s="69"/>
      <c r="M340" s="69"/>
      <c r="N340" s="69"/>
      <c r="O340" s="69"/>
      <c r="P340" s="19"/>
      <c r="Q340" s="19"/>
      <c r="R340" s="99">
        <v>337</v>
      </c>
    </row>
    <row r="341" spans="1:18" ht="20" x14ac:dyDescent="0.2">
      <c r="A341" s="58"/>
      <c r="B341" s="151" t="s">
        <v>1754</v>
      </c>
      <c r="C341" s="51" t="s">
        <v>3460</v>
      </c>
      <c r="D341" s="33" t="s">
        <v>106</v>
      </c>
      <c r="E341" s="33"/>
      <c r="F341" s="33"/>
      <c r="G341" s="33" t="s">
        <v>2876</v>
      </c>
      <c r="H341" s="33"/>
      <c r="I341" s="99"/>
      <c r="J341" s="99"/>
      <c r="K341" s="69"/>
      <c r="L341" s="69"/>
      <c r="M341" s="69"/>
      <c r="N341" s="69"/>
      <c r="O341" s="69"/>
      <c r="P341" s="19"/>
      <c r="Q341" s="19"/>
      <c r="R341" s="99">
        <v>338</v>
      </c>
    </row>
    <row r="342" spans="1:18" ht="20" x14ac:dyDescent="0.2">
      <c r="A342" s="58"/>
      <c r="B342" s="151" t="s">
        <v>2348</v>
      </c>
      <c r="C342" s="51" t="s">
        <v>3134</v>
      </c>
      <c r="D342" s="33" t="s">
        <v>106</v>
      </c>
      <c r="E342" s="33">
        <v>53.563171400000002</v>
      </c>
      <c r="F342" s="33">
        <v>-127.94255579999999</v>
      </c>
      <c r="G342" s="33" t="s">
        <v>2876</v>
      </c>
      <c r="H342" s="33"/>
      <c r="I342" s="236"/>
      <c r="J342" s="236"/>
      <c r="K342" s="69"/>
      <c r="L342" s="69"/>
      <c r="M342" s="69"/>
      <c r="N342" s="69"/>
      <c r="O342" s="69"/>
      <c r="P342" s="19"/>
      <c r="Q342" s="19"/>
      <c r="R342" s="99">
        <v>339</v>
      </c>
    </row>
    <row r="343" spans="1:18" ht="20" x14ac:dyDescent="0.2">
      <c r="A343" s="58"/>
      <c r="B343" s="151" t="s">
        <v>1755</v>
      </c>
      <c r="C343" s="51" t="s">
        <v>3466</v>
      </c>
      <c r="D343" s="33" t="s">
        <v>106</v>
      </c>
      <c r="E343" s="33"/>
      <c r="F343" s="33"/>
      <c r="G343" s="33" t="s">
        <v>2876</v>
      </c>
      <c r="H343" s="237" t="s">
        <v>1549</v>
      </c>
      <c r="I343" s="2">
        <v>138</v>
      </c>
      <c r="J343" s="2">
        <v>25</v>
      </c>
      <c r="K343" s="1">
        <v>78.8</v>
      </c>
      <c r="L343" s="1">
        <v>94</v>
      </c>
      <c r="M343" s="131">
        <v>0.9</v>
      </c>
      <c r="N343" s="1">
        <f t="shared" ref="N343:O346" si="30">K343*$M343</f>
        <v>70.92</v>
      </c>
      <c r="O343" s="1">
        <f t="shared" si="30"/>
        <v>84.600000000000009</v>
      </c>
      <c r="P343" s="19"/>
      <c r="Q343" s="19"/>
      <c r="R343" s="99">
        <v>340</v>
      </c>
    </row>
    <row r="344" spans="1:18" ht="20" x14ac:dyDescent="0.2">
      <c r="A344" s="58"/>
      <c r="B344" s="151" t="s">
        <v>1755</v>
      </c>
      <c r="C344" s="51" t="s">
        <v>3466</v>
      </c>
      <c r="D344" s="33" t="s">
        <v>106</v>
      </c>
      <c r="E344" s="33"/>
      <c r="F344" s="33"/>
      <c r="G344" s="33" t="s">
        <v>2876</v>
      </c>
      <c r="H344" s="237" t="s">
        <v>1550</v>
      </c>
      <c r="I344" s="2">
        <v>138</v>
      </c>
      <c r="J344" s="2">
        <v>25</v>
      </c>
      <c r="K344" s="1">
        <v>78.8</v>
      </c>
      <c r="L344" s="1">
        <v>94</v>
      </c>
      <c r="M344" s="131">
        <v>0.9</v>
      </c>
      <c r="N344" s="1">
        <f t="shared" si="30"/>
        <v>70.92</v>
      </c>
      <c r="O344" s="1">
        <f t="shared" si="30"/>
        <v>84.600000000000009</v>
      </c>
      <c r="P344" s="19"/>
      <c r="Q344" s="19"/>
      <c r="R344" s="99">
        <v>341</v>
      </c>
    </row>
    <row r="345" spans="1:18" ht="20" x14ac:dyDescent="0.2">
      <c r="A345" s="58"/>
      <c r="B345" s="151" t="s">
        <v>1756</v>
      </c>
      <c r="C345" s="51" t="s">
        <v>3283</v>
      </c>
      <c r="D345" s="33" t="s">
        <v>106</v>
      </c>
      <c r="E345" s="33"/>
      <c r="F345" s="33"/>
      <c r="G345" s="33" t="s">
        <v>2876</v>
      </c>
      <c r="H345" s="237" t="s">
        <v>1545</v>
      </c>
      <c r="I345" s="2">
        <v>230</v>
      </c>
      <c r="J345" s="2">
        <v>25</v>
      </c>
      <c r="K345" s="1">
        <v>78.8</v>
      </c>
      <c r="L345" s="1">
        <v>94.5</v>
      </c>
      <c r="M345" s="131">
        <v>0.9</v>
      </c>
      <c r="N345" s="1">
        <f t="shared" si="30"/>
        <v>70.92</v>
      </c>
      <c r="O345" s="1">
        <f t="shared" si="30"/>
        <v>85.05</v>
      </c>
      <c r="P345" s="19"/>
      <c r="Q345" s="19"/>
      <c r="R345" s="99">
        <v>342</v>
      </c>
    </row>
    <row r="346" spans="1:18" ht="20" x14ac:dyDescent="0.2">
      <c r="A346" s="58"/>
      <c r="B346" s="151" t="s">
        <v>1756</v>
      </c>
      <c r="C346" s="51" t="s">
        <v>3283</v>
      </c>
      <c r="D346" s="33" t="s">
        <v>106</v>
      </c>
      <c r="E346" s="33"/>
      <c r="F346" s="33"/>
      <c r="G346" s="33" t="s">
        <v>2876</v>
      </c>
      <c r="H346" s="237" t="s">
        <v>1549</v>
      </c>
      <c r="I346" s="2">
        <v>230</v>
      </c>
      <c r="J346" s="2">
        <v>25</v>
      </c>
      <c r="K346" s="1">
        <v>78.8</v>
      </c>
      <c r="L346" s="1">
        <v>94.5</v>
      </c>
      <c r="M346" s="131">
        <v>0.9</v>
      </c>
      <c r="N346" s="1">
        <f t="shared" si="30"/>
        <v>70.92</v>
      </c>
      <c r="O346" s="1">
        <f t="shared" si="30"/>
        <v>85.05</v>
      </c>
      <c r="P346" s="19"/>
      <c r="Q346" s="19"/>
      <c r="R346" s="99">
        <v>343</v>
      </c>
    </row>
    <row r="347" spans="1:18" ht="20" x14ac:dyDescent="0.2">
      <c r="A347" s="58"/>
      <c r="B347" s="151" t="s">
        <v>3572</v>
      </c>
      <c r="C347" s="51" t="s">
        <v>3573</v>
      </c>
      <c r="D347" s="33" t="s">
        <v>106</v>
      </c>
      <c r="E347" s="33"/>
      <c r="F347" s="33"/>
      <c r="G347" s="33" t="s">
        <v>2876</v>
      </c>
      <c r="H347" s="33"/>
      <c r="I347" s="99"/>
      <c r="J347" s="99"/>
      <c r="K347" s="69"/>
      <c r="L347" s="69"/>
      <c r="M347" s="69"/>
      <c r="N347" s="69"/>
      <c r="O347" s="69"/>
      <c r="P347" s="19"/>
      <c r="Q347" s="19"/>
      <c r="R347" s="99">
        <v>344</v>
      </c>
    </row>
    <row r="348" spans="1:18" ht="20" x14ac:dyDescent="0.2">
      <c r="A348" s="58"/>
      <c r="B348" s="151" t="s">
        <v>1757</v>
      </c>
      <c r="C348" s="51" t="s">
        <v>3284</v>
      </c>
      <c r="D348" s="33" t="s">
        <v>106</v>
      </c>
      <c r="E348" s="33"/>
      <c r="F348" s="33"/>
      <c r="G348" s="33" t="s">
        <v>2876</v>
      </c>
      <c r="H348" s="33"/>
      <c r="I348" s="99"/>
      <c r="J348" s="99"/>
      <c r="K348" s="69"/>
      <c r="L348" s="69"/>
      <c r="M348" s="69"/>
      <c r="N348" s="69"/>
      <c r="O348" s="69"/>
      <c r="P348" s="19"/>
      <c r="Q348" s="19"/>
      <c r="R348" s="99">
        <v>345</v>
      </c>
    </row>
    <row r="349" spans="1:18" ht="20" x14ac:dyDescent="0.2">
      <c r="A349" s="58"/>
      <c r="B349" s="151" t="s">
        <v>2313</v>
      </c>
      <c r="C349" s="51" t="s">
        <v>3589</v>
      </c>
      <c r="D349" s="33" t="s">
        <v>106</v>
      </c>
      <c r="E349" s="33"/>
      <c r="F349" s="33"/>
      <c r="G349" s="33" t="s">
        <v>2876</v>
      </c>
      <c r="H349" s="33"/>
      <c r="I349" s="99"/>
      <c r="J349" s="99"/>
      <c r="K349" s="69"/>
      <c r="L349" s="69"/>
      <c r="M349" s="69"/>
      <c r="N349" s="69"/>
      <c r="O349" s="69"/>
      <c r="P349" s="19"/>
      <c r="Q349" s="19"/>
      <c r="R349" s="99">
        <v>346</v>
      </c>
    </row>
    <row r="350" spans="1:18" ht="20" x14ac:dyDescent="0.2">
      <c r="A350" s="58"/>
      <c r="B350" s="151" t="s">
        <v>1758</v>
      </c>
      <c r="C350" s="51" t="s">
        <v>3135</v>
      </c>
      <c r="D350" s="33" t="s">
        <v>106</v>
      </c>
      <c r="E350" s="33">
        <v>50.839720399999997</v>
      </c>
      <c r="F350" s="33">
        <v>-122.85588989999999</v>
      </c>
      <c r="G350" s="33" t="s">
        <v>2876</v>
      </c>
      <c r="H350" s="237" t="s">
        <v>1549</v>
      </c>
      <c r="I350" s="290">
        <v>60</v>
      </c>
      <c r="J350" s="290">
        <v>12</v>
      </c>
      <c r="K350" s="1">
        <v>3.8</v>
      </c>
      <c r="L350" s="1">
        <v>4.5</v>
      </c>
      <c r="M350" s="131">
        <v>0.9</v>
      </c>
      <c r="N350" s="1">
        <f>K350*$M350</f>
        <v>3.42</v>
      </c>
      <c r="O350" s="1">
        <f>L350*$M350</f>
        <v>4.05</v>
      </c>
      <c r="P350" s="19"/>
      <c r="Q350" s="19"/>
      <c r="R350" s="99">
        <v>347</v>
      </c>
    </row>
    <row r="351" spans="1:18" ht="20" x14ac:dyDescent="0.2">
      <c r="A351" s="58"/>
      <c r="B351" s="151" t="s">
        <v>2314</v>
      </c>
      <c r="C351" s="51" t="s">
        <v>3600</v>
      </c>
      <c r="D351" s="33" t="s">
        <v>106</v>
      </c>
      <c r="E351" s="33"/>
      <c r="F351" s="33"/>
      <c r="G351" s="33" t="s">
        <v>2876</v>
      </c>
      <c r="H351" s="33"/>
      <c r="I351" s="99"/>
      <c r="J351" s="99"/>
      <c r="K351" s="69"/>
      <c r="L351" s="69"/>
      <c r="M351" s="69"/>
      <c r="N351" s="69"/>
      <c r="O351" s="69"/>
      <c r="P351" s="19"/>
      <c r="Q351" s="19"/>
      <c r="R351" s="99">
        <v>348</v>
      </c>
    </row>
    <row r="352" spans="1:18" ht="20" x14ac:dyDescent="0.2">
      <c r="A352" s="58"/>
      <c r="B352" s="151" t="s">
        <v>2929</v>
      </c>
      <c r="C352" s="51" t="s">
        <v>3136</v>
      </c>
      <c r="D352" s="33" t="s">
        <v>106</v>
      </c>
      <c r="E352" s="33">
        <v>49.370559800000002</v>
      </c>
      <c r="F352" s="33">
        <v>-122.87359189999999</v>
      </c>
      <c r="G352" s="33" t="s">
        <v>2876</v>
      </c>
      <c r="H352" s="237" t="s">
        <v>1550</v>
      </c>
      <c r="I352" s="2">
        <v>60</v>
      </c>
      <c r="J352" s="2">
        <v>2.2999999999999998</v>
      </c>
      <c r="K352" s="1">
        <v>0.8</v>
      </c>
      <c r="L352" s="1">
        <v>1</v>
      </c>
      <c r="M352" s="131">
        <v>0.9</v>
      </c>
      <c r="N352" s="1">
        <f>K352*$M352</f>
        <v>0.72000000000000008</v>
      </c>
      <c r="O352" s="1">
        <f>L352*$M352</f>
        <v>0.9</v>
      </c>
      <c r="P352" s="19"/>
      <c r="Q352" s="19"/>
      <c r="R352" s="99">
        <v>349</v>
      </c>
    </row>
    <row r="353" spans="1:18" ht="20" x14ac:dyDescent="0.2">
      <c r="A353" s="58"/>
      <c r="B353" s="151" t="s">
        <v>2929</v>
      </c>
      <c r="C353" s="51" t="s">
        <v>3136</v>
      </c>
      <c r="D353" s="33" t="s">
        <v>106</v>
      </c>
      <c r="E353" s="33"/>
      <c r="F353" s="33"/>
      <c r="G353" s="33" t="s">
        <v>2876</v>
      </c>
      <c r="H353" s="33"/>
      <c r="I353" s="99"/>
      <c r="J353" s="99"/>
      <c r="K353" s="69"/>
      <c r="L353" s="69"/>
      <c r="M353" s="69"/>
      <c r="N353" s="69"/>
      <c r="O353" s="69"/>
      <c r="P353" s="19"/>
      <c r="Q353" s="19"/>
      <c r="R353" s="99">
        <v>350</v>
      </c>
    </row>
    <row r="354" spans="1:18" ht="20" x14ac:dyDescent="0.2">
      <c r="A354" s="58"/>
      <c r="B354" s="151" t="s">
        <v>1759</v>
      </c>
      <c r="C354" s="51" t="s">
        <v>3394</v>
      </c>
      <c r="D354" s="33" t="s">
        <v>106</v>
      </c>
      <c r="E354" s="33"/>
      <c r="F354" s="33"/>
      <c r="G354" s="33" t="s">
        <v>2876</v>
      </c>
      <c r="H354" s="237" t="s">
        <v>1551</v>
      </c>
      <c r="I354" s="2">
        <v>60</v>
      </c>
      <c r="J354" s="2">
        <v>25</v>
      </c>
      <c r="K354" s="1">
        <v>52.5</v>
      </c>
      <c r="L354" s="1">
        <v>66.5</v>
      </c>
      <c r="M354" s="131">
        <v>0.9</v>
      </c>
      <c r="N354" s="1">
        <f t="shared" ref="N354:O357" si="31">K354*$M354</f>
        <v>47.25</v>
      </c>
      <c r="O354" s="1">
        <f t="shared" si="31"/>
        <v>59.85</v>
      </c>
      <c r="P354" s="19"/>
      <c r="Q354" s="19"/>
      <c r="R354" s="99">
        <v>351</v>
      </c>
    </row>
    <row r="355" spans="1:18" ht="20" x14ac:dyDescent="0.2">
      <c r="A355" s="58"/>
      <c r="B355" s="151" t="s">
        <v>1759</v>
      </c>
      <c r="C355" s="51" t="s">
        <v>3394</v>
      </c>
      <c r="D355" s="33" t="s">
        <v>106</v>
      </c>
      <c r="E355" s="33"/>
      <c r="F355" s="33"/>
      <c r="G355" s="33" t="s">
        <v>2876</v>
      </c>
      <c r="H355" s="237" t="s">
        <v>1552</v>
      </c>
      <c r="I355" s="2">
        <v>60</v>
      </c>
      <c r="J355" s="2">
        <v>25</v>
      </c>
      <c r="K355" s="1">
        <v>52.5</v>
      </c>
      <c r="L355" s="1">
        <v>66.5</v>
      </c>
      <c r="M355" s="131">
        <v>0.9</v>
      </c>
      <c r="N355" s="1">
        <f t="shared" si="31"/>
        <v>47.25</v>
      </c>
      <c r="O355" s="1">
        <f t="shared" si="31"/>
        <v>59.85</v>
      </c>
      <c r="P355" s="19"/>
      <c r="Q355" s="19"/>
      <c r="R355" s="99">
        <v>352</v>
      </c>
    </row>
    <row r="356" spans="1:18" ht="20" x14ac:dyDescent="0.2">
      <c r="A356" s="58"/>
      <c r="B356" s="151" t="s">
        <v>215</v>
      </c>
      <c r="C356" s="51" t="s">
        <v>3468</v>
      </c>
      <c r="D356" s="33" t="s">
        <v>106</v>
      </c>
      <c r="E356" s="33"/>
      <c r="F356" s="33"/>
      <c r="G356" s="33" t="s">
        <v>2876</v>
      </c>
      <c r="H356" s="237" t="s">
        <v>1545</v>
      </c>
      <c r="I356" s="2">
        <v>60</v>
      </c>
      <c r="J356" s="2">
        <v>12</v>
      </c>
      <c r="K356" s="1">
        <v>12.5</v>
      </c>
      <c r="L356" s="1">
        <v>15</v>
      </c>
      <c r="M356" s="131">
        <v>0.9</v>
      </c>
      <c r="N356" s="1">
        <f t="shared" si="31"/>
        <v>11.25</v>
      </c>
      <c r="O356" s="1">
        <f t="shared" si="31"/>
        <v>13.5</v>
      </c>
      <c r="P356" s="19"/>
      <c r="Q356" s="19"/>
      <c r="R356" s="99">
        <v>353</v>
      </c>
    </row>
    <row r="357" spans="1:18" ht="20" x14ac:dyDescent="0.2">
      <c r="A357" s="58"/>
      <c r="B357" s="151" t="s">
        <v>215</v>
      </c>
      <c r="C357" s="51" t="s">
        <v>3468</v>
      </c>
      <c r="D357" s="33" t="s">
        <v>106</v>
      </c>
      <c r="E357" s="33"/>
      <c r="F357" s="33"/>
      <c r="G357" s="33" t="s">
        <v>2876</v>
      </c>
      <c r="H357" s="237" t="s">
        <v>1560</v>
      </c>
      <c r="I357" s="2">
        <v>60</v>
      </c>
      <c r="J357" s="2">
        <v>12</v>
      </c>
      <c r="K357" s="1">
        <v>15</v>
      </c>
      <c r="L357" s="1">
        <v>15</v>
      </c>
      <c r="M357" s="131">
        <v>0.9</v>
      </c>
      <c r="N357" s="1">
        <f t="shared" si="31"/>
        <v>13.5</v>
      </c>
      <c r="O357" s="1">
        <f t="shared" si="31"/>
        <v>13.5</v>
      </c>
      <c r="P357" s="19"/>
      <c r="Q357" s="19"/>
      <c r="R357" s="99">
        <v>354</v>
      </c>
    </row>
    <row r="358" spans="1:18" ht="20" x14ac:dyDescent="0.2">
      <c r="A358" s="58"/>
      <c r="B358" s="151" t="s">
        <v>1760</v>
      </c>
      <c r="C358" s="51" t="s">
        <v>3658</v>
      </c>
      <c r="D358" s="33" t="s">
        <v>106</v>
      </c>
      <c r="E358" s="33"/>
      <c r="F358" s="33"/>
      <c r="G358" s="33" t="s">
        <v>2876</v>
      </c>
      <c r="H358" s="33"/>
      <c r="I358" s="99"/>
      <c r="J358" s="99"/>
      <c r="K358" s="69"/>
      <c r="L358" s="69"/>
      <c r="M358" s="69"/>
      <c r="N358" s="69"/>
      <c r="O358" s="69"/>
      <c r="P358" s="19"/>
      <c r="Q358" s="19"/>
      <c r="R358" s="99">
        <v>355</v>
      </c>
    </row>
    <row r="359" spans="1:18" ht="20" x14ac:dyDescent="0.2">
      <c r="A359" s="58"/>
      <c r="B359" s="151" t="s">
        <v>3699</v>
      </c>
      <c r="C359" s="51" t="s">
        <v>3138</v>
      </c>
      <c r="D359" s="33" t="s">
        <v>106</v>
      </c>
      <c r="E359" s="33">
        <v>49.817606400000003</v>
      </c>
      <c r="F359" s="33">
        <v>-123.3973405</v>
      </c>
      <c r="G359" s="33" t="s">
        <v>2876</v>
      </c>
      <c r="H359" s="33"/>
      <c r="I359" s="236"/>
      <c r="J359" s="236"/>
      <c r="K359" s="69"/>
      <c r="L359" s="69"/>
      <c r="M359" s="69"/>
      <c r="N359" s="69"/>
      <c r="O359" s="69"/>
      <c r="P359" s="19"/>
      <c r="Q359" s="19"/>
      <c r="R359" s="99">
        <v>356</v>
      </c>
    </row>
    <row r="360" spans="1:18" ht="20" x14ac:dyDescent="0.2">
      <c r="A360" s="58"/>
      <c r="B360" s="151" t="s">
        <v>1761</v>
      </c>
      <c r="C360" s="51" t="s">
        <v>3718</v>
      </c>
      <c r="D360" s="33" t="s">
        <v>106</v>
      </c>
      <c r="E360" s="33"/>
      <c r="F360" s="33"/>
      <c r="G360" s="33" t="s">
        <v>2876</v>
      </c>
      <c r="H360" s="33"/>
      <c r="I360" s="99"/>
      <c r="J360" s="99"/>
      <c r="K360" s="69"/>
      <c r="L360" s="69"/>
      <c r="M360" s="69"/>
      <c r="N360" s="69"/>
      <c r="O360" s="69"/>
      <c r="P360" s="19"/>
      <c r="Q360" s="19"/>
      <c r="R360" s="99">
        <v>357</v>
      </c>
    </row>
    <row r="361" spans="1:18" ht="20" x14ac:dyDescent="0.2">
      <c r="A361" s="58"/>
      <c r="B361" s="151" t="s">
        <v>1957</v>
      </c>
      <c r="C361" s="51" t="s">
        <v>3508</v>
      </c>
      <c r="D361" s="33" t="s">
        <v>106</v>
      </c>
      <c r="E361" s="33"/>
      <c r="F361" s="33"/>
      <c r="G361" s="33" t="s">
        <v>2876</v>
      </c>
      <c r="H361" s="237" t="s">
        <v>1545</v>
      </c>
      <c r="I361" s="2">
        <v>69</v>
      </c>
      <c r="J361" s="2">
        <v>25</v>
      </c>
      <c r="K361" s="1">
        <v>25</v>
      </c>
      <c r="L361" s="1">
        <v>32.799999999999997</v>
      </c>
      <c r="M361" s="131">
        <v>0.9</v>
      </c>
      <c r="N361" s="1">
        <f>K361*$M361</f>
        <v>22.5</v>
      </c>
      <c r="O361" s="1">
        <f>L361*$M361</f>
        <v>29.52</v>
      </c>
      <c r="P361" s="19"/>
      <c r="Q361" s="19"/>
      <c r="R361" s="99">
        <v>358</v>
      </c>
    </row>
    <row r="362" spans="1:18" ht="20" x14ac:dyDescent="0.2">
      <c r="A362" s="58"/>
      <c r="B362" s="151" t="s">
        <v>1957</v>
      </c>
      <c r="C362" s="51" t="s">
        <v>3508</v>
      </c>
      <c r="D362" s="33" t="s">
        <v>106</v>
      </c>
      <c r="E362" s="33"/>
      <c r="F362" s="33"/>
      <c r="G362" s="33" t="s">
        <v>2876</v>
      </c>
      <c r="H362" s="237" t="s">
        <v>1549</v>
      </c>
      <c r="I362" s="2">
        <v>69</v>
      </c>
      <c r="J362" s="2">
        <v>25</v>
      </c>
      <c r="K362" s="1">
        <v>28</v>
      </c>
      <c r="L362" s="1">
        <v>33.25</v>
      </c>
      <c r="M362" s="131">
        <v>0.9</v>
      </c>
      <c r="N362" s="1">
        <f>K362*$M362</f>
        <v>25.2</v>
      </c>
      <c r="O362" s="1">
        <f>L362*$M362</f>
        <v>29.925000000000001</v>
      </c>
      <c r="P362" s="19"/>
      <c r="Q362" s="19"/>
      <c r="R362" s="99">
        <v>359</v>
      </c>
    </row>
    <row r="363" spans="1:18" ht="20" x14ac:dyDescent="0.2">
      <c r="A363" s="58"/>
      <c r="B363" s="151" t="s">
        <v>1762</v>
      </c>
      <c r="C363" s="51" t="s">
        <v>3139</v>
      </c>
      <c r="D363" s="33" t="s">
        <v>106</v>
      </c>
      <c r="E363" s="33">
        <v>50.0173147</v>
      </c>
      <c r="F363" s="33">
        <v>-125.39301690000001</v>
      </c>
      <c r="G363" s="33" t="s">
        <v>2876</v>
      </c>
      <c r="H363" s="33"/>
      <c r="I363" s="236"/>
      <c r="J363" s="236"/>
      <c r="K363" s="69"/>
      <c r="L363" s="69"/>
      <c r="M363" s="69"/>
      <c r="N363" s="69"/>
      <c r="O363" s="69"/>
      <c r="P363" s="19"/>
      <c r="Q363" s="19"/>
      <c r="R363" s="99">
        <v>360</v>
      </c>
    </row>
    <row r="364" spans="1:18" ht="20" x14ac:dyDescent="0.2">
      <c r="A364" s="58"/>
      <c r="B364" s="151" t="s">
        <v>1763</v>
      </c>
      <c r="C364" s="51" t="s">
        <v>3469</v>
      </c>
      <c r="D364" s="33" t="s">
        <v>106</v>
      </c>
      <c r="E364" s="33"/>
      <c r="F364" s="33"/>
      <c r="G364" s="33" t="s">
        <v>2876</v>
      </c>
      <c r="H364" s="237" t="s">
        <v>1545</v>
      </c>
      <c r="I364" s="2">
        <v>138</v>
      </c>
      <c r="J364" s="2">
        <v>25</v>
      </c>
      <c r="K364" s="1">
        <v>50</v>
      </c>
      <c r="L364" s="1">
        <v>59.5</v>
      </c>
      <c r="M364" s="131">
        <v>0.9</v>
      </c>
      <c r="N364" s="1">
        <f>K364*$M364</f>
        <v>45</v>
      </c>
      <c r="O364" s="1">
        <f>L364*$M364</f>
        <v>53.550000000000004</v>
      </c>
      <c r="P364" s="19"/>
      <c r="Q364" s="19"/>
      <c r="R364" s="99">
        <v>361</v>
      </c>
    </row>
    <row r="365" spans="1:18" ht="20" x14ac:dyDescent="0.2">
      <c r="A365" s="58"/>
      <c r="B365" s="151" t="s">
        <v>1763</v>
      </c>
      <c r="C365" s="51" t="s">
        <v>3469</v>
      </c>
      <c r="D365" s="33" t="s">
        <v>106</v>
      </c>
      <c r="E365" s="33"/>
      <c r="F365" s="33"/>
      <c r="G365" s="33" t="s">
        <v>2876</v>
      </c>
      <c r="H365" s="237" t="s">
        <v>1549</v>
      </c>
      <c r="I365" s="2">
        <v>138</v>
      </c>
      <c r="J365" s="2">
        <v>25</v>
      </c>
      <c r="K365" s="1">
        <v>52.75</v>
      </c>
      <c r="L365" s="1">
        <v>65.150000000000006</v>
      </c>
      <c r="M365" s="131">
        <v>0.9</v>
      </c>
      <c r="N365" s="1">
        <f>K365*$M365</f>
        <v>47.475000000000001</v>
      </c>
      <c r="O365" s="1">
        <f>L365*$M365</f>
        <v>58.635000000000005</v>
      </c>
      <c r="P365" s="19"/>
      <c r="Q365" s="19"/>
      <c r="R365" s="99">
        <v>362</v>
      </c>
    </row>
    <row r="366" spans="1:18" ht="20" x14ac:dyDescent="0.2">
      <c r="A366" s="58"/>
      <c r="B366" s="151" t="s">
        <v>1764</v>
      </c>
      <c r="C366" s="51" t="s">
        <v>3654</v>
      </c>
      <c r="D366" s="33" t="s">
        <v>106</v>
      </c>
      <c r="E366" s="33"/>
      <c r="F366" s="33"/>
      <c r="G366" s="33" t="s">
        <v>2876</v>
      </c>
      <c r="H366" s="33"/>
      <c r="I366" s="99"/>
      <c r="J366" s="99"/>
      <c r="K366" s="69"/>
      <c r="L366" s="69"/>
      <c r="M366" s="69"/>
      <c r="N366" s="69"/>
      <c r="O366" s="69"/>
      <c r="P366" s="19"/>
      <c r="Q366" s="19"/>
      <c r="R366" s="99">
        <v>363</v>
      </c>
    </row>
    <row r="367" spans="1:18" ht="20" x14ac:dyDescent="0.2">
      <c r="A367" s="58"/>
      <c r="B367" s="151" t="s">
        <v>1765</v>
      </c>
      <c r="C367" s="51" t="s">
        <v>3655</v>
      </c>
      <c r="D367" s="33" t="s">
        <v>106</v>
      </c>
      <c r="E367" s="33"/>
      <c r="F367" s="33"/>
      <c r="G367" s="33" t="s">
        <v>2876</v>
      </c>
      <c r="H367" s="33"/>
      <c r="I367" s="99"/>
      <c r="J367" s="99"/>
      <c r="K367" s="69"/>
      <c r="L367" s="69"/>
      <c r="M367" s="69"/>
      <c r="N367" s="69"/>
      <c r="O367" s="69"/>
      <c r="P367" s="19"/>
      <c r="Q367" s="19"/>
      <c r="R367" s="99">
        <v>364</v>
      </c>
    </row>
    <row r="368" spans="1:18" ht="20" x14ac:dyDescent="0.2">
      <c r="A368" s="58"/>
      <c r="B368" s="151" t="s">
        <v>2275</v>
      </c>
      <c r="C368" s="51" t="s">
        <v>3470</v>
      </c>
      <c r="D368" s="33" t="s">
        <v>106</v>
      </c>
      <c r="E368" s="33"/>
      <c r="F368" s="33"/>
      <c r="G368" s="33" t="s">
        <v>2876</v>
      </c>
      <c r="H368" s="33"/>
      <c r="I368" s="236"/>
      <c r="J368" s="236"/>
      <c r="K368" s="69"/>
      <c r="L368" s="69"/>
      <c r="M368" s="69"/>
      <c r="N368" s="69"/>
      <c r="O368" s="69"/>
      <c r="P368" s="19"/>
      <c r="Q368" s="19"/>
      <c r="R368" s="99">
        <v>365</v>
      </c>
    </row>
    <row r="369" spans="1:18" ht="20" x14ac:dyDescent="0.2">
      <c r="A369" s="58"/>
      <c r="B369" s="151" t="s">
        <v>1766</v>
      </c>
      <c r="C369" s="51" t="s">
        <v>3660</v>
      </c>
      <c r="D369" s="33" t="s">
        <v>106</v>
      </c>
      <c r="E369" s="33"/>
      <c r="F369" s="33"/>
      <c r="G369" s="33" t="s">
        <v>2876</v>
      </c>
      <c r="H369" s="33"/>
      <c r="I369" s="99"/>
      <c r="J369" s="99"/>
      <c r="K369" s="69"/>
      <c r="L369" s="69"/>
      <c r="M369" s="69"/>
      <c r="N369" s="69"/>
      <c r="O369" s="69"/>
      <c r="P369" s="19"/>
      <c r="Q369" s="19"/>
      <c r="R369" s="99">
        <v>366</v>
      </c>
    </row>
    <row r="370" spans="1:18" ht="20" x14ac:dyDescent="0.2">
      <c r="A370" s="58"/>
      <c r="B370" s="151" t="s">
        <v>1968</v>
      </c>
      <c r="C370" s="51" t="s">
        <v>3590</v>
      </c>
      <c r="D370" s="33" t="s">
        <v>106</v>
      </c>
      <c r="E370" s="33"/>
      <c r="F370" s="33"/>
      <c r="G370" s="33" t="s">
        <v>2876</v>
      </c>
      <c r="H370" s="33"/>
      <c r="I370" s="99"/>
      <c r="J370" s="99"/>
      <c r="K370" s="69"/>
      <c r="L370" s="69"/>
      <c r="M370" s="69"/>
      <c r="N370" s="69"/>
      <c r="O370" s="69"/>
      <c r="P370" s="19"/>
      <c r="Q370" s="19"/>
      <c r="R370" s="99">
        <v>367</v>
      </c>
    </row>
    <row r="371" spans="1:18" ht="20" x14ac:dyDescent="0.2">
      <c r="A371" s="58"/>
      <c r="B371" s="151" t="s">
        <v>1767</v>
      </c>
      <c r="C371" s="51" t="s">
        <v>3657</v>
      </c>
      <c r="D371" s="33" t="s">
        <v>106</v>
      </c>
      <c r="E371" s="33"/>
      <c r="F371" s="33"/>
      <c r="G371" s="33" t="s">
        <v>2876</v>
      </c>
      <c r="H371" s="33"/>
      <c r="I371" s="99"/>
      <c r="J371" s="99"/>
      <c r="K371" s="69"/>
      <c r="L371" s="69"/>
      <c r="M371" s="69"/>
      <c r="N371" s="69"/>
      <c r="O371" s="69"/>
      <c r="P371" s="19"/>
      <c r="Q371" s="19"/>
      <c r="R371" s="99">
        <v>368</v>
      </c>
    </row>
    <row r="372" spans="1:18" ht="20" x14ac:dyDescent="0.2">
      <c r="A372" s="58"/>
      <c r="B372" s="151" t="s">
        <v>2363</v>
      </c>
      <c r="C372" s="51" t="s">
        <v>3140</v>
      </c>
      <c r="D372" s="33" t="s">
        <v>106</v>
      </c>
      <c r="E372" s="33">
        <v>56.062313699999997</v>
      </c>
      <c r="F372" s="33">
        <v>-130.01849490000001</v>
      </c>
      <c r="G372" s="33" t="s">
        <v>2876</v>
      </c>
      <c r="H372" s="33"/>
      <c r="I372" s="236"/>
      <c r="J372" s="236"/>
      <c r="K372" s="69"/>
      <c r="L372" s="69"/>
      <c r="M372" s="69"/>
      <c r="N372" s="69"/>
      <c r="O372" s="69"/>
      <c r="P372" s="19"/>
      <c r="Q372" s="19"/>
      <c r="R372" s="99">
        <v>369</v>
      </c>
    </row>
    <row r="373" spans="1:18" ht="20" x14ac:dyDescent="0.2">
      <c r="A373" s="58"/>
      <c r="B373" s="151" t="s">
        <v>1768</v>
      </c>
      <c r="C373" s="51" t="s">
        <v>3285</v>
      </c>
      <c r="D373" s="33" t="s">
        <v>106</v>
      </c>
      <c r="E373" s="33"/>
      <c r="F373" s="33"/>
      <c r="G373" s="33" t="s">
        <v>2876</v>
      </c>
      <c r="H373" s="33"/>
      <c r="I373" s="99"/>
      <c r="J373" s="99"/>
      <c r="K373" s="69"/>
      <c r="L373" s="69"/>
      <c r="M373" s="69"/>
      <c r="N373" s="69"/>
      <c r="O373" s="69"/>
      <c r="P373" s="19"/>
      <c r="Q373" s="19"/>
      <c r="R373" s="99">
        <v>370</v>
      </c>
    </row>
    <row r="374" spans="1:18" ht="20" x14ac:dyDescent="0.2">
      <c r="A374" s="58"/>
      <c r="B374" s="151" t="s">
        <v>1769</v>
      </c>
      <c r="C374" s="51" t="s">
        <v>3473</v>
      </c>
      <c r="D374" s="33" t="s">
        <v>106</v>
      </c>
      <c r="E374" s="33"/>
      <c r="F374" s="33"/>
      <c r="G374" s="33" t="s">
        <v>2876</v>
      </c>
      <c r="H374" s="237" t="s">
        <v>1545</v>
      </c>
      <c r="I374" s="2">
        <v>60</v>
      </c>
      <c r="J374" s="2">
        <v>12</v>
      </c>
      <c r="K374" s="1">
        <v>44</v>
      </c>
      <c r="L374" s="1">
        <v>55</v>
      </c>
      <c r="M374" s="131">
        <v>0.9</v>
      </c>
      <c r="N374" s="1">
        <f>K374*$M374</f>
        <v>39.6</v>
      </c>
      <c r="O374" s="1">
        <f>L374*$M374</f>
        <v>49.5</v>
      </c>
      <c r="P374" s="19"/>
      <c r="Q374" s="19"/>
      <c r="R374" s="99">
        <v>371</v>
      </c>
    </row>
    <row r="375" spans="1:18" ht="20" x14ac:dyDescent="0.2">
      <c r="A375" s="58"/>
      <c r="B375" s="151" t="s">
        <v>1769</v>
      </c>
      <c r="C375" s="51" t="s">
        <v>3473</v>
      </c>
      <c r="D375" s="33" t="s">
        <v>106</v>
      </c>
      <c r="E375" s="33"/>
      <c r="F375" s="33"/>
      <c r="G375" s="33" t="s">
        <v>2876</v>
      </c>
      <c r="H375" s="237" t="s">
        <v>1550</v>
      </c>
      <c r="I375" s="2">
        <v>60</v>
      </c>
      <c r="J375" s="2">
        <v>12</v>
      </c>
      <c r="K375" s="1">
        <v>44</v>
      </c>
      <c r="L375" s="1">
        <v>55</v>
      </c>
      <c r="M375" s="131">
        <v>0.9</v>
      </c>
      <c r="N375" s="1">
        <f>K375*$M375</f>
        <v>39.6</v>
      </c>
      <c r="O375" s="1">
        <f>L375*$M375</f>
        <v>49.5</v>
      </c>
      <c r="P375" s="19"/>
      <c r="Q375" s="19"/>
      <c r="R375" s="99">
        <v>372</v>
      </c>
    </row>
    <row r="376" spans="1:18" ht="20" x14ac:dyDescent="0.2">
      <c r="A376" s="58"/>
      <c r="B376" s="151" t="s">
        <v>1770</v>
      </c>
      <c r="C376" s="51" t="s">
        <v>3656</v>
      </c>
      <c r="D376" s="33" t="s">
        <v>106</v>
      </c>
      <c r="E376" s="33"/>
      <c r="F376" s="33"/>
      <c r="G376" s="33" t="s">
        <v>2876</v>
      </c>
      <c r="H376" s="33"/>
      <c r="I376" s="99"/>
      <c r="J376" s="99"/>
      <c r="K376" s="69"/>
      <c r="L376" s="69"/>
      <c r="M376" s="69"/>
      <c r="N376" s="69"/>
      <c r="O376" s="69"/>
      <c r="P376" s="19"/>
      <c r="Q376" s="19"/>
      <c r="R376" s="99">
        <v>373</v>
      </c>
    </row>
    <row r="377" spans="1:18" ht="20" x14ac:dyDescent="0.2">
      <c r="A377" s="58"/>
      <c r="B377" s="151" t="s">
        <v>1771</v>
      </c>
      <c r="C377" s="51" t="s">
        <v>3474</v>
      </c>
      <c r="D377" s="33" t="s">
        <v>106</v>
      </c>
      <c r="E377" s="33"/>
      <c r="F377" s="33"/>
      <c r="G377" s="33" t="s">
        <v>2876</v>
      </c>
      <c r="H377" s="237" t="s">
        <v>1545</v>
      </c>
      <c r="I377" s="2">
        <v>138</v>
      </c>
      <c r="J377" s="2">
        <v>25</v>
      </c>
      <c r="K377" s="1">
        <v>78.8</v>
      </c>
      <c r="L377" s="1">
        <v>100</v>
      </c>
      <c r="M377" s="131">
        <v>0.9</v>
      </c>
      <c r="N377" s="1">
        <f t="shared" ref="N377:O382" si="32">K377*$M377</f>
        <v>70.92</v>
      </c>
      <c r="O377" s="1">
        <f t="shared" si="32"/>
        <v>90</v>
      </c>
      <c r="P377" s="19"/>
      <c r="Q377" s="19"/>
      <c r="R377" s="99">
        <v>374</v>
      </c>
    </row>
    <row r="378" spans="1:18" ht="20" x14ac:dyDescent="0.2">
      <c r="A378" s="58"/>
      <c r="B378" s="151" t="s">
        <v>1771</v>
      </c>
      <c r="C378" s="51" t="s">
        <v>3474</v>
      </c>
      <c r="D378" s="33" t="s">
        <v>106</v>
      </c>
      <c r="E378" s="33"/>
      <c r="F378" s="33"/>
      <c r="G378" s="33" t="s">
        <v>2876</v>
      </c>
      <c r="H378" s="237" t="s">
        <v>1549</v>
      </c>
      <c r="I378" s="2">
        <v>138</v>
      </c>
      <c r="J378" s="2">
        <v>25</v>
      </c>
      <c r="K378" s="1">
        <v>78.8</v>
      </c>
      <c r="L378" s="1">
        <v>100</v>
      </c>
      <c r="M378" s="131">
        <v>0.9</v>
      </c>
      <c r="N378" s="1">
        <f t="shared" si="32"/>
        <v>70.92</v>
      </c>
      <c r="O378" s="1">
        <f t="shared" si="32"/>
        <v>90</v>
      </c>
      <c r="P378" s="19"/>
      <c r="Q378" s="19"/>
      <c r="R378" s="99">
        <v>375</v>
      </c>
    </row>
    <row r="379" spans="1:18" ht="20" x14ac:dyDescent="0.2">
      <c r="A379" s="58"/>
      <c r="B379" s="151" t="s">
        <v>1772</v>
      </c>
      <c r="C379" s="51" t="s">
        <v>3661</v>
      </c>
      <c r="D379" s="33" t="s">
        <v>106</v>
      </c>
      <c r="E379" s="33"/>
      <c r="F379" s="33"/>
      <c r="G379" s="33" t="s">
        <v>2876</v>
      </c>
      <c r="H379" s="237" t="s">
        <v>1545</v>
      </c>
      <c r="I379" s="2">
        <v>138</v>
      </c>
      <c r="J379" s="2">
        <v>25</v>
      </c>
      <c r="K379" s="1">
        <v>27.2</v>
      </c>
      <c r="L379" s="1">
        <v>33.5</v>
      </c>
      <c r="M379" s="131">
        <v>0.9</v>
      </c>
      <c r="N379" s="1">
        <f t="shared" si="32"/>
        <v>24.48</v>
      </c>
      <c r="O379" s="1">
        <f t="shared" si="32"/>
        <v>30.150000000000002</v>
      </c>
      <c r="P379" s="19"/>
      <c r="Q379" s="19"/>
      <c r="R379" s="99">
        <v>376</v>
      </c>
    </row>
    <row r="380" spans="1:18" ht="20" x14ac:dyDescent="0.2">
      <c r="A380" s="58"/>
      <c r="B380" s="151" t="s">
        <v>1772</v>
      </c>
      <c r="C380" s="51" t="s">
        <v>3661</v>
      </c>
      <c r="D380" s="33" t="s">
        <v>106</v>
      </c>
      <c r="E380" s="33"/>
      <c r="F380" s="33"/>
      <c r="G380" s="33" t="s">
        <v>2876</v>
      </c>
      <c r="H380" s="237" t="s">
        <v>1549</v>
      </c>
      <c r="I380" s="2">
        <v>138</v>
      </c>
      <c r="J380" s="2">
        <v>25</v>
      </c>
      <c r="K380" s="1">
        <v>27.5</v>
      </c>
      <c r="L380" s="1">
        <v>33.700000000000003</v>
      </c>
      <c r="M380" s="131">
        <v>0.9</v>
      </c>
      <c r="N380" s="1">
        <f t="shared" si="32"/>
        <v>24.75</v>
      </c>
      <c r="O380" s="1">
        <f t="shared" si="32"/>
        <v>30.330000000000002</v>
      </c>
      <c r="P380" s="19"/>
      <c r="Q380" s="19"/>
      <c r="R380" s="99">
        <v>377</v>
      </c>
    </row>
    <row r="381" spans="1:18" ht="20" x14ac:dyDescent="0.2">
      <c r="A381" s="58"/>
      <c r="B381" s="151" t="s">
        <v>1773</v>
      </c>
      <c r="C381" s="51" t="s">
        <v>3286</v>
      </c>
      <c r="D381" s="33" t="s">
        <v>106</v>
      </c>
      <c r="E381" s="33"/>
      <c r="F381" s="33"/>
      <c r="G381" s="33" t="s">
        <v>2876</v>
      </c>
      <c r="H381" s="237" t="s">
        <v>1545</v>
      </c>
      <c r="I381" s="2">
        <v>230</v>
      </c>
      <c r="J381" s="2">
        <v>12</v>
      </c>
      <c r="K381" s="1">
        <v>78.75</v>
      </c>
      <c r="L381" s="1">
        <v>99.75</v>
      </c>
      <c r="M381" s="131">
        <v>0.9</v>
      </c>
      <c r="N381" s="1">
        <f t="shared" si="32"/>
        <v>70.875</v>
      </c>
      <c r="O381" s="1">
        <f t="shared" si="32"/>
        <v>89.775000000000006</v>
      </c>
      <c r="P381" s="19"/>
      <c r="Q381" s="19"/>
      <c r="R381" s="99">
        <v>378</v>
      </c>
    </row>
    <row r="382" spans="1:18" ht="20" x14ac:dyDescent="0.2">
      <c r="A382" s="58"/>
      <c r="B382" s="151" t="s">
        <v>1773</v>
      </c>
      <c r="C382" s="51" t="s">
        <v>3286</v>
      </c>
      <c r="D382" s="33" t="s">
        <v>106</v>
      </c>
      <c r="E382" s="33"/>
      <c r="F382" s="33"/>
      <c r="G382" s="33" t="s">
        <v>2876</v>
      </c>
      <c r="H382" s="237" t="s">
        <v>1549</v>
      </c>
      <c r="I382" s="2">
        <v>230</v>
      </c>
      <c r="J382" s="2">
        <v>12</v>
      </c>
      <c r="K382" s="1">
        <v>78.75</v>
      </c>
      <c r="L382" s="1">
        <v>99.75</v>
      </c>
      <c r="M382" s="131">
        <v>0.9</v>
      </c>
      <c r="N382" s="1">
        <f t="shared" si="32"/>
        <v>70.875</v>
      </c>
      <c r="O382" s="1">
        <f t="shared" si="32"/>
        <v>89.775000000000006</v>
      </c>
      <c r="P382" s="19"/>
      <c r="Q382" s="19"/>
      <c r="R382" s="99">
        <v>379</v>
      </c>
    </row>
    <row r="383" spans="1:18" ht="20" x14ac:dyDescent="0.2">
      <c r="A383" s="58"/>
      <c r="B383" s="151" t="s">
        <v>1774</v>
      </c>
      <c r="C383" s="51" t="s">
        <v>3141</v>
      </c>
      <c r="D383" s="33" t="s">
        <v>106</v>
      </c>
      <c r="E383" s="33">
        <v>49.234214799999997</v>
      </c>
      <c r="F383" s="33">
        <v>-125.356863</v>
      </c>
      <c r="G383" s="33" t="s">
        <v>2876</v>
      </c>
      <c r="H383" s="33"/>
      <c r="I383" s="99"/>
      <c r="J383" s="99"/>
      <c r="K383" s="69"/>
      <c r="L383" s="69"/>
      <c r="M383" s="69"/>
      <c r="N383" s="69"/>
      <c r="O383" s="69"/>
      <c r="P383" s="19"/>
      <c r="Q383" s="19"/>
      <c r="R383" s="99">
        <v>380</v>
      </c>
    </row>
    <row r="384" spans="1:18" ht="20" x14ac:dyDescent="0.2">
      <c r="A384" s="58"/>
      <c r="B384" s="151" t="s">
        <v>1775</v>
      </c>
      <c r="C384" s="51" t="s">
        <v>3142</v>
      </c>
      <c r="D384" s="33" t="s">
        <v>106</v>
      </c>
      <c r="E384" s="33">
        <v>49.721443299999997</v>
      </c>
      <c r="F384" s="33">
        <v>-123.0918942</v>
      </c>
      <c r="G384" s="33" t="s">
        <v>2876</v>
      </c>
      <c r="H384" s="33"/>
      <c r="I384" s="99"/>
      <c r="J384" s="99"/>
      <c r="K384" s="69"/>
      <c r="L384" s="69"/>
      <c r="M384" s="69"/>
      <c r="N384" s="69"/>
      <c r="O384" s="69"/>
      <c r="P384" s="19"/>
      <c r="Q384" s="19"/>
      <c r="R384" s="99">
        <v>380.5</v>
      </c>
    </row>
    <row r="385" spans="1:18" ht="20" x14ac:dyDescent="0.2">
      <c r="A385" s="58"/>
      <c r="B385" s="151" t="s">
        <v>1776</v>
      </c>
      <c r="C385" s="51" t="s">
        <v>3287</v>
      </c>
      <c r="D385" s="33" t="s">
        <v>106</v>
      </c>
      <c r="E385" s="33"/>
      <c r="F385" s="33"/>
      <c r="G385" s="33" t="s">
        <v>2876</v>
      </c>
      <c r="H385" s="237" t="s">
        <v>1545</v>
      </c>
      <c r="I385" s="2">
        <v>230</v>
      </c>
      <c r="J385" s="2">
        <v>12</v>
      </c>
      <c r="K385" s="1">
        <v>88</v>
      </c>
      <c r="L385" s="1">
        <v>112</v>
      </c>
      <c r="M385" s="131">
        <v>0.9</v>
      </c>
      <c r="N385" s="1">
        <f t="shared" ref="N385:O389" si="33">K385*$M385</f>
        <v>79.2</v>
      </c>
      <c r="O385" s="1">
        <f t="shared" si="33"/>
        <v>100.8</v>
      </c>
      <c r="P385" s="19"/>
      <c r="Q385" s="19"/>
      <c r="R385" s="99">
        <v>381</v>
      </c>
    </row>
    <row r="386" spans="1:18" ht="20" x14ac:dyDescent="0.2">
      <c r="A386" s="58"/>
      <c r="B386" s="151" t="s">
        <v>1776</v>
      </c>
      <c r="C386" s="51" t="s">
        <v>3287</v>
      </c>
      <c r="D386" s="33" t="s">
        <v>106</v>
      </c>
      <c r="E386" s="33"/>
      <c r="F386" s="33"/>
      <c r="G386" s="33" t="s">
        <v>2876</v>
      </c>
      <c r="H386" s="237" t="s">
        <v>1549</v>
      </c>
      <c r="I386" s="2">
        <v>230</v>
      </c>
      <c r="J386" s="2">
        <v>12</v>
      </c>
      <c r="K386" s="1">
        <v>88</v>
      </c>
      <c r="L386" s="1">
        <v>112</v>
      </c>
      <c r="M386" s="131">
        <v>0.9</v>
      </c>
      <c r="N386" s="1">
        <f t="shared" si="33"/>
        <v>79.2</v>
      </c>
      <c r="O386" s="1">
        <f t="shared" si="33"/>
        <v>100.8</v>
      </c>
      <c r="P386" s="19"/>
      <c r="Q386" s="19"/>
      <c r="R386" s="99">
        <v>382</v>
      </c>
    </row>
    <row r="387" spans="1:18" ht="20" x14ac:dyDescent="0.2">
      <c r="A387" s="58"/>
      <c r="B387" s="151" t="s">
        <v>1776</v>
      </c>
      <c r="C387" s="51" t="s">
        <v>3287</v>
      </c>
      <c r="D387" s="33" t="s">
        <v>106</v>
      </c>
      <c r="E387" s="33"/>
      <c r="F387" s="33"/>
      <c r="G387" s="33" t="s">
        <v>2876</v>
      </c>
      <c r="H387" s="237" t="s">
        <v>1550</v>
      </c>
      <c r="I387" s="2">
        <v>230</v>
      </c>
      <c r="J387" s="2">
        <v>12</v>
      </c>
      <c r="K387" s="1">
        <v>79</v>
      </c>
      <c r="L387" s="1">
        <v>100</v>
      </c>
      <c r="M387" s="131">
        <v>0.9</v>
      </c>
      <c r="N387" s="1">
        <f t="shared" si="33"/>
        <v>71.100000000000009</v>
      </c>
      <c r="O387" s="1">
        <f t="shared" si="33"/>
        <v>90</v>
      </c>
      <c r="P387" s="19"/>
      <c r="Q387" s="19"/>
      <c r="R387" s="99">
        <v>383</v>
      </c>
    </row>
    <row r="388" spans="1:18" ht="20" x14ac:dyDescent="0.2">
      <c r="A388" s="58"/>
      <c r="B388" s="151" t="s">
        <v>1777</v>
      </c>
      <c r="C388" s="51" t="s">
        <v>3143</v>
      </c>
      <c r="D388" s="33" t="s">
        <v>106</v>
      </c>
      <c r="E388" s="33">
        <v>52.075871999999997</v>
      </c>
      <c r="F388" s="33">
        <v>-118.57051490000001</v>
      </c>
      <c r="G388" s="33" t="s">
        <v>2876</v>
      </c>
      <c r="H388" s="237" t="s">
        <v>1551</v>
      </c>
      <c r="I388" s="290">
        <v>60</v>
      </c>
      <c r="J388" s="290">
        <v>12</v>
      </c>
      <c r="K388" s="1">
        <v>10</v>
      </c>
      <c r="L388" s="1">
        <v>12</v>
      </c>
      <c r="M388" s="131">
        <v>0.9</v>
      </c>
      <c r="N388" s="1">
        <f t="shared" si="33"/>
        <v>9</v>
      </c>
      <c r="O388" s="1">
        <f t="shared" si="33"/>
        <v>10.8</v>
      </c>
      <c r="P388" s="19"/>
      <c r="Q388" s="19"/>
      <c r="R388" s="99">
        <v>384</v>
      </c>
    </row>
    <row r="389" spans="1:18" ht="20" x14ac:dyDescent="0.2">
      <c r="A389" s="58"/>
      <c r="B389" s="151" t="s">
        <v>1778</v>
      </c>
      <c r="C389" s="51" t="s">
        <v>3475</v>
      </c>
      <c r="D389" s="33" t="s">
        <v>106</v>
      </c>
      <c r="E389" s="33"/>
      <c r="F389" s="33"/>
      <c r="G389" s="33" t="s">
        <v>2876</v>
      </c>
      <c r="H389" s="237" t="s">
        <v>1545</v>
      </c>
      <c r="I389" s="2">
        <v>60</v>
      </c>
      <c r="J389" s="2">
        <v>25</v>
      </c>
      <c r="K389" s="1">
        <v>0.2</v>
      </c>
      <c r="L389" s="1">
        <v>0.2</v>
      </c>
      <c r="M389" s="131">
        <v>0.9</v>
      </c>
      <c r="N389" s="1">
        <f t="shared" si="33"/>
        <v>0.18000000000000002</v>
      </c>
      <c r="O389" s="1">
        <f t="shared" si="33"/>
        <v>0.18000000000000002</v>
      </c>
      <c r="P389" s="19"/>
      <c r="Q389" s="19"/>
      <c r="R389" s="99">
        <v>385</v>
      </c>
    </row>
    <row r="390" spans="1:18" ht="20" x14ac:dyDescent="0.2">
      <c r="A390" s="58"/>
      <c r="B390" s="151" t="s">
        <v>2315</v>
      </c>
      <c r="C390" s="51" t="s">
        <v>3144</v>
      </c>
      <c r="D390" s="33" t="s">
        <v>106</v>
      </c>
      <c r="E390" s="33">
        <v>56.146329999999999</v>
      </c>
      <c r="F390" s="33">
        <v>-120.67107300000001</v>
      </c>
      <c r="G390" s="33" t="s">
        <v>2876</v>
      </c>
      <c r="H390" s="33"/>
      <c r="I390" s="236"/>
      <c r="J390" s="236"/>
      <c r="K390" s="69"/>
      <c r="L390" s="69"/>
      <c r="M390" s="69"/>
      <c r="N390" s="69"/>
      <c r="O390" s="69"/>
      <c r="P390" s="19"/>
      <c r="Q390" s="19"/>
      <c r="R390" s="99">
        <v>386</v>
      </c>
    </row>
    <row r="391" spans="1:18" ht="20" x14ac:dyDescent="0.2">
      <c r="A391" s="58"/>
      <c r="B391" s="151" t="s">
        <v>1779</v>
      </c>
      <c r="C391" s="51" t="s">
        <v>3288</v>
      </c>
      <c r="D391" s="33" t="s">
        <v>106</v>
      </c>
      <c r="E391" s="33"/>
      <c r="F391" s="33"/>
      <c r="G391" s="33" t="s">
        <v>2876</v>
      </c>
      <c r="H391" s="33"/>
      <c r="I391" s="99"/>
      <c r="J391" s="99"/>
      <c r="K391" s="69"/>
      <c r="L391" s="69"/>
      <c r="M391" s="69"/>
      <c r="N391" s="69"/>
      <c r="O391" s="69"/>
      <c r="P391" s="19"/>
      <c r="Q391" s="19"/>
      <c r="R391" s="99">
        <v>387</v>
      </c>
    </row>
    <row r="392" spans="1:18" ht="20" x14ac:dyDescent="0.2">
      <c r="A392" s="58"/>
      <c r="B392" s="151" t="s">
        <v>1780</v>
      </c>
      <c r="C392" s="51" t="s">
        <v>3476</v>
      </c>
      <c r="D392" s="33" t="s">
        <v>106</v>
      </c>
      <c r="E392" s="33"/>
      <c r="F392" s="33"/>
      <c r="G392" s="33" t="s">
        <v>2876</v>
      </c>
      <c r="H392" s="237" t="s">
        <v>1545</v>
      </c>
      <c r="I392" s="2">
        <v>138</v>
      </c>
      <c r="J392" s="2">
        <v>25</v>
      </c>
      <c r="K392" s="1">
        <v>2</v>
      </c>
      <c r="L392" s="1">
        <v>2.4</v>
      </c>
      <c r="M392" s="131">
        <v>0.9</v>
      </c>
      <c r="N392" s="1">
        <f>K392*$M392</f>
        <v>1.8</v>
      </c>
      <c r="O392" s="1">
        <f>L392*$M392</f>
        <v>2.16</v>
      </c>
      <c r="P392" s="19"/>
      <c r="Q392" s="19"/>
      <c r="R392" s="99">
        <v>388</v>
      </c>
    </row>
    <row r="393" spans="1:18" ht="20" x14ac:dyDescent="0.2">
      <c r="A393" s="58"/>
      <c r="B393" s="151" t="s">
        <v>1781</v>
      </c>
      <c r="C393" s="51" t="s">
        <v>3289</v>
      </c>
      <c r="D393" s="33" t="s">
        <v>106</v>
      </c>
      <c r="E393" s="33"/>
      <c r="F393" s="33"/>
      <c r="G393" s="33" t="s">
        <v>2876</v>
      </c>
      <c r="H393" s="237" t="s">
        <v>1545</v>
      </c>
      <c r="I393" s="2">
        <v>138</v>
      </c>
      <c r="J393" s="2">
        <v>25</v>
      </c>
      <c r="K393" s="1">
        <v>16.600000000000001</v>
      </c>
      <c r="L393" s="1">
        <v>20</v>
      </c>
      <c r="M393" s="131">
        <v>0.9</v>
      </c>
      <c r="N393" s="1">
        <f>K393*$M393</f>
        <v>14.940000000000001</v>
      </c>
      <c r="O393" s="1">
        <f>L393*$M393</f>
        <v>18</v>
      </c>
      <c r="P393" s="19"/>
      <c r="Q393" s="19"/>
      <c r="R393" s="99">
        <v>389</v>
      </c>
    </row>
    <row r="394" spans="1:18" ht="20" x14ac:dyDescent="0.2">
      <c r="A394" s="58"/>
      <c r="B394" s="151" t="s">
        <v>1782</v>
      </c>
      <c r="C394" s="51" t="s">
        <v>3664</v>
      </c>
      <c r="D394" s="33" t="s">
        <v>106</v>
      </c>
      <c r="E394" s="33"/>
      <c r="F394" s="33"/>
      <c r="G394" s="33" t="s">
        <v>2876</v>
      </c>
      <c r="H394" s="33"/>
      <c r="I394" s="99"/>
      <c r="J394" s="99"/>
      <c r="K394" s="69"/>
      <c r="L394" s="69"/>
      <c r="M394" s="69"/>
      <c r="N394" s="69"/>
      <c r="O394" s="69"/>
      <c r="P394" s="19"/>
      <c r="Q394" s="19"/>
      <c r="R394" s="99">
        <v>390</v>
      </c>
    </row>
    <row r="395" spans="1:18" ht="20" x14ac:dyDescent="0.2">
      <c r="A395" s="58"/>
      <c r="B395" s="151" t="s">
        <v>1783</v>
      </c>
      <c r="C395" s="51" t="s">
        <v>3477</v>
      </c>
      <c r="D395" s="33" t="s">
        <v>106</v>
      </c>
      <c r="E395" s="33"/>
      <c r="F395" s="33"/>
      <c r="G395" s="33" t="s">
        <v>2876</v>
      </c>
      <c r="H395" s="237" t="s">
        <v>1545</v>
      </c>
      <c r="I395" s="2">
        <v>66</v>
      </c>
      <c r="J395" s="2">
        <v>25</v>
      </c>
      <c r="K395" s="1">
        <v>5</v>
      </c>
      <c r="L395" s="1">
        <v>6</v>
      </c>
      <c r="M395" s="131">
        <v>0.9</v>
      </c>
      <c r="N395" s="1">
        <f>K395*$M395</f>
        <v>4.5</v>
      </c>
      <c r="O395" s="1">
        <f>L395*$M395</f>
        <v>5.4</v>
      </c>
      <c r="P395" s="19"/>
      <c r="Q395" s="19"/>
      <c r="R395" s="99">
        <v>391</v>
      </c>
    </row>
    <row r="396" spans="1:18" ht="20" x14ac:dyDescent="0.2">
      <c r="A396" s="58"/>
      <c r="B396" s="151" t="s">
        <v>1784</v>
      </c>
      <c r="C396" s="51" t="s">
        <v>3665</v>
      </c>
      <c r="D396" s="33" t="s">
        <v>106</v>
      </c>
      <c r="E396" s="33"/>
      <c r="F396" s="33"/>
      <c r="G396" s="33" t="s">
        <v>2876</v>
      </c>
      <c r="H396" s="33"/>
      <c r="I396" s="99"/>
      <c r="J396" s="99"/>
      <c r="K396" s="69"/>
      <c r="L396" s="69"/>
      <c r="M396" s="69"/>
      <c r="N396" s="69"/>
      <c r="O396" s="69"/>
      <c r="P396" s="19"/>
      <c r="Q396" s="19"/>
      <c r="R396" s="99">
        <v>392</v>
      </c>
    </row>
    <row r="397" spans="1:18" ht="20" x14ac:dyDescent="0.2">
      <c r="A397" s="58"/>
      <c r="B397" s="151" t="s">
        <v>1785</v>
      </c>
      <c r="C397" s="51" t="s">
        <v>3478</v>
      </c>
      <c r="D397" s="33" t="s">
        <v>106</v>
      </c>
      <c r="E397" s="33"/>
      <c r="F397" s="33"/>
      <c r="G397" s="33" t="s">
        <v>2876</v>
      </c>
      <c r="H397" s="33"/>
      <c r="I397" s="99"/>
      <c r="J397" s="99"/>
      <c r="K397" s="69"/>
      <c r="L397" s="69"/>
      <c r="M397" s="69"/>
      <c r="N397" s="69"/>
      <c r="O397" s="69"/>
      <c r="P397" s="19"/>
      <c r="Q397" s="19"/>
      <c r="R397" s="99">
        <v>393</v>
      </c>
    </row>
    <row r="398" spans="1:18" ht="20" x14ac:dyDescent="0.2">
      <c r="A398" s="58"/>
      <c r="B398" s="151" t="s">
        <v>2316</v>
      </c>
      <c r="C398" s="51" t="s">
        <v>3145</v>
      </c>
      <c r="D398" s="33" t="s">
        <v>106</v>
      </c>
      <c r="E398" s="33">
        <v>50.097098000000003</v>
      </c>
      <c r="F398" s="33">
        <v>-120.795714</v>
      </c>
      <c r="G398" s="33" t="s">
        <v>2876</v>
      </c>
      <c r="H398" s="33"/>
      <c r="I398" s="236"/>
      <c r="J398" s="236"/>
      <c r="K398" s="69"/>
      <c r="L398" s="69"/>
      <c r="M398" s="69"/>
      <c r="N398" s="69"/>
      <c r="O398" s="69"/>
      <c r="P398" s="19"/>
      <c r="Q398" s="19"/>
      <c r="R398" s="99">
        <v>394</v>
      </c>
    </row>
    <row r="399" spans="1:18" ht="20" x14ac:dyDescent="0.2">
      <c r="A399" s="58"/>
      <c r="B399" s="151" t="s">
        <v>1786</v>
      </c>
      <c r="C399" s="51" t="s">
        <v>3290</v>
      </c>
      <c r="D399" s="33" t="s">
        <v>106</v>
      </c>
      <c r="E399" s="33"/>
      <c r="F399" s="33"/>
      <c r="G399" s="33" t="s">
        <v>2876</v>
      </c>
      <c r="H399" s="237" t="s">
        <v>1549</v>
      </c>
      <c r="I399" s="2">
        <v>287</v>
      </c>
      <c r="J399" s="2">
        <v>25</v>
      </c>
      <c r="K399" s="1">
        <v>52.5</v>
      </c>
      <c r="L399" s="1">
        <v>66.5</v>
      </c>
      <c r="M399" s="131">
        <v>0.9</v>
      </c>
      <c r="N399" s="1">
        <f t="shared" ref="N399:O402" si="34">K399*$M399</f>
        <v>47.25</v>
      </c>
      <c r="O399" s="1">
        <f t="shared" si="34"/>
        <v>59.85</v>
      </c>
      <c r="P399" s="19"/>
      <c r="Q399" s="19"/>
      <c r="R399" s="99">
        <v>395</v>
      </c>
    </row>
    <row r="400" spans="1:18" ht="20" x14ac:dyDescent="0.2">
      <c r="A400" s="58"/>
      <c r="B400" s="151" t="s">
        <v>1786</v>
      </c>
      <c r="C400" s="51" t="s">
        <v>3290</v>
      </c>
      <c r="D400" s="33" t="s">
        <v>106</v>
      </c>
      <c r="E400" s="33"/>
      <c r="F400" s="33"/>
      <c r="G400" s="33" t="s">
        <v>2876</v>
      </c>
      <c r="H400" s="237" t="s">
        <v>1550</v>
      </c>
      <c r="I400" s="2">
        <v>287</v>
      </c>
      <c r="J400" s="2">
        <v>25</v>
      </c>
      <c r="K400" s="1">
        <v>52.5</v>
      </c>
      <c r="L400" s="1">
        <v>66.5</v>
      </c>
      <c r="M400" s="131">
        <v>0.9</v>
      </c>
      <c r="N400" s="1">
        <f t="shared" si="34"/>
        <v>47.25</v>
      </c>
      <c r="O400" s="1">
        <f t="shared" si="34"/>
        <v>59.85</v>
      </c>
      <c r="P400" s="19"/>
      <c r="Q400" s="19"/>
      <c r="R400" s="99">
        <v>396</v>
      </c>
    </row>
    <row r="401" spans="1:18" ht="20" x14ac:dyDescent="0.2">
      <c r="A401" s="58"/>
      <c r="B401" s="151" t="s">
        <v>190</v>
      </c>
      <c r="C401" s="51" t="s">
        <v>3479</v>
      </c>
      <c r="D401" s="33" t="s">
        <v>106</v>
      </c>
      <c r="E401" s="33"/>
      <c r="F401" s="33"/>
      <c r="G401" s="33" t="s">
        <v>2876</v>
      </c>
      <c r="H401" s="237" t="s">
        <v>1545</v>
      </c>
      <c r="I401" s="2">
        <v>60</v>
      </c>
      <c r="J401" s="2">
        <v>25</v>
      </c>
      <c r="K401" s="1">
        <v>79</v>
      </c>
      <c r="L401" s="1">
        <v>100</v>
      </c>
      <c r="M401" s="131">
        <v>0.9</v>
      </c>
      <c r="N401" s="1">
        <f t="shared" si="34"/>
        <v>71.100000000000009</v>
      </c>
      <c r="O401" s="1">
        <f t="shared" si="34"/>
        <v>90</v>
      </c>
      <c r="P401" s="19"/>
      <c r="Q401" s="19"/>
      <c r="R401" s="99">
        <v>397</v>
      </c>
    </row>
    <row r="402" spans="1:18" ht="20" x14ac:dyDescent="0.2">
      <c r="A402" s="58"/>
      <c r="B402" s="151" t="s">
        <v>190</v>
      </c>
      <c r="C402" s="51" t="s">
        <v>3479</v>
      </c>
      <c r="D402" s="33" t="s">
        <v>106</v>
      </c>
      <c r="E402" s="33"/>
      <c r="F402" s="33"/>
      <c r="G402" s="33" t="s">
        <v>2876</v>
      </c>
      <c r="H402" s="237" t="s">
        <v>1549</v>
      </c>
      <c r="I402" s="2">
        <v>60</v>
      </c>
      <c r="J402" s="2">
        <v>25</v>
      </c>
      <c r="K402" s="1">
        <v>79</v>
      </c>
      <c r="L402" s="1">
        <v>100</v>
      </c>
      <c r="M402" s="131">
        <v>0.9</v>
      </c>
      <c r="N402" s="1">
        <f t="shared" si="34"/>
        <v>71.100000000000009</v>
      </c>
      <c r="O402" s="1">
        <f t="shared" si="34"/>
        <v>90</v>
      </c>
      <c r="P402" s="19"/>
      <c r="Q402" s="19"/>
      <c r="R402" s="99">
        <v>398</v>
      </c>
    </row>
    <row r="403" spans="1:18" ht="20" x14ac:dyDescent="0.2">
      <c r="A403" s="58"/>
      <c r="B403" s="151" t="s">
        <v>1787</v>
      </c>
      <c r="C403" s="51" t="s">
        <v>3146</v>
      </c>
      <c r="D403" s="33" t="s">
        <v>106</v>
      </c>
      <c r="E403" s="33">
        <v>55.2855597</v>
      </c>
      <c r="F403" s="33">
        <v>-121.4690559</v>
      </c>
      <c r="G403" s="33" t="s">
        <v>2876</v>
      </c>
      <c r="H403" s="33"/>
      <c r="I403" s="236"/>
      <c r="J403" s="236"/>
      <c r="K403" s="69"/>
      <c r="L403" s="69"/>
      <c r="M403" s="69"/>
      <c r="N403" s="69"/>
      <c r="O403" s="69"/>
      <c r="P403" s="19"/>
      <c r="Q403" s="19"/>
      <c r="R403" s="99">
        <v>399</v>
      </c>
    </row>
    <row r="404" spans="1:18" ht="20" x14ac:dyDescent="0.2">
      <c r="A404" s="58"/>
      <c r="B404" s="151" t="s">
        <v>3586</v>
      </c>
      <c r="C404" s="51" t="s">
        <v>3587</v>
      </c>
      <c r="D404" s="33" t="s">
        <v>106</v>
      </c>
      <c r="E404" s="33"/>
      <c r="F404" s="33"/>
      <c r="G404" s="33" t="s">
        <v>2876</v>
      </c>
      <c r="H404" s="33"/>
      <c r="I404" s="99"/>
      <c r="J404" s="99"/>
      <c r="K404" s="69"/>
      <c r="L404" s="69"/>
      <c r="M404" s="69"/>
      <c r="N404" s="69"/>
      <c r="O404" s="69"/>
      <c r="P404" s="19"/>
      <c r="Q404" s="19"/>
      <c r="R404" s="99">
        <v>400</v>
      </c>
    </row>
    <row r="405" spans="1:18" ht="20" x14ac:dyDescent="0.2">
      <c r="A405" s="58"/>
      <c r="B405" s="151" t="s">
        <v>1788</v>
      </c>
      <c r="C405" s="51" t="s">
        <v>3291</v>
      </c>
      <c r="D405" s="33" t="s">
        <v>106</v>
      </c>
      <c r="E405" s="33"/>
      <c r="F405" s="33"/>
      <c r="G405" s="33" t="s">
        <v>2876</v>
      </c>
      <c r="H405" s="237" t="s">
        <v>1545</v>
      </c>
      <c r="I405" s="2">
        <v>230</v>
      </c>
      <c r="J405" s="2">
        <v>25</v>
      </c>
      <c r="K405" s="1">
        <v>79</v>
      </c>
      <c r="L405" s="1">
        <v>100</v>
      </c>
      <c r="M405" s="131">
        <v>0.9</v>
      </c>
      <c r="N405" s="1">
        <f t="shared" ref="N405:O408" si="35">K405*$M405</f>
        <v>71.100000000000009</v>
      </c>
      <c r="O405" s="1">
        <f t="shared" si="35"/>
        <v>90</v>
      </c>
      <c r="P405" s="19"/>
      <c r="Q405" s="19"/>
      <c r="R405" s="99">
        <v>401</v>
      </c>
    </row>
    <row r="406" spans="1:18" ht="20" x14ac:dyDescent="0.2">
      <c r="A406" s="58"/>
      <c r="B406" s="151" t="s">
        <v>1788</v>
      </c>
      <c r="C406" s="51" t="s">
        <v>3291</v>
      </c>
      <c r="D406" s="33" t="s">
        <v>106</v>
      </c>
      <c r="E406" s="33"/>
      <c r="F406" s="33"/>
      <c r="G406" s="33" t="s">
        <v>2876</v>
      </c>
      <c r="H406" s="237" t="s">
        <v>1549</v>
      </c>
      <c r="I406" s="2">
        <v>230</v>
      </c>
      <c r="J406" s="2">
        <v>25</v>
      </c>
      <c r="K406" s="1">
        <v>79</v>
      </c>
      <c r="L406" s="1">
        <v>100</v>
      </c>
      <c r="M406" s="131">
        <v>0.9</v>
      </c>
      <c r="N406" s="1">
        <f t="shared" si="35"/>
        <v>71.100000000000009</v>
      </c>
      <c r="O406" s="1">
        <f t="shared" si="35"/>
        <v>90</v>
      </c>
      <c r="P406" s="19"/>
      <c r="Q406" s="19"/>
      <c r="R406" s="99">
        <v>402</v>
      </c>
    </row>
    <row r="407" spans="1:18" ht="20" x14ac:dyDescent="0.2">
      <c r="A407" s="58"/>
      <c r="B407" s="151" t="s">
        <v>1789</v>
      </c>
      <c r="C407" s="51" t="s">
        <v>3292</v>
      </c>
      <c r="D407" s="33" t="s">
        <v>106</v>
      </c>
      <c r="E407" s="33"/>
      <c r="F407" s="33"/>
      <c r="G407" s="33" t="s">
        <v>2876</v>
      </c>
      <c r="H407" s="237" t="s">
        <v>1549</v>
      </c>
      <c r="I407" s="2">
        <v>230</v>
      </c>
      <c r="J407" s="2">
        <v>25</v>
      </c>
      <c r="K407" s="1">
        <v>158</v>
      </c>
      <c r="L407" s="1">
        <v>200</v>
      </c>
      <c r="M407" s="131">
        <v>0.9</v>
      </c>
      <c r="N407" s="1">
        <f t="shared" si="35"/>
        <v>142.20000000000002</v>
      </c>
      <c r="O407" s="1">
        <f t="shared" si="35"/>
        <v>180</v>
      </c>
      <c r="P407" s="19"/>
      <c r="Q407" s="19"/>
      <c r="R407" s="99">
        <v>403</v>
      </c>
    </row>
    <row r="408" spans="1:18" ht="20" x14ac:dyDescent="0.2">
      <c r="A408" s="58"/>
      <c r="B408" s="151" t="s">
        <v>1789</v>
      </c>
      <c r="C408" s="51" t="s">
        <v>3292</v>
      </c>
      <c r="D408" s="33" t="s">
        <v>106</v>
      </c>
      <c r="E408" s="33"/>
      <c r="F408" s="33"/>
      <c r="G408" s="33" t="s">
        <v>2876</v>
      </c>
      <c r="H408" s="237" t="s">
        <v>1550</v>
      </c>
      <c r="I408" s="2">
        <v>230</v>
      </c>
      <c r="J408" s="2">
        <v>25</v>
      </c>
      <c r="K408" s="1">
        <v>158</v>
      </c>
      <c r="L408" s="1">
        <v>200</v>
      </c>
      <c r="M408" s="131">
        <v>0.9</v>
      </c>
      <c r="N408" s="1">
        <f t="shared" si="35"/>
        <v>142.20000000000002</v>
      </c>
      <c r="O408" s="1">
        <f t="shared" si="35"/>
        <v>180</v>
      </c>
      <c r="P408" s="19"/>
      <c r="Q408" s="19"/>
      <c r="R408" s="99">
        <v>404</v>
      </c>
    </row>
    <row r="409" spans="1:18" ht="20" x14ac:dyDescent="0.2">
      <c r="A409" s="58"/>
      <c r="B409" s="151" t="s">
        <v>2317</v>
      </c>
      <c r="C409" s="51" t="s">
        <v>3147</v>
      </c>
      <c r="D409" s="33" t="s">
        <v>106</v>
      </c>
      <c r="E409" s="33">
        <v>55.285632999999997</v>
      </c>
      <c r="F409" s="33">
        <v>-121.298571</v>
      </c>
      <c r="G409" s="33" t="s">
        <v>2876</v>
      </c>
      <c r="H409" s="33"/>
      <c r="I409" s="236"/>
      <c r="J409" s="236"/>
      <c r="K409" s="69"/>
      <c r="L409" s="69"/>
      <c r="M409" s="69"/>
      <c r="N409" s="69"/>
      <c r="O409" s="69"/>
      <c r="P409" s="19"/>
      <c r="Q409" s="19"/>
      <c r="R409" s="99">
        <v>405</v>
      </c>
    </row>
    <row r="410" spans="1:18" ht="20" x14ac:dyDescent="0.2">
      <c r="A410" s="58"/>
      <c r="B410" s="151" t="s">
        <v>1790</v>
      </c>
      <c r="C410" s="51" t="s">
        <v>3459</v>
      </c>
      <c r="D410" s="33" t="s">
        <v>106</v>
      </c>
      <c r="E410" s="33"/>
      <c r="F410" s="33"/>
      <c r="G410" s="33" t="s">
        <v>2876</v>
      </c>
      <c r="H410" s="33"/>
      <c r="I410" s="99"/>
      <c r="J410" s="99"/>
      <c r="K410" s="69"/>
      <c r="L410" s="69"/>
      <c r="M410" s="69"/>
      <c r="N410" s="69"/>
      <c r="O410" s="69"/>
      <c r="P410" s="19"/>
      <c r="Q410" s="19"/>
      <c r="R410" s="99">
        <v>406</v>
      </c>
    </row>
    <row r="411" spans="1:18" ht="20" x14ac:dyDescent="0.2">
      <c r="A411" s="58"/>
      <c r="B411" s="151" t="s">
        <v>2336</v>
      </c>
      <c r="C411" s="51" t="s">
        <v>3628</v>
      </c>
      <c r="D411" s="33" t="s">
        <v>106</v>
      </c>
      <c r="E411" s="33"/>
      <c r="F411" s="33"/>
      <c r="G411" s="33" t="s">
        <v>2876</v>
      </c>
      <c r="H411" s="33"/>
      <c r="I411" s="99"/>
      <c r="J411" s="99"/>
      <c r="K411" s="69"/>
      <c r="L411" s="69"/>
      <c r="M411" s="69"/>
      <c r="N411" s="69"/>
      <c r="O411" s="69"/>
      <c r="P411" s="19"/>
      <c r="Q411" s="19"/>
      <c r="R411" s="99">
        <v>407</v>
      </c>
    </row>
    <row r="412" spans="1:18" ht="20" x14ac:dyDescent="0.2">
      <c r="A412" s="58"/>
      <c r="B412" s="151" t="s">
        <v>1791</v>
      </c>
      <c r="C412" s="51" t="s">
        <v>3293</v>
      </c>
      <c r="D412" s="33" t="s">
        <v>106</v>
      </c>
      <c r="E412" s="33"/>
      <c r="F412" s="33"/>
      <c r="G412" s="33" t="s">
        <v>2876</v>
      </c>
      <c r="H412" s="237" t="s">
        <v>1545</v>
      </c>
      <c r="I412" s="2">
        <v>138</v>
      </c>
      <c r="J412" s="2">
        <v>12</v>
      </c>
      <c r="K412" s="1">
        <v>28</v>
      </c>
      <c r="L412" s="1">
        <v>33.299999999999997</v>
      </c>
      <c r="M412" s="131">
        <v>0.9</v>
      </c>
      <c r="N412" s="1">
        <f t="shared" ref="N412:O415" si="36">K412*$M412</f>
        <v>25.2</v>
      </c>
      <c r="O412" s="1">
        <f t="shared" si="36"/>
        <v>29.97</v>
      </c>
      <c r="P412" s="19"/>
      <c r="Q412" s="19"/>
      <c r="R412" s="99">
        <v>408</v>
      </c>
    </row>
    <row r="413" spans="1:18" ht="20" x14ac:dyDescent="0.2">
      <c r="A413" s="58"/>
      <c r="B413" s="151" t="s">
        <v>1791</v>
      </c>
      <c r="C413" s="51" t="s">
        <v>3293</v>
      </c>
      <c r="D413" s="33" t="s">
        <v>106</v>
      </c>
      <c r="E413" s="33"/>
      <c r="F413" s="33"/>
      <c r="G413" s="33" t="s">
        <v>2876</v>
      </c>
      <c r="H413" s="237" t="s">
        <v>1549</v>
      </c>
      <c r="I413" s="2">
        <v>138</v>
      </c>
      <c r="J413" s="2">
        <v>12</v>
      </c>
      <c r="K413" s="1">
        <v>8</v>
      </c>
      <c r="L413" s="1">
        <v>9.6</v>
      </c>
      <c r="M413" s="131">
        <v>0.9</v>
      </c>
      <c r="N413" s="1">
        <f t="shared" si="36"/>
        <v>7.2</v>
      </c>
      <c r="O413" s="1">
        <f t="shared" si="36"/>
        <v>8.64</v>
      </c>
      <c r="P413" s="19"/>
      <c r="Q413" s="19"/>
      <c r="R413" s="99">
        <v>409</v>
      </c>
    </row>
    <row r="414" spans="1:18" ht="20" x14ac:dyDescent="0.2">
      <c r="A414" s="58"/>
      <c r="B414" s="151" t="s">
        <v>1792</v>
      </c>
      <c r="C414" s="51" t="s">
        <v>3404</v>
      </c>
      <c r="D414" s="33" t="s">
        <v>106</v>
      </c>
      <c r="E414" s="33"/>
      <c r="F414" s="33"/>
      <c r="G414" s="33" t="s">
        <v>2876</v>
      </c>
      <c r="H414" s="237" t="s">
        <v>1545</v>
      </c>
      <c r="I414" s="2">
        <v>230</v>
      </c>
      <c r="J414" s="2">
        <v>12</v>
      </c>
      <c r="K414" s="1">
        <v>158</v>
      </c>
      <c r="L414" s="1">
        <v>200</v>
      </c>
      <c r="M414" s="131">
        <v>0.9</v>
      </c>
      <c r="N414" s="1">
        <f t="shared" si="36"/>
        <v>142.20000000000002</v>
      </c>
      <c r="O414" s="1">
        <f t="shared" si="36"/>
        <v>180</v>
      </c>
      <c r="P414" s="19"/>
      <c r="Q414" s="19"/>
      <c r="R414" s="99">
        <v>410</v>
      </c>
    </row>
    <row r="415" spans="1:18" ht="20" x14ac:dyDescent="0.2">
      <c r="A415" s="58"/>
      <c r="B415" s="151" t="s">
        <v>1792</v>
      </c>
      <c r="C415" s="51" t="s">
        <v>3404</v>
      </c>
      <c r="D415" s="33" t="s">
        <v>106</v>
      </c>
      <c r="E415" s="33"/>
      <c r="F415" s="33"/>
      <c r="G415" s="33" t="s">
        <v>2876</v>
      </c>
      <c r="H415" s="237" t="s">
        <v>1549</v>
      </c>
      <c r="I415" s="2">
        <v>230</v>
      </c>
      <c r="J415" s="2">
        <v>12</v>
      </c>
      <c r="K415" s="1">
        <v>158</v>
      </c>
      <c r="L415" s="1">
        <v>200</v>
      </c>
      <c r="M415" s="131">
        <v>0.9</v>
      </c>
      <c r="N415" s="1">
        <f t="shared" si="36"/>
        <v>142.20000000000002</v>
      </c>
      <c r="O415" s="1">
        <f t="shared" si="36"/>
        <v>180</v>
      </c>
      <c r="P415" s="19"/>
      <c r="Q415" s="19"/>
      <c r="R415" s="99">
        <v>411</v>
      </c>
    </row>
    <row r="416" spans="1:18" ht="20" x14ac:dyDescent="0.2">
      <c r="A416" s="58"/>
      <c r="B416" s="151" t="s">
        <v>2024</v>
      </c>
      <c r="C416" s="51" t="s">
        <v>3666</v>
      </c>
      <c r="D416" s="33" t="s">
        <v>106</v>
      </c>
      <c r="E416" s="33"/>
      <c r="F416" s="33"/>
      <c r="G416" s="33" t="s">
        <v>2876</v>
      </c>
      <c r="H416" s="33"/>
      <c r="I416" s="99"/>
      <c r="J416" s="99"/>
      <c r="K416" s="69"/>
      <c r="L416" s="69"/>
      <c r="M416" s="69"/>
      <c r="N416" s="69"/>
      <c r="O416" s="69"/>
      <c r="P416" s="19"/>
      <c r="Q416" s="19"/>
      <c r="R416" s="99">
        <v>412</v>
      </c>
    </row>
    <row r="417" spans="1:18" ht="20" x14ac:dyDescent="0.2">
      <c r="A417" s="58"/>
      <c r="B417" s="151" t="s">
        <v>1793</v>
      </c>
      <c r="C417" s="51" t="s">
        <v>3481</v>
      </c>
      <c r="D417" s="33" t="s">
        <v>106</v>
      </c>
      <c r="E417" s="33"/>
      <c r="F417" s="33"/>
      <c r="G417" s="33" t="s">
        <v>2876</v>
      </c>
      <c r="H417" s="237" t="s">
        <v>1551</v>
      </c>
      <c r="I417" s="2">
        <v>60</v>
      </c>
      <c r="J417" s="2">
        <v>25</v>
      </c>
      <c r="K417" s="1">
        <v>44</v>
      </c>
      <c r="L417" s="1">
        <v>55</v>
      </c>
      <c r="M417" s="131">
        <v>0.9</v>
      </c>
      <c r="N417" s="1">
        <f t="shared" ref="N417:O419" si="37">K417*$M417</f>
        <v>39.6</v>
      </c>
      <c r="O417" s="1">
        <f t="shared" si="37"/>
        <v>49.5</v>
      </c>
      <c r="P417" s="19"/>
      <c r="Q417" s="19"/>
      <c r="R417" s="99">
        <v>413</v>
      </c>
    </row>
    <row r="418" spans="1:18" ht="20" x14ac:dyDescent="0.2">
      <c r="A418" s="58"/>
      <c r="B418" s="151" t="s">
        <v>1793</v>
      </c>
      <c r="C418" s="51" t="s">
        <v>3481</v>
      </c>
      <c r="D418" s="33" t="s">
        <v>106</v>
      </c>
      <c r="E418" s="33"/>
      <c r="F418" s="33"/>
      <c r="G418" s="33" t="s">
        <v>2876</v>
      </c>
      <c r="H418" s="237" t="s">
        <v>1552</v>
      </c>
      <c r="I418" s="2">
        <v>60</v>
      </c>
      <c r="J418" s="2">
        <v>25</v>
      </c>
      <c r="K418" s="1">
        <v>44</v>
      </c>
      <c r="L418" s="1">
        <v>55</v>
      </c>
      <c r="M418" s="131">
        <v>0.9</v>
      </c>
      <c r="N418" s="1">
        <f t="shared" si="37"/>
        <v>39.6</v>
      </c>
      <c r="O418" s="1">
        <f t="shared" si="37"/>
        <v>49.5</v>
      </c>
      <c r="P418" s="19"/>
      <c r="Q418" s="19"/>
      <c r="R418" s="99">
        <v>414</v>
      </c>
    </row>
    <row r="419" spans="1:18" ht="20" x14ac:dyDescent="0.2">
      <c r="A419" s="58"/>
      <c r="B419" s="151" t="s">
        <v>1793</v>
      </c>
      <c r="C419" s="51" t="s">
        <v>3481</v>
      </c>
      <c r="D419" s="33" t="s">
        <v>106</v>
      </c>
      <c r="E419" s="33"/>
      <c r="F419" s="33"/>
      <c r="G419" s="33" t="s">
        <v>2876</v>
      </c>
      <c r="H419" s="237" t="s">
        <v>1557</v>
      </c>
      <c r="I419" s="2">
        <v>60</v>
      </c>
      <c r="J419" s="2">
        <v>25</v>
      </c>
      <c r="K419" s="1">
        <v>44</v>
      </c>
      <c r="L419" s="1">
        <v>55</v>
      </c>
      <c r="M419" s="131">
        <v>0.9</v>
      </c>
      <c r="N419" s="1">
        <f t="shared" si="37"/>
        <v>39.6</v>
      </c>
      <c r="O419" s="1">
        <f t="shared" si="37"/>
        <v>49.5</v>
      </c>
      <c r="P419" s="19"/>
      <c r="Q419" s="19"/>
      <c r="R419" s="99">
        <v>415</v>
      </c>
    </row>
    <row r="420" spans="1:18" ht="20" x14ac:dyDescent="0.2">
      <c r="A420" s="58"/>
      <c r="B420" s="151" t="s">
        <v>1794</v>
      </c>
      <c r="C420" s="51" t="s">
        <v>3662</v>
      </c>
      <c r="D420" s="33" t="s">
        <v>106</v>
      </c>
      <c r="E420" s="33"/>
      <c r="F420" s="33"/>
      <c r="G420" s="33" t="s">
        <v>2876</v>
      </c>
      <c r="H420" s="33"/>
      <c r="I420" s="99"/>
      <c r="J420" s="99"/>
      <c r="K420" s="69"/>
      <c r="L420" s="69"/>
      <c r="M420" s="69"/>
      <c r="N420" s="69"/>
      <c r="O420" s="69"/>
      <c r="P420" s="19"/>
      <c r="Q420" s="19"/>
      <c r="R420" s="99">
        <v>416</v>
      </c>
    </row>
    <row r="421" spans="1:18" ht="20" x14ac:dyDescent="0.2">
      <c r="A421" s="58"/>
      <c r="B421" s="151" t="s">
        <v>277</v>
      </c>
      <c r="C421" s="51" t="s">
        <v>3447</v>
      </c>
      <c r="D421" s="33" t="s">
        <v>106</v>
      </c>
      <c r="E421" s="33"/>
      <c r="F421" s="33"/>
      <c r="G421" s="33" t="s">
        <v>2876</v>
      </c>
      <c r="H421" s="237" t="s">
        <v>1545</v>
      </c>
      <c r="I421" s="2">
        <v>138</v>
      </c>
      <c r="J421" s="2">
        <v>25</v>
      </c>
      <c r="K421" s="1">
        <v>75</v>
      </c>
      <c r="L421" s="1">
        <v>100</v>
      </c>
      <c r="M421" s="131">
        <v>0.9</v>
      </c>
      <c r="N421" s="1">
        <f>K421*$M421</f>
        <v>67.5</v>
      </c>
      <c r="O421" s="1">
        <f>L421*$M421</f>
        <v>90</v>
      </c>
      <c r="P421" s="19"/>
      <c r="Q421" s="19"/>
      <c r="R421" s="99">
        <v>417</v>
      </c>
    </row>
    <row r="422" spans="1:18" ht="20" x14ac:dyDescent="0.2">
      <c r="A422" s="58"/>
      <c r="B422" s="151" t="s">
        <v>277</v>
      </c>
      <c r="C422" s="51" t="s">
        <v>3447</v>
      </c>
      <c r="D422" s="33" t="s">
        <v>106</v>
      </c>
      <c r="E422" s="33"/>
      <c r="F422" s="33"/>
      <c r="G422" s="33" t="s">
        <v>2876</v>
      </c>
      <c r="H422" s="237" t="s">
        <v>1550</v>
      </c>
      <c r="I422" s="2">
        <v>138</v>
      </c>
      <c r="J422" s="2">
        <v>25</v>
      </c>
      <c r="K422" s="1">
        <v>75</v>
      </c>
      <c r="L422" s="1">
        <v>100</v>
      </c>
      <c r="M422" s="131">
        <v>0.9</v>
      </c>
      <c r="N422" s="1">
        <f>K422*$M422</f>
        <v>67.5</v>
      </c>
      <c r="O422" s="1">
        <f>L422*$M422</f>
        <v>90</v>
      </c>
      <c r="P422" s="19"/>
      <c r="Q422" s="19"/>
      <c r="R422" s="99">
        <v>418</v>
      </c>
    </row>
    <row r="423" spans="1:18" ht="20" x14ac:dyDescent="0.2">
      <c r="A423" s="58"/>
      <c r="B423" s="151" t="s">
        <v>1795</v>
      </c>
      <c r="C423" s="51" t="s">
        <v>3199</v>
      </c>
      <c r="D423" s="33" t="s">
        <v>106</v>
      </c>
      <c r="E423" s="33"/>
      <c r="F423" s="33"/>
      <c r="G423" s="33" t="s">
        <v>2876</v>
      </c>
      <c r="H423" s="33"/>
      <c r="I423" s="236"/>
      <c r="J423" s="236"/>
      <c r="K423" s="69"/>
      <c r="L423" s="69"/>
      <c r="M423" s="69"/>
      <c r="N423" s="69"/>
      <c r="O423" s="69"/>
      <c r="P423" s="19"/>
      <c r="Q423" s="19"/>
      <c r="R423" s="99">
        <v>419</v>
      </c>
    </row>
    <row r="424" spans="1:18" ht="20" x14ac:dyDescent="0.2">
      <c r="A424" s="58"/>
      <c r="B424" s="151" t="s">
        <v>2318</v>
      </c>
      <c r="C424" s="51" t="s">
        <v>3601</v>
      </c>
      <c r="D424" s="33" t="s">
        <v>106</v>
      </c>
      <c r="E424" s="33"/>
      <c r="F424" s="33"/>
      <c r="G424" s="33" t="s">
        <v>2876</v>
      </c>
      <c r="H424" s="33"/>
      <c r="I424" s="99"/>
      <c r="J424" s="99"/>
      <c r="K424" s="69"/>
      <c r="L424" s="69"/>
      <c r="M424" s="69"/>
      <c r="N424" s="69"/>
      <c r="O424" s="69"/>
      <c r="P424" s="19"/>
      <c r="Q424" s="19"/>
      <c r="R424" s="99">
        <v>420</v>
      </c>
    </row>
    <row r="425" spans="1:18" ht="20" x14ac:dyDescent="0.2">
      <c r="A425" s="58"/>
      <c r="B425" s="151" t="s">
        <v>1796</v>
      </c>
      <c r="C425" s="51" t="s">
        <v>3559</v>
      </c>
      <c r="D425" s="33" t="s">
        <v>106</v>
      </c>
      <c r="E425" s="33"/>
      <c r="F425" s="33"/>
      <c r="G425" s="33" t="s">
        <v>2876</v>
      </c>
      <c r="H425" s="237" t="s">
        <v>1545</v>
      </c>
      <c r="I425" s="2">
        <v>138</v>
      </c>
      <c r="J425" s="2">
        <v>12</v>
      </c>
      <c r="K425" s="1">
        <v>2</v>
      </c>
      <c r="L425" s="1">
        <v>2.4</v>
      </c>
      <c r="M425" s="131">
        <v>0.9</v>
      </c>
      <c r="N425" s="1">
        <f>K425*$M425</f>
        <v>1.8</v>
      </c>
      <c r="O425" s="1">
        <f>L425*$M425</f>
        <v>2.16</v>
      </c>
      <c r="P425" s="19"/>
      <c r="Q425" s="19"/>
      <c r="R425" s="99">
        <v>421</v>
      </c>
    </row>
    <row r="426" spans="1:18" ht="20" x14ac:dyDescent="0.2">
      <c r="A426" s="58"/>
      <c r="B426" s="151" t="s">
        <v>1797</v>
      </c>
      <c r="C426" s="51" t="s">
        <v>3443</v>
      </c>
      <c r="D426" s="33" t="s">
        <v>106</v>
      </c>
      <c r="E426" s="33"/>
      <c r="F426" s="33"/>
      <c r="G426" s="33" t="s">
        <v>2876</v>
      </c>
      <c r="H426" s="33"/>
      <c r="I426" s="99"/>
      <c r="J426" s="99"/>
      <c r="K426" s="69"/>
      <c r="L426" s="69"/>
      <c r="M426" s="69"/>
      <c r="N426" s="69"/>
      <c r="O426" s="69"/>
      <c r="P426" s="19"/>
      <c r="Q426" s="19"/>
      <c r="R426" s="99">
        <v>422</v>
      </c>
    </row>
    <row r="427" spans="1:18" ht="20" x14ac:dyDescent="0.2">
      <c r="A427" s="58"/>
      <c r="B427" s="151" t="s">
        <v>1798</v>
      </c>
      <c r="C427" s="51" t="s">
        <v>3294</v>
      </c>
      <c r="D427" s="33" t="s">
        <v>106</v>
      </c>
      <c r="E427" s="33"/>
      <c r="F427" s="33"/>
      <c r="G427" s="33" t="s">
        <v>2876</v>
      </c>
      <c r="H427" s="237" t="s">
        <v>1550</v>
      </c>
      <c r="I427" s="2">
        <v>230</v>
      </c>
      <c r="J427" s="2">
        <v>12</v>
      </c>
      <c r="K427" s="1">
        <v>88</v>
      </c>
      <c r="L427" s="1">
        <v>112</v>
      </c>
      <c r="M427" s="131">
        <v>0.9</v>
      </c>
      <c r="N427" s="1">
        <f t="shared" ref="N427:N440" si="38">K427*$M427</f>
        <v>79.2</v>
      </c>
      <c r="O427" s="1">
        <f t="shared" ref="O427:O440" si="39">L427*$M427</f>
        <v>100.8</v>
      </c>
      <c r="P427" s="19"/>
      <c r="Q427" s="19"/>
      <c r="R427" s="99">
        <v>423</v>
      </c>
    </row>
    <row r="428" spans="1:18" ht="20" x14ac:dyDescent="0.2">
      <c r="A428" s="58"/>
      <c r="B428" s="151" t="s">
        <v>1798</v>
      </c>
      <c r="C428" s="51" t="s">
        <v>3294</v>
      </c>
      <c r="D428" s="33" t="s">
        <v>106</v>
      </c>
      <c r="E428" s="33"/>
      <c r="F428" s="33"/>
      <c r="G428" s="33" t="s">
        <v>2876</v>
      </c>
      <c r="H428" s="237" t="s">
        <v>1547</v>
      </c>
      <c r="I428" s="2">
        <v>230</v>
      </c>
      <c r="J428" s="2">
        <v>12</v>
      </c>
      <c r="K428" s="1">
        <v>88</v>
      </c>
      <c r="L428" s="1">
        <v>112</v>
      </c>
      <c r="M428" s="131">
        <v>0.9</v>
      </c>
      <c r="N428" s="1">
        <f t="shared" si="38"/>
        <v>79.2</v>
      </c>
      <c r="O428" s="1">
        <f t="shared" si="39"/>
        <v>100.8</v>
      </c>
      <c r="P428" s="19"/>
      <c r="Q428" s="19"/>
      <c r="R428" s="99">
        <v>424</v>
      </c>
    </row>
    <row r="429" spans="1:18" ht="20" x14ac:dyDescent="0.2">
      <c r="A429" s="58"/>
      <c r="B429" s="151" t="s">
        <v>1798</v>
      </c>
      <c r="C429" s="51" t="s">
        <v>3294</v>
      </c>
      <c r="D429" s="33" t="s">
        <v>106</v>
      </c>
      <c r="E429" s="33"/>
      <c r="F429" s="33"/>
      <c r="G429" s="33" t="s">
        <v>2876</v>
      </c>
      <c r="H429" s="237" t="s">
        <v>1559</v>
      </c>
      <c r="I429" s="2">
        <v>230</v>
      </c>
      <c r="J429" s="2">
        <v>12</v>
      </c>
      <c r="K429" s="1">
        <v>88</v>
      </c>
      <c r="L429" s="1">
        <v>112</v>
      </c>
      <c r="M429" s="131">
        <v>0.9</v>
      </c>
      <c r="N429" s="1">
        <f t="shared" si="38"/>
        <v>79.2</v>
      </c>
      <c r="O429" s="1">
        <f t="shared" si="39"/>
        <v>100.8</v>
      </c>
      <c r="P429" s="19"/>
      <c r="Q429" s="19"/>
      <c r="R429" s="99">
        <v>425</v>
      </c>
    </row>
    <row r="430" spans="1:18" ht="20" x14ac:dyDescent="0.2">
      <c r="A430" s="58"/>
      <c r="B430" s="151" t="s">
        <v>1799</v>
      </c>
      <c r="C430" s="51" t="s">
        <v>3483</v>
      </c>
      <c r="D430" s="33" t="s">
        <v>106</v>
      </c>
      <c r="E430" s="33"/>
      <c r="F430" s="33"/>
      <c r="G430" s="33" t="s">
        <v>2876</v>
      </c>
      <c r="H430" s="237" t="s">
        <v>1545</v>
      </c>
      <c r="I430" s="2">
        <v>60</v>
      </c>
      <c r="J430" s="2">
        <v>25</v>
      </c>
      <c r="K430" s="1">
        <v>13.8</v>
      </c>
      <c r="L430" s="1">
        <v>16.8</v>
      </c>
      <c r="M430" s="131">
        <v>0.9</v>
      </c>
      <c r="N430" s="1">
        <f t="shared" si="38"/>
        <v>12.420000000000002</v>
      </c>
      <c r="O430" s="1">
        <f t="shared" si="39"/>
        <v>15.120000000000001</v>
      </c>
      <c r="P430" s="19"/>
      <c r="Q430" s="19"/>
      <c r="R430" s="99">
        <v>426</v>
      </c>
    </row>
    <row r="431" spans="1:18" ht="20" x14ac:dyDescent="0.2">
      <c r="A431" s="58"/>
      <c r="B431" s="151" t="s">
        <v>1799</v>
      </c>
      <c r="C431" s="51" t="s">
        <v>3483</v>
      </c>
      <c r="D431" s="33" t="s">
        <v>106</v>
      </c>
      <c r="E431" s="33"/>
      <c r="F431" s="33"/>
      <c r="G431" s="33" t="s">
        <v>2876</v>
      </c>
      <c r="H431" s="237" t="s">
        <v>1549</v>
      </c>
      <c r="I431" s="2">
        <v>60</v>
      </c>
      <c r="J431" s="2">
        <v>25</v>
      </c>
      <c r="K431" s="1">
        <v>25</v>
      </c>
      <c r="L431" s="1">
        <v>30</v>
      </c>
      <c r="M431" s="131">
        <v>0.9</v>
      </c>
      <c r="N431" s="1">
        <f t="shared" si="38"/>
        <v>22.5</v>
      </c>
      <c r="O431" s="1">
        <f t="shared" si="39"/>
        <v>27</v>
      </c>
      <c r="P431" s="19"/>
      <c r="Q431" s="19"/>
      <c r="R431" s="99">
        <v>427</v>
      </c>
    </row>
    <row r="432" spans="1:18" ht="20" x14ac:dyDescent="0.2">
      <c r="A432" s="58"/>
      <c r="B432" s="151" t="s">
        <v>1800</v>
      </c>
      <c r="C432" s="51" t="s">
        <v>3484</v>
      </c>
      <c r="D432" s="33" t="s">
        <v>106</v>
      </c>
      <c r="E432" s="33"/>
      <c r="F432" s="33"/>
      <c r="G432" s="33" t="s">
        <v>2876</v>
      </c>
      <c r="H432" s="237" t="s">
        <v>1545</v>
      </c>
      <c r="I432" s="2">
        <v>138</v>
      </c>
      <c r="J432" s="2">
        <v>25</v>
      </c>
      <c r="K432" s="1">
        <v>12.5</v>
      </c>
      <c r="L432" s="1">
        <v>15</v>
      </c>
      <c r="M432" s="131">
        <v>0.9</v>
      </c>
      <c r="N432" s="1">
        <f t="shared" si="38"/>
        <v>11.25</v>
      </c>
      <c r="O432" s="1">
        <f t="shared" si="39"/>
        <v>13.5</v>
      </c>
      <c r="P432" s="19"/>
      <c r="Q432" s="19"/>
      <c r="R432" s="99">
        <v>428</v>
      </c>
    </row>
    <row r="433" spans="1:18" ht="20" x14ac:dyDescent="0.2">
      <c r="A433" s="58"/>
      <c r="B433" s="151" t="s">
        <v>1801</v>
      </c>
      <c r="C433" s="51" t="s">
        <v>3485</v>
      </c>
      <c r="D433" s="33" t="s">
        <v>106</v>
      </c>
      <c r="E433" s="33"/>
      <c r="F433" s="33"/>
      <c r="G433" s="33" t="s">
        <v>2876</v>
      </c>
      <c r="H433" s="237" t="s">
        <v>1545</v>
      </c>
      <c r="I433" s="2">
        <v>60</v>
      </c>
      <c r="J433" s="2">
        <v>12</v>
      </c>
      <c r="K433" s="1">
        <v>5</v>
      </c>
      <c r="L433" s="1">
        <v>6</v>
      </c>
      <c r="M433" s="131">
        <v>0.9</v>
      </c>
      <c r="N433" s="1">
        <f t="shared" si="38"/>
        <v>4.5</v>
      </c>
      <c r="O433" s="1">
        <f t="shared" si="39"/>
        <v>5.4</v>
      </c>
      <c r="P433" s="19"/>
      <c r="Q433" s="19"/>
      <c r="R433" s="99">
        <v>429</v>
      </c>
    </row>
    <row r="434" spans="1:18" ht="20" x14ac:dyDescent="0.2">
      <c r="A434" s="58"/>
      <c r="B434" s="151" t="s">
        <v>1802</v>
      </c>
      <c r="C434" s="51" t="s">
        <v>3486</v>
      </c>
      <c r="D434" s="33" t="s">
        <v>106</v>
      </c>
      <c r="E434" s="33"/>
      <c r="F434" s="33"/>
      <c r="G434" s="33" t="s">
        <v>2876</v>
      </c>
      <c r="H434" s="237" t="s">
        <v>1545</v>
      </c>
      <c r="I434" s="2">
        <v>138</v>
      </c>
      <c r="J434" s="2">
        <v>12</v>
      </c>
      <c r="K434" s="1">
        <v>3.9</v>
      </c>
      <c r="L434" s="1">
        <v>5.5</v>
      </c>
      <c r="M434" s="131">
        <v>0.9</v>
      </c>
      <c r="N434" s="1">
        <f t="shared" si="38"/>
        <v>3.51</v>
      </c>
      <c r="O434" s="1">
        <f t="shared" si="39"/>
        <v>4.95</v>
      </c>
      <c r="P434" s="19"/>
      <c r="Q434" s="19"/>
      <c r="R434" s="99">
        <v>430</v>
      </c>
    </row>
    <row r="435" spans="1:18" ht="20" x14ac:dyDescent="0.2">
      <c r="A435" s="58"/>
      <c r="B435" s="151" t="s">
        <v>1802</v>
      </c>
      <c r="C435" s="51" t="s">
        <v>3486</v>
      </c>
      <c r="D435" s="33" t="s">
        <v>106</v>
      </c>
      <c r="E435" s="33"/>
      <c r="F435" s="33"/>
      <c r="G435" s="33" t="s">
        <v>2876</v>
      </c>
      <c r="H435" s="237" t="s">
        <v>1549</v>
      </c>
      <c r="I435" s="2">
        <v>138</v>
      </c>
      <c r="J435" s="2">
        <v>12</v>
      </c>
      <c r="K435" s="1">
        <v>3.9</v>
      </c>
      <c r="L435" s="1">
        <v>5.5</v>
      </c>
      <c r="M435" s="131">
        <v>0.9</v>
      </c>
      <c r="N435" s="1">
        <f t="shared" si="38"/>
        <v>3.51</v>
      </c>
      <c r="O435" s="1">
        <f t="shared" si="39"/>
        <v>4.95</v>
      </c>
      <c r="P435" s="19"/>
      <c r="Q435" s="19"/>
      <c r="R435" s="99">
        <v>431</v>
      </c>
    </row>
    <row r="436" spans="1:18" ht="20" x14ac:dyDescent="0.2">
      <c r="A436" s="58"/>
      <c r="B436" s="151" t="s">
        <v>1803</v>
      </c>
      <c r="C436" s="51" t="s">
        <v>3487</v>
      </c>
      <c r="D436" s="33" t="s">
        <v>106</v>
      </c>
      <c r="E436" s="33"/>
      <c r="F436" s="33"/>
      <c r="G436" s="33" t="s">
        <v>2876</v>
      </c>
      <c r="H436" s="237" t="s">
        <v>1545</v>
      </c>
      <c r="I436" s="2">
        <v>138</v>
      </c>
      <c r="J436" s="2">
        <v>12</v>
      </c>
      <c r="K436" s="1">
        <v>5.6</v>
      </c>
      <c r="L436" s="1">
        <v>6.7</v>
      </c>
      <c r="M436" s="131">
        <v>0.9</v>
      </c>
      <c r="N436" s="1">
        <f t="shared" si="38"/>
        <v>5.04</v>
      </c>
      <c r="O436" s="1">
        <f t="shared" si="39"/>
        <v>6.03</v>
      </c>
      <c r="P436" s="19"/>
      <c r="Q436" s="19"/>
      <c r="R436" s="99">
        <v>432</v>
      </c>
    </row>
    <row r="437" spans="1:18" ht="20" x14ac:dyDescent="0.2">
      <c r="A437" s="58"/>
      <c r="B437" s="151" t="s">
        <v>1803</v>
      </c>
      <c r="C437" s="51" t="s">
        <v>3487</v>
      </c>
      <c r="D437" s="33" t="s">
        <v>106</v>
      </c>
      <c r="E437" s="33"/>
      <c r="F437" s="33"/>
      <c r="G437" s="33" t="s">
        <v>2876</v>
      </c>
      <c r="H437" s="237" t="s">
        <v>1549</v>
      </c>
      <c r="I437" s="2">
        <v>138</v>
      </c>
      <c r="J437" s="2">
        <v>12</v>
      </c>
      <c r="K437" s="1">
        <v>4</v>
      </c>
      <c r="L437" s="1">
        <v>4.8</v>
      </c>
      <c r="M437" s="131">
        <v>0.9</v>
      </c>
      <c r="N437" s="1">
        <f t="shared" si="38"/>
        <v>3.6</v>
      </c>
      <c r="O437" s="1">
        <f t="shared" si="39"/>
        <v>4.32</v>
      </c>
      <c r="P437" s="19"/>
      <c r="Q437" s="19"/>
      <c r="R437" s="99">
        <v>433</v>
      </c>
    </row>
    <row r="438" spans="1:18" ht="20" x14ac:dyDescent="0.2">
      <c r="A438" s="58"/>
      <c r="B438" s="151" t="s">
        <v>1804</v>
      </c>
      <c r="C438" s="51" t="s">
        <v>3295</v>
      </c>
      <c r="D438" s="33" t="s">
        <v>106</v>
      </c>
      <c r="E438" s="33"/>
      <c r="F438" s="33"/>
      <c r="G438" s="33" t="s">
        <v>2876</v>
      </c>
      <c r="H438" s="237" t="s">
        <v>1545</v>
      </c>
      <c r="I438" s="2">
        <v>230</v>
      </c>
      <c r="J438" s="2">
        <v>12</v>
      </c>
      <c r="K438" s="1">
        <v>79</v>
      </c>
      <c r="L438" s="1">
        <v>100</v>
      </c>
      <c r="M438" s="131">
        <v>0.9</v>
      </c>
      <c r="N438" s="1">
        <f t="shared" si="38"/>
        <v>71.100000000000009</v>
      </c>
      <c r="O438" s="1">
        <f t="shared" si="39"/>
        <v>90</v>
      </c>
      <c r="P438" s="19"/>
      <c r="Q438" s="19"/>
      <c r="R438" s="99">
        <v>434</v>
      </c>
    </row>
    <row r="439" spans="1:18" ht="20" x14ac:dyDescent="0.2">
      <c r="A439" s="58"/>
      <c r="B439" s="151" t="s">
        <v>1804</v>
      </c>
      <c r="C439" s="51" t="s">
        <v>3295</v>
      </c>
      <c r="D439" s="33" t="s">
        <v>106</v>
      </c>
      <c r="E439" s="33"/>
      <c r="F439" s="33"/>
      <c r="G439" s="33" t="s">
        <v>2876</v>
      </c>
      <c r="H439" s="237" t="s">
        <v>1549</v>
      </c>
      <c r="I439" s="2">
        <v>230</v>
      </c>
      <c r="J439" s="2">
        <v>12</v>
      </c>
      <c r="K439" s="1">
        <v>158</v>
      </c>
      <c r="L439" s="1">
        <v>200</v>
      </c>
      <c r="M439" s="131">
        <v>0.9</v>
      </c>
      <c r="N439" s="1">
        <f t="shared" si="38"/>
        <v>142.20000000000002</v>
      </c>
      <c r="O439" s="1">
        <f t="shared" si="39"/>
        <v>180</v>
      </c>
      <c r="P439" s="19"/>
      <c r="Q439" s="19"/>
      <c r="R439" s="99">
        <v>435</v>
      </c>
    </row>
    <row r="440" spans="1:18" ht="20" x14ac:dyDescent="0.2">
      <c r="A440" s="58"/>
      <c r="B440" s="151" t="s">
        <v>1804</v>
      </c>
      <c r="C440" s="51" t="s">
        <v>3295</v>
      </c>
      <c r="D440" s="33" t="s">
        <v>106</v>
      </c>
      <c r="E440" s="33"/>
      <c r="F440" s="33"/>
      <c r="G440" s="33" t="s">
        <v>2876</v>
      </c>
      <c r="H440" s="237" t="s">
        <v>1550</v>
      </c>
      <c r="I440" s="2">
        <v>230</v>
      </c>
      <c r="J440" s="2">
        <v>12</v>
      </c>
      <c r="K440" s="1">
        <v>158</v>
      </c>
      <c r="L440" s="1">
        <v>200</v>
      </c>
      <c r="M440" s="131">
        <v>0.9</v>
      </c>
      <c r="N440" s="1">
        <f t="shared" si="38"/>
        <v>142.20000000000002</v>
      </c>
      <c r="O440" s="1">
        <f t="shared" si="39"/>
        <v>180</v>
      </c>
      <c r="P440" s="19"/>
      <c r="Q440" s="19"/>
      <c r="R440" s="99">
        <v>436</v>
      </c>
    </row>
    <row r="441" spans="1:18" ht="20" x14ac:dyDescent="0.2">
      <c r="A441" s="58"/>
      <c r="B441" s="151" t="s">
        <v>1805</v>
      </c>
      <c r="C441" s="51" t="s">
        <v>3620</v>
      </c>
      <c r="D441" s="33" t="s">
        <v>106</v>
      </c>
      <c r="E441" s="33"/>
      <c r="F441" s="33"/>
      <c r="G441" s="33" t="s">
        <v>2876</v>
      </c>
      <c r="H441" s="33"/>
      <c r="I441" s="99"/>
      <c r="J441" s="99"/>
      <c r="K441" s="69"/>
      <c r="L441" s="69"/>
      <c r="M441" s="69"/>
      <c r="N441" s="69"/>
      <c r="O441" s="69"/>
      <c r="P441" s="19"/>
      <c r="Q441" s="19"/>
      <c r="R441" s="99">
        <v>437</v>
      </c>
    </row>
    <row r="442" spans="1:18" ht="20" x14ac:dyDescent="0.2">
      <c r="A442" s="58"/>
      <c r="B442" s="151" t="s">
        <v>1806</v>
      </c>
      <c r="C442" s="51" t="s">
        <v>3457</v>
      </c>
      <c r="D442" s="33" t="s">
        <v>106</v>
      </c>
      <c r="E442" s="33"/>
      <c r="F442" s="33"/>
      <c r="G442" s="33" t="s">
        <v>2876</v>
      </c>
      <c r="H442" s="237" t="s">
        <v>1545</v>
      </c>
      <c r="I442" s="2">
        <v>138</v>
      </c>
      <c r="J442" s="2">
        <v>25</v>
      </c>
      <c r="K442" s="1">
        <v>50</v>
      </c>
      <c r="L442" s="1">
        <v>61</v>
      </c>
      <c r="M442" s="131">
        <v>0.9</v>
      </c>
      <c r="N442" s="1">
        <f t="shared" ref="N442:O444" si="40">K442*$M442</f>
        <v>45</v>
      </c>
      <c r="O442" s="1">
        <f t="shared" si="40"/>
        <v>54.9</v>
      </c>
      <c r="P442" s="19"/>
      <c r="Q442" s="19"/>
      <c r="R442" s="99">
        <v>438</v>
      </c>
    </row>
    <row r="443" spans="1:18" ht="20" x14ac:dyDescent="0.2">
      <c r="A443" s="58"/>
      <c r="B443" s="151" t="s">
        <v>1806</v>
      </c>
      <c r="C443" s="51" t="s">
        <v>3457</v>
      </c>
      <c r="D443" s="33" t="s">
        <v>106</v>
      </c>
      <c r="E443" s="33"/>
      <c r="F443" s="33"/>
      <c r="G443" s="33" t="s">
        <v>2876</v>
      </c>
      <c r="H443" s="237" t="s">
        <v>1549</v>
      </c>
      <c r="I443" s="2">
        <v>138</v>
      </c>
      <c r="J443" s="2">
        <v>25</v>
      </c>
      <c r="K443" s="1">
        <v>50</v>
      </c>
      <c r="L443" s="1">
        <v>61</v>
      </c>
      <c r="M443" s="131">
        <v>0.9</v>
      </c>
      <c r="N443" s="1">
        <f t="shared" si="40"/>
        <v>45</v>
      </c>
      <c r="O443" s="1">
        <f t="shared" si="40"/>
        <v>54.9</v>
      </c>
      <c r="P443" s="19"/>
      <c r="Q443" s="19"/>
      <c r="R443" s="99">
        <v>439</v>
      </c>
    </row>
    <row r="444" spans="1:18" ht="20" x14ac:dyDescent="0.2">
      <c r="A444" s="58"/>
      <c r="B444" s="151" t="s">
        <v>1806</v>
      </c>
      <c r="C444" s="51" t="s">
        <v>3457</v>
      </c>
      <c r="D444" s="33" t="s">
        <v>106</v>
      </c>
      <c r="E444" s="33"/>
      <c r="F444" s="33"/>
      <c r="G444" s="33" t="s">
        <v>2876</v>
      </c>
      <c r="H444" s="237" t="s">
        <v>1550</v>
      </c>
      <c r="I444" s="2">
        <v>138</v>
      </c>
      <c r="J444" s="2">
        <v>25</v>
      </c>
      <c r="K444" s="1">
        <v>50</v>
      </c>
      <c r="L444" s="1">
        <v>61</v>
      </c>
      <c r="M444" s="131">
        <v>0.9</v>
      </c>
      <c r="N444" s="1">
        <f t="shared" si="40"/>
        <v>45</v>
      </c>
      <c r="O444" s="1">
        <f t="shared" si="40"/>
        <v>54.9</v>
      </c>
      <c r="P444" s="19"/>
      <c r="Q444" s="19"/>
      <c r="R444" s="99">
        <v>440</v>
      </c>
    </row>
    <row r="445" spans="1:18" ht="20" x14ac:dyDescent="0.2">
      <c r="A445" s="58"/>
      <c r="B445" s="151" t="s">
        <v>1807</v>
      </c>
      <c r="C445" s="51" t="s">
        <v>3682</v>
      </c>
      <c r="D445" s="33" t="s">
        <v>106</v>
      </c>
      <c r="E445" s="33"/>
      <c r="F445" s="33"/>
      <c r="G445" s="33" t="s">
        <v>2876</v>
      </c>
      <c r="H445" s="33"/>
      <c r="I445" s="99"/>
      <c r="J445" s="99"/>
      <c r="K445" s="69"/>
      <c r="L445" s="69"/>
      <c r="M445" s="69"/>
      <c r="N445" s="69"/>
      <c r="O445" s="69"/>
      <c r="P445" s="19"/>
      <c r="Q445" s="19"/>
      <c r="R445" s="99">
        <v>441</v>
      </c>
    </row>
    <row r="446" spans="1:18" ht="20" x14ac:dyDescent="0.2">
      <c r="A446" s="58"/>
      <c r="B446" s="151" t="s">
        <v>1808</v>
      </c>
      <c r="C446" s="51" t="s">
        <v>3626</v>
      </c>
      <c r="D446" s="33" t="s">
        <v>106</v>
      </c>
      <c r="E446" s="33"/>
      <c r="F446" s="33"/>
      <c r="G446" s="33" t="s">
        <v>2876</v>
      </c>
      <c r="H446" s="33"/>
      <c r="I446" s="99"/>
      <c r="J446" s="99"/>
      <c r="K446" s="69"/>
      <c r="L446" s="69"/>
      <c r="M446" s="69"/>
      <c r="N446" s="69"/>
      <c r="O446" s="69"/>
      <c r="P446" s="19"/>
      <c r="Q446" s="19"/>
      <c r="R446" s="99">
        <v>442</v>
      </c>
    </row>
    <row r="447" spans="1:18" ht="20" x14ac:dyDescent="0.2">
      <c r="A447" s="58"/>
      <c r="B447" s="151" t="s">
        <v>1809</v>
      </c>
      <c r="C447" s="51" t="s">
        <v>3296</v>
      </c>
      <c r="D447" s="33" t="s">
        <v>106</v>
      </c>
      <c r="E447" s="33"/>
      <c r="F447" s="33"/>
      <c r="G447" s="33" t="s">
        <v>2876</v>
      </c>
      <c r="H447" s="33"/>
      <c r="I447" s="99"/>
      <c r="J447" s="99"/>
      <c r="K447" s="69"/>
      <c r="L447" s="69"/>
      <c r="M447" s="69"/>
      <c r="N447" s="69"/>
      <c r="O447" s="69"/>
      <c r="P447" s="19"/>
      <c r="Q447" s="19"/>
      <c r="R447" s="99">
        <v>443</v>
      </c>
    </row>
    <row r="448" spans="1:18" ht="20" x14ac:dyDescent="0.2">
      <c r="A448" s="58"/>
      <c r="B448" s="151" t="s">
        <v>1810</v>
      </c>
      <c r="C448" s="51" t="s">
        <v>3602</v>
      </c>
      <c r="D448" s="33" t="s">
        <v>106</v>
      </c>
      <c r="E448" s="33"/>
      <c r="F448" s="33"/>
      <c r="G448" s="33" t="s">
        <v>2876</v>
      </c>
      <c r="H448" s="33"/>
      <c r="I448" s="99"/>
      <c r="J448" s="99"/>
      <c r="K448" s="69"/>
      <c r="L448" s="69"/>
      <c r="M448" s="69"/>
      <c r="N448" s="69"/>
      <c r="O448" s="69"/>
      <c r="P448" s="19"/>
      <c r="Q448" s="19"/>
      <c r="R448" s="99">
        <v>444</v>
      </c>
    </row>
    <row r="449" spans="1:18" ht="20" x14ac:dyDescent="0.2">
      <c r="A449" s="58"/>
      <c r="B449" s="151" t="s">
        <v>1811</v>
      </c>
      <c r="C449" s="51" t="s">
        <v>3488</v>
      </c>
      <c r="D449" s="33" t="s">
        <v>106</v>
      </c>
      <c r="E449" s="33"/>
      <c r="F449" s="33"/>
      <c r="G449" s="33" t="s">
        <v>2876</v>
      </c>
      <c r="H449" s="237" t="s">
        <v>1545</v>
      </c>
      <c r="I449" s="2">
        <v>60</v>
      </c>
      <c r="J449" s="2">
        <v>25</v>
      </c>
      <c r="K449" s="1">
        <v>79</v>
      </c>
      <c r="L449" s="1">
        <v>100</v>
      </c>
      <c r="M449" s="131">
        <v>0.9</v>
      </c>
      <c r="N449" s="1">
        <f t="shared" ref="N449:O451" si="41">K449*$M449</f>
        <v>71.100000000000009</v>
      </c>
      <c r="O449" s="1">
        <f t="shared" si="41"/>
        <v>90</v>
      </c>
      <c r="P449" s="19"/>
      <c r="Q449" s="19"/>
      <c r="R449" s="99">
        <v>445</v>
      </c>
    </row>
    <row r="450" spans="1:18" ht="20" x14ac:dyDescent="0.2">
      <c r="A450" s="58"/>
      <c r="B450" s="151" t="s">
        <v>1811</v>
      </c>
      <c r="C450" s="51" t="s">
        <v>3488</v>
      </c>
      <c r="D450" s="33" t="s">
        <v>106</v>
      </c>
      <c r="E450" s="33"/>
      <c r="F450" s="33"/>
      <c r="G450" s="33" t="s">
        <v>2876</v>
      </c>
      <c r="H450" s="237" t="s">
        <v>1549</v>
      </c>
      <c r="I450" s="2">
        <v>60</v>
      </c>
      <c r="J450" s="2">
        <v>25</v>
      </c>
      <c r="K450" s="1">
        <v>44</v>
      </c>
      <c r="L450" s="1">
        <v>56</v>
      </c>
      <c r="M450" s="131">
        <v>0.9</v>
      </c>
      <c r="N450" s="1">
        <f t="shared" si="41"/>
        <v>39.6</v>
      </c>
      <c r="O450" s="1">
        <f t="shared" si="41"/>
        <v>50.4</v>
      </c>
      <c r="P450" s="19"/>
      <c r="Q450" s="19"/>
      <c r="R450" s="99">
        <v>446</v>
      </c>
    </row>
    <row r="451" spans="1:18" ht="20" x14ac:dyDescent="0.2">
      <c r="A451" s="58"/>
      <c r="B451" s="151" t="s">
        <v>1811</v>
      </c>
      <c r="C451" s="51" t="s">
        <v>3488</v>
      </c>
      <c r="D451" s="33" t="s">
        <v>106</v>
      </c>
      <c r="E451" s="33"/>
      <c r="F451" s="33"/>
      <c r="G451" s="33" t="s">
        <v>2876</v>
      </c>
      <c r="H451" s="237" t="s">
        <v>1550</v>
      </c>
      <c r="I451" s="2">
        <v>60</v>
      </c>
      <c r="J451" s="2">
        <v>25</v>
      </c>
      <c r="K451" s="1">
        <v>44</v>
      </c>
      <c r="L451" s="1">
        <v>56</v>
      </c>
      <c r="M451" s="131">
        <v>0.9</v>
      </c>
      <c r="N451" s="1">
        <f t="shared" si="41"/>
        <v>39.6</v>
      </c>
      <c r="O451" s="1">
        <f t="shared" si="41"/>
        <v>50.4</v>
      </c>
      <c r="P451" s="19"/>
      <c r="Q451" s="19"/>
      <c r="R451" s="99">
        <v>447</v>
      </c>
    </row>
    <row r="452" spans="1:18" ht="20" x14ac:dyDescent="0.2">
      <c r="A452" s="58"/>
      <c r="B452" s="151" t="s">
        <v>1812</v>
      </c>
      <c r="C452" s="51" t="s">
        <v>3614</v>
      </c>
      <c r="D452" s="33" t="s">
        <v>106</v>
      </c>
      <c r="E452" s="33"/>
      <c r="F452" s="33"/>
      <c r="G452" s="33" t="s">
        <v>2876</v>
      </c>
      <c r="H452" s="33"/>
      <c r="I452" s="99"/>
      <c r="J452" s="99"/>
      <c r="K452" s="69"/>
      <c r="L452" s="69"/>
      <c r="M452" s="69"/>
      <c r="N452" s="69"/>
      <c r="O452" s="69"/>
      <c r="P452" s="19"/>
      <c r="Q452" s="19"/>
      <c r="R452" s="99">
        <v>448</v>
      </c>
    </row>
    <row r="453" spans="1:18" ht="20" x14ac:dyDescent="0.2">
      <c r="A453" s="58"/>
      <c r="B453" s="151" t="s">
        <v>1813</v>
      </c>
      <c r="C453" s="51" t="s">
        <v>3615</v>
      </c>
      <c r="D453" s="33" t="s">
        <v>106</v>
      </c>
      <c r="E453" s="33"/>
      <c r="F453" s="33"/>
      <c r="G453" s="33" t="s">
        <v>2876</v>
      </c>
      <c r="H453" s="33"/>
      <c r="I453" s="99"/>
      <c r="J453" s="99"/>
      <c r="K453" s="69"/>
      <c r="L453" s="69"/>
      <c r="M453" s="69"/>
      <c r="N453" s="69"/>
      <c r="O453" s="69"/>
      <c r="P453" s="19"/>
      <c r="Q453" s="19"/>
      <c r="R453" s="99">
        <v>449</v>
      </c>
    </row>
    <row r="454" spans="1:18" ht="20" x14ac:dyDescent="0.2">
      <c r="A454" s="58"/>
      <c r="B454" s="151" t="s">
        <v>1814</v>
      </c>
      <c r="C454" s="51" t="s">
        <v>3616</v>
      </c>
      <c r="D454" s="33" t="s">
        <v>106</v>
      </c>
      <c r="E454" s="33"/>
      <c r="F454" s="33"/>
      <c r="G454" s="33" t="s">
        <v>2876</v>
      </c>
      <c r="H454" s="33"/>
      <c r="I454" s="99"/>
      <c r="J454" s="99"/>
      <c r="K454" s="69"/>
      <c r="L454" s="69"/>
      <c r="M454" s="69"/>
      <c r="N454" s="69"/>
      <c r="O454" s="69"/>
      <c r="P454" s="19"/>
      <c r="Q454" s="19"/>
      <c r="R454" s="99">
        <v>450</v>
      </c>
    </row>
    <row r="455" spans="1:18" ht="20" x14ac:dyDescent="0.2">
      <c r="A455" s="58"/>
      <c r="B455" s="151" t="s">
        <v>812</v>
      </c>
      <c r="C455" s="51" t="s">
        <v>3490</v>
      </c>
      <c r="D455" s="33" t="s">
        <v>106</v>
      </c>
      <c r="E455" s="33"/>
      <c r="F455" s="33"/>
      <c r="G455" s="33" t="s">
        <v>2876</v>
      </c>
      <c r="H455" s="33"/>
      <c r="I455" s="99"/>
      <c r="J455" s="99"/>
      <c r="K455" s="69"/>
      <c r="L455" s="69"/>
      <c r="M455" s="69"/>
      <c r="N455" s="69"/>
      <c r="O455" s="69"/>
      <c r="P455" s="19"/>
      <c r="Q455" s="19"/>
      <c r="R455" s="99">
        <v>451</v>
      </c>
    </row>
    <row r="456" spans="1:18" ht="20" x14ac:dyDescent="0.2">
      <c r="A456" s="58"/>
      <c r="B456" s="151" t="s">
        <v>1815</v>
      </c>
      <c r="C456" s="51" t="s">
        <v>3297</v>
      </c>
      <c r="D456" s="33" t="s">
        <v>106</v>
      </c>
      <c r="E456" s="33"/>
      <c r="F456" s="33"/>
      <c r="G456" s="33" t="s">
        <v>2876</v>
      </c>
      <c r="H456" s="33"/>
      <c r="I456" s="99"/>
      <c r="J456" s="99"/>
      <c r="K456" s="69"/>
      <c r="L456" s="69"/>
      <c r="M456" s="69"/>
      <c r="N456" s="69"/>
      <c r="O456" s="69"/>
      <c r="P456" s="19"/>
      <c r="Q456" s="19"/>
      <c r="R456" s="99">
        <v>452</v>
      </c>
    </row>
    <row r="457" spans="1:18" ht="20" x14ac:dyDescent="0.2">
      <c r="A457" s="58"/>
      <c r="B457" s="151" t="s">
        <v>1816</v>
      </c>
      <c r="C457" s="51" t="s">
        <v>3298</v>
      </c>
      <c r="D457" s="33" t="s">
        <v>106</v>
      </c>
      <c r="E457" s="33"/>
      <c r="F457" s="33"/>
      <c r="G457" s="33" t="s">
        <v>2876</v>
      </c>
      <c r="H457" s="237" t="s">
        <v>1545</v>
      </c>
      <c r="I457" s="2">
        <v>60</v>
      </c>
      <c r="J457" s="2">
        <v>12</v>
      </c>
      <c r="K457" s="1">
        <v>21</v>
      </c>
      <c r="L457" s="1">
        <v>26.6</v>
      </c>
      <c r="M457" s="131">
        <v>0.9</v>
      </c>
      <c r="N457" s="1">
        <f t="shared" ref="N457:O459" si="42">K457*$M457</f>
        <v>18.900000000000002</v>
      </c>
      <c r="O457" s="1">
        <f t="shared" si="42"/>
        <v>23.94</v>
      </c>
      <c r="P457" s="19"/>
      <c r="Q457" s="19"/>
      <c r="R457" s="99">
        <v>453</v>
      </c>
    </row>
    <row r="458" spans="1:18" ht="20" x14ac:dyDescent="0.2">
      <c r="A458" s="58"/>
      <c r="B458" s="151" t="s">
        <v>1816</v>
      </c>
      <c r="C458" s="51" t="s">
        <v>3298</v>
      </c>
      <c r="D458" s="33" t="s">
        <v>106</v>
      </c>
      <c r="E458" s="33"/>
      <c r="F458" s="33"/>
      <c r="G458" s="33" t="s">
        <v>2876</v>
      </c>
      <c r="H458" s="237" t="s">
        <v>1549</v>
      </c>
      <c r="I458" s="2">
        <v>60</v>
      </c>
      <c r="J458" s="2">
        <v>12</v>
      </c>
      <c r="K458" s="1">
        <v>21</v>
      </c>
      <c r="L458" s="1">
        <v>26.6</v>
      </c>
      <c r="M458" s="131">
        <v>0.9</v>
      </c>
      <c r="N458" s="1">
        <f t="shared" si="42"/>
        <v>18.900000000000002</v>
      </c>
      <c r="O458" s="1">
        <f t="shared" si="42"/>
        <v>23.94</v>
      </c>
      <c r="P458" s="19"/>
      <c r="Q458" s="19"/>
      <c r="R458" s="99">
        <v>454</v>
      </c>
    </row>
    <row r="459" spans="1:18" ht="20" x14ac:dyDescent="0.2">
      <c r="A459" s="58"/>
      <c r="B459" s="151" t="s">
        <v>1816</v>
      </c>
      <c r="C459" s="51" t="s">
        <v>3298</v>
      </c>
      <c r="D459" s="33" t="s">
        <v>106</v>
      </c>
      <c r="E459" s="33"/>
      <c r="F459" s="33"/>
      <c r="G459" s="33" t="s">
        <v>2876</v>
      </c>
      <c r="H459" s="237" t="s">
        <v>1550</v>
      </c>
      <c r="I459" s="2">
        <v>60</v>
      </c>
      <c r="J459" s="2">
        <v>12</v>
      </c>
      <c r="K459" s="1">
        <v>21</v>
      </c>
      <c r="L459" s="1">
        <v>26.6</v>
      </c>
      <c r="M459" s="131">
        <v>0.9</v>
      </c>
      <c r="N459" s="1">
        <f t="shared" si="42"/>
        <v>18.900000000000002</v>
      </c>
      <c r="O459" s="1">
        <f t="shared" si="42"/>
        <v>23.94</v>
      </c>
      <c r="P459" s="19"/>
      <c r="Q459" s="19"/>
      <c r="R459" s="99">
        <v>455</v>
      </c>
    </row>
    <row r="460" spans="1:18" ht="20" x14ac:dyDescent="0.2">
      <c r="A460" s="58"/>
      <c r="B460" s="151" t="s">
        <v>1817</v>
      </c>
      <c r="C460" s="51" t="s">
        <v>3623</v>
      </c>
      <c r="D460" s="33" t="s">
        <v>106</v>
      </c>
      <c r="E460" s="33"/>
      <c r="F460" s="33"/>
      <c r="G460" s="33" t="s">
        <v>2876</v>
      </c>
      <c r="H460" s="33"/>
      <c r="I460" s="99"/>
      <c r="J460" s="99"/>
      <c r="K460" s="69"/>
      <c r="L460" s="69"/>
      <c r="M460" s="69"/>
      <c r="N460" s="69"/>
      <c r="O460" s="69"/>
      <c r="P460" s="19"/>
      <c r="Q460" s="19"/>
      <c r="R460" s="99">
        <v>456</v>
      </c>
    </row>
    <row r="461" spans="1:18" ht="20" x14ac:dyDescent="0.2">
      <c r="A461" s="58"/>
      <c r="B461" s="151" t="s">
        <v>1818</v>
      </c>
      <c r="C461" s="51" t="s">
        <v>3667</v>
      </c>
      <c r="D461" s="33" t="s">
        <v>106</v>
      </c>
      <c r="E461" s="33"/>
      <c r="F461" s="33"/>
      <c r="G461" s="33" t="s">
        <v>2876</v>
      </c>
      <c r="H461" s="33"/>
      <c r="I461" s="99"/>
      <c r="J461" s="99"/>
      <c r="K461" s="69"/>
      <c r="L461" s="69"/>
      <c r="M461" s="69"/>
      <c r="N461" s="69"/>
      <c r="O461" s="69"/>
      <c r="P461" s="19"/>
      <c r="Q461" s="19"/>
      <c r="R461" s="99">
        <v>457</v>
      </c>
    </row>
    <row r="462" spans="1:18" ht="20" x14ac:dyDescent="0.2">
      <c r="A462" s="58"/>
      <c r="B462" s="151" t="s">
        <v>1819</v>
      </c>
      <c r="C462" s="51" t="s">
        <v>3299</v>
      </c>
      <c r="D462" s="33" t="s">
        <v>106</v>
      </c>
      <c r="E462" s="33"/>
      <c r="F462" s="33"/>
      <c r="G462" s="33" t="s">
        <v>2876</v>
      </c>
      <c r="H462" s="33"/>
      <c r="I462" s="99"/>
      <c r="J462" s="99"/>
      <c r="K462" s="69"/>
      <c r="L462" s="69"/>
      <c r="M462" s="69"/>
      <c r="N462" s="69"/>
      <c r="O462" s="69"/>
      <c r="P462" s="19"/>
      <c r="Q462" s="19"/>
      <c r="R462" s="99">
        <v>458</v>
      </c>
    </row>
    <row r="463" spans="1:18" ht="20" x14ac:dyDescent="0.2">
      <c r="A463" s="58"/>
      <c r="B463" s="151" t="s">
        <v>1820</v>
      </c>
      <c r="C463" s="51" t="s">
        <v>3300</v>
      </c>
      <c r="D463" s="33" t="s">
        <v>106</v>
      </c>
      <c r="E463" s="33"/>
      <c r="F463" s="33"/>
      <c r="G463" s="33" t="s">
        <v>2876</v>
      </c>
      <c r="H463" s="237" t="s">
        <v>1545</v>
      </c>
      <c r="I463" s="2">
        <v>60</v>
      </c>
      <c r="J463" s="2">
        <v>12</v>
      </c>
      <c r="K463" s="1">
        <v>52.5</v>
      </c>
      <c r="L463" s="1">
        <v>66.5</v>
      </c>
      <c r="M463" s="131">
        <v>0.9</v>
      </c>
      <c r="N463" s="1">
        <f>K463*$M463</f>
        <v>47.25</v>
      </c>
      <c r="O463" s="1">
        <f>L463*$M463</f>
        <v>59.85</v>
      </c>
      <c r="P463" s="19"/>
      <c r="Q463" s="19"/>
      <c r="R463" s="99">
        <v>459</v>
      </c>
    </row>
    <row r="464" spans="1:18" ht="20" x14ac:dyDescent="0.2">
      <c r="A464" s="58"/>
      <c r="B464" s="151" t="s">
        <v>1820</v>
      </c>
      <c r="C464" s="51" t="s">
        <v>3300</v>
      </c>
      <c r="D464" s="33" t="s">
        <v>106</v>
      </c>
      <c r="E464" s="33"/>
      <c r="F464" s="33"/>
      <c r="G464" s="33" t="s">
        <v>2876</v>
      </c>
      <c r="H464" s="237" t="s">
        <v>1549</v>
      </c>
      <c r="I464" s="2">
        <v>60</v>
      </c>
      <c r="J464" s="2">
        <v>12</v>
      </c>
      <c r="K464" s="1">
        <v>52.5</v>
      </c>
      <c r="L464" s="1">
        <v>66.5</v>
      </c>
      <c r="M464" s="131">
        <v>0.9</v>
      </c>
      <c r="N464" s="1">
        <f>K464*$M464</f>
        <v>47.25</v>
      </c>
      <c r="O464" s="1">
        <f>L464*$M464</f>
        <v>59.85</v>
      </c>
      <c r="P464" s="19"/>
      <c r="Q464" s="19"/>
      <c r="R464" s="99">
        <v>460</v>
      </c>
    </row>
    <row r="465" spans="1:18" ht="20" x14ac:dyDescent="0.2">
      <c r="A465" s="58"/>
      <c r="B465" s="151" t="s">
        <v>1821</v>
      </c>
      <c r="C465" s="51" t="s">
        <v>3668</v>
      </c>
      <c r="D465" s="33" t="s">
        <v>106</v>
      </c>
      <c r="E465" s="33"/>
      <c r="F465" s="33"/>
      <c r="G465" s="33" t="s">
        <v>2876</v>
      </c>
      <c r="H465" s="33"/>
      <c r="I465" s="236"/>
      <c r="J465" s="236"/>
      <c r="K465" s="69"/>
      <c r="L465" s="69"/>
      <c r="M465" s="69"/>
      <c r="N465" s="69"/>
      <c r="O465" s="69"/>
      <c r="P465" s="19"/>
      <c r="Q465" s="19"/>
      <c r="R465" s="99">
        <v>461</v>
      </c>
    </row>
    <row r="466" spans="1:18" ht="20" x14ac:dyDescent="0.2">
      <c r="A466" s="58"/>
      <c r="B466" s="151" t="s">
        <v>1822</v>
      </c>
      <c r="C466" s="51" t="s">
        <v>3402</v>
      </c>
      <c r="D466" s="33" t="s">
        <v>106</v>
      </c>
      <c r="E466" s="33"/>
      <c r="F466" s="33"/>
      <c r="G466" s="33" t="s">
        <v>2876</v>
      </c>
      <c r="H466" s="33"/>
      <c r="I466" s="236"/>
      <c r="J466" s="236"/>
      <c r="K466" s="69"/>
      <c r="L466" s="69"/>
      <c r="M466" s="69"/>
      <c r="N466" s="69"/>
      <c r="O466" s="69"/>
      <c r="P466" s="19"/>
      <c r="Q466" s="19"/>
      <c r="R466" s="99">
        <v>462</v>
      </c>
    </row>
    <row r="467" spans="1:18" ht="20" x14ac:dyDescent="0.2">
      <c r="A467" s="58"/>
      <c r="B467" s="151" t="s">
        <v>809</v>
      </c>
      <c r="C467" s="51" t="s">
        <v>3301</v>
      </c>
      <c r="D467" s="33" t="s">
        <v>106</v>
      </c>
      <c r="E467" s="33"/>
      <c r="F467" s="33"/>
      <c r="G467" s="33" t="s">
        <v>2876</v>
      </c>
      <c r="H467" s="237" t="s">
        <v>1545</v>
      </c>
      <c r="I467" s="2">
        <v>60</v>
      </c>
      <c r="J467" s="2">
        <v>12</v>
      </c>
      <c r="K467" s="1">
        <v>26</v>
      </c>
      <c r="L467" s="1">
        <v>33</v>
      </c>
      <c r="M467" s="131">
        <v>0.9</v>
      </c>
      <c r="N467" s="1">
        <f t="shared" ref="N467:O469" si="43">K467*$M467</f>
        <v>23.400000000000002</v>
      </c>
      <c r="O467" s="1">
        <f t="shared" si="43"/>
        <v>29.7</v>
      </c>
      <c r="P467" s="19"/>
      <c r="Q467" s="19"/>
      <c r="R467" s="99">
        <v>463</v>
      </c>
    </row>
    <row r="468" spans="1:18" ht="20" x14ac:dyDescent="0.2">
      <c r="A468" s="58"/>
      <c r="B468" s="151" t="s">
        <v>809</v>
      </c>
      <c r="C468" s="51" t="s">
        <v>3301</v>
      </c>
      <c r="D468" s="33" t="s">
        <v>106</v>
      </c>
      <c r="E468" s="33"/>
      <c r="F468" s="33"/>
      <c r="G468" s="33" t="s">
        <v>2876</v>
      </c>
      <c r="H468" s="237" t="s">
        <v>1549</v>
      </c>
      <c r="I468" s="2">
        <v>60</v>
      </c>
      <c r="J468" s="2">
        <v>12</v>
      </c>
      <c r="K468" s="1">
        <v>53</v>
      </c>
      <c r="L468" s="1">
        <v>67</v>
      </c>
      <c r="M468" s="131">
        <v>0.9</v>
      </c>
      <c r="N468" s="1">
        <f t="shared" si="43"/>
        <v>47.7</v>
      </c>
      <c r="O468" s="1">
        <f t="shared" si="43"/>
        <v>60.300000000000004</v>
      </c>
      <c r="P468" s="19"/>
      <c r="Q468" s="19"/>
      <c r="R468" s="99">
        <v>464</v>
      </c>
    </row>
    <row r="469" spans="1:18" ht="20" x14ac:dyDescent="0.2">
      <c r="A469" s="58"/>
      <c r="B469" s="151" t="s">
        <v>809</v>
      </c>
      <c r="C469" s="51" t="s">
        <v>3301</v>
      </c>
      <c r="D469" s="33" t="s">
        <v>106</v>
      </c>
      <c r="E469" s="33"/>
      <c r="F469" s="33"/>
      <c r="G469" s="33" t="s">
        <v>2876</v>
      </c>
      <c r="H469" s="237" t="s">
        <v>1550</v>
      </c>
      <c r="I469" s="2">
        <v>60</v>
      </c>
      <c r="J469" s="2">
        <v>12</v>
      </c>
      <c r="K469" s="1">
        <v>53</v>
      </c>
      <c r="L469" s="1">
        <v>67</v>
      </c>
      <c r="M469" s="131">
        <v>0.9</v>
      </c>
      <c r="N469" s="1">
        <f t="shared" si="43"/>
        <v>47.7</v>
      </c>
      <c r="O469" s="1">
        <f t="shared" si="43"/>
        <v>60.300000000000004</v>
      </c>
      <c r="P469" s="19"/>
      <c r="Q469" s="19"/>
      <c r="R469" s="99">
        <v>465</v>
      </c>
    </row>
    <row r="470" spans="1:18" ht="20" x14ac:dyDescent="0.2">
      <c r="A470" s="58"/>
      <c r="B470" s="151" t="s">
        <v>2319</v>
      </c>
      <c r="C470" s="51" t="s">
        <v>3148</v>
      </c>
      <c r="D470" s="33" t="s">
        <v>106</v>
      </c>
      <c r="E470" s="33">
        <v>49.628056299999997</v>
      </c>
      <c r="F470" s="33">
        <v>-122.46253230000001</v>
      </c>
      <c r="G470" s="33" t="s">
        <v>2876</v>
      </c>
      <c r="H470" s="33"/>
      <c r="I470" s="99"/>
      <c r="J470" s="99"/>
      <c r="K470" s="69"/>
      <c r="L470" s="69"/>
      <c r="M470" s="69"/>
      <c r="N470" s="69"/>
      <c r="O470" s="69"/>
      <c r="P470" s="19"/>
      <c r="Q470" s="19"/>
      <c r="R470" s="99">
        <v>466</v>
      </c>
    </row>
    <row r="471" spans="1:18" ht="20" x14ac:dyDescent="0.2">
      <c r="A471" s="58"/>
      <c r="B471" s="151" t="s">
        <v>1823</v>
      </c>
      <c r="C471" s="51" t="s">
        <v>3621</v>
      </c>
      <c r="D471" s="33" t="s">
        <v>106</v>
      </c>
      <c r="E471" s="33"/>
      <c r="F471" s="33"/>
      <c r="G471" s="33" t="s">
        <v>2876</v>
      </c>
      <c r="H471" s="33"/>
      <c r="I471" s="99"/>
      <c r="J471" s="99"/>
      <c r="K471" s="69"/>
      <c r="L471" s="69"/>
      <c r="M471" s="69"/>
      <c r="N471" s="69"/>
      <c r="O471" s="69"/>
      <c r="P471" s="19"/>
      <c r="Q471" s="19"/>
      <c r="R471" s="99">
        <v>467</v>
      </c>
    </row>
    <row r="472" spans="1:18" ht="20" x14ac:dyDescent="0.2">
      <c r="A472" s="58"/>
      <c r="B472" s="151" t="s">
        <v>1824</v>
      </c>
      <c r="C472" s="51" t="s">
        <v>3504</v>
      </c>
      <c r="D472" s="33" t="s">
        <v>106</v>
      </c>
      <c r="E472" s="33"/>
      <c r="F472" s="33"/>
      <c r="G472" s="33" t="s">
        <v>2876</v>
      </c>
      <c r="H472" s="237" t="s">
        <v>1545</v>
      </c>
      <c r="I472" s="2">
        <v>66</v>
      </c>
      <c r="J472" s="2">
        <v>12</v>
      </c>
      <c r="K472" s="1">
        <v>28</v>
      </c>
      <c r="L472" s="1">
        <v>33.299999999999997</v>
      </c>
      <c r="M472" s="131">
        <v>0.9</v>
      </c>
      <c r="N472" s="1">
        <f t="shared" ref="N472:N480" si="44">K472*$M472</f>
        <v>25.2</v>
      </c>
      <c r="O472" s="1">
        <f t="shared" ref="O472:O480" si="45">L472*$M472</f>
        <v>29.97</v>
      </c>
      <c r="P472" s="19"/>
      <c r="Q472" s="19"/>
      <c r="R472" s="99">
        <v>468</v>
      </c>
    </row>
    <row r="473" spans="1:18" ht="20" x14ac:dyDescent="0.2">
      <c r="A473" s="58"/>
      <c r="B473" s="151" t="s">
        <v>1824</v>
      </c>
      <c r="C473" s="51" t="s">
        <v>3504</v>
      </c>
      <c r="D473" s="33" t="s">
        <v>106</v>
      </c>
      <c r="E473" s="33"/>
      <c r="F473" s="33"/>
      <c r="G473" s="33" t="s">
        <v>2876</v>
      </c>
      <c r="H473" s="237" t="s">
        <v>1549</v>
      </c>
      <c r="I473" s="2">
        <v>66</v>
      </c>
      <c r="J473" s="2">
        <v>12</v>
      </c>
      <c r="K473" s="1">
        <v>22.4</v>
      </c>
      <c r="L473" s="1">
        <v>26.6</v>
      </c>
      <c r="M473" s="131">
        <v>0.9</v>
      </c>
      <c r="N473" s="1">
        <f t="shared" si="44"/>
        <v>20.16</v>
      </c>
      <c r="O473" s="1">
        <f t="shared" si="45"/>
        <v>23.94</v>
      </c>
      <c r="P473" s="19"/>
      <c r="Q473" s="19"/>
      <c r="R473" s="99">
        <v>469</v>
      </c>
    </row>
    <row r="474" spans="1:18" ht="20" x14ac:dyDescent="0.2">
      <c r="A474" s="58"/>
      <c r="B474" s="151" t="s">
        <v>1824</v>
      </c>
      <c r="C474" s="51" t="s">
        <v>3504</v>
      </c>
      <c r="D474" s="33" t="s">
        <v>106</v>
      </c>
      <c r="E474" s="33"/>
      <c r="F474" s="33"/>
      <c r="G474" s="33" t="s">
        <v>2876</v>
      </c>
      <c r="H474" s="237" t="s">
        <v>1550</v>
      </c>
      <c r="I474" s="2">
        <v>66</v>
      </c>
      <c r="J474" s="2">
        <v>25</v>
      </c>
      <c r="K474" s="1">
        <v>43.6</v>
      </c>
      <c r="L474" s="1">
        <v>55.3</v>
      </c>
      <c r="M474" s="131">
        <v>0.9</v>
      </c>
      <c r="N474" s="1">
        <f t="shared" si="44"/>
        <v>39.24</v>
      </c>
      <c r="O474" s="1">
        <f t="shared" si="45"/>
        <v>49.769999999999996</v>
      </c>
      <c r="P474" s="19"/>
      <c r="Q474" s="19"/>
      <c r="R474" s="99">
        <v>470</v>
      </c>
    </row>
    <row r="475" spans="1:18" ht="20" x14ac:dyDescent="0.2">
      <c r="A475" s="58"/>
      <c r="B475" s="151" t="s">
        <v>1824</v>
      </c>
      <c r="C475" s="51" t="s">
        <v>3504</v>
      </c>
      <c r="D475" s="33" t="s">
        <v>106</v>
      </c>
      <c r="E475" s="33"/>
      <c r="F475" s="33"/>
      <c r="G475" s="33" t="s">
        <v>2876</v>
      </c>
      <c r="H475" s="237" t="s">
        <v>1546</v>
      </c>
      <c r="I475" s="2">
        <v>66</v>
      </c>
      <c r="J475" s="2">
        <v>25</v>
      </c>
      <c r="K475" s="1">
        <v>43.6</v>
      </c>
      <c r="L475" s="1">
        <v>55.3</v>
      </c>
      <c r="M475" s="131">
        <v>0.9</v>
      </c>
      <c r="N475" s="1">
        <f t="shared" si="44"/>
        <v>39.24</v>
      </c>
      <c r="O475" s="1">
        <f t="shared" si="45"/>
        <v>49.769999999999996</v>
      </c>
      <c r="P475" s="19"/>
      <c r="Q475" s="19"/>
      <c r="R475" s="99">
        <v>471</v>
      </c>
    </row>
    <row r="476" spans="1:18" ht="20" x14ac:dyDescent="0.2">
      <c r="A476" s="58"/>
      <c r="B476" s="151" t="s">
        <v>1825</v>
      </c>
      <c r="C476" s="51" t="s">
        <v>3494</v>
      </c>
      <c r="D476" s="33" t="s">
        <v>106</v>
      </c>
      <c r="E476" s="33"/>
      <c r="F476" s="33"/>
      <c r="G476" s="33" t="s">
        <v>2876</v>
      </c>
      <c r="H476" s="237" t="s">
        <v>1545</v>
      </c>
      <c r="I476" s="2">
        <v>138</v>
      </c>
      <c r="J476" s="2">
        <v>25</v>
      </c>
      <c r="K476" s="1">
        <v>45.1</v>
      </c>
      <c r="L476" s="1">
        <v>53.5</v>
      </c>
      <c r="M476" s="131">
        <v>0.9</v>
      </c>
      <c r="N476" s="1">
        <f t="shared" si="44"/>
        <v>40.590000000000003</v>
      </c>
      <c r="O476" s="1">
        <f t="shared" si="45"/>
        <v>48.15</v>
      </c>
      <c r="P476" s="19"/>
      <c r="Q476" s="19"/>
      <c r="R476" s="99">
        <v>472</v>
      </c>
    </row>
    <row r="477" spans="1:18" ht="20" x14ac:dyDescent="0.2">
      <c r="A477" s="58"/>
      <c r="B477" s="151" t="s">
        <v>1825</v>
      </c>
      <c r="C477" s="51" t="s">
        <v>3494</v>
      </c>
      <c r="D477" s="33" t="s">
        <v>106</v>
      </c>
      <c r="E477" s="33"/>
      <c r="F477" s="33"/>
      <c r="G477" s="33" t="s">
        <v>2876</v>
      </c>
      <c r="H477" s="237" t="s">
        <v>1549</v>
      </c>
      <c r="I477" s="2">
        <v>138</v>
      </c>
      <c r="J477" s="2">
        <v>25</v>
      </c>
      <c r="K477" s="1">
        <v>52.5</v>
      </c>
      <c r="L477" s="1">
        <v>66.5</v>
      </c>
      <c r="M477" s="131">
        <v>0.9</v>
      </c>
      <c r="N477" s="1">
        <f t="shared" si="44"/>
        <v>47.25</v>
      </c>
      <c r="O477" s="1">
        <f t="shared" si="45"/>
        <v>59.85</v>
      </c>
      <c r="P477" s="19"/>
      <c r="Q477" s="19"/>
      <c r="R477" s="99">
        <v>473</v>
      </c>
    </row>
    <row r="478" spans="1:18" ht="20" x14ac:dyDescent="0.2">
      <c r="A478" s="58"/>
      <c r="B478" s="151" t="s">
        <v>167</v>
      </c>
      <c r="C478" s="51" t="s">
        <v>3186</v>
      </c>
      <c r="D478" s="33" t="s">
        <v>106</v>
      </c>
      <c r="E478" s="33"/>
      <c r="F478" s="33"/>
      <c r="G478" s="33" t="s">
        <v>2876</v>
      </c>
      <c r="H478" s="237" t="s">
        <v>1551</v>
      </c>
      <c r="I478" s="2">
        <v>138</v>
      </c>
      <c r="J478" s="2">
        <v>25</v>
      </c>
      <c r="K478" s="1">
        <v>78.8</v>
      </c>
      <c r="L478" s="1">
        <v>99.15</v>
      </c>
      <c r="M478" s="131">
        <v>0.9</v>
      </c>
      <c r="N478" s="1">
        <f t="shared" si="44"/>
        <v>70.92</v>
      </c>
      <c r="O478" s="1">
        <f t="shared" si="45"/>
        <v>89.235000000000014</v>
      </c>
      <c r="P478" s="19"/>
      <c r="Q478" s="19"/>
      <c r="R478" s="99">
        <v>474</v>
      </c>
    </row>
    <row r="479" spans="1:18" ht="20" x14ac:dyDescent="0.2">
      <c r="A479" s="58"/>
      <c r="B479" s="151" t="s">
        <v>167</v>
      </c>
      <c r="C479" s="51" t="s">
        <v>3186</v>
      </c>
      <c r="D479" s="33" t="s">
        <v>106</v>
      </c>
      <c r="E479" s="33"/>
      <c r="F479" s="33"/>
      <c r="G479" s="33" t="s">
        <v>2876</v>
      </c>
      <c r="H479" s="237" t="s">
        <v>1552</v>
      </c>
      <c r="I479" s="2">
        <v>138</v>
      </c>
      <c r="J479" s="2">
        <v>25</v>
      </c>
      <c r="K479" s="1">
        <v>78.8</v>
      </c>
      <c r="L479" s="1">
        <v>99.15</v>
      </c>
      <c r="M479" s="131">
        <v>0.9</v>
      </c>
      <c r="N479" s="1">
        <f t="shared" si="44"/>
        <v>70.92</v>
      </c>
      <c r="O479" s="1">
        <f t="shared" si="45"/>
        <v>89.235000000000014</v>
      </c>
      <c r="P479" s="19"/>
      <c r="Q479" s="19"/>
      <c r="R479" s="99">
        <v>475</v>
      </c>
    </row>
    <row r="480" spans="1:18" ht="20" x14ac:dyDescent="0.2">
      <c r="A480" s="58"/>
      <c r="B480" s="151" t="s">
        <v>1826</v>
      </c>
      <c r="C480" s="51" t="s">
        <v>3496</v>
      </c>
      <c r="D480" s="33" t="s">
        <v>106</v>
      </c>
      <c r="E480" s="33"/>
      <c r="F480" s="33"/>
      <c r="G480" s="33" t="s">
        <v>2876</v>
      </c>
      <c r="H480" s="237" t="s">
        <v>1545</v>
      </c>
      <c r="I480" s="2">
        <v>60</v>
      </c>
      <c r="J480" s="2">
        <v>12</v>
      </c>
      <c r="K480" s="1">
        <v>0.4</v>
      </c>
      <c r="L480" s="1">
        <v>0.4</v>
      </c>
      <c r="M480" s="131">
        <v>0.9</v>
      </c>
      <c r="N480" s="1">
        <f t="shared" si="44"/>
        <v>0.36000000000000004</v>
      </c>
      <c r="O480" s="1">
        <f t="shared" si="45"/>
        <v>0.36000000000000004</v>
      </c>
      <c r="P480" s="19"/>
      <c r="Q480" s="19"/>
      <c r="R480" s="99">
        <v>476</v>
      </c>
    </row>
    <row r="481" spans="1:18" ht="20" x14ac:dyDescent="0.2">
      <c r="A481" s="58"/>
      <c r="B481" s="151" t="s">
        <v>2272</v>
      </c>
      <c r="C481" s="51" t="s">
        <v>3670</v>
      </c>
      <c r="D481" s="33" t="s">
        <v>106</v>
      </c>
      <c r="E481" s="33"/>
      <c r="F481" s="33"/>
      <c r="G481" s="33" t="s">
        <v>2876</v>
      </c>
      <c r="H481" s="33"/>
      <c r="I481" s="99"/>
      <c r="J481" s="99"/>
      <c r="K481" s="69"/>
      <c r="L481" s="69"/>
      <c r="M481" s="69"/>
      <c r="N481" s="69"/>
      <c r="O481" s="69"/>
      <c r="P481" s="19"/>
      <c r="Q481" s="19"/>
      <c r="R481" s="99">
        <v>477</v>
      </c>
    </row>
    <row r="482" spans="1:18" ht="20" x14ac:dyDescent="0.2">
      <c r="A482" s="58"/>
      <c r="B482" s="151" t="s">
        <v>1827</v>
      </c>
      <c r="C482" s="51" t="s">
        <v>3212</v>
      </c>
      <c r="D482" s="33" t="s">
        <v>106</v>
      </c>
      <c r="E482" s="33"/>
      <c r="F482" s="33"/>
      <c r="G482" s="33" t="s">
        <v>2876</v>
      </c>
      <c r="H482" s="237" t="s">
        <v>1545</v>
      </c>
      <c r="I482" s="290">
        <v>66</v>
      </c>
      <c r="J482" s="290">
        <v>12</v>
      </c>
      <c r="K482" s="1">
        <v>46.7</v>
      </c>
      <c r="L482" s="1">
        <v>55.3</v>
      </c>
      <c r="M482" s="131">
        <v>0.9</v>
      </c>
      <c r="N482" s="1">
        <f t="shared" ref="N482:O484" si="46">K482*$M482</f>
        <v>42.03</v>
      </c>
      <c r="O482" s="1">
        <f t="shared" si="46"/>
        <v>49.769999999999996</v>
      </c>
      <c r="P482" s="19"/>
      <c r="Q482" s="19"/>
      <c r="R482" s="99">
        <v>478</v>
      </c>
    </row>
    <row r="483" spans="1:18" ht="20" x14ac:dyDescent="0.2">
      <c r="A483" s="58"/>
      <c r="B483" s="151" t="s">
        <v>1827</v>
      </c>
      <c r="C483" s="51" t="s">
        <v>3212</v>
      </c>
      <c r="D483" s="33" t="s">
        <v>106</v>
      </c>
      <c r="E483" s="33"/>
      <c r="F483" s="33"/>
      <c r="G483" s="33" t="s">
        <v>2876</v>
      </c>
      <c r="H483" s="237" t="s">
        <v>1549</v>
      </c>
      <c r="I483" s="290">
        <v>66</v>
      </c>
      <c r="J483" s="290">
        <v>12</v>
      </c>
      <c r="K483" s="1">
        <v>46.7</v>
      </c>
      <c r="L483" s="1">
        <v>55.3</v>
      </c>
      <c r="M483" s="131">
        <v>0.9</v>
      </c>
      <c r="N483" s="1">
        <f t="shared" si="46"/>
        <v>42.03</v>
      </c>
      <c r="O483" s="1">
        <f t="shared" si="46"/>
        <v>49.769999999999996</v>
      </c>
      <c r="P483" s="19"/>
      <c r="Q483" s="19"/>
      <c r="R483" s="99">
        <v>479</v>
      </c>
    </row>
    <row r="484" spans="1:18" ht="20" x14ac:dyDescent="0.2">
      <c r="A484" s="58"/>
      <c r="B484" s="151" t="s">
        <v>1827</v>
      </c>
      <c r="C484" s="51" t="s">
        <v>3212</v>
      </c>
      <c r="D484" s="33" t="s">
        <v>106</v>
      </c>
      <c r="E484" s="33"/>
      <c r="F484" s="33"/>
      <c r="G484" s="33" t="s">
        <v>2876</v>
      </c>
      <c r="H484" s="237" t="s">
        <v>1550</v>
      </c>
      <c r="I484" s="290">
        <v>66</v>
      </c>
      <c r="J484" s="290">
        <v>12</v>
      </c>
      <c r="K484" s="1">
        <v>46.7</v>
      </c>
      <c r="L484" s="1">
        <v>55.3</v>
      </c>
      <c r="M484" s="131">
        <v>0.9</v>
      </c>
      <c r="N484" s="1">
        <f t="shared" si="46"/>
        <v>42.03</v>
      </c>
      <c r="O484" s="1">
        <f t="shared" si="46"/>
        <v>49.769999999999996</v>
      </c>
      <c r="P484" s="19"/>
      <c r="Q484" s="19"/>
      <c r="R484" s="99">
        <v>480</v>
      </c>
    </row>
    <row r="485" spans="1:18" ht="20" x14ac:dyDescent="0.2">
      <c r="A485" s="58"/>
      <c r="B485" s="151" t="s">
        <v>1828</v>
      </c>
      <c r="C485" s="51" t="s">
        <v>3149</v>
      </c>
      <c r="D485" s="33" t="s">
        <v>106</v>
      </c>
      <c r="E485" s="33">
        <v>55.982571200000002</v>
      </c>
      <c r="F485" s="33">
        <v>-121.99496980000001</v>
      </c>
      <c r="G485" s="33" t="s">
        <v>2876</v>
      </c>
      <c r="H485" s="33"/>
      <c r="I485" s="236"/>
      <c r="J485" s="236"/>
      <c r="K485" s="69"/>
      <c r="L485" s="69"/>
      <c r="M485" s="69"/>
      <c r="N485" s="69"/>
      <c r="O485" s="69"/>
      <c r="P485" s="19"/>
      <c r="Q485" s="19"/>
      <c r="R485" s="99">
        <v>481</v>
      </c>
    </row>
    <row r="486" spans="1:18" ht="20" x14ac:dyDescent="0.2">
      <c r="A486" s="58"/>
      <c r="B486" s="151" t="s">
        <v>2271</v>
      </c>
      <c r="C486" s="51" t="s">
        <v>3669</v>
      </c>
      <c r="D486" s="33" t="s">
        <v>106</v>
      </c>
      <c r="E486" s="33"/>
      <c r="F486" s="33"/>
      <c r="G486" s="33" t="s">
        <v>2876</v>
      </c>
      <c r="H486" s="33"/>
      <c r="I486" s="99"/>
      <c r="J486" s="99"/>
      <c r="K486" s="69"/>
      <c r="L486" s="69"/>
      <c r="M486" s="69"/>
      <c r="N486" s="69"/>
      <c r="O486" s="69"/>
      <c r="P486" s="19"/>
      <c r="Q486" s="19"/>
      <c r="R486" s="99">
        <v>482</v>
      </c>
    </row>
    <row r="487" spans="1:18" ht="20" x14ac:dyDescent="0.2">
      <c r="A487" s="58"/>
      <c r="B487" s="151" t="s">
        <v>1829</v>
      </c>
      <c r="C487" s="51" t="s">
        <v>3497</v>
      </c>
      <c r="D487" s="33" t="s">
        <v>106</v>
      </c>
      <c r="E487" s="33"/>
      <c r="F487" s="33"/>
      <c r="G487" s="33" t="s">
        <v>2876</v>
      </c>
      <c r="H487" s="237" t="s">
        <v>1545</v>
      </c>
      <c r="I487" s="2">
        <v>66</v>
      </c>
      <c r="J487" s="2">
        <v>25</v>
      </c>
      <c r="K487" s="1">
        <v>10</v>
      </c>
      <c r="L487" s="1">
        <v>12</v>
      </c>
      <c r="M487" s="131">
        <v>0.9</v>
      </c>
      <c r="N487" s="1">
        <f t="shared" ref="N487:O493" si="47">K487*$M487</f>
        <v>9</v>
      </c>
      <c r="O487" s="1">
        <f t="shared" si="47"/>
        <v>10.8</v>
      </c>
      <c r="P487" s="19"/>
      <c r="Q487" s="19"/>
      <c r="R487" s="99">
        <v>483</v>
      </c>
    </row>
    <row r="488" spans="1:18" ht="20" x14ac:dyDescent="0.2">
      <c r="A488" s="58"/>
      <c r="B488" s="151" t="s">
        <v>134</v>
      </c>
      <c r="C488" s="51" t="s">
        <v>3498</v>
      </c>
      <c r="D488" s="33" t="s">
        <v>106</v>
      </c>
      <c r="E488" s="33"/>
      <c r="F488" s="33"/>
      <c r="G488" s="33" t="s">
        <v>2876</v>
      </c>
      <c r="H488" s="237" t="s">
        <v>1545</v>
      </c>
      <c r="I488" s="2">
        <v>230</v>
      </c>
      <c r="J488" s="2">
        <v>25</v>
      </c>
      <c r="K488" s="1">
        <v>18.8</v>
      </c>
      <c r="L488" s="1">
        <v>22.5</v>
      </c>
      <c r="M488" s="131">
        <v>0.9</v>
      </c>
      <c r="N488" s="1">
        <f t="shared" si="47"/>
        <v>16.920000000000002</v>
      </c>
      <c r="O488" s="1">
        <f t="shared" si="47"/>
        <v>20.25</v>
      </c>
      <c r="P488" s="19"/>
      <c r="Q488" s="19"/>
      <c r="R488" s="99">
        <v>484</v>
      </c>
    </row>
    <row r="489" spans="1:18" ht="20" x14ac:dyDescent="0.2">
      <c r="A489" s="58"/>
      <c r="B489" s="151" t="s">
        <v>134</v>
      </c>
      <c r="C489" s="51" t="s">
        <v>3498</v>
      </c>
      <c r="D489" s="33" t="s">
        <v>106</v>
      </c>
      <c r="E489" s="33"/>
      <c r="F489" s="33"/>
      <c r="G489" s="33" t="s">
        <v>2876</v>
      </c>
      <c r="H489" s="237" t="s">
        <v>1549</v>
      </c>
      <c r="I489" s="2">
        <v>230</v>
      </c>
      <c r="J489" s="2">
        <v>25</v>
      </c>
      <c r="K489" s="1">
        <v>18.8</v>
      </c>
      <c r="L489" s="1">
        <v>22.5</v>
      </c>
      <c r="M489" s="131">
        <v>0.9</v>
      </c>
      <c r="N489" s="1">
        <f t="shared" si="47"/>
        <v>16.920000000000002</v>
      </c>
      <c r="O489" s="1">
        <f t="shared" si="47"/>
        <v>20.25</v>
      </c>
      <c r="P489" s="19"/>
      <c r="Q489" s="19"/>
      <c r="R489" s="99">
        <v>485</v>
      </c>
    </row>
    <row r="490" spans="1:18" ht="20" x14ac:dyDescent="0.2">
      <c r="A490" s="58"/>
      <c r="B490" s="151" t="s">
        <v>1830</v>
      </c>
      <c r="C490" s="51" t="s">
        <v>3307</v>
      </c>
      <c r="D490" s="33" t="s">
        <v>106</v>
      </c>
      <c r="E490" s="33"/>
      <c r="F490" s="33"/>
      <c r="G490" s="33" t="s">
        <v>2876</v>
      </c>
      <c r="H490" s="237" t="s">
        <v>1545</v>
      </c>
      <c r="I490" s="2">
        <v>138</v>
      </c>
      <c r="J490" s="2">
        <v>25</v>
      </c>
      <c r="K490" s="1">
        <v>28</v>
      </c>
      <c r="L490" s="1">
        <v>33.25</v>
      </c>
      <c r="M490" s="131">
        <v>0.9</v>
      </c>
      <c r="N490" s="1">
        <f t="shared" si="47"/>
        <v>25.2</v>
      </c>
      <c r="O490" s="1">
        <f t="shared" si="47"/>
        <v>29.925000000000001</v>
      </c>
      <c r="P490" s="19"/>
      <c r="Q490" s="19"/>
      <c r="R490" s="99">
        <v>486</v>
      </c>
    </row>
    <row r="491" spans="1:18" ht="20" x14ac:dyDescent="0.2">
      <c r="A491" s="58"/>
      <c r="B491" s="151" t="s">
        <v>1830</v>
      </c>
      <c r="C491" s="51" t="s">
        <v>3307</v>
      </c>
      <c r="D491" s="33" t="s">
        <v>106</v>
      </c>
      <c r="E491" s="33"/>
      <c r="F491" s="33"/>
      <c r="G491" s="33" t="s">
        <v>2876</v>
      </c>
      <c r="H491" s="237" t="s">
        <v>1550</v>
      </c>
      <c r="I491" s="2">
        <v>138</v>
      </c>
      <c r="J491" s="2">
        <v>25</v>
      </c>
      <c r="K491" s="1">
        <v>17.43</v>
      </c>
      <c r="L491" s="1">
        <v>22.08</v>
      </c>
      <c r="M491" s="131">
        <v>0.9</v>
      </c>
      <c r="N491" s="1">
        <f t="shared" si="47"/>
        <v>15.686999999999999</v>
      </c>
      <c r="O491" s="1">
        <f t="shared" si="47"/>
        <v>19.872</v>
      </c>
      <c r="P491" s="19"/>
      <c r="Q491" s="19"/>
      <c r="R491" s="99">
        <v>487</v>
      </c>
    </row>
    <row r="492" spans="1:18" ht="20" x14ac:dyDescent="0.2">
      <c r="A492" s="58"/>
      <c r="B492" s="151" t="s">
        <v>155</v>
      </c>
      <c r="C492" s="51" t="s">
        <v>3405</v>
      </c>
      <c r="D492" s="33" t="s">
        <v>106</v>
      </c>
      <c r="E492" s="33"/>
      <c r="F492" s="33"/>
      <c r="G492" s="33" t="s">
        <v>2876</v>
      </c>
      <c r="H492" s="237" t="s">
        <v>1545</v>
      </c>
      <c r="I492" s="2">
        <v>138</v>
      </c>
      <c r="J492" s="2">
        <v>25</v>
      </c>
      <c r="K492" s="1">
        <v>25</v>
      </c>
      <c r="L492" s="1">
        <v>30</v>
      </c>
      <c r="M492" s="131">
        <v>0.9</v>
      </c>
      <c r="N492" s="1">
        <f t="shared" si="47"/>
        <v>22.5</v>
      </c>
      <c r="O492" s="1">
        <f t="shared" si="47"/>
        <v>27</v>
      </c>
      <c r="P492" s="19"/>
      <c r="Q492" s="19"/>
      <c r="R492" s="99">
        <v>488</v>
      </c>
    </row>
    <row r="493" spans="1:18" ht="20" x14ac:dyDescent="0.2">
      <c r="A493" s="58"/>
      <c r="B493" s="151" t="s">
        <v>155</v>
      </c>
      <c r="C493" s="51" t="s">
        <v>3405</v>
      </c>
      <c r="D493" s="33" t="s">
        <v>106</v>
      </c>
      <c r="E493" s="33"/>
      <c r="F493" s="33"/>
      <c r="G493" s="33" t="s">
        <v>2876</v>
      </c>
      <c r="H493" s="237" t="s">
        <v>1549</v>
      </c>
      <c r="I493" s="2">
        <v>138</v>
      </c>
      <c r="J493" s="2">
        <v>25</v>
      </c>
      <c r="K493" s="1">
        <v>25</v>
      </c>
      <c r="L493" s="1">
        <v>30</v>
      </c>
      <c r="M493" s="131">
        <v>0.9</v>
      </c>
      <c r="N493" s="1">
        <f t="shared" si="47"/>
        <v>22.5</v>
      </c>
      <c r="O493" s="1">
        <f t="shared" si="47"/>
        <v>27</v>
      </c>
      <c r="P493" s="19"/>
      <c r="Q493" s="19"/>
      <c r="R493" s="99">
        <v>489</v>
      </c>
    </row>
    <row r="494" spans="1:18" ht="20" x14ac:dyDescent="0.2">
      <c r="A494" s="58"/>
      <c r="B494" s="151" t="s">
        <v>1831</v>
      </c>
      <c r="C494" s="51" t="s">
        <v>3308</v>
      </c>
      <c r="D494" s="33" t="s">
        <v>106</v>
      </c>
      <c r="E494" s="33"/>
      <c r="F494" s="33"/>
      <c r="G494" s="33" t="s">
        <v>2876</v>
      </c>
      <c r="H494" s="33"/>
      <c r="I494" s="99"/>
      <c r="J494" s="99"/>
      <c r="K494" s="69"/>
      <c r="L494" s="69"/>
      <c r="M494" s="69"/>
      <c r="N494" s="69"/>
      <c r="O494" s="69"/>
      <c r="P494" s="19"/>
      <c r="Q494" s="19"/>
      <c r="R494" s="99">
        <v>490</v>
      </c>
    </row>
    <row r="495" spans="1:18" ht="20" x14ac:dyDescent="0.2">
      <c r="A495" s="58"/>
      <c r="B495" s="151" t="s">
        <v>2320</v>
      </c>
      <c r="C495" s="51" t="s">
        <v>3110</v>
      </c>
      <c r="D495" s="33" t="s">
        <v>106</v>
      </c>
      <c r="E495" s="33"/>
      <c r="F495" s="33"/>
      <c r="G495" s="33" t="s">
        <v>2876</v>
      </c>
      <c r="H495" s="33"/>
      <c r="I495" s="236"/>
      <c r="J495" s="236"/>
      <c r="K495" s="69"/>
      <c r="L495" s="69"/>
      <c r="M495" s="69"/>
      <c r="N495" s="69"/>
      <c r="O495" s="69"/>
      <c r="P495" s="19"/>
      <c r="Q495" s="19"/>
      <c r="R495" s="99">
        <v>491</v>
      </c>
    </row>
    <row r="496" spans="1:18" ht="20" x14ac:dyDescent="0.2">
      <c r="A496" s="58"/>
      <c r="B496" s="151" t="s">
        <v>1832</v>
      </c>
      <c r="C496" s="51" t="s">
        <v>3309</v>
      </c>
      <c r="D496" s="33" t="s">
        <v>106</v>
      </c>
      <c r="E496" s="33"/>
      <c r="F496" s="33"/>
      <c r="G496" s="33" t="s">
        <v>2876</v>
      </c>
      <c r="H496" s="237" t="s">
        <v>1545</v>
      </c>
      <c r="I496" s="2">
        <v>60</v>
      </c>
      <c r="J496" s="2">
        <v>25</v>
      </c>
      <c r="K496" s="1">
        <v>79</v>
      </c>
      <c r="L496" s="1">
        <v>100</v>
      </c>
      <c r="M496" s="131">
        <v>0.9</v>
      </c>
      <c r="N496" s="1">
        <f>K496*$M496</f>
        <v>71.100000000000009</v>
      </c>
      <c r="O496" s="1">
        <f>L496*$M496</f>
        <v>90</v>
      </c>
      <c r="P496" s="19"/>
      <c r="Q496" s="19"/>
      <c r="R496" s="99">
        <v>492</v>
      </c>
    </row>
    <row r="497" spans="1:18" ht="20" x14ac:dyDescent="0.2">
      <c r="A497" s="58"/>
      <c r="B497" s="151" t="s">
        <v>1832</v>
      </c>
      <c r="C497" s="51" t="s">
        <v>3309</v>
      </c>
      <c r="D497" s="33" t="s">
        <v>106</v>
      </c>
      <c r="E497" s="33"/>
      <c r="F497" s="33"/>
      <c r="G497" s="33" t="s">
        <v>2876</v>
      </c>
      <c r="H497" s="237" t="s">
        <v>1549</v>
      </c>
      <c r="I497" s="2">
        <v>60</v>
      </c>
      <c r="J497" s="2">
        <v>25</v>
      </c>
      <c r="K497" s="1">
        <v>79</v>
      </c>
      <c r="L497" s="1">
        <v>100</v>
      </c>
      <c r="M497" s="131">
        <v>0.9</v>
      </c>
      <c r="N497" s="1">
        <f>K497*$M497</f>
        <v>71.100000000000009</v>
      </c>
      <c r="O497" s="1">
        <f>L497*$M497</f>
        <v>90</v>
      </c>
      <c r="P497" s="19"/>
      <c r="Q497" s="19"/>
      <c r="R497" s="99">
        <v>493</v>
      </c>
    </row>
    <row r="498" spans="1:18" ht="20" x14ac:dyDescent="0.2">
      <c r="A498" s="58"/>
      <c r="B498" s="151" t="s">
        <v>1833</v>
      </c>
      <c r="C498" s="51" t="s">
        <v>3499</v>
      </c>
      <c r="D498" s="33" t="s">
        <v>106</v>
      </c>
      <c r="E498" s="33"/>
      <c r="F498" s="33"/>
      <c r="G498" s="33" t="s">
        <v>2876</v>
      </c>
      <c r="H498" s="33"/>
      <c r="I498" s="99"/>
      <c r="J498" s="99"/>
      <c r="K498" s="69"/>
      <c r="L498" s="69"/>
      <c r="M498" s="69"/>
      <c r="N498" s="69"/>
      <c r="O498" s="69"/>
      <c r="P498" s="19"/>
      <c r="Q498" s="19"/>
      <c r="R498" s="99">
        <v>494</v>
      </c>
    </row>
    <row r="499" spans="1:18" ht="20" x14ac:dyDescent="0.2">
      <c r="A499" s="58"/>
      <c r="B499" s="151" t="s">
        <v>1834</v>
      </c>
      <c r="C499" s="51" t="s">
        <v>3500</v>
      </c>
      <c r="D499" s="33" t="s">
        <v>106</v>
      </c>
      <c r="E499" s="33"/>
      <c r="F499" s="33"/>
      <c r="G499" s="33" t="s">
        <v>2876</v>
      </c>
      <c r="H499" s="33"/>
      <c r="I499" s="99"/>
      <c r="J499" s="99"/>
      <c r="K499" s="69"/>
      <c r="L499" s="69"/>
      <c r="M499" s="69"/>
      <c r="N499" s="69"/>
      <c r="O499" s="69"/>
      <c r="P499" s="19"/>
      <c r="Q499" s="19"/>
      <c r="R499" s="99">
        <v>495</v>
      </c>
    </row>
    <row r="500" spans="1:18" ht="20" x14ac:dyDescent="0.2">
      <c r="A500" s="58"/>
      <c r="B500" s="151" t="s">
        <v>1835</v>
      </c>
      <c r="C500" s="51" t="s">
        <v>3622</v>
      </c>
      <c r="D500" s="33" t="s">
        <v>106</v>
      </c>
      <c r="E500" s="33"/>
      <c r="F500" s="33"/>
      <c r="G500" s="33" t="s">
        <v>2876</v>
      </c>
      <c r="H500" s="33"/>
      <c r="I500" s="99"/>
      <c r="J500" s="99"/>
      <c r="K500" s="69"/>
      <c r="L500" s="69"/>
      <c r="M500" s="69"/>
      <c r="N500" s="69"/>
      <c r="O500" s="69"/>
      <c r="P500" s="19"/>
      <c r="Q500" s="19"/>
      <c r="R500" s="99">
        <v>496</v>
      </c>
    </row>
    <row r="501" spans="1:18" ht="20" x14ac:dyDescent="0.2">
      <c r="A501" s="58"/>
      <c r="B501" s="151" t="s">
        <v>1836</v>
      </c>
      <c r="C501" s="51" t="s">
        <v>3671</v>
      </c>
      <c r="D501" s="33" t="s">
        <v>106</v>
      </c>
      <c r="E501" s="33"/>
      <c r="F501" s="33"/>
      <c r="G501" s="33" t="s">
        <v>2876</v>
      </c>
      <c r="H501" s="33"/>
      <c r="I501" s="99"/>
      <c r="J501" s="99"/>
      <c r="K501" s="69"/>
      <c r="L501" s="69"/>
      <c r="M501" s="69"/>
      <c r="N501" s="69"/>
      <c r="O501" s="69"/>
      <c r="P501" s="19"/>
      <c r="Q501" s="19"/>
      <c r="R501" s="99">
        <v>497</v>
      </c>
    </row>
    <row r="502" spans="1:18" ht="20" x14ac:dyDescent="0.2">
      <c r="A502" s="58"/>
      <c r="B502" s="151" t="s">
        <v>247</v>
      </c>
      <c r="C502" s="51" t="s">
        <v>3501</v>
      </c>
      <c r="D502" s="33" t="s">
        <v>106</v>
      </c>
      <c r="E502" s="33"/>
      <c r="F502" s="33"/>
      <c r="G502" s="33" t="s">
        <v>2876</v>
      </c>
      <c r="H502" s="237" t="s">
        <v>1545</v>
      </c>
      <c r="I502" s="2">
        <v>138</v>
      </c>
      <c r="J502" s="2">
        <v>25</v>
      </c>
      <c r="K502" s="1">
        <v>28</v>
      </c>
      <c r="L502" s="1">
        <v>33.25</v>
      </c>
      <c r="M502" s="131">
        <v>0.9</v>
      </c>
      <c r="N502" s="1">
        <f>K502*$M502</f>
        <v>25.2</v>
      </c>
      <c r="O502" s="1">
        <f>L502*$M502</f>
        <v>29.925000000000001</v>
      </c>
      <c r="P502" s="19"/>
      <c r="Q502" s="19"/>
      <c r="R502" s="99">
        <v>498</v>
      </c>
    </row>
    <row r="503" spans="1:18" ht="20" x14ac:dyDescent="0.2">
      <c r="A503" s="58"/>
      <c r="B503" s="151" t="s">
        <v>247</v>
      </c>
      <c r="C503" s="51" t="s">
        <v>3501</v>
      </c>
      <c r="D503" s="33" t="s">
        <v>106</v>
      </c>
      <c r="E503" s="33"/>
      <c r="F503" s="33"/>
      <c r="G503" s="33" t="s">
        <v>2876</v>
      </c>
      <c r="H503" s="237" t="s">
        <v>1549</v>
      </c>
      <c r="I503" s="2">
        <v>138</v>
      </c>
      <c r="J503" s="2">
        <v>25</v>
      </c>
      <c r="K503" s="1">
        <v>27</v>
      </c>
      <c r="L503" s="1">
        <v>32.9</v>
      </c>
      <c r="M503" s="131">
        <v>0.9</v>
      </c>
      <c r="N503" s="1">
        <f>K503*$M503</f>
        <v>24.3</v>
      </c>
      <c r="O503" s="1">
        <f>L503*$M503</f>
        <v>29.61</v>
      </c>
      <c r="P503" s="19"/>
      <c r="Q503" s="19"/>
      <c r="R503" s="99">
        <v>499</v>
      </c>
    </row>
    <row r="504" spans="1:18" ht="20" x14ac:dyDescent="0.2">
      <c r="A504" s="58"/>
      <c r="B504" s="151" t="s">
        <v>1837</v>
      </c>
      <c r="C504" s="51" t="s">
        <v>3432</v>
      </c>
      <c r="D504" s="33" t="s">
        <v>106</v>
      </c>
      <c r="E504" s="33"/>
      <c r="F504" s="33"/>
      <c r="G504" s="33" t="s">
        <v>2876</v>
      </c>
      <c r="H504" s="33"/>
      <c r="I504" s="236"/>
      <c r="J504" s="236"/>
      <c r="K504" s="69"/>
      <c r="L504" s="69"/>
      <c r="M504" s="69"/>
      <c r="N504" s="69"/>
      <c r="O504" s="69"/>
      <c r="P504" s="19"/>
      <c r="Q504" s="19"/>
      <c r="R504" s="99">
        <v>500</v>
      </c>
    </row>
    <row r="505" spans="1:18" ht="20" x14ac:dyDescent="0.2">
      <c r="A505" s="58"/>
      <c r="B505" s="151" t="s">
        <v>1838</v>
      </c>
      <c r="C505" s="51" t="s">
        <v>3503</v>
      </c>
      <c r="D505" s="33" t="s">
        <v>106</v>
      </c>
      <c r="E505" s="33"/>
      <c r="F505" s="33"/>
      <c r="G505" s="33" t="s">
        <v>2876</v>
      </c>
      <c r="H505" s="237" t="s">
        <v>1545</v>
      </c>
      <c r="I505" s="2">
        <v>66</v>
      </c>
      <c r="J505" s="2">
        <v>25</v>
      </c>
      <c r="K505" s="1">
        <v>14</v>
      </c>
      <c r="L505" s="1">
        <v>17.7</v>
      </c>
      <c r="M505" s="131">
        <v>0.9</v>
      </c>
      <c r="N505" s="1">
        <f>K505*$M505</f>
        <v>12.6</v>
      </c>
      <c r="O505" s="1">
        <f>L505*$M505</f>
        <v>15.93</v>
      </c>
      <c r="P505" s="19"/>
      <c r="Q505" s="19"/>
      <c r="R505" s="99">
        <v>501</v>
      </c>
    </row>
    <row r="506" spans="1:18" ht="20" x14ac:dyDescent="0.2">
      <c r="A506" s="58"/>
      <c r="B506" s="151" t="s">
        <v>1838</v>
      </c>
      <c r="C506" s="51" t="s">
        <v>3503</v>
      </c>
      <c r="D506" s="33" t="s">
        <v>106</v>
      </c>
      <c r="E506" s="33"/>
      <c r="F506" s="33"/>
      <c r="G506" s="33" t="s">
        <v>2876</v>
      </c>
      <c r="H506" s="237" t="s">
        <v>1549</v>
      </c>
      <c r="I506" s="2">
        <v>66</v>
      </c>
      <c r="J506" s="2">
        <v>25</v>
      </c>
      <c r="K506" s="1">
        <v>14</v>
      </c>
      <c r="L506" s="1">
        <v>17.7</v>
      </c>
      <c r="M506" s="131">
        <v>0.9</v>
      </c>
      <c r="N506" s="1">
        <f>K506*$M506</f>
        <v>12.6</v>
      </c>
      <c r="O506" s="1">
        <f>L506*$M506</f>
        <v>15.93</v>
      </c>
      <c r="P506" s="19"/>
      <c r="Q506" s="19"/>
      <c r="R506" s="99">
        <v>502</v>
      </c>
    </row>
    <row r="507" spans="1:18" ht="20" x14ac:dyDescent="0.2">
      <c r="A507" s="58"/>
      <c r="B507" s="151" t="s">
        <v>1839</v>
      </c>
      <c r="C507" s="51" t="s">
        <v>3673</v>
      </c>
      <c r="D507" s="33" t="s">
        <v>106</v>
      </c>
      <c r="E507" s="33"/>
      <c r="F507" s="33"/>
      <c r="G507" s="33" t="s">
        <v>2876</v>
      </c>
      <c r="H507" s="33"/>
      <c r="I507" s="99"/>
      <c r="J507" s="99"/>
      <c r="K507" s="69"/>
      <c r="L507" s="69"/>
      <c r="M507" s="69"/>
      <c r="N507" s="69"/>
      <c r="O507" s="69"/>
      <c r="P507" s="19"/>
      <c r="Q507" s="19"/>
      <c r="R507" s="99">
        <v>503</v>
      </c>
    </row>
    <row r="508" spans="1:18" ht="20" x14ac:dyDescent="0.2">
      <c r="A508" s="58"/>
      <c r="B508" s="151" t="s">
        <v>2652</v>
      </c>
      <c r="C508" s="51" t="s">
        <v>3312</v>
      </c>
      <c r="D508" s="33" t="s">
        <v>106</v>
      </c>
      <c r="E508" s="33"/>
      <c r="F508" s="33"/>
      <c r="G508" s="33" t="s">
        <v>2876</v>
      </c>
      <c r="H508" s="33"/>
      <c r="I508" s="99"/>
      <c r="J508" s="99"/>
      <c r="K508" s="69"/>
      <c r="L508" s="69"/>
      <c r="M508" s="69"/>
      <c r="N508" s="69"/>
      <c r="O508" s="69"/>
      <c r="P508" s="19"/>
      <c r="Q508" s="19"/>
      <c r="R508" s="99">
        <v>504</v>
      </c>
    </row>
    <row r="509" spans="1:18" ht="20" x14ac:dyDescent="0.2">
      <c r="A509" s="58"/>
      <c r="B509" s="151" t="s">
        <v>1840</v>
      </c>
      <c r="C509" s="51" t="s">
        <v>3188</v>
      </c>
      <c r="D509" s="33" t="s">
        <v>106</v>
      </c>
      <c r="E509" s="33"/>
      <c r="F509" s="33"/>
      <c r="G509" s="33" t="s">
        <v>2876</v>
      </c>
      <c r="H509" s="33"/>
      <c r="I509" s="236"/>
      <c r="J509" s="236"/>
      <c r="K509" s="69"/>
      <c r="L509" s="69"/>
      <c r="M509" s="69"/>
      <c r="N509" s="69"/>
      <c r="O509" s="69"/>
      <c r="P509" s="19"/>
      <c r="Q509" s="19"/>
      <c r="R509" s="99">
        <v>505</v>
      </c>
    </row>
    <row r="510" spans="1:18" ht="20" x14ac:dyDescent="0.2">
      <c r="A510" s="58"/>
      <c r="B510" s="151" t="s">
        <v>1841</v>
      </c>
      <c r="C510" s="51" t="s">
        <v>3642</v>
      </c>
      <c r="D510" s="33" t="s">
        <v>106</v>
      </c>
      <c r="E510" s="33"/>
      <c r="F510" s="33"/>
      <c r="G510" s="33" t="s">
        <v>2876</v>
      </c>
      <c r="H510" s="33"/>
      <c r="I510" s="99"/>
      <c r="J510" s="99"/>
      <c r="K510" s="69"/>
      <c r="L510" s="69"/>
      <c r="M510" s="69"/>
      <c r="N510" s="69"/>
      <c r="O510" s="69"/>
      <c r="P510" s="19"/>
      <c r="Q510" s="19"/>
      <c r="R510" s="99">
        <v>506</v>
      </c>
    </row>
    <row r="511" spans="1:18" ht="20" x14ac:dyDescent="0.2">
      <c r="A511" s="58"/>
      <c r="B511" s="151" t="s">
        <v>1842</v>
      </c>
      <c r="C511" s="51" t="s">
        <v>3505</v>
      </c>
      <c r="D511" s="33" t="s">
        <v>106</v>
      </c>
      <c r="E511" s="33"/>
      <c r="F511" s="33"/>
      <c r="G511" s="33" t="s">
        <v>2876</v>
      </c>
      <c r="H511" s="237" t="s">
        <v>1545</v>
      </c>
      <c r="I511" s="2">
        <v>60</v>
      </c>
      <c r="J511" s="2">
        <v>12</v>
      </c>
      <c r="K511" s="1">
        <v>3.8</v>
      </c>
      <c r="L511" s="1">
        <v>4.5</v>
      </c>
      <c r="M511" s="131">
        <v>0.9</v>
      </c>
      <c r="N511" s="1">
        <f>K511*$M511</f>
        <v>3.42</v>
      </c>
      <c r="O511" s="1">
        <f>L511*$M511</f>
        <v>4.05</v>
      </c>
      <c r="P511" s="19"/>
      <c r="Q511" s="19"/>
      <c r="R511" s="99">
        <v>507</v>
      </c>
    </row>
    <row r="512" spans="1:18" ht="20" x14ac:dyDescent="0.2">
      <c r="A512" s="58"/>
      <c r="B512" s="151" t="s">
        <v>2321</v>
      </c>
      <c r="C512" s="51" t="s">
        <v>3150</v>
      </c>
      <c r="D512" s="33" t="s">
        <v>106</v>
      </c>
      <c r="E512" s="33">
        <v>49.9256113</v>
      </c>
      <c r="F512" s="33">
        <v>-120.10928079999999</v>
      </c>
      <c r="G512" s="33" t="s">
        <v>2876</v>
      </c>
      <c r="H512" s="33"/>
      <c r="I512" s="236"/>
      <c r="J512" s="236"/>
      <c r="K512" s="69"/>
      <c r="L512" s="69"/>
      <c r="M512" s="69"/>
      <c r="N512" s="69"/>
      <c r="O512" s="69"/>
      <c r="P512" s="19"/>
      <c r="Q512" s="19"/>
      <c r="R512" s="99">
        <v>508</v>
      </c>
    </row>
    <row r="513" spans="1:18" ht="20" x14ac:dyDescent="0.2">
      <c r="A513" s="58"/>
      <c r="B513" s="151" t="s">
        <v>1843</v>
      </c>
      <c r="C513" s="51" t="s">
        <v>3506</v>
      </c>
      <c r="D513" s="33" t="s">
        <v>106</v>
      </c>
      <c r="E513" s="33"/>
      <c r="F513" s="33"/>
      <c r="G513" s="33" t="s">
        <v>2876</v>
      </c>
      <c r="H513" s="237" t="s">
        <v>1545</v>
      </c>
      <c r="I513" s="2">
        <v>60</v>
      </c>
      <c r="J513" s="2">
        <v>12</v>
      </c>
      <c r="K513" s="1">
        <v>0.2</v>
      </c>
      <c r="L513" s="1">
        <v>0.24</v>
      </c>
      <c r="M513" s="131">
        <v>0.9</v>
      </c>
      <c r="N513" s="1">
        <f t="shared" ref="N513:N526" si="48">K513*$M513</f>
        <v>0.18000000000000002</v>
      </c>
      <c r="O513" s="1">
        <f t="shared" ref="O513:O526" si="49">L513*$M513</f>
        <v>0.216</v>
      </c>
      <c r="P513" s="19"/>
      <c r="Q513" s="19"/>
      <c r="R513" s="99">
        <v>509</v>
      </c>
    </row>
    <row r="514" spans="1:18" ht="20" x14ac:dyDescent="0.2">
      <c r="A514" s="58"/>
      <c r="B514" s="151" t="s">
        <v>1844</v>
      </c>
      <c r="C514" s="51" t="s">
        <v>3724</v>
      </c>
      <c r="D514" s="33" t="s">
        <v>106</v>
      </c>
      <c r="E514" s="33">
        <v>49.6649648</v>
      </c>
      <c r="F514" s="33">
        <v>-125.0939051</v>
      </c>
      <c r="G514" s="33" t="s">
        <v>2876</v>
      </c>
      <c r="H514" s="237" t="s">
        <v>1550</v>
      </c>
      <c r="I514" s="2">
        <v>138</v>
      </c>
      <c r="J514" s="2">
        <v>25</v>
      </c>
      <c r="K514" s="1">
        <v>50</v>
      </c>
      <c r="L514" s="1">
        <v>61.1</v>
      </c>
      <c r="M514" s="131">
        <v>0.9</v>
      </c>
      <c r="N514" s="1">
        <f t="shared" si="48"/>
        <v>45</v>
      </c>
      <c r="O514" s="1">
        <f t="shared" si="49"/>
        <v>54.99</v>
      </c>
      <c r="P514" s="19"/>
      <c r="Q514" s="19"/>
      <c r="R514" s="99">
        <v>510</v>
      </c>
    </row>
    <row r="515" spans="1:18" ht="20" x14ac:dyDescent="0.2">
      <c r="A515" s="58"/>
      <c r="B515" s="151" t="s">
        <v>1844</v>
      </c>
      <c r="C515" s="51" t="s">
        <v>3724</v>
      </c>
      <c r="D515" s="33" t="s">
        <v>106</v>
      </c>
      <c r="E515" s="33">
        <v>49.6649648</v>
      </c>
      <c r="F515" s="33">
        <v>-125.0939051</v>
      </c>
      <c r="G515" s="33" t="s">
        <v>2876</v>
      </c>
      <c r="H515" s="237" t="s">
        <v>1546</v>
      </c>
      <c r="I515" s="2">
        <v>138</v>
      </c>
      <c r="J515" s="2">
        <v>25</v>
      </c>
      <c r="K515" s="1">
        <v>52.5</v>
      </c>
      <c r="L515" s="1">
        <v>66.5</v>
      </c>
      <c r="M515" s="131">
        <v>0.9</v>
      </c>
      <c r="N515" s="1">
        <f t="shared" si="48"/>
        <v>47.25</v>
      </c>
      <c r="O515" s="1">
        <f t="shared" si="49"/>
        <v>59.85</v>
      </c>
      <c r="P515" s="19"/>
      <c r="Q515" s="19"/>
      <c r="R515" s="99">
        <v>511</v>
      </c>
    </row>
    <row r="516" spans="1:18" ht="20" x14ac:dyDescent="0.2">
      <c r="A516" s="58"/>
      <c r="B516" s="151" t="s">
        <v>1845</v>
      </c>
      <c r="C516" s="51" t="s">
        <v>3507</v>
      </c>
      <c r="D516" s="33" t="s">
        <v>106</v>
      </c>
      <c r="E516" s="33"/>
      <c r="F516" s="33"/>
      <c r="G516" s="33" t="s">
        <v>2876</v>
      </c>
      <c r="H516" s="237" t="s">
        <v>1545</v>
      </c>
      <c r="I516" s="2">
        <v>138</v>
      </c>
      <c r="J516" s="2">
        <v>25</v>
      </c>
      <c r="K516" s="1">
        <v>78.8</v>
      </c>
      <c r="L516" s="1">
        <v>95.2</v>
      </c>
      <c r="M516" s="131">
        <v>0.9</v>
      </c>
      <c r="N516" s="1">
        <f t="shared" si="48"/>
        <v>70.92</v>
      </c>
      <c r="O516" s="1">
        <f t="shared" si="49"/>
        <v>85.68</v>
      </c>
      <c r="P516" s="19"/>
      <c r="Q516" s="19"/>
      <c r="R516" s="99">
        <v>512</v>
      </c>
    </row>
    <row r="517" spans="1:18" ht="20" x14ac:dyDescent="0.2">
      <c r="A517" s="58"/>
      <c r="B517" s="151" t="s">
        <v>1845</v>
      </c>
      <c r="C517" s="51" t="s">
        <v>3507</v>
      </c>
      <c r="D517" s="33" t="s">
        <v>106</v>
      </c>
      <c r="E517" s="33"/>
      <c r="F517" s="33"/>
      <c r="G517" s="33" t="s">
        <v>2876</v>
      </c>
      <c r="H517" s="237" t="s">
        <v>1549</v>
      </c>
      <c r="I517" s="2">
        <v>138</v>
      </c>
      <c r="J517" s="2">
        <v>25</v>
      </c>
      <c r="K517" s="1">
        <v>80.599999999999994</v>
      </c>
      <c r="L517" s="1">
        <v>98.33</v>
      </c>
      <c r="M517" s="131">
        <v>0.9</v>
      </c>
      <c r="N517" s="1">
        <f t="shared" si="48"/>
        <v>72.539999999999992</v>
      </c>
      <c r="O517" s="1">
        <f t="shared" si="49"/>
        <v>88.497</v>
      </c>
      <c r="P517" s="19"/>
      <c r="Q517" s="19"/>
      <c r="R517" s="99">
        <v>513</v>
      </c>
    </row>
    <row r="518" spans="1:18" ht="20" x14ac:dyDescent="0.2">
      <c r="A518" s="58"/>
      <c r="B518" s="151" t="s">
        <v>1846</v>
      </c>
      <c r="C518" s="51" t="s">
        <v>3313</v>
      </c>
      <c r="D518" s="33" t="s">
        <v>106</v>
      </c>
      <c r="E518" s="33"/>
      <c r="F518" s="33"/>
      <c r="G518" s="33" t="s">
        <v>2876</v>
      </c>
      <c r="H518" s="237" t="s">
        <v>1550</v>
      </c>
      <c r="I518" s="2">
        <v>138</v>
      </c>
      <c r="J518" s="2">
        <v>25</v>
      </c>
      <c r="K518" s="1">
        <v>59</v>
      </c>
      <c r="L518" s="1">
        <v>72.5</v>
      </c>
      <c r="M518" s="131">
        <v>0.9</v>
      </c>
      <c r="N518" s="1">
        <f t="shared" si="48"/>
        <v>53.1</v>
      </c>
      <c r="O518" s="1">
        <f t="shared" si="49"/>
        <v>65.25</v>
      </c>
      <c r="P518" s="19"/>
      <c r="Q518" s="19"/>
      <c r="R518" s="99">
        <v>514</v>
      </c>
    </row>
    <row r="519" spans="1:18" ht="20" x14ac:dyDescent="0.2">
      <c r="A519" s="58"/>
      <c r="B519" s="151" t="s">
        <v>1846</v>
      </c>
      <c r="C519" s="51" t="s">
        <v>3313</v>
      </c>
      <c r="D519" s="33" t="s">
        <v>106</v>
      </c>
      <c r="E519" s="33"/>
      <c r="F519" s="33"/>
      <c r="G519" s="33" t="s">
        <v>2876</v>
      </c>
      <c r="H519" s="237" t="s">
        <v>1546</v>
      </c>
      <c r="I519" s="2">
        <v>138</v>
      </c>
      <c r="J519" s="2">
        <v>25</v>
      </c>
      <c r="K519" s="1">
        <v>59</v>
      </c>
      <c r="L519" s="1">
        <v>72.5</v>
      </c>
      <c r="M519" s="131">
        <v>0.9</v>
      </c>
      <c r="N519" s="1">
        <f t="shared" si="48"/>
        <v>53.1</v>
      </c>
      <c r="O519" s="1">
        <f t="shared" si="49"/>
        <v>65.25</v>
      </c>
      <c r="P519" s="19"/>
      <c r="Q519" s="19"/>
      <c r="R519" s="99">
        <v>515</v>
      </c>
    </row>
    <row r="520" spans="1:18" ht="20" x14ac:dyDescent="0.2">
      <c r="A520" s="58"/>
      <c r="B520" s="151" t="s">
        <v>1847</v>
      </c>
      <c r="C520" s="51" t="s">
        <v>3509</v>
      </c>
      <c r="D520" s="33" t="s">
        <v>106</v>
      </c>
      <c r="E520" s="33"/>
      <c r="F520" s="33"/>
      <c r="G520" s="33" t="s">
        <v>2876</v>
      </c>
      <c r="H520" s="237" t="s">
        <v>1545</v>
      </c>
      <c r="I520" s="2">
        <v>66</v>
      </c>
      <c r="J520" s="2">
        <v>25</v>
      </c>
      <c r="K520" s="1">
        <v>43.8</v>
      </c>
      <c r="L520" s="1">
        <v>52.4</v>
      </c>
      <c r="M520" s="131">
        <v>0.9</v>
      </c>
      <c r="N520" s="1">
        <f t="shared" si="48"/>
        <v>39.42</v>
      </c>
      <c r="O520" s="1">
        <f t="shared" si="49"/>
        <v>47.16</v>
      </c>
      <c r="P520" s="19"/>
      <c r="Q520" s="19"/>
      <c r="R520" s="99">
        <v>516</v>
      </c>
    </row>
    <row r="521" spans="1:18" ht="20" x14ac:dyDescent="0.2">
      <c r="A521" s="58"/>
      <c r="B521" s="151" t="s">
        <v>1847</v>
      </c>
      <c r="C521" s="51" t="s">
        <v>3509</v>
      </c>
      <c r="D521" s="33" t="s">
        <v>106</v>
      </c>
      <c r="E521" s="33"/>
      <c r="F521" s="33"/>
      <c r="G521" s="33" t="s">
        <v>2876</v>
      </c>
      <c r="H521" s="237" t="s">
        <v>1549</v>
      </c>
      <c r="I521" s="2">
        <v>66</v>
      </c>
      <c r="J521" s="2">
        <v>25</v>
      </c>
      <c r="K521" s="1">
        <v>26.2</v>
      </c>
      <c r="L521" s="1">
        <v>32.200000000000003</v>
      </c>
      <c r="M521" s="131">
        <v>0.9</v>
      </c>
      <c r="N521" s="1">
        <f t="shared" si="48"/>
        <v>23.58</v>
      </c>
      <c r="O521" s="1">
        <f t="shared" si="49"/>
        <v>28.980000000000004</v>
      </c>
      <c r="P521" s="19"/>
      <c r="Q521" s="19"/>
      <c r="R521" s="99">
        <v>517</v>
      </c>
    </row>
    <row r="522" spans="1:18" ht="20" x14ac:dyDescent="0.2">
      <c r="A522" s="58"/>
      <c r="B522" s="151" t="s">
        <v>1848</v>
      </c>
      <c r="C522" s="51" t="s">
        <v>3510</v>
      </c>
      <c r="D522" s="33" t="s">
        <v>106</v>
      </c>
      <c r="E522" s="33"/>
      <c r="F522" s="33"/>
      <c r="G522" s="33" t="s">
        <v>2876</v>
      </c>
      <c r="H522" s="237" t="s">
        <v>1545</v>
      </c>
      <c r="I522" s="2">
        <v>138</v>
      </c>
      <c r="J522" s="2">
        <v>25</v>
      </c>
      <c r="K522" s="1">
        <v>45.1</v>
      </c>
      <c r="L522" s="1">
        <v>55.46</v>
      </c>
      <c r="M522" s="131">
        <v>0.9</v>
      </c>
      <c r="N522" s="1">
        <f t="shared" si="48"/>
        <v>40.590000000000003</v>
      </c>
      <c r="O522" s="1">
        <f t="shared" si="49"/>
        <v>49.914000000000001</v>
      </c>
      <c r="P522" s="19"/>
      <c r="Q522" s="19"/>
      <c r="R522" s="99">
        <v>518</v>
      </c>
    </row>
    <row r="523" spans="1:18" ht="20" x14ac:dyDescent="0.2">
      <c r="A523" s="58"/>
      <c r="B523" s="151" t="s">
        <v>1848</v>
      </c>
      <c r="C523" s="51" t="s">
        <v>3510</v>
      </c>
      <c r="D523" s="33" t="s">
        <v>106</v>
      </c>
      <c r="E523" s="33"/>
      <c r="F523" s="33"/>
      <c r="G523" s="33" t="s">
        <v>2876</v>
      </c>
      <c r="H523" s="237" t="s">
        <v>1549</v>
      </c>
      <c r="I523" s="2">
        <v>138</v>
      </c>
      <c r="J523" s="2">
        <v>25</v>
      </c>
      <c r="K523" s="1">
        <v>48.3</v>
      </c>
      <c r="L523" s="1">
        <v>61.18</v>
      </c>
      <c r="M523" s="131">
        <v>0.9</v>
      </c>
      <c r="N523" s="1">
        <f t="shared" si="48"/>
        <v>43.47</v>
      </c>
      <c r="O523" s="1">
        <f t="shared" si="49"/>
        <v>55.061999999999998</v>
      </c>
      <c r="P523" s="19"/>
      <c r="Q523" s="19"/>
      <c r="R523" s="99">
        <v>519</v>
      </c>
    </row>
    <row r="524" spans="1:18" ht="20" x14ac:dyDescent="0.2">
      <c r="A524" s="58"/>
      <c r="B524" s="151" t="s">
        <v>157</v>
      </c>
      <c r="C524" s="51" t="s">
        <v>3314</v>
      </c>
      <c r="D524" s="33" t="s">
        <v>106</v>
      </c>
      <c r="E524" s="33"/>
      <c r="F524" s="33"/>
      <c r="G524" s="33" t="s">
        <v>2876</v>
      </c>
      <c r="H524" s="237" t="s">
        <v>1545</v>
      </c>
      <c r="I524" s="2">
        <v>66</v>
      </c>
      <c r="J524" s="2">
        <v>12</v>
      </c>
      <c r="K524" s="1">
        <v>27.5</v>
      </c>
      <c r="L524" s="1">
        <v>33.299999999999997</v>
      </c>
      <c r="M524" s="131">
        <v>0.9</v>
      </c>
      <c r="N524" s="1">
        <f t="shared" si="48"/>
        <v>24.75</v>
      </c>
      <c r="O524" s="1">
        <f t="shared" si="49"/>
        <v>29.97</v>
      </c>
      <c r="P524" s="19"/>
      <c r="Q524" s="19"/>
      <c r="R524" s="99">
        <v>520</v>
      </c>
    </row>
    <row r="525" spans="1:18" ht="20" x14ac:dyDescent="0.2">
      <c r="A525" s="58"/>
      <c r="B525" s="151" t="s">
        <v>157</v>
      </c>
      <c r="C525" s="51" t="s">
        <v>3314</v>
      </c>
      <c r="D525" s="33" t="s">
        <v>106</v>
      </c>
      <c r="E525" s="33"/>
      <c r="F525" s="33"/>
      <c r="G525" s="33" t="s">
        <v>2876</v>
      </c>
      <c r="H525" s="237" t="s">
        <v>1549</v>
      </c>
      <c r="I525" s="2">
        <v>66</v>
      </c>
      <c r="J525" s="2">
        <v>12</v>
      </c>
      <c r="K525" s="1">
        <v>22</v>
      </c>
      <c r="L525" s="1">
        <v>26.6</v>
      </c>
      <c r="M525" s="131">
        <v>0.9</v>
      </c>
      <c r="N525" s="1">
        <f t="shared" si="48"/>
        <v>19.8</v>
      </c>
      <c r="O525" s="1">
        <f t="shared" si="49"/>
        <v>23.94</v>
      </c>
      <c r="P525" s="19"/>
      <c r="Q525" s="19"/>
      <c r="R525" s="99">
        <v>521</v>
      </c>
    </row>
    <row r="526" spans="1:18" ht="20" x14ac:dyDescent="0.2">
      <c r="A526" s="58"/>
      <c r="B526" s="151" t="s">
        <v>157</v>
      </c>
      <c r="C526" s="51" t="s">
        <v>3314</v>
      </c>
      <c r="D526" s="33" t="s">
        <v>106</v>
      </c>
      <c r="E526" s="33"/>
      <c r="F526" s="33"/>
      <c r="G526" s="33" t="s">
        <v>2876</v>
      </c>
      <c r="H526" s="237" t="s">
        <v>1550</v>
      </c>
      <c r="I526" s="2">
        <v>66</v>
      </c>
      <c r="J526" s="2">
        <v>12</v>
      </c>
      <c r="K526" s="1">
        <v>22</v>
      </c>
      <c r="L526" s="1">
        <v>26.6</v>
      </c>
      <c r="M526" s="131">
        <v>0.9</v>
      </c>
      <c r="N526" s="1">
        <f t="shared" si="48"/>
        <v>19.8</v>
      </c>
      <c r="O526" s="1">
        <f t="shared" si="49"/>
        <v>23.94</v>
      </c>
      <c r="P526" s="19"/>
      <c r="Q526" s="19"/>
      <c r="R526" s="99">
        <v>522</v>
      </c>
    </row>
    <row r="527" spans="1:18" ht="20" x14ac:dyDescent="0.2">
      <c r="A527" s="58"/>
      <c r="B527" s="151" t="s">
        <v>1849</v>
      </c>
      <c r="C527" s="51" t="s">
        <v>3480</v>
      </c>
      <c r="D527" s="33" t="s">
        <v>106</v>
      </c>
      <c r="E527" s="33"/>
      <c r="F527" s="33"/>
      <c r="G527" s="33" t="s">
        <v>2876</v>
      </c>
      <c r="H527" s="33"/>
      <c r="I527" s="99"/>
      <c r="J527" s="99"/>
      <c r="K527" s="69"/>
      <c r="L527" s="69"/>
      <c r="M527" s="69"/>
      <c r="N527" s="69"/>
      <c r="O527" s="69"/>
      <c r="P527" s="19"/>
      <c r="Q527" s="19"/>
      <c r="R527" s="99">
        <v>523</v>
      </c>
    </row>
    <row r="528" spans="1:18" ht="20" x14ac:dyDescent="0.2">
      <c r="A528" s="58"/>
      <c r="B528" s="151" t="s">
        <v>1850</v>
      </c>
      <c r="C528" s="51" t="s">
        <v>3674</v>
      </c>
      <c r="D528" s="33" t="s">
        <v>106</v>
      </c>
      <c r="E528" s="33"/>
      <c r="F528" s="33"/>
      <c r="G528" s="33" t="s">
        <v>2876</v>
      </c>
      <c r="H528" s="33"/>
      <c r="I528" s="99"/>
      <c r="J528" s="99"/>
      <c r="K528" s="69"/>
      <c r="L528" s="69"/>
      <c r="M528" s="69"/>
      <c r="N528" s="69"/>
      <c r="O528" s="69"/>
      <c r="P528" s="19"/>
      <c r="Q528" s="19"/>
      <c r="R528" s="99">
        <v>524</v>
      </c>
    </row>
    <row r="529" spans="1:18" ht="20" x14ac:dyDescent="0.2">
      <c r="A529" s="58"/>
      <c r="B529" s="151" t="s">
        <v>2322</v>
      </c>
      <c r="C529" s="51" t="s">
        <v>3151</v>
      </c>
      <c r="D529" s="33" t="s">
        <v>106</v>
      </c>
      <c r="E529" s="33">
        <v>55.184598899999997</v>
      </c>
      <c r="F529" s="33">
        <v>-120.8546767</v>
      </c>
      <c r="G529" s="33" t="s">
        <v>2876</v>
      </c>
      <c r="H529" s="33"/>
      <c r="I529" s="236"/>
      <c r="J529" s="236"/>
      <c r="K529" s="69"/>
      <c r="L529" s="69"/>
      <c r="M529" s="69"/>
      <c r="N529" s="69"/>
      <c r="O529" s="69"/>
      <c r="P529" s="19"/>
      <c r="Q529" s="19"/>
      <c r="R529" s="99">
        <v>525</v>
      </c>
    </row>
    <row r="530" spans="1:18" ht="20" x14ac:dyDescent="0.2">
      <c r="A530" s="58"/>
      <c r="B530" s="151" t="s">
        <v>1851</v>
      </c>
      <c r="C530" s="51" t="s">
        <v>3315</v>
      </c>
      <c r="D530" s="33" t="s">
        <v>106</v>
      </c>
      <c r="E530" s="33"/>
      <c r="F530" s="33"/>
      <c r="G530" s="33" t="s">
        <v>2876</v>
      </c>
      <c r="H530" s="237" t="s">
        <v>1545</v>
      </c>
      <c r="I530" s="2">
        <v>66</v>
      </c>
      <c r="J530" s="2">
        <v>25</v>
      </c>
      <c r="K530" s="1">
        <v>79</v>
      </c>
      <c r="L530" s="1">
        <v>100</v>
      </c>
      <c r="M530" s="131">
        <v>0.9</v>
      </c>
      <c r="N530" s="1">
        <f t="shared" ref="N530:O534" si="50">K530*$M530</f>
        <v>71.100000000000009</v>
      </c>
      <c r="O530" s="1">
        <f t="shared" si="50"/>
        <v>90</v>
      </c>
      <c r="P530" s="19"/>
      <c r="Q530" s="19"/>
      <c r="R530" s="99">
        <v>526</v>
      </c>
    </row>
    <row r="531" spans="1:18" ht="20" x14ac:dyDescent="0.2">
      <c r="A531" s="58"/>
      <c r="B531" s="151" t="s">
        <v>1851</v>
      </c>
      <c r="C531" s="51" t="s">
        <v>3315</v>
      </c>
      <c r="D531" s="33" t="s">
        <v>106</v>
      </c>
      <c r="E531" s="33"/>
      <c r="F531" s="33"/>
      <c r="G531" s="33" t="s">
        <v>2876</v>
      </c>
      <c r="H531" s="237" t="s">
        <v>1549</v>
      </c>
      <c r="I531" s="2">
        <v>66</v>
      </c>
      <c r="J531" s="2">
        <v>25</v>
      </c>
      <c r="K531" s="1">
        <v>79</v>
      </c>
      <c r="L531" s="1">
        <v>100</v>
      </c>
      <c r="M531" s="131">
        <v>0.9</v>
      </c>
      <c r="N531" s="1">
        <f t="shared" si="50"/>
        <v>71.100000000000009</v>
      </c>
      <c r="O531" s="1">
        <f t="shared" si="50"/>
        <v>90</v>
      </c>
      <c r="P531" s="19"/>
      <c r="Q531" s="19"/>
      <c r="R531" s="99">
        <v>527</v>
      </c>
    </row>
    <row r="532" spans="1:18" ht="20" x14ac:dyDescent="0.2">
      <c r="A532" s="58"/>
      <c r="B532" s="151" t="s">
        <v>1852</v>
      </c>
      <c r="C532" s="51" t="s">
        <v>3511</v>
      </c>
      <c r="D532" s="33" t="s">
        <v>106</v>
      </c>
      <c r="E532" s="33"/>
      <c r="F532" s="33"/>
      <c r="G532" s="33" t="s">
        <v>2876</v>
      </c>
      <c r="H532" s="237" t="s">
        <v>1545</v>
      </c>
      <c r="I532" s="2">
        <v>230</v>
      </c>
      <c r="J532" s="2">
        <v>25</v>
      </c>
      <c r="K532" s="1">
        <v>78.75</v>
      </c>
      <c r="L532" s="1">
        <v>99.75</v>
      </c>
      <c r="M532" s="131">
        <v>0.9</v>
      </c>
      <c r="N532" s="1">
        <f t="shared" si="50"/>
        <v>70.875</v>
      </c>
      <c r="O532" s="1">
        <f t="shared" si="50"/>
        <v>89.775000000000006</v>
      </c>
      <c r="P532" s="19"/>
      <c r="Q532" s="19"/>
      <c r="R532" s="99">
        <v>528</v>
      </c>
    </row>
    <row r="533" spans="1:18" ht="20" x14ac:dyDescent="0.2">
      <c r="A533" s="58"/>
      <c r="B533" s="151" t="s">
        <v>1852</v>
      </c>
      <c r="C533" s="51" t="s">
        <v>3511</v>
      </c>
      <c r="D533" s="33" t="s">
        <v>106</v>
      </c>
      <c r="E533" s="33"/>
      <c r="F533" s="33"/>
      <c r="G533" s="33" t="s">
        <v>2876</v>
      </c>
      <c r="H533" s="237" t="s">
        <v>1549</v>
      </c>
      <c r="I533" s="2">
        <v>230</v>
      </c>
      <c r="J533" s="2">
        <v>25</v>
      </c>
      <c r="K533" s="1">
        <v>78.75</v>
      </c>
      <c r="L533" s="1">
        <v>99.75</v>
      </c>
      <c r="M533" s="131">
        <v>0.9</v>
      </c>
      <c r="N533" s="1">
        <f t="shared" si="50"/>
        <v>70.875</v>
      </c>
      <c r="O533" s="1">
        <f t="shared" si="50"/>
        <v>89.775000000000006</v>
      </c>
      <c r="P533" s="19"/>
      <c r="Q533" s="19"/>
      <c r="R533" s="99">
        <v>529</v>
      </c>
    </row>
    <row r="534" spans="1:18" ht="20" x14ac:dyDescent="0.2">
      <c r="A534" s="58"/>
      <c r="B534" s="151" t="s">
        <v>1853</v>
      </c>
      <c r="C534" s="51" t="s">
        <v>3512</v>
      </c>
      <c r="D534" s="33" t="s">
        <v>106</v>
      </c>
      <c r="E534" s="33"/>
      <c r="F534" s="33"/>
      <c r="G534" s="33" t="s">
        <v>2876</v>
      </c>
      <c r="H534" s="237" t="s">
        <v>1545</v>
      </c>
      <c r="I534" s="2">
        <v>60</v>
      </c>
      <c r="J534" s="2">
        <v>25</v>
      </c>
      <c r="K534" s="1">
        <v>13.7</v>
      </c>
      <c r="L534" s="1">
        <v>16.8</v>
      </c>
      <c r="M534" s="131">
        <v>0.9</v>
      </c>
      <c r="N534" s="1">
        <f t="shared" si="50"/>
        <v>12.33</v>
      </c>
      <c r="O534" s="1">
        <f t="shared" si="50"/>
        <v>15.120000000000001</v>
      </c>
      <c r="P534" s="19"/>
      <c r="Q534" s="19"/>
      <c r="R534" s="99">
        <v>530</v>
      </c>
    </row>
    <row r="535" spans="1:18" ht="20" x14ac:dyDescent="0.2">
      <c r="A535" s="58"/>
      <c r="B535" s="151" t="s">
        <v>1854</v>
      </c>
      <c r="C535" s="51" t="s">
        <v>3185</v>
      </c>
      <c r="D535" s="33" t="s">
        <v>106</v>
      </c>
      <c r="E535" s="33"/>
      <c r="F535" s="33"/>
      <c r="G535" s="33" t="s">
        <v>2876</v>
      </c>
      <c r="H535" s="33"/>
      <c r="I535" s="236"/>
      <c r="J535" s="236"/>
      <c r="K535" s="69"/>
      <c r="L535" s="69"/>
      <c r="M535" s="69"/>
      <c r="N535" s="69"/>
      <c r="O535" s="69"/>
      <c r="P535" s="19"/>
      <c r="Q535" s="19"/>
      <c r="R535" s="99">
        <v>531</v>
      </c>
    </row>
    <row r="536" spans="1:18" ht="20" x14ac:dyDescent="0.2">
      <c r="A536" s="58"/>
      <c r="B536" s="151" t="s">
        <v>1855</v>
      </c>
      <c r="C536" s="51" t="s">
        <v>3152</v>
      </c>
      <c r="D536" s="33" t="s">
        <v>106</v>
      </c>
      <c r="E536" s="33">
        <v>51.048563100000003</v>
      </c>
      <c r="F536" s="33">
        <v>-118.1939447</v>
      </c>
      <c r="G536" s="33" t="s">
        <v>2876</v>
      </c>
      <c r="H536" s="33"/>
      <c r="I536" s="236"/>
      <c r="J536" s="236"/>
      <c r="K536" s="69"/>
      <c r="L536" s="69"/>
      <c r="M536" s="69"/>
      <c r="N536" s="69"/>
      <c r="O536" s="69"/>
      <c r="P536" s="19"/>
      <c r="Q536" s="19"/>
      <c r="R536" s="99">
        <v>532</v>
      </c>
    </row>
    <row r="537" spans="1:18" ht="20" x14ac:dyDescent="0.2">
      <c r="A537" s="58"/>
      <c r="B537" s="151" t="s">
        <v>212</v>
      </c>
      <c r="C537" s="51" t="s">
        <v>3516</v>
      </c>
      <c r="D537" s="33" t="s">
        <v>106</v>
      </c>
      <c r="E537" s="33"/>
      <c r="F537" s="33"/>
      <c r="G537" s="33" t="s">
        <v>2876</v>
      </c>
      <c r="H537" s="237" t="s">
        <v>1545</v>
      </c>
      <c r="I537" s="2">
        <v>60</v>
      </c>
      <c r="J537" s="2">
        <v>12</v>
      </c>
      <c r="K537" s="1">
        <v>87</v>
      </c>
      <c r="L537" s="1">
        <v>100</v>
      </c>
      <c r="M537" s="131">
        <v>0.9</v>
      </c>
      <c r="N537" s="1">
        <f t="shared" ref="N537:O540" si="51">K537*$M537</f>
        <v>78.3</v>
      </c>
      <c r="O537" s="1">
        <f t="shared" si="51"/>
        <v>90</v>
      </c>
      <c r="P537" s="19"/>
      <c r="Q537" s="19"/>
      <c r="R537" s="99">
        <v>533</v>
      </c>
    </row>
    <row r="538" spans="1:18" ht="20" x14ac:dyDescent="0.2">
      <c r="A538" s="58"/>
      <c r="B538" s="151" t="s">
        <v>212</v>
      </c>
      <c r="C538" s="51" t="s">
        <v>3516</v>
      </c>
      <c r="D538" s="33" t="s">
        <v>106</v>
      </c>
      <c r="E538" s="33"/>
      <c r="F538" s="33"/>
      <c r="G538" s="33" t="s">
        <v>2876</v>
      </c>
      <c r="H538" s="237" t="s">
        <v>1550</v>
      </c>
      <c r="I538" s="2">
        <v>60</v>
      </c>
      <c r="J538" s="2">
        <v>12</v>
      </c>
      <c r="K538" s="1">
        <v>87</v>
      </c>
      <c r="L538" s="1">
        <v>100</v>
      </c>
      <c r="M538" s="131">
        <v>0.9</v>
      </c>
      <c r="N538" s="1">
        <f t="shared" si="51"/>
        <v>78.3</v>
      </c>
      <c r="O538" s="1">
        <f t="shared" si="51"/>
        <v>90</v>
      </c>
      <c r="P538" s="19"/>
      <c r="Q538" s="19"/>
      <c r="R538" s="99">
        <v>534</v>
      </c>
    </row>
    <row r="539" spans="1:18" ht="20" x14ac:dyDescent="0.2">
      <c r="A539" s="58"/>
      <c r="B539" s="151" t="s">
        <v>1857</v>
      </c>
      <c r="C539" s="51" t="s">
        <v>3492</v>
      </c>
      <c r="D539" s="33" t="s">
        <v>106</v>
      </c>
      <c r="E539" s="33"/>
      <c r="F539" s="33"/>
      <c r="G539" s="33" t="s">
        <v>2876</v>
      </c>
      <c r="H539" s="237" t="s">
        <v>1545</v>
      </c>
      <c r="I539" s="2">
        <v>60</v>
      </c>
      <c r="J539" s="2">
        <v>12</v>
      </c>
      <c r="K539" s="1">
        <v>44</v>
      </c>
      <c r="L539" s="1">
        <v>55</v>
      </c>
      <c r="M539" s="131">
        <v>0.9</v>
      </c>
      <c r="N539" s="1">
        <f t="shared" si="51"/>
        <v>39.6</v>
      </c>
      <c r="O539" s="1">
        <f t="shared" si="51"/>
        <v>49.5</v>
      </c>
      <c r="P539" s="19"/>
      <c r="Q539" s="19"/>
      <c r="R539" s="99">
        <v>535</v>
      </c>
    </row>
    <row r="540" spans="1:18" ht="20" x14ac:dyDescent="0.2">
      <c r="A540" s="58"/>
      <c r="B540" s="151" t="s">
        <v>1857</v>
      </c>
      <c r="C540" s="51" t="s">
        <v>3492</v>
      </c>
      <c r="D540" s="33" t="s">
        <v>106</v>
      </c>
      <c r="E540" s="33"/>
      <c r="F540" s="33"/>
      <c r="G540" s="33" t="s">
        <v>2876</v>
      </c>
      <c r="H540" s="237" t="s">
        <v>1549</v>
      </c>
      <c r="I540" s="2">
        <v>60</v>
      </c>
      <c r="J540" s="2">
        <v>12</v>
      </c>
      <c r="K540" s="1">
        <v>44</v>
      </c>
      <c r="L540" s="1">
        <v>55</v>
      </c>
      <c r="M540" s="131">
        <v>0.9</v>
      </c>
      <c r="N540" s="1">
        <f t="shared" si="51"/>
        <v>39.6</v>
      </c>
      <c r="O540" s="1">
        <f t="shared" si="51"/>
        <v>49.5</v>
      </c>
      <c r="P540" s="19"/>
      <c r="Q540" s="19"/>
      <c r="R540" s="99">
        <v>536</v>
      </c>
    </row>
    <row r="541" spans="1:18" ht="20" x14ac:dyDescent="0.2">
      <c r="A541" s="58"/>
      <c r="B541" s="151" t="s">
        <v>1858</v>
      </c>
      <c r="C541" s="51" t="s">
        <v>3203</v>
      </c>
      <c r="D541" s="33" t="s">
        <v>106</v>
      </c>
      <c r="E541" s="33"/>
      <c r="F541" s="33"/>
      <c r="G541" s="33" t="s">
        <v>2876</v>
      </c>
      <c r="H541" s="33"/>
      <c r="I541" s="99"/>
      <c r="J541" s="99"/>
      <c r="K541" s="69"/>
      <c r="L541" s="69"/>
      <c r="M541" s="69"/>
      <c r="N541" s="69"/>
      <c r="O541" s="69"/>
      <c r="P541" s="19"/>
      <c r="Q541" s="19"/>
      <c r="R541" s="99">
        <v>537</v>
      </c>
    </row>
    <row r="542" spans="1:18" ht="20" x14ac:dyDescent="0.2">
      <c r="A542" s="58"/>
      <c r="B542" s="151" t="s">
        <v>1859</v>
      </c>
      <c r="C542" s="51" t="s">
        <v>3153</v>
      </c>
      <c r="D542" s="33" t="s">
        <v>106</v>
      </c>
      <c r="E542" s="33"/>
      <c r="F542" s="33"/>
      <c r="G542" s="33" t="s">
        <v>2876</v>
      </c>
      <c r="H542" s="33"/>
      <c r="I542" s="236"/>
      <c r="J542" s="236"/>
      <c r="K542" s="69"/>
      <c r="L542" s="69"/>
      <c r="M542" s="69"/>
      <c r="N542" s="69"/>
      <c r="O542" s="69"/>
      <c r="P542" s="19"/>
      <c r="Q542" s="19"/>
      <c r="R542" s="99">
        <v>538</v>
      </c>
    </row>
    <row r="543" spans="1:18" ht="20" x14ac:dyDescent="0.2">
      <c r="A543" s="58"/>
      <c r="B543" s="151" t="s">
        <v>1860</v>
      </c>
      <c r="C543" s="51" t="s">
        <v>3675</v>
      </c>
      <c r="D543" s="33" t="s">
        <v>106</v>
      </c>
      <c r="E543" s="33"/>
      <c r="F543" s="33"/>
      <c r="G543" s="33" t="s">
        <v>2876</v>
      </c>
      <c r="H543" s="33"/>
      <c r="I543" s="99"/>
      <c r="J543" s="99"/>
      <c r="K543" s="69"/>
      <c r="L543" s="69"/>
      <c r="M543" s="69"/>
      <c r="N543" s="69"/>
      <c r="O543" s="69"/>
      <c r="P543" s="19"/>
      <c r="Q543" s="19"/>
      <c r="R543" s="99">
        <v>539</v>
      </c>
    </row>
    <row r="544" spans="1:18" ht="20" x14ac:dyDescent="0.2">
      <c r="A544" s="58"/>
      <c r="B544" s="151" t="s">
        <v>1861</v>
      </c>
      <c r="C544" s="51" t="s">
        <v>3676</v>
      </c>
      <c r="D544" s="33" t="s">
        <v>106</v>
      </c>
      <c r="E544" s="33"/>
      <c r="F544" s="33"/>
      <c r="G544" s="33" t="s">
        <v>2876</v>
      </c>
      <c r="H544" s="33"/>
      <c r="I544" s="99"/>
      <c r="J544" s="99"/>
      <c r="K544" s="69"/>
      <c r="L544" s="69"/>
      <c r="M544" s="69"/>
      <c r="N544" s="69"/>
      <c r="O544" s="69"/>
      <c r="P544" s="19"/>
      <c r="Q544" s="19"/>
      <c r="R544" s="99">
        <v>540</v>
      </c>
    </row>
    <row r="545" spans="1:18" ht="20" x14ac:dyDescent="0.2">
      <c r="A545" s="58"/>
      <c r="B545" s="151" t="s">
        <v>1862</v>
      </c>
      <c r="C545" s="51" t="s">
        <v>3318</v>
      </c>
      <c r="D545" s="33" t="s">
        <v>106</v>
      </c>
      <c r="E545" s="33"/>
      <c r="F545" s="33"/>
      <c r="G545" s="33" t="s">
        <v>2876</v>
      </c>
      <c r="H545" s="33"/>
      <c r="I545" s="99"/>
      <c r="J545" s="99"/>
      <c r="K545" s="69"/>
      <c r="L545" s="69"/>
      <c r="M545" s="69"/>
      <c r="N545" s="69"/>
      <c r="O545" s="69"/>
      <c r="P545" s="19"/>
      <c r="Q545" s="19"/>
      <c r="R545" s="99">
        <v>541</v>
      </c>
    </row>
    <row r="546" spans="1:18" ht="20" x14ac:dyDescent="0.2">
      <c r="A546" s="58"/>
      <c r="B546" s="151" t="s">
        <v>1863</v>
      </c>
      <c r="C546" s="51" t="s">
        <v>3154</v>
      </c>
      <c r="D546" s="33" t="s">
        <v>106</v>
      </c>
      <c r="E546" s="33">
        <v>49.1949732</v>
      </c>
      <c r="F546" s="33">
        <v>-122.4083408</v>
      </c>
      <c r="G546" s="33" t="s">
        <v>2876</v>
      </c>
      <c r="H546" s="33"/>
      <c r="I546" s="99"/>
      <c r="J546" s="99"/>
      <c r="K546" s="69"/>
      <c r="L546" s="69"/>
      <c r="M546" s="69"/>
      <c r="N546" s="69"/>
      <c r="O546" s="69"/>
      <c r="P546" s="19"/>
      <c r="Q546" s="19"/>
      <c r="R546" s="99">
        <v>542</v>
      </c>
    </row>
    <row r="547" spans="1:18" ht="20" x14ac:dyDescent="0.2">
      <c r="A547" s="58"/>
      <c r="B547" s="151" t="s">
        <v>2323</v>
      </c>
      <c r="C547" s="51" t="s">
        <v>3155</v>
      </c>
      <c r="D547" s="33" t="s">
        <v>106</v>
      </c>
      <c r="E547" s="33">
        <v>50.272697100000002</v>
      </c>
      <c r="F547" s="33">
        <v>-122.8669537</v>
      </c>
      <c r="G547" s="33" t="s">
        <v>2876</v>
      </c>
      <c r="H547" s="33"/>
      <c r="I547" s="236"/>
      <c r="J547" s="236"/>
      <c r="K547" s="69"/>
      <c r="L547" s="69"/>
      <c r="M547" s="69"/>
      <c r="N547" s="69"/>
      <c r="O547" s="69"/>
      <c r="P547" s="19"/>
      <c r="Q547" s="19"/>
      <c r="R547" s="99">
        <v>543</v>
      </c>
    </row>
    <row r="548" spans="1:18" ht="20" x14ac:dyDescent="0.2">
      <c r="A548" s="58"/>
      <c r="B548" s="151" t="s">
        <v>2628</v>
      </c>
      <c r="C548" s="51" t="s">
        <v>3165</v>
      </c>
      <c r="D548" s="33" t="s">
        <v>106</v>
      </c>
      <c r="E548" s="33">
        <v>50.392242099999997</v>
      </c>
      <c r="F548" s="33">
        <v>-119.2259013</v>
      </c>
      <c r="G548" s="33" t="s">
        <v>2876</v>
      </c>
      <c r="H548" s="33"/>
      <c r="I548" s="236"/>
      <c r="J548" s="236"/>
      <c r="K548" s="69"/>
      <c r="L548" s="69"/>
      <c r="M548" s="69"/>
      <c r="N548" s="69"/>
      <c r="O548" s="69"/>
      <c r="P548" s="19"/>
      <c r="Q548" s="19"/>
      <c r="R548" s="99">
        <v>544</v>
      </c>
    </row>
    <row r="549" spans="1:18" ht="20" x14ac:dyDescent="0.2">
      <c r="A549" s="58"/>
      <c r="B549" s="151" t="s">
        <v>1864</v>
      </c>
      <c r="C549" s="51" t="s">
        <v>3513</v>
      </c>
      <c r="D549" s="33" t="s">
        <v>106</v>
      </c>
      <c r="E549" s="33"/>
      <c r="F549" s="33"/>
      <c r="G549" s="33" t="s">
        <v>2876</v>
      </c>
      <c r="H549" s="33"/>
      <c r="I549" s="99"/>
      <c r="J549" s="99"/>
      <c r="K549" s="69"/>
      <c r="L549" s="69"/>
      <c r="M549" s="69"/>
      <c r="N549" s="69"/>
      <c r="O549" s="69"/>
      <c r="P549" s="19"/>
      <c r="Q549" s="19"/>
      <c r="R549" s="99">
        <v>545</v>
      </c>
    </row>
    <row r="550" spans="1:18" ht="20" x14ac:dyDescent="0.2">
      <c r="A550" s="58"/>
      <c r="B550" s="151" t="s">
        <v>2616</v>
      </c>
      <c r="C550" s="51" t="s">
        <v>3319</v>
      </c>
      <c r="D550" s="33" t="s">
        <v>106</v>
      </c>
      <c r="E550" s="33"/>
      <c r="F550" s="33"/>
      <c r="G550" s="33" t="s">
        <v>2876</v>
      </c>
      <c r="H550" s="237" t="s">
        <v>1545</v>
      </c>
      <c r="I550" s="2">
        <v>208</v>
      </c>
      <c r="J550" s="2">
        <v>14.4</v>
      </c>
      <c r="K550" s="1">
        <v>4</v>
      </c>
      <c r="L550" s="1">
        <v>4.8</v>
      </c>
      <c r="M550" s="131">
        <v>0.9</v>
      </c>
      <c r="N550" s="1">
        <f t="shared" ref="N550:O554" si="52">K550*$M550</f>
        <v>3.6</v>
      </c>
      <c r="O550" s="1">
        <f t="shared" si="52"/>
        <v>4.32</v>
      </c>
      <c r="P550" s="19"/>
      <c r="Q550" s="19"/>
      <c r="R550" s="99">
        <v>546</v>
      </c>
    </row>
    <row r="551" spans="1:18" ht="20" x14ac:dyDescent="0.2">
      <c r="A551" s="58"/>
      <c r="B551" s="151" t="s">
        <v>1865</v>
      </c>
      <c r="C551" s="51" t="s">
        <v>3514</v>
      </c>
      <c r="D551" s="33" t="s">
        <v>106</v>
      </c>
      <c r="E551" s="33"/>
      <c r="F551" s="33"/>
      <c r="G551" s="33" t="s">
        <v>2876</v>
      </c>
      <c r="H551" s="237" t="s">
        <v>1545</v>
      </c>
      <c r="I551" s="2">
        <v>138</v>
      </c>
      <c r="J551" s="2">
        <v>25</v>
      </c>
      <c r="K551" s="1">
        <v>53.5</v>
      </c>
      <c r="L551" s="1">
        <v>63.6</v>
      </c>
      <c r="M551" s="131">
        <v>0.9</v>
      </c>
      <c r="N551" s="1">
        <f t="shared" si="52"/>
        <v>48.15</v>
      </c>
      <c r="O551" s="1">
        <f t="shared" si="52"/>
        <v>57.24</v>
      </c>
      <c r="P551" s="19"/>
      <c r="Q551" s="19"/>
      <c r="R551" s="99">
        <v>547</v>
      </c>
    </row>
    <row r="552" spans="1:18" ht="20" x14ac:dyDescent="0.2">
      <c r="A552" s="58"/>
      <c r="B552" s="151" t="s">
        <v>1865</v>
      </c>
      <c r="C552" s="51" t="s">
        <v>3514</v>
      </c>
      <c r="D552" s="33" t="s">
        <v>106</v>
      </c>
      <c r="E552" s="33"/>
      <c r="F552" s="33"/>
      <c r="G552" s="33" t="s">
        <v>2876</v>
      </c>
      <c r="H552" s="237" t="s">
        <v>1549</v>
      </c>
      <c r="I552" s="2">
        <v>138</v>
      </c>
      <c r="J552" s="2">
        <v>25</v>
      </c>
      <c r="K552" s="1">
        <v>53.5</v>
      </c>
      <c r="L552" s="1">
        <v>63.6</v>
      </c>
      <c r="M552" s="131">
        <v>0.9</v>
      </c>
      <c r="N552" s="1">
        <f t="shared" si="52"/>
        <v>48.15</v>
      </c>
      <c r="O552" s="1">
        <f t="shared" si="52"/>
        <v>57.24</v>
      </c>
      <c r="P552" s="19"/>
      <c r="Q552" s="19"/>
      <c r="R552" s="99">
        <v>548</v>
      </c>
    </row>
    <row r="553" spans="1:18" ht="20" x14ac:dyDescent="0.2">
      <c r="A553" s="58"/>
      <c r="B553" s="151" t="s">
        <v>1866</v>
      </c>
      <c r="C553" s="51" t="s">
        <v>3320</v>
      </c>
      <c r="D553" s="33" t="s">
        <v>106</v>
      </c>
      <c r="E553" s="33"/>
      <c r="F553" s="33"/>
      <c r="G553" s="33" t="s">
        <v>2876</v>
      </c>
      <c r="H553" s="237" t="s">
        <v>1545</v>
      </c>
      <c r="I553" s="2">
        <v>138</v>
      </c>
      <c r="J553" s="2">
        <v>25</v>
      </c>
      <c r="K553" s="1">
        <v>53</v>
      </c>
      <c r="L553" s="1">
        <v>65.599999999999994</v>
      </c>
      <c r="M553" s="131">
        <v>0.9</v>
      </c>
      <c r="N553" s="1">
        <f t="shared" si="52"/>
        <v>47.7</v>
      </c>
      <c r="O553" s="1">
        <f t="shared" si="52"/>
        <v>59.04</v>
      </c>
      <c r="P553" s="19"/>
      <c r="Q553" s="19"/>
      <c r="R553" s="99">
        <v>549</v>
      </c>
    </row>
    <row r="554" spans="1:18" ht="20" x14ac:dyDescent="0.2">
      <c r="A554" s="58"/>
      <c r="B554" s="151" t="s">
        <v>1866</v>
      </c>
      <c r="C554" s="51" t="s">
        <v>3320</v>
      </c>
      <c r="D554" s="33" t="s">
        <v>106</v>
      </c>
      <c r="E554" s="33"/>
      <c r="F554" s="33"/>
      <c r="G554" s="33" t="s">
        <v>2876</v>
      </c>
      <c r="H554" s="237" t="s">
        <v>1550</v>
      </c>
      <c r="I554" s="2">
        <v>138</v>
      </c>
      <c r="J554" s="2">
        <v>25</v>
      </c>
      <c r="K554" s="1">
        <v>53</v>
      </c>
      <c r="L554" s="1">
        <v>65.599999999999994</v>
      </c>
      <c r="M554" s="131">
        <v>0.9</v>
      </c>
      <c r="N554" s="1">
        <f t="shared" si="52"/>
        <v>47.7</v>
      </c>
      <c r="O554" s="1">
        <f t="shared" si="52"/>
        <v>59.04</v>
      </c>
      <c r="P554" s="19"/>
      <c r="Q554" s="19"/>
      <c r="R554" s="99">
        <v>550</v>
      </c>
    </row>
    <row r="555" spans="1:18" ht="20" x14ac:dyDescent="0.2">
      <c r="A555" s="58"/>
      <c r="B555" s="151" t="s">
        <v>1958</v>
      </c>
      <c r="C555" s="51" t="s">
        <v>3321</v>
      </c>
      <c r="D555" s="33" t="s">
        <v>106</v>
      </c>
      <c r="E555" s="33"/>
      <c r="F555" s="33"/>
      <c r="G555" s="33" t="s">
        <v>2876</v>
      </c>
      <c r="H555" s="33"/>
      <c r="I555" s="99"/>
      <c r="J555" s="99"/>
      <c r="K555" s="69"/>
      <c r="L555" s="69"/>
      <c r="M555" s="69"/>
      <c r="N555" s="69"/>
      <c r="O555" s="69"/>
      <c r="P555" s="19"/>
      <c r="Q555" s="19"/>
      <c r="R555" s="99">
        <v>551</v>
      </c>
    </row>
    <row r="556" spans="1:18" ht="20" x14ac:dyDescent="0.2">
      <c r="A556" s="58"/>
      <c r="B556" s="151" t="s">
        <v>1867</v>
      </c>
      <c r="C556" s="51" t="s">
        <v>3196</v>
      </c>
      <c r="D556" s="33" t="s">
        <v>106</v>
      </c>
      <c r="E556" s="33"/>
      <c r="F556" s="33"/>
      <c r="G556" s="33" t="s">
        <v>2876</v>
      </c>
      <c r="H556" s="33"/>
      <c r="I556" s="236"/>
      <c r="J556" s="236"/>
      <c r="K556" s="69"/>
      <c r="L556" s="69"/>
      <c r="M556" s="69"/>
      <c r="N556" s="69"/>
      <c r="O556" s="69"/>
      <c r="P556" s="19"/>
      <c r="Q556" s="19"/>
      <c r="R556" s="99">
        <v>552</v>
      </c>
    </row>
    <row r="557" spans="1:18" ht="20" x14ac:dyDescent="0.2">
      <c r="A557" s="58"/>
      <c r="B557" s="151" t="s">
        <v>1868</v>
      </c>
      <c r="C557" s="51" t="s">
        <v>3323</v>
      </c>
      <c r="D557" s="33" t="s">
        <v>106</v>
      </c>
      <c r="E557" s="33"/>
      <c r="F557" s="33"/>
      <c r="G557" s="33" t="s">
        <v>2876</v>
      </c>
      <c r="H557" s="33"/>
      <c r="I557" s="99"/>
      <c r="J557" s="99"/>
      <c r="K557" s="69"/>
      <c r="L557" s="69"/>
      <c r="M557" s="69"/>
      <c r="N557" s="69"/>
      <c r="O557" s="69"/>
      <c r="P557" s="19"/>
      <c r="Q557" s="19"/>
      <c r="R557" s="99">
        <v>553</v>
      </c>
    </row>
    <row r="558" spans="1:18" ht="20" x14ac:dyDescent="0.2">
      <c r="A558" s="58"/>
      <c r="B558" s="151" t="s">
        <v>1869</v>
      </c>
      <c r="C558" s="51" t="s">
        <v>3361</v>
      </c>
      <c r="D558" s="33" t="s">
        <v>106</v>
      </c>
      <c r="E558" s="33"/>
      <c r="F558" s="33"/>
      <c r="G558" s="33" t="s">
        <v>2876</v>
      </c>
      <c r="H558" s="237" t="s">
        <v>1545</v>
      </c>
      <c r="I558" s="2">
        <v>60</v>
      </c>
      <c r="J558" s="2">
        <v>25</v>
      </c>
      <c r="K558" s="1">
        <v>13.3</v>
      </c>
      <c r="L558" s="1">
        <v>16</v>
      </c>
      <c r="M558" s="131">
        <v>0.9</v>
      </c>
      <c r="N558" s="1">
        <f>K558*$M558</f>
        <v>11.97</v>
      </c>
      <c r="O558" s="1">
        <f>L558*$M558</f>
        <v>14.4</v>
      </c>
      <c r="P558" s="19"/>
      <c r="Q558" s="19"/>
      <c r="R558" s="99">
        <v>554</v>
      </c>
    </row>
    <row r="559" spans="1:18" ht="20" x14ac:dyDescent="0.2">
      <c r="A559" s="58"/>
      <c r="B559" s="151" t="s">
        <v>2324</v>
      </c>
      <c r="C559" s="51" t="s">
        <v>3156</v>
      </c>
      <c r="D559" s="33" t="s">
        <v>106</v>
      </c>
      <c r="E559" s="33">
        <v>49.998081999999997</v>
      </c>
      <c r="F559" s="33">
        <v>-125.5855777</v>
      </c>
      <c r="G559" s="33" t="s">
        <v>2876</v>
      </c>
      <c r="H559" s="33"/>
      <c r="I559" s="236"/>
      <c r="J559" s="236"/>
      <c r="K559" s="69"/>
      <c r="L559" s="69"/>
      <c r="M559" s="69"/>
      <c r="N559" s="69"/>
      <c r="O559" s="69"/>
      <c r="P559" s="19"/>
      <c r="Q559" s="19"/>
      <c r="R559" s="99">
        <v>555</v>
      </c>
    </row>
    <row r="560" spans="1:18" ht="20" x14ac:dyDescent="0.2">
      <c r="A560" s="58"/>
      <c r="B560" s="151" t="s">
        <v>1870</v>
      </c>
      <c r="C560" s="51" t="s">
        <v>3157</v>
      </c>
      <c r="D560" s="33" t="s">
        <v>106</v>
      </c>
      <c r="E560" s="33">
        <v>50.771577000000001</v>
      </c>
      <c r="F560" s="33">
        <v>-118.1041359</v>
      </c>
      <c r="G560" s="33" t="s">
        <v>2876</v>
      </c>
      <c r="H560" s="33"/>
      <c r="I560" s="236"/>
      <c r="J560" s="236"/>
      <c r="K560" s="69"/>
      <c r="L560" s="69"/>
      <c r="M560" s="69"/>
      <c r="N560" s="69"/>
      <c r="O560" s="69"/>
      <c r="P560" s="19"/>
      <c r="Q560" s="19"/>
      <c r="R560" s="99">
        <v>556</v>
      </c>
    </row>
    <row r="561" spans="1:18" ht="20" x14ac:dyDescent="0.2">
      <c r="A561" s="58"/>
      <c r="B561" s="151" t="s">
        <v>1871</v>
      </c>
      <c r="C561" s="51" t="s">
        <v>3603</v>
      </c>
      <c r="D561" s="33" t="s">
        <v>106</v>
      </c>
      <c r="E561" s="33"/>
      <c r="F561" s="33"/>
      <c r="G561" s="33" t="s">
        <v>2876</v>
      </c>
      <c r="H561" s="33"/>
      <c r="I561" s="99"/>
      <c r="J561" s="99"/>
      <c r="K561" s="69"/>
      <c r="L561" s="69"/>
      <c r="M561" s="69"/>
      <c r="N561" s="69"/>
      <c r="O561" s="69"/>
      <c r="P561" s="19"/>
      <c r="Q561" s="19"/>
      <c r="R561" s="99">
        <v>557</v>
      </c>
    </row>
    <row r="562" spans="1:18" ht="20" x14ac:dyDescent="0.2">
      <c r="A562" s="58"/>
      <c r="B562" s="151" t="s">
        <v>1872</v>
      </c>
      <c r="C562" s="51" t="s">
        <v>3180</v>
      </c>
      <c r="D562" s="33" t="s">
        <v>106</v>
      </c>
      <c r="E562" s="33"/>
      <c r="F562" s="33"/>
      <c r="G562" s="33" t="s">
        <v>2876</v>
      </c>
      <c r="H562" s="33"/>
      <c r="I562" s="236"/>
      <c r="J562" s="236"/>
      <c r="K562" s="69"/>
      <c r="L562" s="69"/>
      <c r="M562" s="69"/>
      <c r="N562" s="69"/>
      <c r="O562" s="69"/>
      <c r="P562" s="19"/>
      <c r="Q562" s="19"/>
      <c r="R562" s="99">
        <v>558</v>
      </c>
    </row>
    <row r="563" spans="1:18" ht="20" x14ac:dyDescent="0.2">
      <c r="A563" s="58"/>
      <c r="B563" s="151" t="s">
        <v>1873</v>
      </c>
      <c r="C563" s="51" t="s">
        <v>3421</v>
      </c>
      <c r="D563" s="33" t="s">
        <v>106</v>
      </c>
      <c r="E563" s="33"/>
      <c r="F563" s="33"/>
      <c r="G563" s="33" t="s">
        <v>2876</v>
      </c>
      <c r="H563" s="237" t="s">
        <v>1545</v>
      </c>
      <c r="I563" s="2">
        <v>60</v>
      </c>
      <c r="J563" s="2">
        <v>25</v>
      </c>
      <c r="K563" s="1">
        <v>11.3</v>
      </c>
      <c r="L563" s="1">
        <v>13.9</v>
      </c>
      <c r="M563" s="131">
        <v>0.9</v>
      </c>
      <c r="N563" s="1">
        <f>K563*$M563</f>
        <v>10.170000000000002</v>
      </c>
      <c r="O563" s="1">
        <f>L563*$M563</f>
        <v>12.51</v>
      </c>
      <c r="P563" s="19"/>
      <c r="Q563" s="19"/>
      <c r="R563" s="99">
        <v>559</v>
      </c>
    </row>
    <row r="564" spans="1:18" ht="20" x14ac:dyDescent="0.2">
      <c r="A564" s="58"/>
      <c r="B564" s="151" t="s">
        <v>1873</v>
      </c>
      <c r="C564" s="51" t="s">
        <v>3421</v>
      </c>
      <c r="D564" s="33" t="s">
        <v>106</v>
      </c>
      <c r="E564" s="33"/>
      <c r="F564" s="33"/>
      <c r="G564" s="33" t="s">
        <v>2876</v>
      </c>
      <c r="H564" s="237" t="s">
        <v>1549</v>
      </c>
      <c r="I564" s="2">
        <v>60</v>
      </c>
      <c r="J564" s="2">
        <v>25</v>
      </c>
      <c r="K564" s="1">
        <v>28.3</v>
      </c>
      <c r="L564" s="1">
        <v>33.6</v>
      </c>
      <c r="M564" s="131">
        <v>0.9</v>
      </c>
      <c r="N564" s="1">
        <f>K564*$M564</f>
        <v>25.470000000000002</v>
      </c>
      <c r="O564" s="1">
        <f>L564*$M564</f>
        <v>30.240000000000002</v>
      </c>
      <c r="P564" s="19"/>
      <c r="Q564" s="19"/>
      <c r="R564" s="99">
        <v>560</v>
      </c>
    </row>
    <row r="565" spans="1:18" ht="20" x14ac:dyDescent="0.2">
      <c r="A565" s="58"/>
      <c r="B565" s="151" t="s">
        <v>1874</v>
      </c>
      <c r="C565" s="51" t="s">
        <v>3407</v>
      </c>
      <c r="D565" s="33" t="s">
        <v>106</v>
      </c>
      <c r="E565" s="33"/>
      <c r="F565" s="33"/>
      <c r="G565" s="33" t="s">
        <v>2876</v>
      </c>
      <c r="H565" s="33"/>
      <c r="I565" s="99"/>
      <c r="J565" s="99"/>
      <c r="K565" s="69"/>
      <c r="L565" s="69"/>
      <c r="M565" s="69"/>
      <c r="N565" s="69"/>
      <c r="O565" s="69"/>
      <c r="P565" s="19"/>
      <c r="Q565" s="19"/>
      <c r="R565" s="99">
        <v>561</v>
      </c>
    </row>
    <row r="566" spans="1:18" ht="20" x14ac:dyDescent="0.2">
      <c r="A566" s="58"/>
      <c r="B566" s="151" t="s">
        <v>2337</v>
      </c>
      <c r="C566" s="51" t="s">
        <v>3653</v>
      </c>
      <c r="D566" s="33" t="s">
        <v>106</v>
      </c>
      <c r="E566" s="33"/>
      <c r="F566" s="33"/>
      <c r="G566" s="33" t="s">
        <v>2876</v>
      </c>
      <c r="H566" s="33"/>
      <c r="I566" s="99"/>
      <c r="J566" s="99"/>
      <c r="K566" s="69"/>
      <c r="L566" s="69"/>
      <c r="M566" s="69"/>
      <c r="N566" s="69"/>
      <c r="O566" s="69"/>
      <c r="P566" s="19"/>
      <c r="Q566" s="19"/>
      <c r="R566" s="99">
        <v>562</v>
      </c>
    </row>
    <row r="567" spans="1:18" ht="20" x14ac:dyDescent="0.2">
      <c r="A567" s="58"/>
      <c r="B567" s="151" t="s">
        <v>2273</v>
      </c>
      <c r="C567" s="51" t="s">
        <v>3515</v>
      </c>
      <c r="D567" s="33" t="s">
        <v>106</v>
      </c>
      <c r="E567" s="33"/>
      <c r="F567" s="33"/>
      <c r="G567" s="33" t="s">
        <v>2876</v>
      </c>
      <c r="H567" s="237" t="s">
        <v>1545</v>
      </c>
      <c r="I567" s="2">
        <v>60</v>
      </c>
      <c r="J567" s="2">
        <v>12</v>
      </c>
      <c r="K567" s="1">
        <v>29</v>
      </c>
      <c r="L567" s="1">
        <v>36</v>
      </c>
      <c r="M567" s="131">
        <v>0.9</v>
      </c>
      <c r="N567" s="1">
        <f t="shared" ref="N567:O572" si="53">K567*$M567</f>
        <v>26.1</v>
      </c>
      <c r="O567" s="1">
        <f t="shared" si="53"/>
        <v>32.4</v>
      </c>
      <c r="P567" s="19"/>
      <c r="Q567" s="19"/>
      <c r="R567" s="99">
        <v>563</v>
      </c>
    </row>
    <row r="568" spans="1:18" ht="20" x14ac:dyDescent="0.2">
      <c r="A568" s="58"/>
      <c r="B568" s="151" t="s">
        <v>2273</v>
      </c>
      <c r="C568" s="51" t="s">
        <v>3515</v>
      </c>
      <c r="D568" s="33" t="s">
        <v>106</v>
      </c>
      <c r="E568" s="33"/>
      <c r="F568" s="33"/>
      <c r="G568" s="33" t="s">
        <v>2876</v>
      </c>
      <c r="H568" s="237" t="s">
        <v>1549</v>
      </c>
      <c r="I568" s="2">
        <v>60</v>
      </c>
      <c r="J568" s="2">
        <v>12</v>
      </c>
      <c r="K568" s="1">
        <v>48</v>
      </c>
      <c r="L568" s="1">
        <v>61</v>
      </c>
      <c r="M568" s="131">
        <v>0.9</v>
      </c>
      <c r="N568" s="1">
        <f t="shared" si="53"/>
        <v>43.2</v>
      </c>
      <c r="O568" s="1">
        <f t="shared" si="53"/>
        <v>54.9</v>
      </c>
      <c r="P568" s="19"/>
      <c r="Q568" s="19"/>
      <c r="R568" s="99">
        <v>564</v>
      </c>
    </row>
    <row r="569" spans="1:18" ht="20" x14ac:dyDescent="0.2">
      <c r="A569" s="58"/>
      <c r="B569" s="151" t="s">
        <v>1875</v>
      </c>
      <c r="C569" s="51" t="s">
        <v>3324</v>
      </c>
      <c r="D569" s="33" t="s">
        <v>106</v>
      </c>
      <c r="E569" s="33"/>
      <c r="F569" s="33"/>
      <c r="G569" s="33" t="s">
        <v>2876</v>
      </c>
      <c r="H569" s="237" t="s">
        <v>1545</v>
      </c>
      <c r="I569" s="2">
        <v>60</v>
      </c>
      <c r="J569" s="2">
        <v>12</v>
      </c>
      <c r="K569" s="1">
        <v>26</v>
      </c>
      <c r="L569" s="1">
        <v>33</v>
      </c>
      <c r="M569" s="131">
        <v>0.9</v>
      </c>
      <c r="N569" s="1">
        <f t="shared" si="53"/>
        <v>23.400000000000002</v>
      </c>
      <c r="O569" s="1">
        <f t="shared" si="53"/>
        <v>29.7</v>
      </c>
      <c r="P569" s="19"/>
      <c r="Q569" s="19"/>
      <c r="R569" s="99">
        <v>565</v>
      </c>
    </row>
    <row r="570" spans="1:18" ht="20" x14ac:dyDescent="0.2">
      <c r="A570" s="58"/>
      <c r="B570" s="151" t="s">
        <v>1875</v>
      </c>
      <c r="C570" s="51" t="s">
        <v>3324</v>
      </c>
      <c r="D570" s="33" t="s">
        <v>106</v>
      </c>
      <c r="E570" s="33"/>
      <c r="F570" s="33"/>
      <c r="G570" s="33" t="s">
        <v>2876</v>
      </c>
      <c r="H570" s="237" t="s">
        <v>1549</v>
      </c>
      <c r="I570" s="2">
        <v>60</v>
      </c>
      <c r="J570" s="2">
        <v>12</v>
      </c>
      <c r="K570" s="1">
        <v>26</v>
      </c>
      <c r="L570" s="1">
        <v>33</v>
      </c>
      <c r="M570" s="131">
        <v>0.9</v>
      </c>
      <c r="N570" s="1">
        <f t="shared" si="53"/>
        <v>23.400000000000002</v>
      </c>
      <c r="O570" s="1">
        <f t="shared" si="53"/>
        <v>29.7</v>
      </c>
      <c r="P570" s="19"/>
      <c r="Q570" s="19"/>
      <c r="R570" s="99">
        <v>566</v>
      </c>
    </row>
    <row r="571" spans="1:18" ht="20" x14ac:dyDescent="0.2">
      <c r="A571" s="58"/>
      <c r="B571" s="151" t="s">
        <v>257</v>
      </c>
      <c r="C571" s="51" t="s">
        <v>3325</v>
      </c>
      <c r="D571" s="33" t="s">
        <v>106</v>
      </c>
      <c r="E571" s="33"/>
      <c r="F571" s="33"/>
      <c r="G571" s="33" t="s">
        <v>2876</v>
      </c>
      <c r="H571" s="237" t="s">
        <v>1545</v>
      </c>
      <c r="I571" s="2">
        <v>138</v>
      </c>
      <c r="J571" s="2">
        <v>25</v>
      </c>
      <c r="K571" s="1">
        <v>78.75</v>
      </c>
      <c r="L571" s="1">
        <v>99.75</v>
      </c>
      <c r="M571" s="131">
        <v>0.9</v>
      </c>
      <c r="N571" s="1">
        <f t="shared" si="53"/>
        <v>70.875</v>
      </c>
      <c r="O571" s="1">
        <f t="shared" si="53"/>
        <v>89.775000000000006</v>
      </c>
      <c r="P571" s="19"/>
      <c r="Q571" s="19"/>
      <c r="R571" s="99">
        <v>567</v>
      </c>
    </row>
    <row r="572" spans="1:18" ht="20" x14ac:dyDescent="0.2">
      <c r="A572" s="58"/>
      <c r="B572" s="151" t="s">
        <v>257</v>
      </c>
      <c r="C572" s="51" t="s">
        <v>3325</v>
      </c>
      <c r="D572" s="33" t="s">
        <v>106</v>
      </c>
      <c r="E572" s="33"/>
      <c r="F572" s="33"/>
      <c r="G572" s="33" t="s">
        <v>2876</v>
      </c>
      <c r="H572" s="237" t="s">
        <v>1549</v>
      </c>
      <c r="I572" s="2">
        <v>138</v>
      </c>
      <c r="J572" s="2">
        <v>25</v>
      </c>
      <c r="K572" s="1">
        <v>78.75</v>
      </c>
      <c r="L572" s="1">
        <v>99.75</v>
      </c>
      <c r="M572" s="131">
        <v>0.9</v>
      </c>
      <c r="N572" s="1">
        <f t="shared" si="53"/>
        <v>70.875</v>
      </c>
      <c r="O572" s="1">
        <f t="shared" si="53"/>
        <v>89.775000000000006</v>
      </c>
      <c r="P572" s="19"/>
      <c r="Q572" s="19"/>
      <c r="R572" s="99">
        <v>568</v>
      </c>
    </row>
    <row r="573" spans="1:18" ht="20" x14ac:dyDescent="0.2">
      <c r="A573" s="58"/>
      <c r="B573" s="151" t="s">
        <v>1876</v>
      </c>
      <c r="C573" s="51" t="s">
        <v>3326</v>
      </c>
      <c r="D573" s="33" t="s">
        <v>106</v>
      </c>
      <c r="E573" s="33"/>
      <c r="F573" s="33"/>
      <c r="G573" s="33" t="s">
        <v>2876</v>
      </c>
      <c r="H573" s="33"/>
      <c r="I573" s="99"/>
      <c r="J573" s="99"/>
      <c r="K573" s="69"/>
      <c r="L573" s="69"/>
      <c r="M573" s="69"/>
      <c r="N573" s="69"/>
      <c r="O573" s="69"/>
      <c r="P573" s="19"/>
      <c r="Q573" s="19"/>
      <c r="R573" s="99">
        <v>569</v>
      </c>
    </row>
    <row r="574" spans="1:18" ht="20" x14ac:dyDescent="0.2">
      <c r="A574" s="58"/>
      <c r="B574" s="151" t="s">
        <v>1877</v>
      </c>
      <c r="C574" s="51" t="s">
        <v>3517</v>
      </c>
      <c r="D574" s="33" t="s">
        <v>106</v>
      </c>
      <c r="E574" s="33"/>
      <c r="F574" s="33"/>
      <c r="G574" s="33" t="s">
        <v>2876</v>
      </c>
      <c r="H574" s="33"/>
      <c r="I574" s="99"/>
      <c r="J574" s="99"/>
      <c r="K574" s="69"/>
      <c r="L574" s="69"/>
      <c r="M574" s="69"/>
      <c r="N574" s="69"/>
      <c r="O574" s="69"/>
      <c r="P574" s="19"/>
      <c r="Q574" s="19"/>
      <c r="R574" s="99">
        <v>570</v>
      </c>
    </row>
    <row r="575" spans="1:18" ht="20" x14ac:dyDescent="0.2">
      <c r="A575" s="58"/>
      <c r="B575" s="151" t="s">
        <v>1878</v>
      </c>
      <c r="C575" s="51" t="s">
        <v>3158</v>
      </c>
      <c r="D575" s="33" t="s">
        <v>106</v>
      </c>
      <c r="E575" s="33">
        <v>49.030161200000002</v>
      </c>
      <c r="F575" s="33">
        <v>-117.5040983</v>
      </c>
      <c r="G575" s="33" t="s">
        <v>2876</v>
      </c>
      <c r="H575" s="33"/>
      <c r="I575" s="99"/>
      <c r="J575" s="99"/>
      <c r="K575" s="69"/>
      <c r="L575" s="69"/>
      <c r="M575" s="69"/>
      <c r="N575" s="69"/>
      <c r="O575" s="69"/>
      <c r="P575" s="19"/>
      <c r="Q575" s="19"/>
      <c r="R575" s="99">
        <v>571</v>
      </c>
    </row>
    <row r="576" spans="1:18" ht="20" x14ac:dyDescent="0.2">
      <c r="A576" s="58"/>
      <c r="B576" s="151" t="s">
        <v>1879</v>
      </c>
      <c r="C576" s="51" t="s">
        <v>3159</v>
      </c>
      <c r="D576" s="33" t="s">
        <v>106</v>
      </c>
      <c r="E576" s="33">
        <v>49.228836100000002</v>
      </c>
      <c r="F576" s="33">
        <v>-122.3561177</v>
      </c>
      <c r="G576" s="33" t="s">
        <v>2876</v>
      </c>
      <c r="H576" s="33"/>
      <c r="I576" s="99"/>
      <c r="J576" s="99"/>
      <c r="K576" s="69"/>
      <c r="L576" s="69"/>
      <c r="M576" s="69"/>
      <c r="N576" s="69"/>
      <c r="O576" s="69"/>
      <c r="P576" s="19"/>
      <c r="Q576" s="19"/>
      <c r="R576" s="99">
        <v>572</v>
      </c>
    </row>
    <row r="577" spans="1:18" ht="20" x14ac:dyDescent="0.2">
      <c r="A577" s="58"/>
      <c r="B577" s="151" t="s">
        <v>1880</v>
      </c>
      <c r="C577" s="51" t="s">
        <v>3518</v>
      </c>
      <c r="D577" s="33" t="s">
        <v>106</v>
      </c>
      <c r="E577" s="33"/>
      <c r="F577" s="33"/>
      <c r="G577" s="33" t="s">
        <v>2876</v>
      </c>
      <c r="H577" s="33"/>
      <c r="I577" s="99"/>
      <c r="J577" s="99"/>
      <c r="K577" s="69"/>
      <c r="L577" s="69"/>
      <c r="M577" s="69"/>
      <c r="N577" s="69"/>
      <c r="O577" s="69"/>
      <c r="P577" s="19"/>
      <c r="Q577" s="19"/>
      <c r="R577" s="99">
        <v>573</v>
      </c>
    </row>
    <row r="578" spans="1:18" ht="20" x14ac:dyDescent="0.2">
      <c r="A578" s="58"/>
      <c r="B578" s="151" t="s">
        <v>1881</v>
      </c>
      <c r="C578" s="51" t="s">
        <v>3678</v>
      </c>
      <c r="D578" s="33" t="s">
        <v>106</v>
      </c>
      <c r="E578" s="33"/>
      <c r="F578" s="33"/>
      <c r="G578" s="33" t="s">
        <v>2876</v>
      </c>
      <c r="H578" s="33"/>
      <c r="I578" s="99"/>
      <c r="J578" s="99"/>
      <c r="K578" s="69"/>
      <c r="L578" s="69"/>
      <c r="M578" s="69"/>
      <c r="N578" s="69"/>
      <c r="O578" s="69"/>
      <c r="P578" s="19"/>
      <c r="Q578" s="19"/>
      <c r="R578" s="99">
        <v>574</v>
      </c>
    </row>
    <row r="579" spans="1:18" ht="20" x14ac:dyDescent="0.2">
      <c r="A579" s="58"/>
      <c r="B579" s="151" t="s">
        <v>1882</v>
      </c>
      <c r="C579" s="51" t="s">
        <v>3519</v>
      </c>
      <c r="D579" s="33" t="s">
        <v>106</v>
      </c>
      <c r="E579" s="33"/>
      <c r="F579" s="33"/>
      <c r="G579" s="33" t="s">
        <v>2876</v>
      </c>
      <c r="H579" s="237" t="s">
        <v>1545</v>
      </c>
      <c r="I579" s="2">
        <v>138</v>
      </c>
      <c r="J579" s="2">
        <v>25</v>
      </c>
      <c r="K579" s="1">
        <v>75</v>
      </c>
      <c r="L579" s="1">
        <v>99</v>
      </c>
      <c r="M579" s="131">
        <v>0.9</v>
      </c>
      <c r="N579" s="1">
        <f>K579*$M579</f>
        <v>67.5</v>
      </c>
      <c r="O579" s="1">
        <f>L579*$M579</f>
        <v>89.100000000000009</v>
      </c>
      <c r="P579" s="19"/>
      <c r="Q579" s="19"/>
      <c r="R579" s="99">
        <v>575</v>
      </c>
    </row>
    <row r="580" spans="1:18" ht="20" x14ac:dyDescent="0.2">
      <c r="A580" s="58"/>
      <c r="B580" s="151" t="s">
        <v>1882</v>
      </c>
      <c r="C580" s="51" t="s">
        <v>3519</v>
      </c>
      <c r="D580" s="33" t="s">
        <v>106</v>
      </c>
      <c r="E580" s="33"/>
      <c r="F580" s="33"/>
      <c r="G580" s="33" t="s">
        <v>2876</v>
      </c>
      <c r="H580" s="237" t="s">
        <v>1549</v>
      </c>
      <c r="I580" s="2">
        <v>138</v>
      </c>
      <c r="J580" s="2">
        <v>25</v>
      </c>
      <c r="K580" s="1">
        <v>75</v>
      </c>
      <c r="L580" s="1">
        <v>99</v>
      </c>
      <c r="M580" s="131">
        <v>0.9</v>
      </c>
      <c r="N580" s="1">
        <f>K580*$M580</f>
        <v>67.5</v>
      </c>
      <c r="O580" s="1">
        <f>L580*$M580</f>
        <v>89.100000000000009</v>
      </c>
      <c r="P580" s="19"/>
      <c r="Q580" s="19"/>
      <c r="R580" s="99">
        <v>576</v>
      </c>
    </row>
    <row r="581" spans="1:18" ht="20" x14ac:dyDescent="0.2">
      <c r="A581" s="58"/>
      <c r="B581" s="151" t="s">
        <v>1883</v>
      </c>
      <c r="C581" s="51" t="s">
        <v>3408</v>
      </c>
      <c r="D581" s="33" t="s">
        <v>106</v>
      </c>
      <c r="E581" s="33"/>
      <c r="F581" s="33"/>
      <c r="G581" s="33" t="s">
        <v>2876</v>
      </c>
      <c r="H581" s="33"/>
      <c r="I581" s="236"/>
      <c r="J581" s="236"/>
      <c r="K581" s="69"/>
      <c r="L581" s="69"/>
      <c r="M581" s="69"/>
      <c r="N581" s="69"/>
      <c r="O581" s="69"/>
      <c r="P581" s="19"/>
      <c r="Q581" s="19"/>
      <c r="R581" s="99">
        <v>577</v>
      </c>
    </row>
    <row r="582" spans="1:18" ht="20" x14ac:dyDescent="0.2">
      <c r="A582" s="58"/>
      <c r="B582" s="151" t="s">
        <v>1884</v>
      </c>
      <c r="C582" s="51" t="s">
        <v>3328</v>
      </c>
      <c r="D582" s="33" t="s">
        <v>106</v>
      </c>
      <c r="E582" s="33"/>
      <c r="F582" s="33"/>
      <c r="G582" s="33" t="s">
        <v>2876</v>
      </c>
      <c r="H582" s="33"/>
      <c r="I582" s="236"/>
      <c r="J582" s="236"/>
      <c r="K582" s="69"/>
      <c r="L582" s="69"/>
      <c r="M582" s="69"/>
      <c r="N582" s="69"/>
      <c r="O582" s="69"/>
      <c r="P582" s="19"/>
      <c r="Q582" s="19"/>
      <c r="R582" s="99">
        <v>578</v>
      </c>
    </row>
    <row r="583" spans="1:18" ht="20" x14ac:dyDescent="0.2">
      <c r="A583" s="58"/>
      <c r="B583" s="151" t="s">
        <v>2325</v>
      </c>
      <c r="C583" s="51" t="s">
        <v>3160</v>
      </c>
      <c r="D583" s="33" t="s">
        <v>106</v>
      </c>
      <c r="E583" s="33">
        <v>49.711062200000001</v>
      </c>
      <c r="F583" s="33">
        <v>-122.0342551</v>
      </c>
      <c r="G583" s="33" t="s">
        <v>2876</v>
      </c>
      <c r="H583" s="33"/>
      <c r="I583" s="236"/>
      <c r="J583" s="236"/>
      <c r="K583" s="69"/>
      <c r="L583" s="69"/>
      <c r="M583" s="69"/>
      <c r="N583" s="69"/>
      <c r="O583" s="69"/>
      <c r="P583" s="19"/>
      <c r="Q583" s="19"/>
      <c r="R583" s="99">
        <v>579</v>
      </c>
    </row>
    <row r="584" spans="1:18" ht="20" x14ac:dyDescent="0.2">
      <c r="A584" s="58"/>
      <c r="B584" s="151" t="s">
        <v>1885</v>
      </c>
      <c r="C584" s="51" t="s">
        <v>3681</v>
      </c>
      <c r="D584" s="33" t="s">
        <v>106</v>
      </c>
      <c r="E584" s="33"/>
      <c r="F584" s="33"/>
      <c r="G584" s="33" t="s">
        <v>2876</v>
      </c>
      <c r="H584" s="33"/>
      <c r="I584" s="236"/>
      <c r="J584" s="236"/>
      <c r="K584" s="69"/>
      <c r="L584" s="69"/>
      <c r="M584" s="69"/>
      <c r="N584" s="69"/>
      <c r="O584" s="69"/>
      <c r="P584" s="19"/>
      <c r="Q584" s="19"/>
      <c r="R584" s="99">
        <v>580</v>
      </c>
    </row>
    <row r="585" spans="1:18" ht="20" x14ac:dyDescent="0.2">
      <c r="A585" s="58"/>
      <c r="B585" s="151" t="s">
        <v>1886</v>
      </c>
      <c r="C585" s="51" t="s">
        <v>3161</v>
      </c>
      <c r="D585" s="33" t="s">
        <v>106</v>
      </c>
      <c r="E585" s="33">
        <v>49.7204719</v>
      </c>
      <c r="F585" s="33">
        <v>-122.9955731</v>
      </c>
      <c r="G585" s="33" t="s">
        <v>2876</v>
      </c>
      <c r="H585" s="33"/>
      <c r="I585" s="236"/>
      <c r="J585" s="236"/>
      <c r="K585" s="69"/>
      <c r="L585" s="69"/>
      <c r="M585" s="69"/>
      <c r="N585" s="69"/>
      <c r="O585" s="69"/>
      <c r="P585" s="19"/>
      <c r="Q585" s="19"/>
      <c r="R585" s="99">
        <v>581</v>
      </c>
    </row>
    <row r="586" spans="1:18" ht="20" x14ac:dyDescent="0.2">
      <c r="A586" s="58"/>
      <c r="B586" s="151" t="s">
        <v>313</v>
      </c>
      <c r="C586" s="51" t="s">
        <v>3329</v>
      </c>
      <c r="D586" s="33" t="s">
        <v>106</v>
      </c>
      <c r="E586" s="33"/>
      <c r="F586" s="33"/>
      <c r="G586" s="33" t="s">
        <v>2876</v>
      </c>
      <c r="H586" s="237" t="s">
        <v>1545</v>
      </c>
      <c r="I586" s="2">
        <v>60</v>
      </c>
      <c r="J586" s="2">
        <v>12</v>
      </c>
      <c r="K586" s="1">
        <v>5</v>
      </c>
      <c r="L586" s="1">
        <v>6</v>
      </c>
      <c r="M586" s="131">
        <v>0.9</v>
      </c>
      <c r="N586" s="1">
        <f>K586*$M586</f>
        <v>4.5</v>
      </c>
      <c r="O586" s="1">
        <f>L586*$M586</f>
        <v>5.4</v>
      </c>
      <c r="P586" s="19"/>
      <c r="Q586" s="19"/>
      <c r="R586" s="99">
        <v>582</v>
      </c>
    </row>
    <row r="587" spans="1:18" ht="20" x14ac:dyDescent="0.2">
      <c r="A587" s="58"/>
      <c r="B587" s="151" t="s">
        <v>2326</v>
      </c>
      <c r="C587" s="51" t="s">
        <v>3162</v>
      </c>
      <c r="D587" s="33" t="s">
        <v>106</v>
      </c>
      <c r="E587" s="33">
        <v>49.455486499999999</v>
      </c>
      <c r="F587" s="33">
        <v>-117.5197117</v>
      </c>
      <c r="G587" s="33" t="s">
        <v>2876</v>
      </c>
      <c r="H587" s="33"/>
      <c r="I587" s="236"/>
      <c r="J587" s="236"/>
      <c r="K587" s="69"/>
      <c r="L587" s="69"/>
      <c r="M587" s="69"/>
      <c r="N587" s="69"/>
      <c r="O587" s="69"/>
      <c r="P587" s="19"/>
      <c r="Q587" s="19"/>
      <c r="R587" s="99">
        <v>583</v>
      </c>
    </row>
    <row r="588" spans="1:18" ht="20" x14ac:dyDescent="0.2">
      <c r="A588" s="58"/>
      <c r="B588" s="151" t="s">
        <v>1887</v>
      </c>
      <c r="C588" s="51" t="s">
        <v>3521</v>
      </c>
      <c r="D588" s="33" t="s">
        <v>106</v>
      </c>
      <c r="E588" s="33"/>
      <c r="F588" s="33"/>
      <c r="G588" s="33" t="s">
        <v>2876</v>
      </c>
      <c r="H588" s="33"/>
      <c r="I588" s="236"/>
      <c r="J588" s="236"/>
      <c r="K588" s="69"/>
      <c r="L588" s="69"/>
      <c r="M588" s="69"/>
      <c r="N588" s="69"/>
      <c r="O588" s="69"/>
      <c r="P588" s="19"/>
      <c r="Q588" s="19"/>
      <c r="R588" s="99">
        <v>584</v>
      </c>
    </row>
    <row r="589" spans="1:18" ht="20" x14ac:dyDescent="0.2">
      <c r="A589" s="58"/>
      <c r="B589" s="151" t="s">
        <v>1888</v>
      </c>
      <c r="C589" s="51" t="s">
        <v>3330</v>
      </c>
      <c r="D589" s="33" t="s">
        <v>106</v>
      </c>
      <c r="E589" s="33"/>
      <c r="F589" s="33"/>
      <c r="G589" s="33" t="s">
        <v>2876</v>
      </c>
      <c r="H589" s="33"/>
      <c r="I589" s="236"/>
      <c r="J589" s="236"/>
      <c r="K589" s="69"/>
      <c r="L589" s="69"/>
      <c r="M589" s="69"/>
      <c r="N589" s="69"/>
      <c r="O589" s="69"/>
      <c r="P589" s="19"/>
      <c r="Q589" s="19"/>
      <c r="R589" s="99">
        <v>585</v>
      </c>
    </row>
    <row r="590" spans="1:18" ht="20" x14ac:dyDescent="0.2">
      <c r="A590" s="58"/>
      <c r="B590" s="151" t="s">
        <v>1959</v>
      </c>
      <c r="C590" s="51" t="s">
        <v>3522</v>
      </c>
      <c r="D590" s="33" t="s">
        <v>106</v>
      </c>
      <c r="E590" s="33"/>
      <c r="F590" s="33"/>
      <c r="G590" s="33" t="s">
        <v>2876</v>
      </c>
      <c r="H590" s="237" t="s">
        <v>1545</v>
      </c>
      <c r="I590" s="2">
        <v>60</v>
      </c>
      <c r="J590" s="2">
        <v>25</v>
      </c>
      <c r="K590" s="1">
        <v>8.8000000000000007</v>
      </c>
      <c r="L590" s="1">
        <v>10</v>
      </c>
      <c r="M590" s="131">
        <v>0.9</v>
      </c>
      <c r="N590" s="1">
        <f t="shared" ref="N590:O593" si="54">K590*$M590</f>
        <v>7.9200000000000008</v>
      </c>
      <c r="O590" s="1">
        <f t="shared" si="54"/>
        <v>9</v>
      </c>
      <c r="P590" s="19"/>
      <c r="Q590" s="19"/>
      <c r="R590" s="99">
        <v>586</v>
      </c>
    </row>
    <row r="591" spans="1:18" ht="20" x14ac:dyDescent="0.2">
      <c r="A591" s="58"/>
      <c r="B591" s="151" t="s">
        <v>1959</v>
      </c>
      <c r="C591" s="51" t="s">
        <v>3522</v>
      </c>
      <c r="D591" s="33" t="s">
        <v>106</v>
      </c>
      <c r="E591" s="33"/>
      <c r="F591" s="33"/>
      <c r="G591" s="33" t="s">
        <v>2876</v>
      </c>
      <c r="H591" s="237" t="s">
        <v>1549</v>
      </c>
      <c r="I591" s="2">
        <v>60</v>
      </c>
      <c r="J591" s="2">
        <v>25</v>
      </c>
      <c r="K591" s="1">
        <v>25</v>
      </c>
      <c r="L591" s="1">
        <v>30</v>
      </c>
      <c r="M591" s="131">
        <v>0.9</v>
      </c>
      <c r="N591" s="1">
        <f t="shared" si="54"/>
        <v>22.5</v>
      </c>
      <c r="O591" s="1">
        <f t="shared" si="54"/>
        <v>27</v>
      </c>
      <c r="P591" s="19"/>
      <c r="Q591" s="19"/>
      <c r="R591" s="99">
        <v>587</v>
      </c>
    </row>
    <row r="592" spans="1:18" ht="20" x14ac:dyDescent="0.2">
      <c r="A592" s="58"/>
      <c r="B592" s="151" t="s">
        <v>1889</v>
      </c>
      <c r="C592" s="51" t="s">
        <v>3523</v>
      </c>
      <c r="D592" s="33" t="s">
        <v>106</v>
      </c>
      <c r="E592" s="33"/>
      <c r="F592" s="33"/>
      <c r="G592" s="33" t="s">
        <v>2876</v>
      </c>
      <c r="H592" s="237" t="s">
        <v>1545</v>
      </c>
      <c r="I592" s="2">
        <v>60</v>
      </c>
      <c r="J592" s="2">
        <v>25</v>
      </c>
      <c r="K592" s="1">
        <v>44</v>
      </c>
      <c r="L592" s="1">
        <v>55</v>
      </c>
      <c r="M592" s="131">
        <v>0.9</v>
      </c>
      <c r="N592" s="1">
        <f t="shared" si="54"/>
        <v>39.6</v>
      </c>
      <c r="O592" s="1">
        <f t="shared" si="54"/>
        <v>49.5</v>
      </c>
      <c r="P592" s="19"/>
      <c r="Q592" s="19"/>
      <c r="R592" s="99">
        <v>588</v>
      </c>
    </row>
    <row r="593" spans="1:18" ht="20" x14ac:dyDescent="0.2">
      <c r="A593" s="58"/>
      <c r="B593" s="151" t="s">
        <v>1889</v>
      </c>
      <c r="C593" s="51" t="s">
        <v>3523</v>
      </c>
      <c r="D593" s="33" t="s">
        <v>106</v>
      </c>
      <c r="E593" s="33"/>
      <c r="F593" s="33"/>
      <c r="G593" s="33" t="s">
        <v>2876</v>
      </c>
      <c r="H593" s="237" t="s">
        <v>1549</v>
      </c>
      <c r="I593" s="2">
        <v>60</v>
      </c>
      <c r="J593" s="2">
        <v>25</v>
      </c>
      <c r="K593" s="1">
        <v>44</v>
      </c>
      <c r="L593" s="1">
        <v>55</v>
      </c>
      <c r="M593" s="131">
        <v>0.9</v>
      </c>
      <c r="N593" s="1">
        <f t="shared" si="54"/>
        <v>39.6</v>
      </c>
      <c r="O593" s="1">
        <f t="shared" si="54"/>
        <v>49.5</v>
      </c>
      <c r="P593" s="19"/>
      <c r="Q593" s="19"/>
      <c r="R593" s="99">
        <v>589</v>
      </c>
    </row>
    <row r="594" spans="1:18" ht="20" x14ac:dyDescent="0.2">
      <c r="A594" s="58"/>
      <c r="B594" s="151" t="s">
        <v>1890</v>
      </c>
      <c r="C594" s="51">
        <v>0</v>
      </c>
      <c r="D594" s="33" t="s">
        <v>106</v>
      </c>
      <c r="E594" s="33"/>
      <c r="F594" s="33"/>
      <c r="G594" s="33" t="s">
        <v>2876</v>
      </c>
      <c r="H594" s="33"/>
      <c r="I594" s="236"/>
      <c r="J594" s="236"/>
      <c r="K594" s="69"/>
      <c r="L594" s="69"/>
      <c r="M594" s="69"/>
      <c r="N594" s="69"/>
      <c r="O594" s="69"/>
      <c r="P594" s="19"/>
      <c r="Q594" s="19"/>
      <c r="R594" s="99">
        <v>590</v>
      </c>
    </row>
    <row r="595" spans="1:18" ht="20" x14ac:dyDescent="0.2">
      <c r="A595" s="58"/>
      <c r="B595" s="151" t="s">
        <v>1892</v>
      </c>
      <c r="C595" s="51" t="s">
        <v>3467</v>
      </c>
      <c r="D595" s="33" t="s">
        <v>106</v>
      </c>
      <c r="E595" s="33"/>
      <c r="F595" s="33"/>
      <c r="G595" s="33" t="s">
        <v>2876</v>
      </c>
      <c r="H595" s="237" t="s">
        <v>1545</v>
      </c>
      <c r="I595" s="2">
        <v>69</v>
      </c>
      <c r="J595" s="2">
        <v>25</v>
      </c>
      <c r="K595" s="1">
        <v>73.8</v>
      </c>
      <c r="L595" s="1">
        <v>87.5</v>
      </c>
      <c r="M595" s="131">
        <v>0.9</v>
      </c>
      <c r="N595" s="1">
        <f t="shared" ref="N595:N609" si="55">K595*$M595</f>
        <v>66.42</v>
      </c>
      <c r="O595" s="1">
        <f t="shared" ref="O595:O609" si="56">L595*$M595</f>
        <v>78.75</v>
      </c>
      <c r="P595" s="19"/>
      <c r="Q595" s="19"/>
      <c r="R595" s="99">
        <v>591</v>
      </c>
    </row>
    <row r="596" spans="1:18" ht="20" x14ac:dyDescent="0.2">
      <c r="A596" s="58"/>
      <c r="B596" s="151" t="s">
        <v>1892</v>
      </c>
      <c r="C596" s="51" t="s">
        <v>3467</v>
      </c>
      <c r="D596" s="33" t="s">
        <v>106</v>
      </c>
      <c r="E596" s="33"/>
      <c r="F596" s="33"/>
      <c r="G596" s="33" t="s">
        <v>2876</v>
      </c>
      <c r="H596" s="237" t="s">
        <v>1549</v>
      </c>
      <c r="I596" s="2">
        <v>69</v>
      </c>
      <c r="J596" s="2">
        <v>25</v>
      </c>
      <c r="K596" s="1">
        <v>73.8</v>
      </c>
      <c r="L596" s="1">
        <v>87.5</v>
      </c>
      <c r="M596" s="131">
        <v>0.9</v>
      </c>
      <c r="N596" s="1">
        <f t="shared" si="55"/>
        <v>66.42</v>
      </c>
      <c r="O596" s="1">
        <f t="shared" si="56"/>
        <v>78.75</v>
      </c>
      <c r="P596" s="19"/>
      <c r="Q596" s="19"/>
      <c r="R596" s="99">
        <v>592</v>
      </c>
    </row>
    <row r="597" spans="1:18" ht="20" x14ac:dyDescent="0.2">
      <c r="A597" s="58"/>
      <c r="B597" s="151" t="s">
        <v>1893</v>
      </c>
      <c r="C597" s="51" t="s">
        <v>3729</v>
      </c>
      <c r="D597" s="33" t="s">
        <v>106</v>
      </c>
      <c r="E597" s="33">
        <v>50.672741500000001</v>
      </c>
      <c r="F597" s="33">
        <v>-121.9241239</v>
      </c>
      <c r="G597" s="33" t="s">
        <v>2876</v>
      </c>
      <c r="H597" s="237" t="s">
        <v>1549</v>
      </c>
      <c r="I597" s="290">
        <v>60</v>
      </c>
      <c r="J597" s="290">
        <v>12</v>
      </c>
      <c r="K597" s="1">
        <v>22.4</v>
      </c>
      <c r="L597" s="1">
        <v>26.9</v>
      </c>
      <c r="M597" s="131">
        <v>0.9</v>
      </c>
      <c r="N597" s="1">
        <f t="shared" si="55"/>
        <v>20.16</v>
      </c>
      <c r="O597" s="1">
        <f t="shared" si="56"/>
        <v>24.21</v>
      </c>
      <c r="P597" s="19"/>
      <c r="Q597" s="19"/>
      <c r="R597" s="99">
        <v>593</v>
      </c>
    </row>
    <row r="598" spans="1:18" ht="20" x14ac:dyDescent="0.2">
      <c r="A598" s="58"/>
      <c r="B598" s="151" t="s">
        <v>1893</v>
      </c>
      <c r="C598" s="51" t="s">
        <v>3729</v>
      </c>
      <c r="D598" s="33" t="s">
        <v>106</v>
      </c>
      <c r="E598" s="33">
        <v>50.672741500000001</v>
      </c>
      <c r="F598" s="33">
        <v>-121.9241239</v>
      </c>
      <c r="G598" s="33" t="s">
        <v>2876</v>
      </c>
      <c r="H598" s="237" t="s">
        <v>1550</v>
      </c>
      <c r="I598" s="290">
        <v>60</v>
      </c>
      <c r="J598" s="290">
        <v>12</v>
      </c>
      <c r="K598" s="1">
        <v>21</v>
      </c>
      <c r="L598" s="1">
        <v>26.6</v>
      </c>
      <c r="M598" s="131">
        <v>0.9</v>
      </c>
      <c r="N598" s="1">
        <f t="shared" si="55"/>
        <v>18.900000000000002</v>
      </c>
      <c r="O598" s="1">
        <f t="shared" si="56"/>
        <v>23.94</v>
      </c>
      <c r="P598" s="19"/>
      <c r="Q598" s="19"/>
      <c r="R598" s="99">
        <v>594</v>
      </c>
    </row>
    <row r="599" spans="1:18" ht="20" x14ac:dyDescent="0.2">
      <c r="A599" s="58"/>
      <c r="B599" s="151" t="s">
        <v>1894</v>
      </c>
      <c r="C599" s="51" t="s">
        <v>3525</v>
      </c>
      <c r="D599" s="33" t="s">
        <v>106</v>
      </c>
      <c r="E599" s="33"/>
      <c r="F599" s="33"/>
      <c r="G599" s="33" t="s">
        <v>2876</v>
      </c>
      <c r="H599" s="237" t="s">
        <v>1545</v>
      </c>
      <c r="I599" s="2">
        <v>138</v>
      </c>
      <c r="J599" s="2">
        <v>25</v>
      </c>
      <c r="K599" s="1">
        <v>52.5</v>
      </c>
      <c r="L599" s="1">
        <v>66.5</v>
      </c>
      <c r="M599" s="131">
        <v>0.9</v>
      </c>
      <c r="N599" s="1">
        <f t="shared" si="55"/>
        <v>47.25</v>
      </c>
      <c r="O599" s="1">
        <f t="shared" si="56"/>
        <v>59.85</v>
      </c>
      <c r="P599" s="19"/>
      <c r="Q599" s="19"/>
      <c r="R599" s="99">
        <v>595</v>
      </c>
    </row>
    <row r="600" spans="1:18" ht="20" x14ac:dyDescent="0.2">
      <c r="A600" s="58"/>
      <c r="B600" s="151" t="s">
        <v>1894</v>
      </c>
      <c r="C600" s="51" t="s">
        <v>3525</v>
      </c>
      <c r="D600" s="33" t="s">
        <v>106</v>
      </c>
      <c r="E600" s="33"/>
      <c r="F600" s="33"/>
      <c r="G600" s="33" t="s">
        <v>2876</v>
      </c>
      <c r="H600" s="237" t="s">
        <v>1549</v>
      </c>
      <c r="I600" s="2">
        <v>138</v>
      </c>
      <c r="J600" s="2">
        <v>25</v>
      </c>
      <c r="K600" s="1">
        <v>56</v>
      </c>
      <c r="L600" s="1">
        <v>66.5</v>
      </c>
      <c r="M600" s="131">
        <v>0.9</v>
      </c>
      <c r="N600" s="1">
        <f t="shared" si="55"/>
        <v>50.4</v>
      </c>
      <c r="O600" s="1">
        <f t="shared" si="56"/>
        <v>59.85</v>
      </c>
      <c r="P600" s="19"/>
      <c r="Q600" s="19"/>
      <c r="R600" s="99">
        <v>596</v>
      </c>
    </row>
    <row r="601" spans="1:18" ht="20" x14ac:dyDescent="0.2">
      <c r="A601" s="58"/>
      <c r="B601" s="151" t="s">
        <v>179</v>
      </c>
      <c r="C601" s="51" t="s">
        <v>3491</v>
      </c>
      <c r="D601" s="33" t="s">
        <v>106</v>
      </c>
      <c r="E601" s="33"/>
      <c r="F601" s="33"/>
      <c r="G601" s="33" t="s">
        <v>2876</v>
      </c>
      <c r="H601" s="237" t="s">
        <v>1545</v>
      </c>
      <c r="I601" s="2">
        <v>60</v>
      </c>
      <c r="J601" s="2">
        <v>25</v>
      </c>
      <c r="K601" s="1">
        <v>14</v>
      </c>
      <c r="L601" s="1">
        <v>16.8</v>
      </c>
      <c r="M601" s="131">
        <v>0.9</v>
      </c>
      <c r="N601" s="1">
        <f t="shared" si="55"/>
        <v>12.6</v>
      </c>
      <c r="O601" s="1">
        <f t="shared" si="56"/>
        <v>15.120000000000001</v>
      </c>
      <c r="P601" s="19"/>
      <c r="Q601" s="19"/>
      <c r="R601" s="99">
        <v>597</v>
      </c>
    </row>
    <row r="602" spans="1:18" ht="20" x14ac:dyDescent="0.2">
      <c r="A602" s="58"/>
      <c r="B602" s="151" t="s">
        <v>1895</v>
      </c>
      <c r="C602" s="51" t="s">
        <v>3332</v>
      </c>
      <c r="D602" s="33" t="s">
        <v>106</v>
      </c>
      <c r="E602" s="33"/>
      <c r="F602" s="33"/>
      <c r="G602" s="33" t="s">
        <v>2876</v>
      </c>
      <c r="H602" s="237" t="s">
        <v>1552</v>
      </c>
      <c r="I602" s="2">
        <v>230</v>
      </c>
      <c r="J602" s="2">
        <v>12</v>
      </c>
      <c r="K602" s="1">
        <v>177</v>
      </c>
      <c r="L602" s="1">
        <v>214</v>
      </c>
      <c r="M602" s="131">
        <v>0.9</v>
      </c>
      <c r="N602" s="1">
        <f t="shared" si="55"/>
        <v>159.30000000000001</v>
      </c>
      <c r="O602" s="1">
        <f t="shared" si="56"/>
        <v>192.6</v>
      </c>
      <c r="P602" s="19"/>
      <c r="Q602" s="19"/>
      <c r="R602" s="99">
        <v>598</v>
      </c>
    </row>
    <row r="603" spans="1:18" ht="20" x14ac:dyDescent="0.2">
      <c r="A603" s="58"/>
      <c r="B603" s="151" t="s">
        <v>1895</v>
      </c>
      <c r="C603" s="51" t="s">
        <v>3332</v>
      </c>
      <c r="D603" s="33" t="s">
        <v>106</v>
      </c>
      <c r="E603" s="33"/>
      <c r="F603" s="33"/>
      <c r="G603" s="33" t="s">
        <v>2876</v>
      </c>
      <c r="H603" s="237" t="s">
        <v>1557</v>
      </c>
      <c r="I603" s="2">
        <v>230</v>
      </c>
      <c r="J603" s="2">
        <v>12</v>
      </c>
      <c r="K603" s="1">
        <v>177</v>
      </c>
      <c r="L603" s="1">
        <v>214</v>
      </c>
      <c r="M603" s="131">
        <v>0.9</v>
      </c>
      <c r="N603" s="1">
        <f t="shared" si="55"/>
        <v>159.30000000000001</v>
      </c>
      <c r="O603" s="1">
        <f t="shared" si="56"/>
        <v>192.6</v>
      </c>
      <c r="P603" s="19"/>
      <c r="Q603" s="19"/>
      <c r="R603" s="99">
        <v>599</v>
      </c>
    </row>
    <row r="604" spans="1:18" ht="20" x14ac:dyDescent="0.2">
      <c r="A604" s="58"/>
      <c r="B604" s="151" t="s">
        <v>1896</v>
      </c>
      <c r="C604" s="51" t="s">
        <v>3527</v>
      </c>
      <c r="D604" s="33" t="s">
        <v>106</v>
      </c>
      <c r="E604" s="33"/>
      <c r="F604" s="33"/>
      <c r="G604" s="33" t="s">
        <v>2876</v>
      </c>
      <c r="H604" s="237" t="s">
        <v>1545</v>
      </c>
      <c r="I604" s="2">
        <v>60</v>
      </c>
      <c r="J604" s="2">
        <v>25</v>
      </c>
      <c r="K604" s="1">
        <v>44.3</v>
      </c>
      <c r="L604" s="1">
        <v>44.3</v>
      </c>
      <c r="M604" s="131">
        <v>0.9</v>
      </c>
      <c r="N604" s="1">
        <f t="shared" si="55"/>
        <v>39.869999999999997</v>
      </c>
      <c r="O604" s="1">
        <f t="shared" si="56"/>
        <v>39.869999999999997</v>
      </c>
      <c r="P604" s="19"/>
      <c r="Q604" s="19"/>
      <c r="R604" s="99">
        <v>600</v>
      </c>
    </row>
    <row r="605" spans="1:18" ht="20" x14ac:dyDescent="0.2">
      <c r="A605" s="58"/>
      <c r="B605" s="151" t="s">
        <v>1896</v>
      </c>
      <c r="C605" s="51" t="s">
        <v>3527</v>
      </c>
      <c r="D605" s="33" t="s">
        <v>106</v>
      </c>
      <c r="E605" s="33"/>
      <c r="F605" s="33"/>
      <c r="G605" s="33" t="s">
        <v>2876</v>
      </c>
      <c r="H605" s="237" t="s">
        <v>1549</v>
      </c>
      <c r="I605" s="2">
        <v>60</v>
      </c>
      <c r="J605" s="2">
        <v>25</v>
      </c>
      <c r="K605" s="1">
        <v>43.8</v>
      </c>
      <c r="L605" s="1">
        <v>53.5</v>
      </c>
      <c r="M605" s="131">
        <v>0.9</v>
      </c>
      <c r="N605" s="1">
        <f t="shared" si="55"/>
        <v>39.42</v>
      </c>
      <c r="O605" s="1">
        <f t="shared" si="56"/>
        <v>48.15</v>
      </c>
      <c r="P605" s="19"/>
      <c r="Q605" s="19"/>
      <c r="R605" s="99">
        <v>601</v>
      </c>
    </row>
    <row r="606" spans="1:18" ht="20" x14ac:dyDescent="0.2">
      <c r="A606" s="58"/>
      <c r="B606" s="151" t="s">
        <v>1897</v>
      </c>
      <c r="C606" s="51" t="s">
        <v>3726</v>
      </c>
      <c r="D606" s="33" t="s">
        <v>106</v>
      </c>
      <c r="E606" s="33"/>
      <c r="F606" s="33"/>
      <c r="G606" s="33" t="s">
        <v>2876</v>
      </c>
      <c r="H606" s="237" t="s">
        <v>1545</v>
      </c>
      <c r="I606" s="2">
        <v>12</v>
      </c>
      <c r="J606" s="2">
        <v>4</v>
      </c>
      <c r="K606" s="1">
        <v>2.5</v>
      </c>
      <c r="L606" s="1">
        <v>3</v>
      </c>
      <c r="M606" s="131">
        <v>0.9</v>
      </c>
      <c r="N606" s="1">
        <f t="shared" si="55"/>
        <v>2.25</v>
      </c>
      <c r="O606" s="1">
        <f t="shared" si="56"/>
        <v>2.7</v>
      </c>
      <c r="P606" s="19"/>
      <c r="Q606" s="19"/>
      <c r="R606" s="99">
        <v>602</v>
      </c>
    </row>
    <row r="607" spans="1:18" ht="20" x14ac:dyDescent="0.2">
      <c r="A607" s="58"/>
      <c r="B607" s="151" t="s">
        <v>120</v>
      </c>
      <c r="C607" s="51" t="s">
        <v>3333</v>
      </c>
      <c r="D607" s="33" t="s">
        <v>106</v>
      </c>
      <c r="E607" s="33"/>
      <c r="F607" s="33"/>
      <c r="G607" s="33" t="s">
        <v>2876</v>
      </c>
      <c r="H607" s="237" t="s">
        <v>1545</v>
      </c>
      <c r="I607" s="2">
        <v>60</v>
      </c>
      <c r="J607" s="2">
        <v>25</v>
      </c>
      <c r="K607" s="1">
        <v>22</v>
      </c>
      <c r="L607" s="1">
        <v>26</v>
      </c>
      <c r="M607" s="131">
        <v>0.9</v>
      </c>
      <c r="N607" s="1">
        <f t="shared" si="55"/>
        <v>19.8</v>
      </c>
      <c r="O607" s="1">
        <f t="shared" si="56"/>
        <v>23.400000000000002</v>
      </c>
      <c r="P607" s="19"/>
      <c r="Q607" s="19"/>
      <c r="R607" s="99">
        <v>603</v>
      </c>
    </row>
    <row r="608" spans="1:18" ht="20" x14ac:dyDescent="0.2">
      <c r="A608" s="58"/>
      <c r="B608" s="151" t="s">
        <v>120</v>
      </c>
      <c r="C608" s="51" t="s">
        <v>3333</v>
      </c>
      <c r="D608" s="33" t="s">
        <v>106</v>
      </c>
      <c r="E608" s="33"/>
      <c r="F608" s="33"/>
      <c r="G608" s="33" t="s">
        <v>2876</v>
      </c>
      <c r="H608" s="237" t="s">
        <v>1549</v>
      </c>
      <c r="I608" s="2">
        <v>60</v>
      </c>
      <c r="J608" s="2">
        <v>25</v>
      </c>
      <c r="K608" s="1">
        <v>21</v>
      </c>
      <c r="L608" s="1">
        <v>26</v>
      </c>
      <c r="M608" s="131">
        <v>0.9</v>
      </c>
      <c r="N608" s="1">
        <f t="shared" si="55"/>
        <v>18.900000000000002</v>
      </c>
      <c r="O608" s="1">
        <f t="shared" si="56"/>
        <v>23.400000000000002</v>
      </c>
      <c r="P608" s="19"/>
      <c r="Q608" s="19"/>
      <c r="R608" s="99">
        <v>604</v>
      </c>
    </row>
    <row r="609" spans="1:18" ht="20" x14ac:dyDescent="0.2">
      <c r="A609" s="58"/>
      <c r="B609" s="151" t="s">
        <v>120</v>
      </c>
      <c r="C609" s="51" t="s">
        <v>3333</v>
      </c>
      <c r="D609" s="33" t="s">
        <v>106</v>
      </c>
      <c r="E609" s="33"/>
      <c r="F609" s="33"/>
      <c r="G609" s="33" t="s">
        <v>2876</v>
      </c>
      <c r="H609" s="237" t="s">
        <v>1550</v>
      </c>
      <c r="I609" s="2">
        <v>60</v>
      </c>
      <c r="J609" s="2">
        <v>25</v>
      </c>
      <c r="K609" s="1">
        <v>43.68</v>
      </c>
      <c r="L609" s="1">
        <v>55.33</v>
      </c>
      <c r="M609" s="131">
        <v>0.9</v>
      </c>
      <c r="N609" s="1">
        <f t="shared" si="55"/>
        <v>39.311999999999998</v>
      </c>
      <c r="O609" s="1">
        <f t="shared" si="56"/>
        <v>49.796999999999997</v>
      </c>
      <c r="P609" s="19"/>
      <c r="Q609" s="19"/>
      <c r="R609" s="99">
        <v>605</v>
      </c>
    </row>
    <row r="610" spans="1:18" ht="20" x14ac:dyDescent="0.2">
      <c r="A610" s="58"/>
      <c r="B610" s="151" t="s">
        <v>2278</v>
      </c>
      <c r="C610" s="51" t="s">
        <v>3679</v>
      </c>
      <c r="D610" s="33" t="s">
        <v>106</v>
      </c>
      <c r="E610" s="33"/>
      <c r="F610" s="33"/>
      <c r="G610" s="33" t="s">
        <v>2876</v>
      </c>
      <c r="H610" s="33"/>
      <c r="I610" s="236"/>
      <c r="J610" s="236"/>
      <c r="K610" s="69"/>
      <c r="L610" s="69"/>
      <c r="M610" s="69"/>
      <c r="N610" s="69"/>
      <c r="O610" s="69"/>
      <c r="P610" s="19"/>
      <c r="Q610" s="19"/>
      <c r="R610" s="99">
        <v>606</v>
      </c>
    </row>
    <row r="611" spans="1:18" ht="20" x14ac:dyDescent="0.2">
      <c r="A611" s="58"/>
      <c r="B611" s="151" t="s">
        <v>1898</v>
      </c>
      <c r="C611" s="51" t="s">
        <v>3334</v>
      </c>
      <c r="D611" s="33" t="s">
        <v>106</v>
      </c>
      <c r="E611" s="33"/>
      <c r="F611" s="33"/>
      <c r="G611" s="33" t="s">
        <v>2876</v>
      </c>
      <c r="H611" s="237" t="s">
        <v>1545</v>
      </c>
      <c r="I611" s="2">
        <v>138</v>
      </c>
      <c r="J611" s="2">
        <v>25</v>
      </c>
      <c r="K611" s="1">
        <v>28</v>
      </c>
      <c r="L611" s="1">
        <v>33.25</v>
      </c>
      <c r="M611" s="131">
        <v>0.9</v>
      </c>
      <c r="N611" s="1">
        <f t="shared" ref="N611:O615" si="57">K611*$M611</f>
        <v>25.2</v>
      </c>
      <c r="O611" s="1">
        <f t="shared" si="57"/>
        <v>29.925000000000001</v>
      </c>
      <c r="P611" s="19"/>
      <c r="Q611" s="19"/>
      <c r="R611" s="99">
        <v>607</v>
      </c>
    </row>
    <row r="612" spans="1:18" ht="20" x14ac:dyDescent="0.2">
      <c r="A612" s="58"/>
      <c r="B612" s="151" t="s">
        <v>1898</v>
      </c>
      <c r="C612" s="51" t="s">
        <v>3334</v>
      </c>
      <c r="D612" s="33" t="s">
        <v>106</v>
      </c>
      <c r="E612" s="33"/>
      <c r="F612" s="33"/>
      <c r="G612" s="33" t="s">
        <v>2876</v>
      </c>
      <c r="H612" s="237" t="s">
        <v>1549</v>
      </c>
      <c r="I612" s="2">
        <v>138</v>
      </c>
      <c r="J612" s="2">
        <v>25</v>
      </c>
      <c r="K612" s="1">
        <v>28</v>
      </c>
      <c r="L612" s="1">
        <v>33.25</v>
      </c>
      <c r="M612" s="131">
        <v>0.9</v>
      </c>
      <c r="N612" s="1">
        <f t="shared" si="57"/>
        <v>25.2</v>
      </c>
      <c r="O612" s="1">
        <f t="shared" si="57"/>
        <v>29.925000000000001</v>
      </c>
      <c r="P612" s="19"/>
      <c r="Q612" s="19"/>
      <c r="R612" s="99">
        <v>608</v>
      </c>
    </row>
    <row r="613" spans="1:18" ht="20" x14ac:dyDescent="0.2">
      <c r="A613" s="58"/>
      <c r="B613" s="151" t="s">
        <v>1898</v>
      </c>
      <c r="C613" s="51" t="s">
        <v>3334</v>
      </c>
      <c r="D613" s="33" t="s">
        <v>106</v>
      </c>
      <c r="E613" s="33"/>
      <c r="F613" s="33"/>
      <c r="G613" s="33" t="s">
        <v>2876</v>
      </c>
      <c r="H613" s="237" t="s">
        <v>1550</v>
      </c>
      <c r="I613" s="2">
        <v>138</v>
      </c>
      <c r="J613" s="2">
        <v>25</v>
      </c>
      <c r="K613" s="1">
        <v>26.25</v>
      </c>
      <c r="L613" s="1">
        <v>33.25</v>
      </c>
      <c r="M613" s="131">
        <v>0.9</v>
      </c>
      <c r="N613" s="1">
        <f t="shared" si="57"/>
        <v>23.625</v>
      </c>
      <c r="O613" s="1">
        <f t="shared" si="57"/>
        <v>29.925000000000001</v>
      </c>
      <c r="P613" s="19"/>
      <c r="Q613" s="19"/>
      <c r="R613" s="99">
        <v>609</v>
      </c>
    </row>
    <row r="614" spans="1:18" ht="20" x14ac:dyDescent="0.2">
      <c r="A614" s="58"/>
      <c r="B614" s="151" t="s">
        <v>1899</v>
      </c>
      <c r="C614" s="51" t="s">
        <v>3529</v>
      </c>
      <c r="D614" s="33" t="s">
        <v>106</v>
      </c>
      <c r="E614" s="33"/>
      <c r="F614" s="33"/>
      <c r="G614" s="33" t="s">
        <v>2876</v>
      </c>
      <c r="H614" s="237" t="s">
        <v>1545</v>
      </c>
      <c r="I614" s="2">
        <v>60</v>
      </c>
      <c r="J614" s="2">
        <v>12</v>
      </c>
      <c r="K614" s="1">
        <v>21</v>
      </c>
      <c r="L614" s="1">
        <v>26</v>
      </c>
      <c r="M614" s="131">
        <v>0.9</v>
      </c>
      <c r="N614" s="1">
        <f t="shared" si="57"/>
        <v>18.900000000000002</v>
      </c>
      <c r="O614" s="1">
        <f t="shared" si="57"/>
        <v>23.400000000000002</v>
      </c>
      <c r="P614" s="19"/>
      <c r="Q614" s="19"/>
      <c r="R614" s="99">
        <v>610</v>
      </c>
    </row>
    <row r="615" spans="1:18" ht="20" x14ac:dyDescent="0.2">
      <c r="A615" s="58"/>
      <c r="B615" s="151" t="s">
        <v>1899</v>
      </c>
      <c r="C615" s="51" t="s">
        <v>3529</v>
      </c>
      <c r="D615" s="33" t="s">
        <v>106</v>
      </c>
      <c r="E615" s="33"/>
      <c r="F615" s="33"/>
      <c r="G615" s="33" t="s">
        <v>2876</v>
      </c>
      <c r="H615" s="237" t="s">
        <v>1549</v>
      </c>
      <c r="I615" s="2">
        <v>60</v>
      </c>
      <c r="J615" s="2">
        <v>12</v>
      </c>
      <c r="K615" s="1">
        <v>21</v>
      </c>
      <c r="L615" s="1">
        <v>26</v>
      </c>
      <c r="M615" s="131">
        <v>0.9</v>
      </c>
      <c r="N615" s="1">
        <f t="shared" si="57"/>
        <v>18.900000000000002</v>
      </c>
      <c r="O615" s="1">
        <f t="shared" si="57"/>
        <v>23.400000000000002</v>
      </c>
      <c r="P615" s="19"/>
      <c r="Q615" s="19"/>
      <c r="R615" s="99">
        <v>611</v>
      </c>
    </row>
    <row r="616" spans="1:18" ht="20" x14ac:dyDescent="0.2">
      <c r="A616" s="58"/>
      <c r="B616" s="151" t="s">
        <v>2385</v>
      </c>
      <c r="C616" s="51" t="s">
        <v>3163</v>
      </c>
      <c r="D616" s="33" t="s">
        <v>106</v>
      </c>
      <c r="E616" s="33">
        <v>49.287611499999997</v>
      </c>
      <c r="F616" s="33">
        <v>-125.3092113</v>
      </c>
      <c r="G616" s="33" t="s">
        <v>2876</v>
      </c>
      <c r="H616" s="33"/>
      <c r="I616" s="236"/>
      <c r="J616" s="236"/>
      <c r="K616" s="69"/>
      <c r="L616" s="69"/>
      <c r="M616" s="69"/>
      <c r="N616" s="69"/>
      <c r="O616" s="69"/>
      <c r="P616" s="19"/>
      <c r="Q616" s="19"/>
      <c r="R616" s="99">
        <v>612</v>
      </c>
    </row>
    <row r="617" spans="1:18" ht="20" x14ac:dyDescent="0.2">
      <c r="A617" s="58"/>
      <c r="B617" s="151" t="s">
        <v>2279</v>
      </c>
      <c r="C617" s="51" t="s">
        <v>3680</v>
      </c>
      <c r="D617" s="33" t="s">
        <v>106</v>
      </c>
      <c r="E617" s="33"/>
      <c r="F617" s="33"/>
      <c r="G617" s="33" t="s">
        <v>2876</v>
      </c>
      <c r="H617" s="33"/>
      <c r="I617" s="236"/>
      <c r="J617" s="236"/>
      <c r="K617" s="69"/>
      <c r="L617" s="69"/>
      <c r="M617" s="69"/>
      <c r="N617" s="69"/>
      <c r="O617" s="69"/>
      <c r="P617" s="19"/>
      <c r="Q617" s="19"/>
      <c r="R617" s="99">
        <v>613</v>
      </c>
    </row>
    <row r="618" spans="1:18" ht="20" x14ac:dyDescent="0.2">
      <c r="A618" s="58"/>
      <c r="B618" s="151" t="s">
        <v>2327</v>
      </c>
      <c r="C618" s="51" t="s">
        <v>3164</v>
      </c>
      <c r="D618" s="33" t="s">
        <v>106</v>
      </c>
      <c r="E618" s="33">
        <v>56.196553999999999</v>
      </c>
      <c r="F618" s="33">
        <v>-120.913957</v>
      </c>
      <c r="G618" s="33" t="s">
        <v>2876</v>
      </c>
      <c r="H618" s="33"/>
      <c r="I618" s="236"/>
      <c r="J618" s="236"/>
      <c r="K618" s="69"/>
      <c r="L618" s="69"/>
      <c r="M618" s="69"/>
      <c r="N618" s="69"/>
      <c r="O618" s="69"/>
      <c r="P618" s="19"/>
      <c r="Q618" s="19"/>
      <c r="R618" s="99">
        <v>614</v>
      </c>
    </row>
    <row r="619" spans="1:18" ht="20" x14ac:dyDescent="0.2">
      <c r="A619" s="58"/>
      <c r="B619" s="151" t="s">
        <v>1900</v>
      </c>
      <c r="C619" s="51" t="s">
        <v>3472</v>
      </c>
      <c r="D619" s="33" t="s">
        <v>106</v>
      </c>
      <c r="E619" s="33"/>
      <c r="F619" s="33"/>
      <c r="G619" s="33" t="s">
        <v>2876</v>
      </c>
      <c r="H619" s="33"/>
      <c r="I619" s="236"/>
      <c r="J619" s="236"/>
      <c r="K619" s="69"/>
      <c r="L619" s="69"/>
      <c r="M619" s="69"/>
      <c r="N619" s="69"/>
      <c r="O619" s="69"/>
      <c r="P619" s="19"/>
      <c r="Q619" s="19"/>
      <c r="R619" s="99">
        <v>615</v>
      </c>
    </row>
    <row r="620" spans="1:18" ht="20" x14ac:dyDescent="0.2">
      <c r="A620" s="58"/>
      <c r="B620" s="151" t="s">
        <v>1901</v>
      </c>
      <c r="C620" s="51" t="s">
        <v>3530</v>
      </c>
      <c r="D620" s="33" t="s">
        <v>106</v>
      </c>
      <c r="E620" s="33"/>
      <c r="F620" s="33"/>
      <c r="G620" s="33" t="s">
        <v>2876</v>
      </c>
      <c r="H620" s="237" t="s">
        <v>1545</v>
      </c>
      <c r="I620" s="2">
        <v>138</v>
      </c>
      <c r="J620" s="2">
        <v>25</v>
      </c>
      <c r="K620" s="1">
        <v>52.5</v>
      </c>
      <c r="L620" s="1">
        <v>52.5</v>
      </c>
      <c r="M620" s="131">
        <v>0.9</v>
      </c>
      <c r="N620" s="1">
        <f t="shared" ref="N620:O627" si="58">K620*$M620</f>
        <v>47.25</v>
      </c>
      <c r="O620" s="1">
        <f t="shared" si="58"/>
        <v>47.25</v>
      </c>
      <c r="P620" s="19"/>
      <c r="Q620" s="19"/>
      <c r="R620" s="99">
        <v>616</v>
      </c>
    </row>
    <row r="621" spans="1:18" ht="20" x14ac:dyDescent="0.2">
      <c r="A621" s="58"/>
      <c r="B621" s="151" t="s">
        <v>1901</v>
      </c>
      <c r="C621" s="51" t="s">
        <v>3530</v>
      </c>
      <c r="D621" s="33" t="s">
        <v>106</v>
      </c>
      <c r="E621" s="33"/>
      <c r="F621" s="33"/>
      <c r="G621" s="33" t="s">
        <v>2876</v>
      </c>
      <c r="H621" s="237" t="s">
        <v>1549</v>
      </c>
      <c r="I621" s="2">
        <v>138</v>
      </c>
      <c r="J621" s="2">
        <v>25</v>
      </c>
      <c r="K621" s="1">
        <v>28.5</v>
      </c>
      <c r="L621" s="1">
        <v>34.799999999999997</v>
      </c>
      <c r="M621" s="131">
        <v>0.9</v>
      </c>
      <c r="N621" s="1">
        <f t="shared" si="58"/>
        <v>25.650000000000002</v>
      </c>
      <c r="O621" s="1">
        <f t="shared" si="58"/>
        <v>31.319999999999997</v>
      </c>
      <c r="P621" s="19"/>
      <c r="Q621" s="19"/>
      <c r="R621" s="99">
        <v>617</v>
      </c>
    </row>
    <row r="622" spans="1:18" ht="20" x14ac:dyDescent="0.2">
      <c r="A622" s="58"/>
      <c r="B622" s="151" t="s">
        <v>1902</v>
      </c>
      <c r="C622" s="51" t="s">
        <v>3335</v>
      </c>
      <c r="D622" s="33" t="s">
        <v>106</v>
      </c>
      <c r="E622" s="33"/>
      <c r="F622" s="33"/>
      <c r="G622" s="33" t="s">
        <v>2876</v>
      </c>
      <c r="H622" s="237" t="s">
        <v>1549</v>
      </c>
      <c r="I622" s="2">
        <v>230</v>
      </c>
      <c r="J622" s="2">
        <v>25</v>
      </c>
      <c r="K622" s="1">
        <v>94</v>
      </c>
      <c r="L622" s="1">
        <v>109</v>
      </c>
      <c r="M622" s="131">
        <v>0.9</v>
      </c>
      <c r="N622" s="1">
        <f t="shared" si="58"/>
        <v>84.600000000000009</v>
      </c>
      <c r="O622" s="1">
        <f t="shared" si="58"/>
        <v>98.100000000000009</v>
      </c>
      <c r="P622" s="19"/>
      <c r="Q622" s="19"/>
      <c r="R622" s="99">
        <v>618</v>
      </c>
    </row>
    <row r="623" spans="1:18" ht="20" x14ac:dyDescent="0.2">
      <c r="A623" s="58"/>
      <c r="B623" s="151" t="s">
        <v>1902</v>
      </c>
      <c r="C623" s="51" t="s">
        <v>3335</v>
      </c>
      <c r="D623" s="33" t="s">
        <v>106</v>
      </c>
      <c r="E623" s="33"/>
      <c r="F623" s="33"/>
      <c r="G623" s="33" t="s">
        <v>2876</v>
      </c>
      <c r="H623" s="237" t="s">
        <v>1550</v>
      </c>
      <c r="I623" s="2">
        <v>230</v>
      </c>
      <c r="J623" s="2">
        <v>25</v>
      </c>
      <c r="K623" s="1">
        <v>94</v>
      </c>
      <c r="L623" s="1">
        <v>109</v>
      </c>
      <c r="M623" s="131">
        <v>0.9</v>
      </c>
      <c r="N623" s="1">
        <f t="shared" si="58"/>
        <v>84.600000000000009</v>
      </c>
      <c r="O623" s="1">
        <f t="shared" si="58"/>
        <v>98.100000000000009</v>
      </c>
      <c r="P623" s="19"/>
      <c r="Q623" s="19"/>
      <c r="R623" s="99">
        <v>619</v>
      </c>
    </row>
    <row r="624" spans="1:18" ht="20" x14ac:dyDescent="0.2">
      <c r="A624" s="58"/>
      <c r="B624" s="151" t="s">
        <v>204</v>
      </c>
      <c r="C624" s="51" t="s">
        <v>3555</v>
      </c>
      <c r="D624" s="33" t="s">
        <v>106</v>
      </c>
      <c r="E624" s="33"/>
      <c r="F624" s="33"/>
      <c r="G624" s="33" t="s">
        <v>2876</v>
      </c>
      <c r="H624" s="237" t="s">
        <v>1550</v>
      </c>
      <c r="I624" s="2">
        <v>138</v>
      </c>
      <c r="J624" s="2">
        <v>25</v>
      </c>
      <c r="K624" s="1">
        <v>16.600000000000001</v>
      </c>
      <c r="L624" s="1">
        <v>20</v>
      </c>
      <c r="M624" s="131">
        <v>0.9</v>
      </c>
      <c r="N624" s="1">
        <f t="shared" si="58"/>
        <v>14.940000000000001</v>
      </c>
      <c r="O624" s="1">
        <f t="shared" si="58"/>
        <v>18</v>
      </c>
      <c r="P624" s="19"/>
      <c r="Q624" s="19"/>
      <c r="R624" s="99">
        <v>620</v>
      </c>
    </row>
    <row r="625" spans="1:18" ht="20" x14ac:dyDescent="0.2">
      <c r="A625" s="58"/>
      <c r="B625" s="151" t="s">
        <v>2817</v>
      </c>
      <c r="C625" s="51" t="s">
        <v>3725</v>
      </c>
      <c r="D625" s="33" t="s">
        <v>106</v>
      </c>
      <c r="E625" s="33">
        <v>50.748750399999999</v>
      </c>
      <c r="F625" s="33">
        <v>-120.855051</v>
      </c>
      <c r="G625" s="33" t="s">
        <v>2876</v>
      </c>
      <c r="H625" s="237" t="s">
        <v>1547</v>
      </c>
      <c r="I625" s="290">
        <v>138</v>
      </c>
      <c r="J625" s="290">
        <v>25</v>
      </c>
      <c r="K625" s="1">
        <v>10</v>
      </c>
      <c r="L625" s="1">
        <v>12.6</v>
      </c>
      <c r="M625" s="131">
        <v>0.9</v>
      </c>
      <c r="N625" s="1">
        <f t="shared" si="58"/>
        <v>9</v>
      </c>
      <c r="O625" s="1">
        <f t="shared" si="58"/>
        <v>11.34</v>
      </c>
      <c r="P625" s="19"/>
      <c r="Q625" s="19"/>
      <c r="R625" s="99">
        <v>621</v>
      </c>
    </row>
    <row r="626" spans="1:18" ht="20" x14ac:dyDescent="0.2">
      <c r="A626" s="58"/>
      <c r="B626" s="151" t="s">
        <v>1903</v>
      </c>
      <c r="C626" s="51" t="s">
        <v>3336</v>
      </c>
      <c r="D626" s="33" t="s">
        <v>106</v>
      </c>
      <c r="E626" s="33"/>
      <c r="F626" s="33"/>
      <c r="G626" s="33" t="s">
        <v>2876</v>
      </c>
      <c r="H626" s="237" t="s">
        <v>1545</v>
      </c>
      <c r="I626" s="2">
        <v>60</v>
      </c>
      <c r="J626" s="2">
        <v>25</v>
      </c>
      <c r="K626" s="1">
        <v>79</v>
      </c>
      <c r="L626" s="1">
        <v>100</v>
      </c>
      <c r="M626" s="131">
        <v>0.9</v>
      </c>
      <c r="N626" s="1">
        <f t="shared" si="58"/>
        <v>71.100000000000009</v>
      </c>
      <c r="O626" s="1">
        <f t="shared" si="58"/>
        <v>90</v>
      </c>
      <c r="P626" s="19"/>
      <c r="Q626" s="19"/>
      <c r="R626" s="99">
        <v>622</v>
      </c>
    </row>
    <row r="627" spans="1:18" ht="20" x14ac:dyDescent="0.2">
      <c r="A627" s="58"/>
      <c r="B627" s="151" t="s">
        <v>1903</v>
      </c>
      <c r="C627" s="51" t="s">
        <v>3336</v>
      </c>
      <c r="D627" s="33" t="s">
        <v>106</v>
      </c>
      <c r="E627" s="33"/>
      <c r="F627" s="33"/>
      <c r="G627" s="33" t="s">
        <v>2876</v>
      </c>
      <c r="H627" s="237" t="s">
        <v>1549</v>
      </c>
      <c r="I627" s="2">
        <v>60</v>
      </c>
      <c r="J627" s="2">
        <v>25</v>
      </c>
      <c r="K627" s="1">
        <v>79</v>
      </c>
      <c r="L627" s="1">
        <v>100</v>
      </c>
      <c r="M627" s="131">
        <v>0.9</v>
      </c>
      <c r="N627" s="1">
        <f t="shared" si="58"/>
        <v>71.100000000000009</v>
      </c>
      <c r="O627" s="1">
        <f t="shared" si="58"/>
        <v>90</v>
      </c>
      <c r="P627" s="19"/>
      <c r="Q627" s="19"/>
      <c r="R627" s="99">
        <v>623</v>
      </c>
    </row>
    <row r="628" spans="1:18" ht="20" x14ac:dyDescent="0.2">
      <c r="A628" s="58"/>
      <c r="B628" s="151" t="s">
        <v>1904</v>
      </c>
      <c r="C628" s="51" t="s">
        <v>3337</v>
      </c>
      <c r="D628" s="33" t="s">
        <v>106</v>
      </c>
      <c r="E628" s="33"/>
      <c r="F628" s="33"/>
      <c r="G628" s="33" t="s">
        <v>2876</v>
      </c>
      <c r="H628" s="33"/>
      <c r="I628" s="236"/>
      <c r="J628" s="236"/>
      <c r="K628" s="69"/>
      <c r="L628" s="69"/>
      <c r="M628" s="69"/>
      <c r="N628" s="69"/>
      <c r="O628" s="69"/>
      <c r="P628" s="19"/>
      <c r="Q628" s="19"/>
      <c r="R628" s="99">
        <v>624</v>
      </c>
    </row>
    <row r="629" spans="1:18" ht="20" x14ac:dyDescent="0.2">
      <c r="A629" s="58"/>
      <c r="B629" s="151" t="s">
        <v>1905</v>
      </c>
      <c r="C629" s="51" t="s">
        <v>3531</v>
      </c>
      <c r="D629" s="33" t="s">
        <v>106</v>
      </c>
      <c r="E629" s="33"/>
      <c r="F629" s="33"/>
      <c r="G629" s="33" t="s">
        <v>2876</v>
      </c>
      <c r="H629" s="237" t="s">
        <v>1545</v>
      </c>
      <c r="I629" s="2">
        <v>138</v>
      </c>
      <c r="J629" s="2">
        <v>25</v>
      </c>
      <c r="K629" s="1">
        <v>84</v>
      </c>
      <c r="L629" s="1">
        <v>100</v>
      </c>
      <c r="M629" s="131">
        <v>0.9</v>
      </c>
      <c r="N629" s="1">
        <f>K629*$M629</f>
        <v>75.600000000000009</v>
      </c>
      <c r="O629" s="1">
        <f>L629*$M629</f>
        <v>90</v>
      </c>
      <c r="P629" s="19"/>
      <c r="Q629" s="19"/>
      <c r="R629" s="99">
        <v>625</v>
      </c>
    </row>
    <row r="630" spans="1:18" ht="20" x14ac:dyDescent="0.2">
      <c r="A630" s="58"/>
      <c r="B630" s="151" t="s">
        <v>1905</v>
      </c>
      <c r="C630" s="51" t="s">
        <v>3531</v>
      </c>
      <c r="D630" s="33" t="s">
        <v>106</v>
      </c>
      <c r="E630" s="33"/>
      <c r="F630" s="33"/>
      <c r="G630" s="33" t="s">
        <v>2876</v>
      </c>
      <c r="H630" s="237" t="s">
        <v>1549</v>
      </c>
      <c r="I630" s="2">
        <v>138</v>
      </c>
      <c r="J630" s="2">
        <v>25</v>
      </c>
      <c r="K630" s="1">
        <v>84</v>
      </c>
      <c r="L630" s="1">
        <v>100</v>
      </c>
      <c r="M630" s="131">
        <v>0.9</v>
      </c>
      <c r="N630" s="1">
        <f>K630*$M630</f>
        <v>75.600000000000009</v>
      </c>
      <c r="O630" s="1">
        <f>L630*$M630</f>
        <v>90</v>
      </c>
      <c r="P630" s="19"/>
      <c r="Q630" s="19"/>
      <c r="R630" s="99">
        <v>626</v>
      </c>
    </row>
    <row r="631" spans="1:18" ht="20" x14ac:dyDescent="0.2">
      <c r="A631" s="58"/>
      <c r="B631" s="151" t="s">
        <v>1906</v>
      </c>
      <c r="C631" s="51" t="s">
        <v>3677</v>
      </c>
      <c r="D631" s="33" t="s">
        <v>106</v>
      </c>
      <c r="E631" s="33"/>
      <c r="F631" s="33"/>
      <c r="G631" s="33" t="s">
        <v>2876</v>
      </c>
      <c r="H631" s="33"/>
      <c r="I631" s="236"/>
      <c r="J631" s="236"/>
      <c r="K631" s="69"/>
      <c r="L631" s="69"/>
      <c r="M631" s="69"/>
      <c r="N631" s="69"/>
      <c r="O631" s="69"/>
      <c r="P631" s="19"/>
      <c r="Q631" s="19"/>
      <c r="R631" s="99">
        <v>627</v>
      </c>
    </row>
    <row r="632" spans="1:18" ht="20" x14ac:dyDescent="0.2">
      <c r="A632" s="58"/>
      <c r="B632" s="151" t="s">
        <v>1907</v>
      </c>
      <c r="C632" s="51" t="s">
        <v>3532</v>
      </c>
      <c r="D632" s="33" t="s">
        <v>106</v>
      </c>
      <c r="E632" s="33"/>
      <c r="F632" s="33"/>
      <c r="G632" s="33" t="s">
        <v>2876</v>
      </c>
      <c r="H632" s="237" t="s">
        <v>1545</v>
      </c>
      <c r="I632" s="2">
        <v>230</v>
      </c>
      <c r="J632" s="2">
        <v>25</v>
      </c>
      <c r="K632" s="1">
        <v>87</v>
      </c>
      <c r="L632" s="1">
        <v>112</v>
      </c>
      <c r="M632" s="131">
        <v>0.9</v>
      </c>
      <c r="N632" s="1">
        <f t="shared" ref="N632:O635" si="59">K632*$M632</f>
        <v>78.3</v>
      </c>
      <c r="O632" s="1">
        <f t="shared" si="59"/>
        <v>100.8</v>
      </c>
      <c r="P632" s="19"/>
      <c r="Q632" s="19"/>
      <c r="R632" s="99">
        <v>628</v>
      </c>
    </row>
    <row r="633" spans="1:18" ht="20" x14ac:dyDescent="0.2">
      <c r="A633" s="58"/>
      <c r="B633" s="151" t="s">
        <v>1907</v>
      </c>
      <c r="C633" s="51" t="s">
        <v>3532</v>
      </c>
      <c r="D633" s="33" t="s">
        <v>106</v>
      </c>
      <c r="E633" s="33"/>
      <c r="F633" s="33"/>
      <c r="G633" s="33" t="s">
        <v>2876</v>
      </c>
      <c r="H633" s="237" t="s">
        <v>1549</v>
      </c>
      <c r="I633" s="2">
        <v>230</v>
      </c>
      <c r="J633" s="2">
        <v>25</v>
      </c>
      <c r="K633" s="1">
        <v>87</v>
      </c>
      <c r="L633" s="1">
        <v>112</v>
      </c>
      <c r="M633" s="131">
        <v>0.9</v>
      </c>
      <c r="N633" s="1">
        <f t="shared" si="59"/>
        <v>78.3</v>
      </c>
      <c r="O633" s="1">
        <f t="shared" si="59"/>
        <v>100.8</v>
      </c>
      <c r="P633" s="19"/>
      <c r="Q633" s="19"/>
      <c r="R633" s="99">
        <v>629</v>
      </c>
    </row>
    <row r="634" spans="1:18" ht="20" x14ac:dyDescent="0.2">
      <c r="A634" s="58"/>
      <c r="B634" s="151" t="s">
        <v>1907</v>
      </c>
      <c r="C634" s="51" t="s">
        <v>3532</v>
      </c>
      <c r="D634" s="33" t="s">
        <v>106</v>
      </c>
      <c r="E634" s="33"/>
      <c r="F634" s="33"/>
      <c r="G634" s="33" t="s">
        <v>2876</v>
      </c>
      <c r="H634" s="237" t="s">
        <v>1550</v>
      </c>
      <c r="I634" s="2">
        <v>230</v>
      </c>
      <c r="J634" s="2">
        <v>25</v>
      </c>
      <c r="K634" s="1">
        <v>87</v>
      </c>
      <c r="L634" s="1">
        <v>112</v>
      </c>
      <c r="M634" s="131">
        <v>0.9</v>
      </c>
      <c r="N634" s="1">
        <f t="shared" si="59"/>
        <v>78.3</v>
      </c>
      <c r="O634" s="1">
        <f t="shared" si="59"/>
        <v>100.8</v>
      </c>
      <c r="P634" s="19"/>
      <c r="Q634" s="19"/>
      <c r="R634" s="99">
        <v>630</v>
      </c>
    </row>
    <row r="635" spans="1:18" ht="20" x14ac:dyDescent="0.2">
      <c r="A635" s="58"/>
      <c r="B635" s="151" t="s">
        <v>1908</v>
      </c>
      <c r="C635" s="51" t="s">
        <v>3338</v>
      </c>
      <c r="D635" s="33" t="s">
        <v>106</v>
      </c>
      <c r="E635" s="33"/>
      <c r="F635" s="33"/>
      <c r="G635" s="33" t="s">
        <v>2876</v>
      </c>
      <c r="H635" s="237" t="s">
        <v>1545</v>
      </c>
      <c r="I635" s="2">
        <v>60</v>
      </c>
      <c r="J635" s="2">
        <v>12</v>
      </c>
      <c r="K635" s="1">
        <v>0.75</v>
      </c>
      <c r="L635" s="1">
        <v>0.9</v>
      </c>
      <c r="M635" s="131">
        <v>0.9</v>
      </c>
      <c r="N635" s="1">
        <f t="shared" si="59"/>
        <v>0.67500000000000004</v>
      </c>
      <c r="O635" s="1">
        <f t="shared" si="59"/>
        <v>0.81</v>
      </c>
      <c r="P635" s="19"/>
      <c r="Q635" s="19"/>
      <c r="R635" s="99">
        <v>631</v>
      </c>
    </row>
    <row r="636" spans="1:18" ht="20" x14ac:dyDescent="0.2">
      <c r="A636" s="58"/>
      <c r="B636" s="151" t="s">
        <v>1909</v>
      </c>
      <c r="C636" s="51" t="s">
        <v>3200</v>
      </c>
      <c r="D636" s="33" t="s">
        <v>106</v>
      </c>
      <c r="E636" s="33"/>
      <c r="F636" s="33"/>
      <c r="G636" s="33" t="s">
        <v>2876</v>
      </c>
      <c r="H636" s="33"/>
      <c r="I636" s="236"/>
      <c r="J636" s="236"/>
      <c r="K636" s="69"/>
      <c r="L636" s="69"/>
      <c r="M636" s="69"/>
      <c r="N636" s="69"/>
      <c r="O636" s="69"/>
      <c r="P636" s="19"/>
      <c r="Q636" s="19"/>
      <c r="R636" s="99">
        <v>632</v>
      </c>
    </row>
    <row r="637" spans="1:18" ht="20" x14ac:dyDescent="0.2">
      <c r="A637" s="58"/>
      <c r="B637" s="151" t="s">
        <v>1953</v>
      </c>
      <c r="C637" s="51" t="s">
        <v>3379</v>
      </c>
      <c r="D637" s="33" t="s">
        <v>106</v>
      </c>
      <c r="E637" s="33"/>
      <c r="F637" s="33"/>
      <c r="G637" s="33" t="s">
        <v>2876</v>
      </c>
      <c r="H637" s="237" t="s">
        <v>1545</v>
      </c>
      <c r="I637" s="2">
        <v>287</v>
      </c>
      <c r="J637" s="2">
        <v>25</v>
      </c>
      <c r="K637" s="1">
        <v>16.600000000000001</v>
      </c>
      <c r="L637" s="1">
        <v>16.600000000000001</v>
      </c>
      <c r="M637" s="131">
        <v>0.9</v>
      </c>
      <c r="N637" s="1">
        <f>K637*$M637</f>
        <v>14.940000000000001</v>
      </c>
      <c r="O637" s="1">
        <f>L637*$M637</f>
        <v>14.940000000000001</v>
      </c>
      <c r="P637" s="19"/>
      <c r="Q637" s="19"/>
      <c r="R637" s="99">
        <v>633</v>
      </c>
    </row>
    <row r="638" spans="1:18" ht="20" x14ac:dyDescent="0.2">
      <c r="A638" s="58"/>
      <c r="B638" s="151" t="s">
        <v>270</v>
      </c>
      <c r="C638" s="51" t="s">
        <v>3340</v>
      </c>
      <c r="D638" s="33" t="s">
        <v>106</v>
      </c>
      <c r="E638" s="33"/>
      <c r="F638" s="33"/>
      <c r="G638" s="33" t="s">
        <v>2876</v>
      </c>
      <c r="H638" s="33"/>
      <c r="I638" s="236"/>
      <c r="J638" s="236"/>
      <c r="K638" s="69"/>
      <c r="L638" s="69"/>
      <c r="M638" s="69"/>
      <c r="N638" s="69"/>
      <c r="O638" s="69"/>
      <c r="P638" s="19"/>
      <c r="Q638" s="19"/>
      <c r="R638" s="99">
        <v>634</v>
      </c>
    </row>
    <row r="639" spans="1:18" ht="20" x14ac:dyDescent="0.2">
      <c r="A639" s="58"/>
      <c r="B639" s="151" t="s">
        <v>1910</v>
      </c>
      <c r="C639" s="51" t="s">
        <v>3533</v>
      </c>
      <c r="D639" s="33" t="s">
        <v>106</v>
      </c>
      <c r="E639" s="33"/>
      <c r="F639" s="33"/>
      <c r="G639" s="33" t="s">
        <v>2876</v>
      </c>
      <c r="H639" s="33"/>
      <c r="I639" s="236"/>
      <c r="J639" s="236"/>
      <c r="K639" s="69"/>
      <c r="L639" s="69"/>
      <c r="M639" s="69"/>
      <c r="N639" s="69"/>
      <c r="O639" s="69"/>
      <c r="P639" s="19"/>
      <c r="Q639" s="19"/>
      <c r="R639" s="99">
        <v>635</v>
      </c>
    </row>
    <row r="640" spans="1:18" ht="20" x14ac:dyDescent="0.2">
      <c r="A640" s="58"/>
      <c r="B640" s="151" t="s">
        <v>185</v>
      </c>
      <c r="C640" s="51" t="s">
        <v>3341</v>
      </c>
      <c r="D640" s="33" t="s">
        <v>106</v>
      </c>
      <c r="E640" s="33"/>
      <c r="F640" s="33"/>
      <c r="G640" s="33" t="s">
        <v>2876</v>
      </c>
      <c r="H640" s="237" t="s">
        <v>1545</v>
      </c>
      <c r="I640" s="2">
        <v>66</v>
      </c>
      <c r="J640" s="2">
        <v>25</v>
      </c>
      <c r="K640" s="1">
        <v>22.4</v>
      </c>
      <c r="L640" s="1">
        <v>26.6</v>
      </c>
      <c r="M640" s="131">
        <v>0.9</v>
      </c>
      <c r="N640" s="1">
        <f>K640*$M640</f>
        <v>20.16</v>
      </c>
      <c r="O640" s="1">
        <f>L640*$M640</f>
        <v>23.94</v>
      </c>
      <c r="P640" s="19"/>
      <c r="Q640" s="19"/>
      <c r="R640" s="99">
        <v>636</v>
      </c>
    </row>
    <row r="641" spans="1:18" ht="20" x14ac:dyDescent="0.2">
      <c r="A641" s="58"/>
      <c r="B641" s="151" t="s">
        <v>185</v>
      </c>
      <c r="C641" s="51" t="s">
        <v>3341</v>
      </c>
      <c r="D641" s="33" t="s">
        <v>106</v>
      </c>
      <c r="E641" s="33"/>
      <c r="F641" s="33"/>
      <c r="G641" s="33" t="s">
        <v>2876</v>
      </c>
      <c r="H641" s="237" t="s">
        <v>1549</v>
      </c>
      <c r="I641" s="2">
        <v>66</v>
      </c>
      <c r="J641" s="2">
        <v>25</v>
      </c>
      <c r="K641" s="1">
        <v>28</v>
      </c>
      <c r="L641" s="1">
        <v>33</v>
      </c>
      <c r="M641" s="131">
        <v>0.9</v>
      </c>
      <c r="N641" s="1">
        <f>K641*$M641</f>
        <v>25.2</v>
      </c>
      <c r="O641" s="1">
        <f>L641*$M641</f>
        <v>29.7</v>
      </c>
      <c r="P641" s="19"/>
      <c r="Q641" s="19"/>
      <c r="R641" s="99">
        <v>637</v>
      </c>
    </row>
    <row r="642" spans="1:18" ht="20" x14ac:dyDescent="0.2">
      <c r="A642" s="58"/>
      <c r="B642" s="151" t="s">
        <v>1911</v>
      </c>
      <c r="C642" s="51" t="s">
        <v>3360</v>
      </c>
      <c r="D642" s="33" t="s">
        <v>106</v>
      </c>
      <c r="E642" s="33"/>
      <c r="F642" s="33"/>
      <c r="G642" s="33" t="s">
        <v>2876</v>
      </c>
      <c r="H642" s="33"/>
      <c r="I642" s="236"/>
      <c r="J642" s="236"/>
      <c r="K642" s="69"/>
      <c r="L642" s="69"/>
      <c r="M642" s="69"/>
      <c r="N642" s="69"/>
      <c r="O642" s="69"/>
      <c r="P642" s="19"/>
      <c r="Q642" s="19"/>
      <c r="R642" s="99">
        <v>638</v>
      </c>
    </row>
    <row r="643" spans="1:18" ht="20" x14ac:dyDescent="0.2">
      <c r="A643" s="58"/>
      <c r="B643" s="151" t="s">
        <v>1912</v>
      </c>
      <c r="C643" s="51" t="s">
        <v>3534</v>
      </c>
      <c r="D643" s="33" t="s">
        <v>106</v>
      </c>
      <c r="E643" s="33"/>
      <c r="F643" s="33"/>
      <c r="G643" s="33" t="s">
        <v>2876</v>
      </c>
      <c r="H643" s="33"/>
      <c r="I643" s="236"/>
      <c r="J643" s="236"/>
      <c r="K643" s="69"/>
      <c r="L643" s="69"/>
      <c r="M643" s="69"/>
      <c r="N643" s="69"/>
      <c r="O643" s="69"/>
      <c r="P643" s="19"/>
      <c r="Q643" s="19"/>
      <c r="R643" s="99">
        <v>639</v>
      </c>
    </row>
    <row r="644" spans="1:18" ht="20" x14ac:dyDescent="0.2">
      <c r="A644" s="58"/>
      <c r="B644" s="151" t="s">
        <v>2276</v>
      </c>
      <c r="C644" s="51" t="s">
        <v>3535</v>
      </c>
      <c r="D644" s="33" t="s">
        <v>106</v>
      </c>
      <c r="E644" s="33"/>
      <c r="F644" s="33"/>
      <c r="G644" s="33" t="s">
        <v>2876</v>
      </c>
      <c r="H644" s="33"/>
      <c r="I644" s="236"/>
      <c r="J644" s="236"/>
      <c r="K644" s="69"/>
      <c r="L644" s="69"/>
      <c r="M644" s="69"/>
      <c r="N644" s="69"/>
      <c r="O644" s="69"/>
      <c r="P644" s="19"/>
      <c r="Q644" s="19"/>
      <c r="R644" s="99">
        <v>640</v>
      </c>
    </row>
    <row r="645" spans="1:18" ht="20" x14ac:dyDescent="0.2">
      <c r="A645" s="58"/>
      <c r="B645" s="151" t="s">
        <v>1913</v>
      </c>
      <c r="C645" s="51" t="s">
        <v>3198</v>
      </c>
      <c r="D645" s="33" t="s">
        <v>106</v>
      </c>
      <c r="E645" s="33"/>
      <c r="F645" s="33"/>
      <c r="G645" s="33" t="s">
        <v>2876</v>
      </c>
      <c r="H645" s="33"/>
      <c r="I645" s="236"/>
      <c r="J645" s="236"/>
      <c r="K645" s="69"/>
      <c r="L645" s="69"/>
      <c r="M645" s="69"/>
      <c r="N645" s="69"/>
      <c r="O645" s="69"/>
      <c r="P645" s="19"/>
      <c r="Q645" s="19"/>
      <c r="R645" s="99">
        <v>641</v>
      </c>
    </row>
    <row r="646" spans="1:18" ht="20" x14ac:dyDescent="0.2">
      <c r="A646" s="58"/>
      <c r="B646" s="151" t="s">
        <v>1914</v>
      </c>
      <c r="C646" s="51" t="s">
        <v>3342</v>
      </c>
      <c r="D646" s="33" t="s">
        <v>106</v>
      </c>
      <c r="E646" s="33"/>
      <c r="F646" s="33"/>
      <c r="G646" s="33" t="s">
        <v>2876</v>
      </c>
      <c r="H646" s="33"/>
      <c r="I646" s="236"/>
      <c r="J646" s="236"/>
      <c r="K646" s="69"/>
      <c r="L646" s="69"/>
      <c r="M646" s="69"/>
      <c r="N646" s="69"/>
      <c r="O646" s="69"/>
      <c r="P646" s="19"/>
      <c r="Q646" s="19"/>
      <c r="R646" s="99">
        <v>642</v>
      </c>
    </row>
    <row r="647" spans="1:18" ht="20" x14ac:dyDescent="0.2">
      <c r="A647" s="58"/>
      <c r="B647" s="151" t="s">
        <v>274</v>
      </c>
      <c r="C647" s="51" t="s">
        <v>3343</v>
      </c>
      <c r="D647" s="33" t="s">
        <v>106</v>
      </c>
      <c r="E647" s="33"/>
      <c r="F647" s="33"/>
      <c r="G647" s="33" t="s">
        <v>2876</v>
      </c>
      <c r="H647" s="237" t="s">
        <v>1545</v>
      </c>
      <c r="I647" s="290">
        <v>230</v>
      </c>
      <c r="J647" s="290">
        <v>25</v>
      </c>
      <c r="K647" s="1">
        <v>78.8</v>
      </c>
      <c r="L647" s="1">
        <v>100</v>
      </c>
      <c r="M647" s="131">
        <v>0.9</v>
      </c>
      <c r="N647" s="1">
        <f>K647*$M647</f>
        <v>70.92</v>
      </c>
      <c r="O647" s="1">
        <f>L647*$M647</f>
        <v>90</v>
      </c>
      <c r="P647" s="19"/>
      <c r="Q647" s="19"/>
      <c r="R647" s="99">
        <v>643</v>
      </c>
    </row>
    <row r="648" spans="1:18" ht="20" x14ac:dyDescent="0.2">
      <c r="A648" s="58"/>
      <c r="B648" s="151" t="s">
        <v>274</v>
      </c>
      <c r="C648" s="51" t="s">
        <v>3343</v>
      </c>
      <c r="D648" s="33" t="s">
        <v>106</v>
      </c>
      <c r="E648" s="33"/>
      <c r="F648" s="33"/>
      <c r="G648" s="33" t="s">
        <v>2876</v>
      </c>
      <c r="H648" s="237" t="s">
        <v>1549</v>
      </c>
      <c r="I648" s="290">
        <v>230</v>
      </c>
      <c r="J648" s="290">
        <v>25</v>
      </c>
      <c r="K648" s="1">
        <v>78.8</v>
      </c>
      <c r="L648" s="1">
        <v>100</v>
      </c>
      <c r="M648" s="131">
        <v>0.9</v>
      </c>
      <c r="N648" s="1">
        <f>K648*$M648</f>
        <v>70.92</v>
      </c>
      <c r="O648" s="1">
        <f>L648*$M648</f>
        <v>90</v>
      </c>
      <c r="P648" s="19"/>
      <c r="Q648" s="19"/>
      <c r="R648" s="99">
        <v>644</v>
      </c>
    </row>
    <row r="649" spans="1:18" ht="20" x14ac:dyDescent="0.2">
      <c r="A649" s="58"/>
      <c r="B649" s="151" t="s">
        <v>1915</v>
      </c>
      <c r="C649" s="51" t="s">
        <v>3537</v>
      </c>
      <c r="D649" s="33" t="s">
        <v>106</v>
      </c>
      <c r="E649" s="33"/>
      <c r="F649" s="33"/>
      <c r="G649" s="33" t="s">
        <v>2876</v>
      </c>
      <c r="H649" s="33"/>
      <c r="I649" s="236"/>
      <c r="J649" s="236"/>
      <c r="K649" s="69"/>
      <c r="L649" s="69"/>
      <c r="M649" s="69"/>
      <c r="N649" s="69"/>
      <c r="O649" s="69"/>
      <c r="P649" s="19"/>
      <c r="Q649" s="19"/>
      <c r="R649" s="99">
        <v>645</v>
      </c>
    </row>
    <row r="650" spans="1:18" ht="20" x14ac:dyDescent="0.2">
      <c r="A650" s="58"/>
      <c r="B650" s="151" t="s">
        <v>1916</v>
      </c>
      <c r="C650" s="51" t="s">
        <v>3538</v>
      </c>
      <c r="D650" s="33" t="s">
        <v>106</v>
      </c>
      <c r="E650" s="33"/>
      <c r="F650" s="33"/>
      <c r="G650" s="33" t="s">
        <v>2876</v>
      </c>
      <c r="H650" s="33"/>
      <c r="I650" s="236"/>
      <c r="J650" s="236"/>
      <c r="K650" s="69"/>
      <c r="L650" s="69"/>
      <c r="M650" s="69"/>
      <c r="N650" s="69"/>
      <c r="O650" s="69"/>
      <c r="P650" s="19"/>
      <c r="Q650" s="19"/>
      <c r="R650" s="99">
        <v>646</v>
      </c>
    </row>
    <row r="651" spans="1:18" ht="20" x14ac:dyDescent="0.2">
      <c r="A651" s="58"/>
      <c r="B651" s="151" t="s">
        <v>1917</v>
      </c>
      <c r="C651" s="51" t="s">
        <v>3539</v>
      </c>
      <c r="D651" s="33" t="s">
        <v>106</v>
      </c>
      <c r="E651" s="33"/>
      <c r="F651" s="33"/>
      <c r="G651" s="33" t="s">
        <v>2876</v>
      </c>
      <c r="H651" s="33"/>
      <c r="I651" s="236"/>
      <c r="J651" s="236"/>
      <c r="K651" s="69"/>
      <c r="L651" s="69"/>
      <c r="M651" s="69"/>
      <c r="N651" s="69"/>
      <c r="O651" s="69"/>
      <c r="P651" s="19"/>
      <c r="Q651" s="19"/>
      <c r="R651" s="99">
        <v>647</v>
      </c>
    </row>
    <row r="652" spans="1:18" ht="20" x14ac:dyDescent="0.2">
      <c r="A652" s="58"/>
      <c r="B652" s="151" t="s">
        <v>2277</v>
      </c>
      <c r="C652" s="51" t="s">
        <v>3540</v>
      </c>
      <c r="D652" s="33" t="s">
        <v>106</v>
      </c>
      <c r="E652" s="33"/>
      <c r="F652" s="33"/>
      <c r="G652" s="33" t="s">
        <v>2876</v>
      </c>
      <c r="H652" s="33"/>
      <c r="I652" s="236"/>
      <c r="J652" s="236"/>
      <c r="K652" s="69"/>
      <c r="L652" s="69"/>
      <c r="M652" s="69"/>
      <c r="N652" s="69"/>
      <c r="O652" s="69"/>
      <c r="P652" s="19"/>
      <c r="Q652" s="19"/>
      <c r="R652" s="99">
        <v>648</v>
      </c>
    </row>
    <row r="653" spans="1:18" ht="20" x14ac:dyDescent="0.2">
      <c r="A653" s="58"/>
      <c r="B653" s="151" t="s">
        <v>2328</v>
      </c>
      <c r="C653" s="51" t="s">
        <v>3166</v>
      </c>
      <c r="D653" s="33" t="s">
        <v>106</v>
      </c>
      <c r="E653" s="33">
        <v>49.740917799999998</v>
      </c>
      <c r="F653" s="33">
        <v>-122.1622222</v>
      </c>
      <c r="G653" s="33" t="s">
        <v>2876</v>
      </c>
      <c r="H653" s="33"/>
      <c r="I653" s="236"/>
      <c r="J653" s="236"/>
      <c r="K653" s="69"/>
      <c r="L653" s="69"/>
      <c r="M653" s="69"/>
      <c r="N653" s="69"/>
      <c r="O653" s="69"/>
      <c r="P653" s="19"/>
      <c r="Q653" s="19"/>
      <c r="R653" s="99">
        <v>649</v>
      </c>
    </row>
    <row r="654" spans="1:18" ht="20" x14ac:dyDescent="0.2">
      <c r="A654" s="58"/>
      <c r="B654" s="151" t="s">
        <v>1918</v>
      </c>
      <c r="C654" s="51" t="s">
        <v>3344</v>
      </c>
      <c r="D654" s="33" t="s">
        <v>106</v>
      </c>
      <c r="E654" s="33"/>
      <c r="F654" s="33"/>
      <c r="G654" s="33" t="s">
        <v>2876</v>
      </c>
      <c r="H654" s="33"/>
      <c r="I654" s="236"/>
      <c r="J654" s="236"/>
      <c r="K654" s="69"/>
      <c r="L654" s="69"/>
      <c r="M654" s="69"/>
      <c r="N654" s="69"/>
      <c r="O654" s="69"/>
      <c r="P654" s="19"/>
      <c r="Q654" s="19"/>
      <c r="R654" s="99">
        <v>650</v>
      </c>
    </row>
    <row r="655" spans="1:18" ht="20" x14ac:dyDescent="0.2">
      <c r="A655" s="58"/>
      <c r="B655" s="151" t="s">
        <v>2611</v>
      </c>
      <c r="C655" s="51" t="s">
        <v>3167</v>
      </c>
      <c r="D655" s="33" t="s">
        <v>106</v>
      </c>
      <c r="E655" s="33"/>
      <c r="F655" s="33"/>
      <c r="G655" s="33" t="s">
        <v>2876</v>
      </c>
      <c r="H655" s="33"/>
      <c r="I655" s="236"/>
      <c r="J655" s="236"/>
      <c r="K655" s="69"/>
      <c r="L655" s="69"/>
      <c r="M655" s="69"/>
      <c r="N655" s="69"/>
      <c r="O655" s="69"/>
      <c r="P655" s="19"/>
      <c r="Q655" s="19"/>
      <c r="R655" s="99">
        <v>651</v>
      </c>
    </row>
    <row r="656" spans="1:18" ht="20" x14ac:dyDescent="0.2">
      <c r="A656" s="58"/>
      <c r="B656" s="151" t="s">
        <v>1919</v>
      </c>
      <c r="C656" s="51" t="s">
        <v>3543</v>
      </c>
      <c r="D656" s="33" t="s">
        <v>106</v>
      </c>
      <c r="E656" s="33"/>
      <c r="F656" s="33"/>
      <c r="G656" s="33" t="s">
        <v>2876</v>
      </c>
      <c r="H656" s="33"/>
      <c r="I656" s="236"/>
      <c r="J656" s="236"/>
      <c r="K656" s="69"/>
      <c r="L656" s="69"/>
      <c r="M656" s="69"/>
      <c r="N656" s="69"/>
      <c r="O656" s="69"/>
      <c r="P656" s="19"/>
      <c r="Q656" s="19"/>
      <c r="R656" s="99">
        <v>652</v>
      </c>
    </row>
    <row r="657" spans="1:18" ht="20" x14ac:dyDescent="0.2">
      <c r="A657" s="58"/>
      <c r="B657" s="151" t="s">
        <v>1920</v>
      </c>
      <c r="C657" s="51" t="s">
        <v>3544</v>
      </c>
      <c r="D657" s="33" t="s">
        <v>106</v>
      </c>
      <c r="E657" s="33"/>
      <c r="F657" s="33"/>
      <c r="G657" s="33" t="s">
        <v>2876</v>
      </c>
      <c r="H657" s="33"/>
      <c r="I657" s="236"/>
      <c r="J657" s="236"/>
      <c r="K657" s="69"/>
      <c r="L657" s="69"/>
      <c r="M657" s="69"/>
      <c r="N657" s="69"/>
      <c r="O657" s="69"/>
      <c r="P657" s="19"/>
      <c r="Q657" s="19"/>
      <c r="R657" s="99">
        <v>653</v>
      </c>
    </row>
    <row r="658" spans="1:18" ht="20" x14ac:dyDescent="0.2">
      <c r="A658" s="58"/>
      <c r="B658" s="151" t="s">
        <v>1921</v>
      </c>
      <c r="C658" s="51" t="s">
        <v>3181</v>
      </c>
      <c r="D658" s="33" t="s">
        <v>106</v>
      </c>
      <c r="E658" s="33"/>
      <c r="F658" s="33"/>
      <c r="G658" s="33" t="s">
        <v>2876</v>
      </c>
      <c r="H658" s="237" t="s">
        <v>1545</v>
      </c>
      <c r="I658" s="290">
        <v>138</v>
      </c>
      <c r="J658" s="290">
        <v>25</v>
      </c>
      <c r="K658" s="1">
        <v>14</v>
      </c>
      <c r="L658" s="1">
        <v>16.600000000000001</v>
      </c>
      <c r="M658" s="131">
        <v>0.9</v>
      </c>
      <c r="N658" s="1">
        <f t="shared" ref="N658:O661" si="60">K658*$M658</f>
        <v>12.6</v>
      </c>
      <c r="O658" s="1">
        <f t="shared" si="60"/>
        <v>14.940000000000001</v>
      </c>
      <c r="P658" s="19"/>
      <c r="Q658" s="19"/>
      <c r="R658" s="99">
        <v>654</v>
      </c>
    </row>
    <row r="659" spans="1:18" ht="20" x14ac:dyDescent="0.2">
      <c r="A659" s="58"/>
      <c r="B659" s="151" t="s">
        <v>1921</v>
      </c>
      <c r="C659" s="51" t="s">
        <v>3181</v>
      </c>
      <c r="D659" s="33" t="s">
        <v>106</v>
      </c>
      <c r="E659" s="33"/>
      <c r="F659" s="33"/>
      <c r="G659" s="33" t="s">
        <v>2876</v>
      </c>
      <c r="H659" s="237" t="s">
        <v>1549</v>
      </c>
      <c r="I659" s="290">
        <v>138</v>
      </c>
      <c r="J659" s="290">
        <v>25</v>
      </c>
      <c r="K659" s="1">
        <v>11.81</v>
      </c>
      <c r="L659" s="1">
        <v>14.96</v>
      </c>
      <c r="M659" s="131">
        <v>0.9</v>
      </c>
      <c r="N659" s="1">
        <f t="shared" si="60"/>
        <v>10.629000000000001</v>
      </c>
      <c r="O659" s="1">
        <f t="shared" si="60"/>
        <v>13.464</v>
      </c>
      <c r="P659" s="19"/>
      <c r="Q659" s="19"/>
      <c r="R659" s="99">
        <v>655</v>
      </c>
    </row>
    <row r="660" spans="1:18" ht="20" x14ac:dyDescent="0.2">
      <c r="A660" s="58"/>
      <c r="B660" s="151" t="s">
        <v>1922</v>
      </c>
      <c r="C660" s="51" t="s">
        <v>3545</v>
      </c>
      <c r="D660" s="33" t="s">
        <v>106</v>
      </c>
      <c r="E660" s="33"/>
      <c r="F660" s="33"/>
      <c r="G660" s="33" t="s">
        <v>2876</v>
      </c>
      <c r="H660" s="237" t="s">
        <v>1545</v>
      </c>
      <c r="I660" s="290">
        <v>60</v>
      </c>
      <c r="J660" s="290">
        <v>25</v>
      </c>
      <c r="K660" s="1">
        <v>47</v>
      </c>
      <c r="L660" s="1">
        <v>56</v>
      </c>
      <c r="M660" s="131">
        <v>0.9</v>
      </c>
      <c r="N660" s="1">
        <f t="shared" si="60"/>
        <v>42.300000000000004</v>
      </c>
      <c r="O660" s="1">
        <f t="shared" si="60"/>
        <v>50.4</v>
      </c>
      <c r="P660" s="19"/>
      <c r="Q660" s="19"/>
      <c r="R660" s="99">
        <v>656</v>
      </c>
    </row>
    <row r="661" spans="1:18" ht="20" x14ac:dyDescent="0.2">
      <c r="A661" s="58"/>
      <c r="B661" s="151" t="s">
        <v>1922</v>
      </c>
      <c r="C661" s="51" t="s">
        <v>3545</v>
      </c>
      <c r="D661" s="33" t="s">
        <v>106</v>
      </c>
      <c r="E661" s="33"/>
      <c r="F661" s="33"/>
      <c r="G661" s="33" t="s">
        <v>2876</v>
      </c>
      <c r="H661" s="237" t="s">
        <v>1549</v>
      </c>
      <c r="I661" s="290">
        <v>60</v>
      </c>
      <c r="J661" s="290">
        <v>25</v>
      </c>
      <c r="K661" s="1">
        <v>47</v>
      </c>
      <c r="L661" s="1">
        <v>56</v>
      </c>
      <c r="M661" s="131">
        <v>0.9</v>
      </c>
      <c r="N661" s="1">
        <f t="shared" si="60"/>
        <v>42.300000000000004</v>
      </c>
      <c r="O661" s="1">
        <f t="shared" si="60"/>
        <v>50.4</v>
      </c>
      <c r="P661" s="19"/>
      <c r="Q661" s="19"/>
      <c r="R661" s="99">
        <v>657</v>
      </c>
    </row>
    <row r="662" spans="1:18" ht="20" x14ac:dyDescent="0.2">
      <c r="A662" s="58"/>
      <c r="B662" s="151" t="s">
        <v>2274</v>
      </c>
      <c r="C662" s="51" t="s">
        <v>3546</v>
      </c>
      <c r="D662" s="33" t="s">
        <v>106</v>
      </c>
      <c r="E662" s="33"/>
      <c r="F662" s="33"/>
      <c r="G662" s="33" t="s">
        <v>2876</v>
      </c>
      <c r="H662" s="33"/>
      <c r="I662" s="236"/>
      <c r="J662" s="236"/>
      <c r="K662" s="69"/>
      <c r="L662" s="69"/>
      <c r="M662" s="69"/>
      <c r="N662" s="69"/>
      <c r="O662" s="69"/>
      <c r="P662" s="19"/>
      <c r="Q662" s="19"/>
      <c r="R662" s="99">
        <v>658</v>
      </c>
    </row>
    <row r="663" spans="1:18" ht="20" x14ac:dyDescent="0.2">
      <c r="A663" s="58"/>
      <c r="B663" s="151" t="s">
        <v>2329</v>
      </c>
      <c r="C663" s="51" t="s">
        <v>3168</v>
      </c>
      <c r="D663" s="33" t="s">
        <v>106</v>
      </c>
      <c r="E663" s="33">
        <v>49.703789999999998</v>
      </c>
      <c r="F663" s="33">
        <v>-122.079577</v>
      </c>
      <c r="G663" s="33" t="s">
        <v>2876</v>
      </c>
      <c r="H663" s="33"/>
      <c r="I663" s="236"/>
      <c r="J663" s="236"/>
      <c r="K663" s="69"/>
      <c r="L663" s="69"/>
      <c r="M663" s="69"/>
      <c r="N663" s="69"/>
      <c r="O663" s="69"/>
      <c r="P663" s="19"/>
      <c r="Q663" s="19"/>
      <c r="R663" s="99">
        <v>659</v>
      </c>
    </row>
    <row r="664" spans="1:18" ht="20" x14ac:dyDescent="0.2">
      <c r="A664" s="58"/>
      <c r="B664" s="151" t="s">
        <v>1923</v>
      </c>
      <c r="C664" s="51" t="s">
        <v>3424</v>
      </c>
      <c r="D664" s="33" t="s">
        <v>106</v>
      </c>
      <c r="E664" s="33"/>
      <c r="F664" s="33"/>
      <c r="G664" s="33" t="s">
        <v>2876</v>
      </c>
      <c r="H664" s="33"/>
      <c r="I664" s="236"/>
      <c r="J664" s="236"/>
      <c r="K664" s="69"/>
      <c r="L664" s="69"/>
      <c r="M664" s="69"/>
      <c r="N664" s="69"/>
      <c r="O664" s="69"/>
      <c r="P664" s="19"/>
      <c r="Q664" s="19"/>
      <c r="R664" s="99">
        <v>660</v>
      </c>
    </row>
    <row r="665" spans="1:18" ht="20" x14ac:dyDescent="0.2">
      <c r="A665" s="58"/>
      <c r="B665" s="151" t="s">
        <v>1924</v>
      </c>
      <c r="C665" s="51" t="s">
        <v>3547</v>
      </c>
      <c r="D665" s="33" t="s">
        <v>106</v>
      </c>
      <c r="E665" s="33"/>
      <c r="F665" s="33"/>
      <c r="G665" s="33" t="s">
        <v>2876</v>
      </c>
      <c r="H665" s="237" t="s">
        <v>1545</v>
      </c>
      <c r="I665" s="290">
        <v>60</v>
      </c>
      <c r="J665" s="290">
        <v>25</v>
      </c>
      <c r="K665" s="1">
        <v>0.6</v>
      </c>
      <c r="L665" s="1">
        <v>0.6</v>
      </c>
      <c r="M665" s="131">
        <v>0.9</v>
      </c>
      <c r="N665" s="1">
        <f>K665*$M665</f>
        <v>0.54</v>
      </c>
      <c r="O665" s="1">
        <f>L665*$M665</f>
        <v>0.54</v>
      </c>
      <c r="P665" s="19"/>
      <c r="Q665" s="19"/>
      <c r="R665" s="99">
        <v>661</v>
      </c>
    </row>
    <row r="666" spans="1:18" ht="20" x14ac:dyDescent="0.2">
      <c r="A666" s="58"/>
      <c r="B666" s="151" t="s">
        <v>3698</v>
      </c>
      <c r="C666" s="51" t="s">
        <v>3170</v>
      </c>
      <c r="D666" s="33" t="s">
        <v>106</v>
      </c>
      <c r="E666" s="33">
        <v>49.8542767</v>
      </c>
      <c r="F666" s="33">
        <v>-123.4461156</v>
      </c>
      <c r="G666" s="33" t="s">
        <v>2876</v>
      </c>
      <c r="H666" s="33"/>
      <c r="I666" s="236"/>
      <c r="J666" s="236"/>
      <c r="K666" s="69"/>
      <c r="L666" s="69"/>
      <c r="M666" s="69"/>
      <c r="N666" s="69"/>
      <c r="O666" s="69"/>
      <c r="P666" s="19"/>
      <c r="Q666" s="19"/>
      <c r="R666" s="99">
        <v>662</v>
      </c>
    </row>
    <row r="667" spans="1:18" ht="20" x14ac:dyDescent="0.2">
      <c r="A667" s="58"/>
      <c r="B667" s="151" t="s">
        <v>1925</v>
      </c>
      <c r="C667" s="51" t="s">
        <v>3393</v>
      </c>
      <c r="D667" s="33" t="s">
        <v>106</v>
      </c>
      <c r="E667" s="33"/>
      <c r="F667" s="33"/>
      <c r="G667" s="33" t="s">
        <v>2876</v>
      </c>
      <c r="H667" s="237" t="s">
        <v>1545</v>
      </c>
      <c r="I667" s="290">
        <v>66</v>
      </c>
      <c r="J667" s="290">
        <v>25</v>
      </c>
      <c r="K667" s="1">
        <v>14</v>
      </c>
      <c r="L667" s="1">
        <v>15</v>
      </c>
      <c r="M667" s="131">
        <v>0.9</v>
      </c>
      <c r="N667" s="1">
        <f>K667*$M667</f>
        <v>12.6</v>
      </c>
      <c r="O667" s="1">
        <f>L667*$M667</f>
        <v>13.5</v>
      </c>
      <c r="P667" s="19"/>
      <c r="Q667" s="19"/>
      <c r="R667" s="99">
        <v>663</v>
      </c>
    </row>
    <row r="668" spans="1:18" ht="20" x14ac:dyDescent="0.2">
      <c r="A668" s="58"/>
      <c r="B668" s="151" t="s">
        <v>1926</v>
      </c>
      <c r="C668" s="51" t="s">
        <v>3346</v>
      </c>
      <c r="D668" s="33" t="s">
        <v>106</v>
      </c>
      <c r="E668" s="33"/>
      <c r="F668" s="33"/>
      <c r="G668" s="33" t="s">
        <v>2876</v>
      </c>
      <c r="H668" s="237" t="s">
        <v>1545</v>
      </c>
      <c r="I668" s="290">
        <v>208</v>
      </c>
      <c r="J668" s="290">
        <v>14.4</v>
      </c>
      <c r="K668" s="1">
        <v>4</v>
      </c>
      <c r="L668" s="1">
        <v>4.8</v>
      </c>
      <c r="M668" s="131">
        <v>0.9</v>
      </c>
      <c r="N668" s="1">
        <f>K668*$M668</f>
        <v>3.6</v>
      </c>
      <c r="O668" s="1">
        <f>L668*$M668</f>
        <v>4.32</v>
      </c>
      <c r="P668" s="19"/>
      <c r="Q668" s="19"/>
      <c r="R668" s="99">
        <v>664</v>
      </c>
    </row>
    <row r="669" spans="1:18" ht="20" x14ac:dyDescent="0.2">
      <c r="A669" s="58"/>
      <c r="B669" s="151" t="s">
        <v>2330</v>
      </c>
      <c r="C669" s="51" t="s">
        <v>3171</v>
      </c>
      <c r="D669" s="33" t="s">
        <v>106</v>
      </c>
      <c r="E669" s="33">
        <v>50.656999999999996</v>
      </c>
      <c r="F669" s="33">
        <v>-123.4476355</v>
      </c>
      <c r="G669" s="33" t="s">
        <v>2876</v>
      </c>
      <c r="H669" s="33"/>
      <c r="I669" s="236"/>
      <c r="J669" s="236"/>
      <c r="K669" s="69"/>
      <c r="L669" s="69"/>
      <c r="M669" s="69"/>
      <c r="N669" s="69"/>
      <c r="O669" s="69"/>
      <c r="P669" s="19"/>
      <c r="Q669" s="19"/>
      <c r="R669" s="99">
        <v>665</v>
      </c>
    </row>
    <row r="670" spans="1:18" ht="20" x14ac:dyDescent="0.2">
      <c r="A670" s="58"/>
      <c r="B670" s="151" t="s">
        <v>1927</v>
      </c>
      <c r="C670" s="51" t="s">
        <v>3172</v>
      </c>
      <c r="D670" s="33" t="s">
        <v>106</v>
      </c>
      <c r="E670" s="33">
        <v>49.717830999999997</v>
      </c>
      <c r="F670" s="33">
        <v>-123.05463229999999</v>
      </c>
      <c r="G670" s="33" t="s">
        <v>2876</v>
      </c>
      <c r="H670" s="33"/>
      <c r="I670" s="236"/>
      <c r="J670" s="236"/>
      <c r="K670" s="69"/>
      <c r="L670" s="69"/>
      <c r="M670" s="69"/>
      <c r="N670" s="69"/>
      <c r="O670" s="69"/>
      <c r="P670" s="19"/>
      <c r="Q670" s="19"/>
      <c r="R670" s="99">
        <v>666</v>
      </c>
    </row>
    <row r="671" spans="1:18" ht="20" x14ac:dyDescent="0.2">
      <c r="A671" s="58"/>
      <c r="B671" s="151" t="s">
        <v>1928</v>
      </c>
      <c r="C671" s="51" t="s">
        <v>3548</v>
      </c>
      <c r="D671" s="33" t="s">
        <v>106</v>
      </c>
      <c r="E671" s="33"/>
      <c r="F671" s="33"/>
      <c r="G671" s="33" t="s">
        <v>2876</v>
      </c>
      <c r="H671" s="33"/>
      <c r="I671" s="236"/>
      <c r="J671" s="236"/>
      <c r="K671" s="69"/>
      <c r="L671" s="69"/>
      <c r="M671" s="69"/>
      <c r="N671" s="69"/>
      <c r="O671" s="69"/>
      <c r="P671" s="19"/>
      <c r="Q671" s="19"/>
      <c r="R671" s="99">
        <v>667</v>
      </c>
    </row>
    <row r="672" spans="1:18" ht="20" x14ac:dyDescent="0.2">
      <c r="A672" s="58"/>
      <c r="B672" s="151" t="s">
        <v>1929</v>
      </c>
      <c r="C672" s="51" t="s">
        <v>3526</v>
      </c>
      <c r="D672" s="33" t="s">
        <v>106</v>
      </c>
      <c r="E672" s="33"/>
      <c r="F672" s="33"/>
      <c r="G672" s="33" t="s">
        <v>2876</v>
      </c>
      <c r="H672" s="33"/>
      <c r="I672" s="236"/>
      <c r="J672" s="236"/>
      <c r="K672" s="69"/>
      <c r="L672" s="69"/>
      <c r="M672" s="69"/>
      <c r="N672" s="69"/>
      <c r="O672" s="69"/>
      <c r="P672" s="19"/>
      <c r="Q672" s="19"/>
      <c r="R672" s="99">
        <v>668</v>
      </c>
    </row>
    <row r="673" spans="1:18" ht="20" x14ac:dyDescent="0.2">
      <c r="A673" s="58"/>
      <c r="B673" s="151" t="s">
        <v>2331</v>
      </c>
      <c r="C673" s="51" t="s">
        <v>3173</v>
      </c>
      <c r="D673" s="33" t="s">
        <v>106</v>
      </c>
      <c r="E673" s="33">
        <v>49.566046700000001</v>
      </c>
      <c r="F673" s="33">
        <v>-122.3502994</v>
      </c>
      <c r="G673" s="33" t="s">
        <v>2876</v>
      </c>
      <c r="H673" s="33"/>
      <c r="I673" s="236"/>
      <c r="J673" s="236"/>
      <c r="K673" s="69"/>
      <c r="L673" s="69"/>
      <c r="M673" s="69"/>
      <c r="N673" s="69"/>
      <c r="O673" s="69"/>
      <c r="P673" s="19"/>
      <c r="Q673" s="19"/>
      <c r="R673" s="99">
        <v>669</v>
      </c>
    </row>
    <row r="674" spans="1:18" ht="20" x14ac:dyDescent="0.2">
      <c r="A674" s="58"/>
      <c r="B674" s="151" t="s">
        <v>1930</v>
      </c>
      <c r="C674" s="51" t="s">
        <v>3347</v>
      </c>
      <c r="D674" s="33" t="s">
        <v>106</v>
      </c>
      <c r="E674" s="33"/>
      <c r="F674" s="33"/>
      <c r="G674" s="33" t="s">
        <v>2876</v>
      </c>
      <c r="H674" s="33"/>
      <c r="I674" s="236"/>
      <c r="J674" s="236"/>
      <c r="K674" s="69"/>
      <c r="L674" s="69"/>
      <c r="M674" s="69"/>
      <c r="N674" s="69"/>
      <c r="O674" s="69"/>
      <c r="P674" s="19"/>
      <c r="Q674" s="19"/>
      <c r="R674" s="99">
        <v>670</v>
      </c>
    </row>
    <row r="675" spans="1:18" ht="20" x14ac:dyDescent="0.2">
      <c r="A675" s="58"/>
      <c r="B675" s="151" t="s">
        <v>1931</v>
      </c>
      <c r="C675" s="51" t="s">
        <v>3549</v>
      </c>
      <c r="D675" s="33" t="s">
        <v>106</v>
      </c>
      <c r="E675" s="33"/>
      <c r="F675" s="33"/>
      <c r="G675" s="33" t="s">
        <v>2876</v>
      </c>
      <c r="H675" s="237" t="s">
        <v>1545</v>
      </c>
      <c r="I675" s="290">
        <v>138</v>
      </c>
      <c r="J675" s="290">
        <v>25</v>
      </c>
      <c r="K675" s="1">
        <v>28</v>
      </c>
      <c r="L675" s="1">
        <v>33.6</v>
      </c>
      <c r="M675" s="131">
        <v>0.9</v>
      </c>
      <c r="N675" s="1">
        <f t="shared" ref="N675:O677" si="61">K675*$M675</f>
        <v>25.2</v>
      </c>
      <c r="O675" s="1">
        <f t="shared" si="61"/>
        <v>30.240000000000002</v>
      </c>
      <c r="P675" s="19"/>
      <c r="Q675" s="19"/>
      <c r="R675" s="99">
        <v>671</v>
      </c>
    </row>
    <row r="676" spans="1:18" ht="20" x14ac:dyDescent="0.2">
      <c r="A676" s="58"/>
      <c r="B676" s="151" t="s">
        <v>813</v>
      </c>
      <c r="C676" s="51" t="s">
        <v>3550</v>
      </c>
      <c r="D676" s="33" t="s">
        <v>106</v>
      </c>
      <c r="E676" s="33"/>
      <c r="F676" s="33"/>
      <c r="G676" s="33" t="s">
        <v>2876</v>
      </c>
      <c r="H676" s="237" t="s">
        <v>1549</v>
      </c>
      <c r="I676" s="290">
        <v>66</v>
      </c>
      <c r="J676" s="290">
        <v>25</v>
      </c>
      <c r="K676" s="1">
        <v>28</v>
      </c>
      <c r="L676" s="1">
        <v>33</v>
      </c>
      <c r="M676" s="131">
        <v>0.9</v>
      </c>
      <c r="N676" s="1">
        <f t="shared" si="61"/>
        <v>25.2</v>
      </c>
      <c r="O676" s="1">
        <f t="shared" si="61"/>
        <v>29.7</v>
      </c>
      <c r="P676" s="19"/>
      <c r="Q676" s="19"/>
      <c r="R676" s="99">
        <v>672</v>
      </c>
    </row>
    <row r="677" spans="1:18" ht="20" x14ac:dyDescent="0.2">
      <c r="A677" s="58"/>
      <c r="B677" s="151" t="s">
        <v>813</v>
      </c>
      <c r="C677" s="51" t="s">
        <v>3550</v>
      </c>
      <c r="D677" s="33" t="s">
        <v>106</v>
      </c>
      <c r="E677" s="33"/>
      <c r="F677" s="33"/>
      <c r="G677" s="33" t="s">
        <v>2876</v>
      </c>
      <c r="H677" s="237" t="s">
        <v>1550</v>
      </c>
      <c r="I677" s="290">
        <v>66</v>
      </c>
      <c r="J677" s="290">
        <v>25</v>
      </c>
      <c r="K677" s="1">
        <v>52.5</v>
      </c>
      <c r="L677" s="1">
        <v>66.5</v>
      </c>
      <c r="M677" s="131">
        <v>0.9</v>
      </c>
      <c r="N677" s="1">
        <f t="shared" si="61"/>
        <v>47.25</v>
      </c>
      <c r="O677" s="1">
        <f t="shared" si="61"/>
        <v>59.85</v>
      </c>
      <c r="P677" s="19"/>
      <c r="Q677" s="19"/>
      <c r="R677" s="99">
        <v>673</v>
      </c>
    </row>
    <row r="678" spans="1:18" ht="20" x14ac:dyDescent="0.2">
      <c r="A678" s="58"/>
      <c r="B678" s="151" t="s">
        <v>1932</v>
      </c>
      <c r="C678" s="51" t="s">
        <v>3683</v>
      </c>
      <c r="D678" s="33" t="s">
        <v>106</v>
      </c>
      <c r="E678" s="33"/>
      <c r="F678" s="33"/>
      <c r="G678" s="33" t="s">
        <v>2876</v>
      </c>
      <c r="H678" s="33"/>
      <c r="I678" s="236"/>
      <c r="J678" s="236"/>
      <c r="K678" s="69"/>
      <c r="L678" s="69"/>
      <c r="M678" s="69"/>
      <c r="N678" s="69"/>
      <c r="O678" s="69"/>
      <c r="P678" s="19"/>
      <c r="Q678" s="19"/>
      <c r="R678" s="99">
        <v>674</v>
      </c>
    </row>
    <row r="679" spans="1:18" ht="20" x14ac:dyDescent="0.2">
      <c r="A679" s="58"/>
      <c r="B679" s="151" t="s">
        <v>3576</v>
      </c>
      <c r="C679" s="51" t="s">
        <v>3577</v>
      </c>
      <c r="D679" s="33" t="s">
        <v>106</v>
      </c>
      <c r="E679" s="33"/>
      <c r="F679" s="33"/>
      <c r="G679" s="33" t="s">
        <v>2876</v>
      </c>
      <c r="H679" s="33"/>
      <c r="I679" s="236"/>
      <c r="J679" s="236"/>
      <c r="K679" s="69"/>
      <c r="L679" s="69"/>
      <c r="M679" s="69"/>
      <c r="N679" s="69"/>
      <c r="O679" s="69"/>
      <c r="P679" s="19"/>
      <c r="Q679" s="19"/>
      <c r="R679" s="99">
        <v>675</v>
      </c>
    </row>
    <row r="680" spans="1:18" ht="20" x14ac:dyDescent="0.2">
      <c r="A680" s="58"/>
      <c r="B680" s="151" t="s">
        <v>223</v>
      </c>
      <c r="C680" s="51" t="s">
        <v>3348</v>
      </c>
      <c r="D680" s="33" t="s">
        <v>106</v>
      </c>
      <c r="E680" s="33"/>
      <c r="F680" s="33"/>
      <c r="G680" s="33" t="s">
        <v>2876</v>
      </c>
      <c r="H680" s="237" t="s">
        <v>1550</v>
      </c>
      <c r="I680" s="290">
        <v>138</v>
      </c>
      <c r="J680" s="290">
        <v>25</v>
      </c>
      <c r="K680" s="1">
        <v>16.7</v>
      </c>
      <c r="L680" s="1">
        <v>20</v>
      </c>
      <c r="M680" s="131">
        <v>0.9</v>
      </c>
      <c r="N680" s="1">
        <f t="shared" ref="N680:O683" si="62">K680*$M680</f>
        <v>15.03</v>
      </c>
      <c r="O680" s="1">
        <f t="shared" si="62"/>
        <v>18</v>
      </c>
      <c r="P680" s="19"/>
      <c r="Q680" s="19"/>
      <c r="R680" s="99">
        <v>676</v>
      </c>
    </row>
    <row r="681" spans="1:18" ht="20" x14ac:dyDescent="0.2">
      <c r="A681" s="58"/>
      <c r="B681" s="151" t="s">
        <v>1933</v>
      </c>
      <c r="C681" s="51" t="s">
        <v>3349</v>
      </c>
      <c r="D681" s="33" t="s">
        <v>106</v>
      </c>
      <c r="E681" s="33"/>
      <c r="F681" s="33"/>
      <c r="G681" s="33" t="s">
        <v>2876</v>
      </c>
      <c r="H681" s="237" t="s">
        <v>1546</v>
      </c>
      <c r="I681" s="290">
        <v>138</v>
      </c>
      <c r="J681" s="290">
        <v>25</v>
      </c>
      <c r="K681" s="1">
        <v>57.8</v>
      </c>
      <c r="L681" s="1">
        <v>71</v>
      </c>
      <c r="M681" s="131">
        <v>0.9</v>
      </c>
      <c r="N681" s="1">
        <f t="shared" si="62"/>
        <v>52.019999999999996</v>
      </c>
      <c r="O681" s="1">
        <f t="shared" si="62"/>
        <v>63.9</v>
      </c>
      <c r="P681" s="19"/>
      <c r="Q681" s="19"/>
      <c r="R681" s="99">
        <v>677</v>
      </c>
    </row>
    <row r="682" spans="1:18" ht="20" x14ac:dyDescent="0.2">
      <c r="A682" s="58"/>
      <c r="B682" s="151" t="s">
        <v>1933</v>
      </c>
      <c r="C682" s="51" t="s">
        <v>3349</v>
      </c>
      <c r="D682" s="33" t="s">
        <v>106</v>
      </c>
      <c r="E682" s="33"/>
      <c r="F682" s="33"/>
      <c r="G682" s="33" t="s">
        <v>2876</v>
      </c>
      <c r="H682" s="237" t="s">
        <v>1547</v>
      </c>
      <c r="I682" s="290">
        <v>138</v>
      </c>
      <c r="J682" s="290">
        <v>25</v>
      </c>
      <c r="K682" s="1">
        <v>57.8</v>
      </c>
      <c r="L682" s="1">
        <v>71</v>
      </c>
      <c r="M682" s="131">
        <v>0.9</v>
      </c>
      <c r="N682" s="1">
        <f t="shared" si="62"/>
        <v>52.019999999999996</v>
      </c>
      <c r="O682" s="1">
        <f t="shared" si="62"/>
        <v>63.9</v>
      </c>
      <c r="P682" s="19"/>
      <c r="Q682" s="19"/>
      <c r="R682" s="99">
        <v>678</v>
      </c>
    </row>
    <row r="683" spans="1:18" ht="20" x14ac:dyDescent="0.2">
      <c r="A683" s="58"/>
      <c r="B683" s="151" t="s">
        <v>1933</v>
      </c>
      <c r="C683" s="51" t="s">
        <v>3349</v>
      </c>
      <c r="D683" s="33" t="s">
        <v>106</v>
      </c>
      <c r="E683" s="33"/>
      <c r="F683" s="33"/>
      <c r="G683" s="33" t="s">
        <v>2876</v>
      </c>
      <c r="H683" s="237" t="s">
        <v>1548</v>
      </c>
      <c r="I683" s="290">
        <v>138</v>
      </c>
      <c r="J683" s="290">
        <v>25</v>
      </c>
      <c r="K683" s="1">
        <v>80.599999999999994</v>
      </c>
      <c r="L683" s="1">
        <v>98.3</v>
      </c>
      <c r="M683" s="131">
        <v>0.9</v>
      </c>
      <c r="N683" s="1">
        <f t="shared" si="62"/>
        <v>72.539999999999992</v>
      </c>
      <c r="O683" s="1">
        <f t="shared" si="62"/>
        <v>88.47</v>
      </c>
      <c r="P683" s="19"/>
      <c r="Q683" s="19"/>
      <c r="R683" s="99">
        <v>679</v>
      </c>
    </row>
    <row r="684" spans="1:18" ht="20" x14ac:dyDescent="0.2">
      <c r="A684" s="58"/>
      <c r="B684" s="151" t="s">
        <v>1954</v>
      </c>
      <c r="C684" s="51" t="s">
        <v>3685</v>
      </c>
      <c r="D684" s="33" t="s">
        <v>106</v>
      </c>
      <c r="E684" s="33"/>
      <c r="F684" s="33"/>
      <c r="G684" s="33" t="s">
        <v>2876</v>
      </c>
      <c r="H684" s="33"/>
      <c r="I684" s="236"/>
      <c r="J684" s="236"/>
      <c r="K684" s="69"/>
      <c r="L684" s="69"/>
      <c r="M684" s="69"/>
      <c r="N684" s="69"/>
      <c r="O684" s="69"/>
      <c r="P684" s="19"/>
      <c r="Q684" s="19"/>
      <c r="R684" s="99">
        <v>680</v>
      </c>
    </row>
    <row r="685" spans="1:18" ht="20" x14ac:dyDescent="0.2">
      <c r="A685" s="58"/>
      <c r="B685" s="151" t="s">
        <v>1934</v>
      </c>
      <c r="C685" s="51" t="s">
        <v>3350</v>
      </c>
      <c r="D685" s="33" t="s">
        <v>106</v>
      </c>
      <c r="E685" s="33"/>
      <c r="F685" s="33"/>
      <c r="G685" s="33" t="s">
        <v>2876</v>
      </c>
      <c r="H685" s="33"/>
      <c r="I685" s="236"/>
      <c r="J685" s="236"/>
      <c r="K685" s="69"/>
      <c r="L685" s="69"/>
      <c r="M685" s="69"/>
      <c r="N685" s="69"/>
      <c r="O685" s="69"/>
      <c r="P685" s="19"/>
      <c r="Q685" s="19"/>
      <c r="R685" s="99">
        <v>681</v>
      </c>
    </row>
    <row r="686" spans="1:18" ht="20" x14ac:dyDescent="0.2">
      <c r="A686" s="58"/>
      <c r="B686" s="151" t="s">
        <v>1935</v>
      </c>
      <c r="C686" s="51" t="s">
        <v>3727</v>
      </c>
      <c r="D686" s="33" t="s">
        <v>106</v>
      </c>
      <c r="E686" s="33">
        <v>49.236626000000001</v>
      </c>
      <c r="F686" s="33">
        <v>-121.6806648</v>
      </c>
      <c r="G686" s="33" t="s">
        <v>2876</v>
      </c>
      <c r="H686" s="237" t="s">
        <v>1550</v>
      </c>
      <c r="I686" s="290">
        <v>60</v>
      </c>
      <c r="J686" s="290">
        <v>25</v>
      </c>
      <c r="K686" s="1">
        <v>26</v>
      </c>
      <c r="L686" s="1">
        <v>33</v>
      </c>
      <c r="M686" s="131">
        <v>0.9</v>
      </c>
      <c r="N686" s="1">
        <f t="shared" ref="N686:O691" si="63">K686*$M686</f>
        <v>23.400000000000002</v>
      </c>
      <c r="O686" s="1">
        <f t="shared" si="63"/>
        <v>29.7</v>
      </c>
      <c r="P686" s="19"/>
      <c r="Q686" s="19"/>
      <c r="R686" s="99">
        <v>682</v>
      </c>
    </row>
    <row r="687" spans="1:18" ht="20" x14ac:dyDescent="0.2">
      <c r="A687" s="58"/>
      <c r="B687" s="151" t="s">
        <v>1935</v>
      </c>
      <c r="C687" s="51" t="s">
        <v>3727</v>
      </c>
      <c r="D687" s="33" t="s">
        <v>106</v>
      </c>
      <c r="E687" s="33">
        <v>49.236626000000001</v>
      </c>
      <c r="F687" s="33">
        <v>-121.6806648</v>
      </c>
      <c r="G687" s="33" t="s">
        <v>2876</v>
      </c>
      <c r="H687" s="237" t="s">
        <v>1546</v>
      </c>
      <c r="I687" s="290">
        <v>60</v>
      </c>
      <c r="J687" s="290">
        <v>25</v>
      </c>
      <c r="K687" s="1">
        <v>26</v>
      </c>
      <c r="L687" s="1">
        <v>33</v>
      </c>
      <c r="M687" s="131">
        <v>0.9</v>
      </c>
      <c r="N687" s="1">
        <f t="shared" si="63"/>
        <v>23.400000000000002</v>
      </c>
      <c r="O687" s="1">
        <f t="shared" si="63"/>
        <v>29.7</v>
      </c>
      <c r="P687" s="19"/>
      <c r="Q687" s="19"/>
      <c r="R687" s="99">
        <v>683</v>
      </c>
    </row>
    <row r="688" spans="1:18" ht="20" x14ac:dyDescent="0.2">
      <c r="A688" s="58"/>
      <c r="B688" s="151" t="s">
        <v>1936</v>
      </c>
      <c r="C688" s="51" t="s">
        <v>3356</v>
      </c>
      <c r="D688" s="33" t="s">
        <v>106</v>
      </c>
      <c r="E688" s="33"/>
      <c r="F688" s="33"/>
      <c r="G688" s="33" t="s">
        <v>2876</v>
      </c>
      <c r="H688" s="237" t="s">
        <v>1545</v>
      </c>
      <c r="I688" s="290">
        <v>60</v>
      </c>
      <c r="J688" s="290">
        <v>12</v>
      </c>
      <c r="K688" s="1">
        <v>2.5</v>
      </c>
      <c r="L688" s="1">
        <v>3</v>
      </c>
      <c r="M688" s="131">
        <v>0.9</v>
      </c>
      <c r="N688" s="1">
        <f t="shared" si="63"/>
        <v>2.25</v>
      </c>
      <c r="O688" s="1">
        <f t="shared" si="63"/>
        <v>2.7</v>
      </c>
      <c r="P688" s="19"/>
      <c r="Q688" s="19"/>
      <c r="R688" s="99">
        <v>684</v>
      </c>
    </row>
    <row r="689" spans="1:18" ht="20" x14ac:dyDescent="0.2">
      <c r="A689" s="58"/>
      <c r="B689" s="151" t="s">
        <v>288</v>
      </c>
      <c r="C689" s="51" t="s">
        <v>3370</v>
      </c>
      <c r="D689" s="33" t="s">
        <v>106</v>
      </c>
      <c r="E689" s="33"/>
      <c r="F689" s="33"/>
      <c r="G689" s="33" t="s">
        <v>2876</v>
      </c>
      <c r="H689" s="237" t="s">
        <v>1545</v>
      </c>
      <c r="I689" s="290">
        <v>138</v>
      </c>
      <c r="J689" s="290">
        <v>25</v>
      </c>
      <c r="K689" s="1">
        <v>56.8</v>
      </c>
      <c r="L689" s="1">
        <v>66.5</v>
      </c>
      <c r="M689" s="131">
        <v>0.9</v>
      </c>
      <c r="N689" s="1">
        <f t="shared" si="63"/>
        <v>51.12</v>
      </c>
      <c r="O689" s="1">
        <f t="shared" si="63"/>
        <v>59.85</v>
      </c>
      <c r="P689" s="19"/>
      <c r="Q689" s="19"/>
      <c r="R689" s="99">
        <v>685</v>
      </c>
    </row>
    <row r="690" spans="1:18" ht="20" x14ac:dyDescent="0.2">
      <c r="A690" s="58"/>
      <c r="B690" s="151" t="s">
        <v>288</v>
      </c>
      <c r="C690" s="51" t="s">
        <v>3370</v>
      </c>
      <c r="D690" s="33" t="s">
        <v>106</v>
      </c>
      <c r="E690" s="33"/>
      <c r="F690" s="33"/>
      <c r="G690" s="33" t="s">
        <v>2876</v>
      </c>
      <c r="H690" s="237" t="s">
        <v>1549</v>
      </c>
      <c r="I690" s="290">
        <v>138</v>
      </c>
      <c r="J690" s="290">
        <v>25</v>
      </c>
      <c r="K690" s="1">
        <v>27.5</v>
      </c>
      <c r="L690" s="1">
        <v>32</v>
      </c>
      <c r="M690" s="131">
        <v>0.9</v>
      </c>
      <c r="N690" s="1">
        <f t="shared" si="63"/>
        <v>24.75</v>
      </c>
      <c r="O690" s="1">
        <f t="shared" si="63"/>
        <v>28.8</v>
      </c>
      <c r="P690" s="19"/>
      <c r="Q690" s="19"/>
      <c r="R690" s="99">
        <v>686</v>
      </c>
    </row>
    <row r="691" spans="1:18" ht="20" x14ac:dyDescent="0.2">
      <c r="A691" s="58"/>
      <c r="B691" s="151" t="s">
        <v>288</v>
      </c>
      <c r="C691" s="51" t="s">
        <v>3370</v>
      </c>
      <c r="D691" s="33" t="s">
        <v>106</v>
      </c>
      <c r="E691" s="33"/>
      <c r="F691" s="33"/>
      <c r="G691" s="33" t="s">
        <v>2876</v>
      </c>
      <c r="H691" s="237" t="s">
        <v>1550</v>
      </c>
      <c r="I691" s="290">
        <v>138</v>
      </c>
      <c r="J691" s="290">
        <v>25</v>
      </c>
      <c r="K691" s="1">
        <v>55</v>
      </c>
      <c r="L691" s="1">
        <v>55</v>
      </c>
      <c r="M691" s="131">
        <v>0.9</v>
      </c>
      <c r="N691" s="1">
        <f t="shared" si="63"/>
        <v>49.5</v>
      </c>
      <c r="O691" s="1">
        <f t="shared" si="63"/>
        <v>49.5</v>
      </c>
      <c r="P691" s="19"/>
      <c r="Q691" s="19"/>
      <c r="R691" s="99">
        <v>687</v>
      </c>
    </row>
    <row r="692" spans="1:18" ht="20" x14ac:dyDescent="0.2">
      <c r="A692" s="58"/>
      <c r="B692" s="151" t="s">
        <v>1937</v>
      </c>
      <c r="C692" s="51" t="s">
        <v>3689</v>
      </c>
      <c r="D692" s="33" t="s">
        <v>106</v>
      </c>
      <c r="E692" s="33"/>
      <c r="F692" s="33"/>
      <c r="G692" s="33" t="s">
        <v>2876</v>
      </c>
      <c r="H692" s="33"/>
      <c r="I692" s="236"/>
      <c r="J692" s="236"/>
      <c r="K692" s="69"/>
      <c r="L692" s="69"/>
      <c r="M692" s="69"/>
      <c r="N692" s="69"/>
      <c r="O692" s="69"/>
      <c r="P692" s="19"/>
      <c r="Q692" s="19"/>
      <c r="R692" s="99">
        <v>688</v>
      </c>
    </row>
    <row r="693" spans="1:18" ht="20" x14ac:dyDescent="0.2">
      <c r="A693" s="58"/>
      <c r="B693" s="151" t="s">
        <v>1938</v>
      </c>
      <c r="C693" s="51" t="s">
        <v>3176</v>
      </c>
      <c r="D693" s="33" t="s">
        <v>106</v>
      </c>
      <c r="E693" s="33">
        <v>50.660512099999998</v>
      </c>
      <c r="F693" s="33">
        <v>-121.98331</v>
      </c>
      <c r="G693" s="33" t="s">
        <v>2876</v>
      </c>
      <c r="H693" s="33"/>
      <c r="I693" s="236"/>
      <c r="J693" s="236"/>
      <c r="K693" s="69"/>
      <c r="L693" s="69"/>
      <c r="M693" s="69"/>
      <c r="N693" s="69"/>
      <c r="O693" s="69"/>
      <c r="P693" s="19"/>
      <c r="Q693" s="19"/>
      <c r="R693" s="99">
        <v>689</v>
      </c>
    </row>
    <row r="694" spans="1:18" ht="20" x14ac:dyDescent="0.2">
      <c r="A694" s="58"/>
      <c r="B694" s="151" t="s">
        <v>2347</v>
      </c>
      <c r="C694" s="51" t="s">
        <v>3630</v>
      </c>
      <c r="D694" s="33" t="s">
        <v>106</v>
      </c>
      <c r="E694" s="33"/>
      <c r="F694" s="33"/>
      <c r="G694" s="33" t="s">
        <v>2876</v>
      </c>
      <c r="H694" s="33"/>
      <c r="I694" s="236"/>
      <c r="J694" s="236"/>
      <c r="K694" s="69"/>
      <c r="L694" s="69"/>
      <c r="M694" s="69"/>
      <c r="N694" s="69"/>
      <c r="O694" s="69"/>
      <c r="P694" s="19"/>
      <c r="Q694" s="19"/>
      <c r="R694" s="99">
        <v>690</v>
      </c>
    </row>
    <row r="695" spans="1:18" ht="20" x14ac:dyDescent="0.2">
      <c r="A695" s="58"/>
      <c r="B695" s="151" t="s">
        <v>1948</v>
      </c>
      <c r="C695" s="51" t="s">
        <v>3686</v>
      </c>
      <c r="D695" s="33" t="s">
        <v>106</v>
      </c>
      <c r="E695" s="33"/>
      <c r="F695" s="33"/>
      <c r="G695" s="33" t="s">
        <v>2876</v>
      </c>
      <c r="H695" s="33"/>
      <c r="I695" s="236"/>
      <c r="J695" s="236"/>
      <c r="K695" s="69"/>
      <c r="L695" s="69"/>
      <c r="M695" s="69"/>
      <c r="N695" s="69"/>
      <c r="O695" s="69"/>
      <c r="P695" s="19"/>
      <c r="Q695" s="19"/>
      <c r="R695" s="99">
        <v>691</v>
      </c>
    </row>
    <row r="696" spans="1:18" ht="20" x14ac:dyDescent="0.2">
      <c r="A696" s="58"/>
      <c r="B696" s="151" t="s">
        <v>1939</v>
      </c>
      <c r="C696" s="51" t="s">
        <v>3209</v>
      </c>
      <c r="D696" s="33" t="s">
        <v>106</v>
      </c>
      <c r="E696" s="33"/>
      <c r="F696" s="33"/>
      <c r="G696" s="33" t="s">
        <v>2876</v>
      </c>
      <c r="H696" s="33"/>
      <c r="I696" s="236"/>
      <c r="J696" s="236"/>
      <c r="K696" s="69"/>
      <c r="L696" s="69"/>
      <c r="M696" s="69"/>
      <c r="N696" s="69"/>
      <c r="O696" s="69"/>
      <c r="P696" s="19"/>
      <c r="Q696" s="19"/>
      <c r="R696" s="99">
        <v>692</v>
      </c>
    </row>
    <row r="697" spans="1:18" ht="20" x14ac:dyDescent="0.2">
      <c r="A697" s="58"/>
      <c r="B697" s="151" t="s">
        <v>2334</v>
      </c>
      <c r="C697" s="51" t="s">
        <v>3177</v>
      </c>
      <c r="D697" s="33" t="s">
        <v>106</v>
      </c>
      <c r="E697" s="33">
        <v>49.910565200000001</v>
      </c>
      <c r="F697" s="33">
        <v>-118.0718139</v>
      </c>
      <c r="G697" s="33" t="s">
        <v>2876</v>
      </c>
      <c r="H697" s="33"/>
      <c r="I697" s="236"/>
      <c r="J697" s="236"/>
      <c r="K697" s="69"/>
      <c r="L697" s="69"/>
      <c r="M697" s="69"/>
      <c r="N697" s="69"/>
      <c r="O697" s="69"/>
      <c r="P697" s="19"/>
      <c r="Q697" s="19"/>
      <c r="R697" s="99">
        <v>693</v>
      </c>
    </row>
    <row r="698" spans="1:18" ht="20" x14ac:dyDescent="0.2">
      <c r="A698" s="58"/>
      <c r="B698" s="151" t="s">
        <v>1940</v>
      </c>
      <c r="C698" s="51" t="s">
        <v>3178</v>
      </c>
      <c r="D698" s="33" t="s">
        <v>106</v>
      </c>
      <c r="E698" s="33">
        <v>50.813936900000002</v>
      </c>
      <c r="F698" s="33">
        <v>-118.06001000000001</v>
      </c>
      <c r="G698" s="33" t="s">
        <v>2876</v>
      </c>
      <c r="H698" s="33"/>
      <c r="I698" s="236"/>
      <c r="J698" s="236"/>
      <c r="K698" s="69"/>
      <c r="L698" s="69"/>
      <c r="M698" s="69"/>
      <c r="N698" s="69"/>
      <c r="O698" s="69"/>
      <c r="P698" s="19"/>
      <c r="Q698" s="19"/>
      <c r="R698" s="99">
        <v>694</v>
      </c>
    </row>
    <row r="699" spans="1:18" ht="20" x14ac:dyDescent="0.2">
      <c r="A699" s="58"/>
      <c r="B699" s="151" t="s">
        <v>1941</v>
      </c>
      <c r="C699" s="51" t="s">
        <v>3551</v>
      </c>
      <c r="D699" s="33" t="s">
        <v>106</v>
      </c>
      <c r="E699" s="33"/>
      <c r="F699" s="33"/>
      <c r="G699" s="33" t="s">
        <v>2876</v>
      </c>
      <c r="H699" s="33"/>
      <c r="I699" s="236"/>
      <c r="J699" s="236"/>
      <c r="K699" s="69"/>
      <c r="L699" s="69"/>
      <c r="M699" s="69"/>
      <c r="N699" s="69"/>
      <c r="O699" s="69"/>
      <c r="P699" s="19"/>
      <c r="Q699" s="19"/>
      <c r="R699" s="99">
        <v>695</v>
      </c>
    </row>
    <row r="700" spans="1:18" ht="20" x14ac:dyDescent="0.2">
      <c r="A700" s="58"/>
      <c r="B700" s="151" t="s">
        <v>1942</v>
      </c>
      <c r="C700" s="51" t="s">
        <v>3454</v>
      </c>
      <c r="D700" s="33" t="s">
        <v>106</v>
      </c>
      <c r="E700" s="33"/>
      <c r="F700" s="33"/>
      <c r="G700" s="33" t="s">
        <v>2876</v>
      </c>
      <c r="H700" s="237" t="s">
        <v>1549</v>
      </c>
      <c r="I700" s="290">
        <v>230</v>
      </c>
      <c r="J700" s="290">
        <v>25</v>
      </c>
      <c r="K700" s="1">
        <v>158</v>
      </c>
      <c r="L700" s="1">
        <v>200</v>
      </c>
      <c r="M700" s="131">
        <v>0.9</v>
      </c>
      <c r="N700" s="1">
        <f t="shared" ref="N700:O707" si="64">K700*$M700</f>
        <v>142.20000000000002</v>
      </c>
      <c r="O700" s="1">
        <f t="shared" si="64"/>
        <v>180</v>
      </c>
      <c r="P700" s="19"/>
      <c r="Q700" s="19"/>
      <c r="R700" s="99">
        <v>696</v>
      </c>
    </row>
    <row r="701" spans="1:18" ht="20" x14ac:dyDescent="0.2">
      <c r="A701" s="58"/>
      <c r="B701" s="151" t="s">
        <v>1942</v>
      </c>
      <c r="C701" s="51" t="s">
        <v>3454</v>
      </c>
      <c r="D701" s="33" t="s">
        <v>106</v>
      </c>
      <c r="E701" s="33"/>
      <c r="F701" s="33"/>
      <c r="G701" s="33" t="s">
        <v>2876</v>
      </c>
      <c r="H701" s="237" t="s">
        <v>1550</v>
      </c>
      <c r="I701" s="290">
        <v>230</v>
      </c>
      <c r="J701" s="290">
        <v>25</v>
      </c>
      <c r="K701" s="1">
        <v>158</v>
      </c>
      <c r="L701" s="1">
        <v>200</v>
      </c>
      <c r="M701" s="131">
        <v>0.9</v>
      </c>
      <c r="N701" s="1">
        <f t="shared" si="64"/>
        <v>142.20000000000002</v>
      </c>
      <c r="O701" s="1">
        <f t="shared" si="64"/>
        <v>180</v>
      </c>
      <c r="P701" s="19"/>
      <c r="Q701" s="19"/>
      <c r="R701" s="99">
        <v>697</v>
      </c>
    </row>
    <row r="702" spans="1:18" ht="20" x14ac:dyDescent="0.2">
      <c r="A702" s="58"/>
      <c r="B702" s="151" t="s">
        <v>1943</v>
      </c>
      <c r="C702" s="51" t="s">
        <v>3417</v>
      </c>
      <c r="D702" s="33" t="s">
        <v>106</v>
      </c>
      <c r="E702" s="33"/>
      <c r="F702" s="33"/>
      <c r="G702" s="33" t="s">
        <v>2876</v>
      </c>
      <c r="H702" s="237" t="s">
        <v>1546</v>
      </c>
      <c r="I702" s="290">
        <v>60</v>
      </c>
      <c r="J702" s="290">
        <v>25</v>
      </c>
      <c r="K702" s="1">
        <v>26.4</v>
      </c>
      <c r="L702" s="1">
        <v>33.299999999999997</v>
      </c>
      <c r="M702" s="131">
        <v>0.9</v>
      </c>
      <c r="N702" s="1">
        <f t="shared" si="64"/>
        <v>23.759999999999998</v>
      </c>
      <c r="O702" s="1">
        <f t="shared" si="64"/>
        <v>29.97</v>
      </c>
      <c r="P702" s="19"/>
      <c r="Q702" s="19"/>
      <c r="R702" s="99">
        <v>698</v>
      </c>
    </row>
    <row r="703" spans="1:18" ht="20" x14ac:dyDescent="0.2">
      <c r="A703" s="58"/>
      <c r="B703" s="151" t="s">
        <v>2617</v>
      </c>
      <c r="C703" s="51" t="s">
        <v>3353</v>
      </c>
      <c r="D703" s="33" t="s">
        <v>106</v>
      </c>
      <c r="E703" s="33"/>
      <c r="F703" s="33"/>
      <c r="G703" s="33" t="s">
        <v>2876</v>
      </c>
      <c r="H703" s="237" t="s">
        <v>1545</v>
      </c>
      <c r="I703" s="290">
        <v>138</v>
      </c>
      <c r="J703" s="290">
        <v>25</v>
      </c>
      <c r="K703" s="1">
        <v>75</v>
      </c>
      <c r="L703" s="1">
        <v>100</v>
      </c>
      <c r="M703" s="131">
        <v>0.9</v>
      </c>
      <c r="N703" s="1">
        <f t="shared" si="64"/>
        <v>67.5</v>
      </c>
      <c r="O703" s="1">
        <f t="shared" si="64"/>
        <v>90</v>
      </c>
      <c r="P703" s="19"/>
      <c r="Q703" s="19"/>
      <c r="R703" s="99">
        <v>699</v>
      </c>
    </row>
    <row r="704" spans="1:18" ht="20" x14ac:dyDescent="0.2">
      <c r="A704" s="58"/>
      <c r="B704" s="151" t="s">
        <v>2617</v>
      </c>
      <c r="C704" s="51" t="s">
        <v>3353</v>
      </c>
      <c r="D704" s="33" t="s">
        <v>106</v>
      </c>
      <c r="E704" s="33"/>
      <c r="F704" s="33"/>
      <c r="G704" s="33" t="s">
        <v>2876</v>
      </c>
      <c r="H704" s="237" t="s">
        <v>1549</v>
      </c>
      <c r="I704" s="290">
        <v>138</v>
      </c>
      <c r="J704" s="290">
        <v>25</v>
      </c>
      <c r="K704" s="1">
        <v>75</v>
      </c>
      <c r="L704" s="1">
        <v>100</v>
      </c>
      <c r="M704" s="131">
        <v>0.9</v>
      </c>
      <c r="N704" s="1">
        <f t="shared" si="64"/>
        <v>67.5</v>
      </c>
      <c r="O704" s="1">
        <f t="shared" si="64"/>
        <v>90</v>
      </c>
      <c r="P704" s="19"/>
      <c r="Q704" s="19"/>
      <c r="R704" s="99">
        <v>700</v>
      </c>
    </row>
    <row r="705" spans="1:18" ht="20" x14ac:dyDescent="0.2">
      <c r="A705" s="58"/>
      <c r="B705" s="151" t="s">
        <v>280</v>
      </c>
      <c r="C705" s="51" t="s">
        <v>3471</v>
      </c>
      <c r="D705" s="33" t="s">
        <v>106</v>
      </c>
      <c r="E705" s="33"/>
      <c r="F705" s="33"/>
      <c r="G705" s="33" t="s">
        <v>2876</v>
      </c>
      <c r="H705" s="237" t="s">
        <v>1545</v>
      </c>
      <c r="I705" s="290">
        <v>66</v>
      </c>
      <c r="J705" s="290">
        <v>25</v>
      </c>
      <c r="K705" s="1">
        <v>52.5</v>
      </c>
      <c r="L705" s="1">
        <v>66.5</v>
      </c>
      <c r="M705" s="131">
        <v>0.9</v>
      </c>
      <c r="N705" s="1">
        <f t="shared" si="64"/>
        <v>47.25</v>
      </c>
      <c r="O705" s="1">
        <f t="shared" si="64"/>
        <v>59.85</v>
      </c>
      <c r="P705" s="19"/>
      <c r="Q705" s="19"/>
      <c r="R705" s="99">
        <v>701</v>
      </c>
    </row>
    <row r="706" spans="1:18" ht="20" x14ac:dyDescent="0.2">
      <c r="A706" s="58"/>
      <c r="B706" s="151" t="s">
        <v>280</v>
      </c>
      <c r="C706" s="51" t="s">
        <v>3471</v>
      </c>
      <c r="D706" s="33" t="s">
        <v>106</v>
      </c>
      <c r="E706" s="33"/>
      <c r="F706" s="33"/>
      <c r="G706" s="33" t="s">
        <v>2876</v>
      </c>
      <c r="H706" s="237" t="s">
        <v>1549</v>
      </c>
      <c r="I706" s="290">
        <v>66</v>
      </c>
      <c r="J706" s="290">
        <v>25</v>
      </c>
      <c r="K706" s="1">
        <v>43.7</v>
      </c>
      <c r="L706" s="1">
        <v>55.3</v>
      </c>
      <c r="M706" s="131">
        <v>0.9</v>
      </c>
      <c r="N706" s="1">
        <f t="shared" si="64"/>
        <v>39.330000000000005</v>
      </c>
      <c r="O706" s="1">
        <f t="shared" si="64"/>
        <v>49.769999999999996</v>
      </c>
      <c r="P706" s="19"/>
      <c r="Q706" s="19"/>
      <c r="R706" s="99">
        <v>702</v>
      </c>
    </row>
    <row r="707" spans="1:18" ht="20" x14ac:dyDescent="0.2">
      <c r="A707" s="58"/>
      <c r="B707" s="151" t="s">
        <v>280</v>
      </c>
      <c r="C707" s="51" t="s">
        <v>3471</v>
      </c>
      <c r="D707" s="33" t="s">
        <v>106</v>
      </c>
      <c r="E707" s="33"/>
      <c r="F707" s="33"/>
      <c r="G707" s="33" t="s">
        <v>2876</v>
      </c>
      <c r="H707" s="237" t="s">
        <v>1550</v>
      </c>
      <c r="I707" s="290">
        <v>66</v>
      </c>
      <c r="J707" s="290">
        <v>25</v>
      </c>
      <c r="K707" s="1">
        <v>43.79</v>
      </c>
      <c r="L707" s="1">
        <v>55.5</v>
      </c>
      <c r="M707" s="131">
        <v>0.9</v>
      </c>
      <c r="N707" s="1">
        <f t="shared" si="64"/>
        <v>39.411000000000001</v>
      </c>
      <c r="O707" s="1">
        <f t="shared" si="64"/>
        <v>49.95</v>
      </c>
      <c r="P707" s="19"/>
      <c r="Q707" s="19"/>
      <c r="R707" s="99">
        <v>703</v>
      </c>
    </row>
    <row r="708" spans="1:18" ht="20" x14ac:dyDescent="0.2">
      <c r="A708" s="58"/>
      <c r="B708" s="151" t="s">
        <v>1944</v>
      </c>
      <c r="C708" s="51" t="s">
        <v>3354</v>
      </c>
      <c r="D708" s="33" t="s">
        <v>106</v>
      </c>
      <c r="E708" s="33"/>
      <c r="F708" s="33"/>
      <c r="G708" s="33" t="s">
        <v>2876</v>
      </c>
      <c r="H708" s="33"/>
      <c r="I708" s="236"/>
      <c r="J708" s="236"/>
      <c r="K708" s="69"/>
      <c r="L708" s="69"/>
      <c r="M708" s="69"/>
      <c r="N708" s="69"/>
      <c r="O708" s="69"/>
      <c r="P708" s="19"/>
      <c r="Q708" s="19"/>
      <c r="R708" s="99">
        <v>704</v>
      </c>
    </row>
    <row r="709" spans="1:18" ht="20" x14ac:dyDescent="0.2">
      <c r="A709" s="58"/>
      <c r="B709" s="151" t="s">
        <v>1945</v>
      </c>
      <c r="C709" s="51" t="s">
        <v>3554</v>
      </c>
      <c r="D709" s="33" t="s">
        <v>106</v>
      </c>
      <c r="E709" s="33"/>
      <c r="F709" s="33"/>
      <c r="G709" s="33" t="s">
        <v>2876</v>
      </c>
      <c r="H709" s="33"/>
      <c r="I709" s="236"/>
      <c r="J709" s="236"/>
      <c r="K709" s="69"/>
      <c r="L709" s="69"/>
      <c r="M709" s="69"/>
      <c r="N709" s="69"/>
      <c r="O709" s="69"/>
      <c r="P709" s="19"/>
      <c r="Q709" s="19"/>
      <c r="R709" s="99">
        <v>705</v>
      </c>
    </row>
    <row r="710" spans="1:18" ht="20" x14ac:dyDescent="0.2">
      <c r="A710" s="58"/>
      <c r="B710" s="151" t="s">
        <v>1946</v>
      </c>
      <c r="C710" s="51" t="s">
        <v>3690</v>
      </c>
      <c r="D710" s="33" t="s">
        <v>106</v>
      </c>
      <c r="E710" s="33"/>
      <c r="F710" s="33"/>
      <c r="G710" s="33" t="s">
        <v>2876</v>
      </c>
      <c r="H710" s="33"/>
      <c r="I710" s="236"/>
      <c r="J710" s="236"/>
      <c r="K710" s="69"/>
      <c r="L710" s="69"/>
      <c r="M710" s="69"/>
      <c r="N710" s="69"/>
      <c r="O710" s="69"/>
      <c r="P710" s="19"/>
      <c r="Q710" s="19"/>
      <c r="R710" s="99">
        <v>706</v>
      </c>
    </row>
    <row r="711" spans="1:18" ht="20" x14ac:dyDescent="0.2">
      <c r="A711" s="58"/>
      <c r="B711" s="151" t="s">
        <v>1947</v>
      </c>
      <c r="C711" s="51" t="s">
        <v>3556</v>
      </c>
      <c r="D711" s="33" t="s">
        <v>106</v>
      </c>
      <c r="E711" s="33"/>
      <c r="F711" s="33"/>
      <c r="G711" s="33" t="s">
        <v>2876</v>
      </c>
      <c r="H711" s="237" t="s">
        <v>1545</v>
      </c>
      <c r="I711" s="290">
        <v>138</v>
      </c>
      <c r="J711" s="290">
        <v>12</v>
      </c>
      <c r="K711" s="1">
        <v>8</v>
      </c>
      <c r="L711" s="1">
        <v>9.6</v>
      </c>
      <c r="M711" s="131">
        <v>0.9</v>
      </c>
      <c r="N711" s="1">
        <f>K711*$M711</f>
        <v>7.2</v>
      </c>
      <c r="O711" s="1">
        <f>L711*$M711</f>
        <v>8.64</v>
      </c>
      <c r="P711" s="19"/>
      <c r="Q711" s="19"/>
      <c r="R711" s="99">
        <v>707</v>
      </c>
    </row>
    <row r="712" spans="1:18" ht="20" x14ac:dyDescent="0.2">
      <c r="A712" s="58"/>
      <c r="B712" s="151" t="s">
        <v>2338</v>
      </c>
      <c r="C712" s="51" t="s">
        <v>3557</v>
      </c>
      <c r="D712" s="33" t="s">
        <v>106</v>
      </c>
      <c r="E712" s="33"/>
      <c r="F712" s="33"/>
      <c r="G712" s="33" t="s">
        <v>2876</v>
      </c>
      <c r="H712" s="33"/>
      <c r="I712" s="236"/>
      <c r="J712" s="236"/>
      <c r="K712" s="69"/>
      <c r="L712" s="69"/>
      <c r="M712" s="69"/>
      <c r="N712" s="69"/>
      <c r="O712" s="69"/>
      <c r="P712" s="19"/>
      <c r="Q712" s="19"/>
      <c r="R712" s="99">
        <v>708</v>
      </c>
    </row>
    <row r="713" spans="1:18" ht="20" x14ac:dyDescent="0.2">
      <c r="A713" s="58"/>
      <c r="B713" s="151" t="s">
        <v>2339</v>
      </c>
      <c r="C713" s="51" t="s">
        <v>3687</v>
      </c>
      <c r="D713" s="33" t="s">
        <v>106</v>
      </c>
      <c r="E713" s="33"/>
      <c r="F713" s="33"/>
      <c r="G713" s="33" t="s">
        <v>2876</v>
      </c>
      <c r="H713" s="33"/>
      <c r="I713" s="236"/>
      <c r="J713" s="236"/>
      <c r="K713" s="69"/>
      <c r="L713" s="69"/>
      <c r="M713" s="69"/>
      <c r="N713" s="69"/>
      <c r="O713" s="69"/>
      <c r="P713" s="19"/>
      <c r="Q713" s="19"/>
      <c r="R713" s="99">
        <v>709</v>
      </c>
    </row>
    <row r="714" spans="1:18" ht="20" x14ac:dyDescent="0.2">
      <c r="A714" s="58"/>
      <c r="B714" s="151" t="s">
        <v>1949</v>
      </c>
      <c r="C714" s="51" t="s">
        <v>3489</v>
      </c>
      <c r="D714" s="33" t="s">
        <v>106</v>
      </c>
      <c r="E714" s="33"/>
      <c r="F714" s="33"/>
      <c r="G714" s="33" t="s">
        <v>2876</v>
      </c>
      <c r="H714" s="237" t="s">
        <v>1551</v>
      </c>
      <c r="I714" s="290">
        <v>60</v>
      </c>
      <c r="J714" s="290">
        <v>25</v>
      </c>
      <c r="K714" s="1">
        <v>79</v>
      </c>
      <c r="L714" s="1">
        <v>100</v>
      </c>
      <c r="M714" s="131">
        <v>0.9</v>
      </c>
      <c r="N714" s="1">
        <f>K714*$M714</f>
        <v>71.100000000000009</v>
      </c>
      <c r="O714" s="1">
        <f>L714*$M714</f>
        <v>90</v>
      </c>
      <c r="P714" s="19"/>
      <c r="Q714" s="19"/>
      <c r="R714" s="99">
        <v>710</v>
      </c>
    </row>
    <row r="715" spans="1:18" ht="20" x14ac:dyDescent="0.2">
      <c r="A715" s="58"/>
      <c r="B715" s="151" t="s">
        <v>1949</v>
      </c>
      <c r="C715" s="51" t="s">
        <v>3489</v>
      </c>
      <c r="D715" s="33" t="s">
        <v>106</v>
      </c>
      <c r="E715" s="33"/>
      <c r="F715" s="33"/>
      <c r="G715" s="33" t="s">
        <v>2876</v>
      </c>
      <c r="H715" s="237" t="s">
        <v>1552</v>
      </c>
      <c r="I715" s="290">
        <v>60</v>
      </c>
      <c r="J715" s="290">
        <v>25</v>
      </c>
      <c r="K715" s="1">
        <v>79</v>
      </c>
      <c r="L715" s="1">
        <v>100</v>
      </c>
      <c r="M715" s="131">
        <v>0.9</v>
      </c>
      <c r="N715" s="1">
        <f>K715*$M715</f>
        <v>71.100000000000009</v>
      </c>
      <c r="O715" s="1">
        <f>L715*$M715</f>
        <v>90</v>
      </c>
      <c r="P715" s="19"/>
      <c r="Q715" s="19"/>
      <c r="R715" s="99">
        <v>711</v>
      </c>
    </row>
    <row r="716" spans="1:18" ht="20" x14ac:dyDescent="0.2">
      <c r="A716" s="58"/>
      <c r="B716" s="151" t="s">
        <v>365</v>
      </c>
      <c r="C716" s="51" t="s">
        <v>3355</v>
      </c>
      <c r="D716" s="33" t="s">
        <v>106</v>
      </c>
      <c r="E716" s="33"/>
      <c r="F716" s="33"/>
      <c r="G716" s="33" t="s">
        <v>2876</v>
      </c>
      <c r="H716" s="33"/>
      <c r="I716" s="236"/>
      <c r="J716" s="236"/>
      <c r="K716" s="69"/>
      <c r="L716" s="69"/>
      <c r="M716" s="69"/>
      <c r="N716" s="69"/>
      <c r="O716" s="69"/>
      <c r="P716" s="19"/>
      <c r="Q716" s="19"/>
      <c r="R716" s="99">
        <v>712</v>
      </c>
    </row>
    <row r="717" spans="1:18" ht="20" x14ac:dyDescent="0.2">
      <c r="A717" s="58"/>
      <c r="B717" s="151" t="s">
        <v>1950</v>
      </c>
      <c r="C717" s="51" t="s">
        <v>3426</v>
      </c>
      <c r="D717" s="33" t="s">
        <v>106</v>
      </c>
      <c r="E717" s="33"/>
      <c r="F717" s="33"/>
      <c r="G717" s="33" t="s">
        <v>2876</v>
      </c>
      <c r="H717" s="237" t="s">
        <v>1545</v>
      </c>
      <c r="I717" s="290">
        <v>144</v>
      </c>
      <c r="J717" s="290">
        <v>25</v>
      </c>
      <c r="K717" s="1">
        <v>41.7</v>
      </c>
      <c r="L717" s="1">
        <v>50</v>
      </c>
      <c r="M717" s="131">
        <v>0.9</v>
      </c>
      <c r="N717" s="1">
        <f>K717*$M717</f>
        <v>37.53</v>
      </c>
      <c r="O717" s="1">
        <f>L717*$M717</f>
        <v>45</v>
      </c>
      <c r="P717" s="19"/>
      <c r="Q717" s="19"/>
      <c r="R717" s="99">
        <v>713</v>
      </c>
    </row>
    <row r="718" spans="1:18" ht="20" x14ac:dyDescent="0.2">
      <c r="A718" s="58"/>
      <c r="B718" s="151" t="s">
        <v>1950</v>
      </c>
      <c r="C718" s="51" t="s">
        <v>3426</v>
      </c>
      <c r="D718" s="33" t="s">
        <v>106</v>
      </c>
      <c r="E718" s="33"/>
      <c r="F718" s="33"/>
      <c r="G718" s="33" t="s">
        <v>2876</v>
      </c>
      <c r="H718" s="237" t="s">
        <v>1549</v>
      </c>
      <c r="I718" s="290">
        <v>144</v>
      </c>
      <c r="J718" s="290">
        <v>25</v>
      </c>
      <c r="K718" s="1">
        <v>41.7</v>
      </c>
      <c r="L718" s="1">
        <v>50</v>
      </c>
      <c r="M718" s="131">
        <v>0.9</v>
      </c>
      <c r="N718" s="1">
        <f>K718*$M718</f>
        <v>37.53</v>
      </c>
      <c r="O718" s="1">
        <f>L718*$M718</f>
        <v>45</v>
      </c>
      <c r="P718" s="19"/>
      <c r="Q718" s="19"/>
      <c r="R718" s="99">
        <v>714</v>
      </c>
    </row>
    <row r="719" spans="1:18" ht="20" x14ac:dyDescent="0.2">
      <c r="A719" s="58"/>
      <c r="B719" s="151" t="s">
        <v>2340</v>
      </c>
      <c r="C719" s="51" t="s">
        <v>3691</v>
      </c>
      <c r="D719" s="33" t="s">
        <v>106</v>
      </c>
      <c r="E719" s="33"/>
      <c r="F719" s="33"/>
      <c r="G719" s="33" t="s">
        <v>2876</v>
      </c>
      <c r="H719" s="33"/>
      <c r="I719" s="236"/>
      <c r="J719" s="236"/>
      <c r="K719" s="69"/>
      <c r="L719" s="69"/>
      <c r="M719" s="69"/>
      <c r="N719" s="69"/>
      <c r="O719" s="69"/>
      <c r="P719" s="19"/>
      <c r="Q719" s="19"/>
      <c r="R719" s="99">
        <v>715</v>
      </c>
    </row>
    <row r="720" spans="1:18" ht="20" x14ac:dyDescent="0.2">
      <c r="A720" s="58"/>
      <c r="B720" s="151" t="s">
        <v>1951</v>
      </c>
      <c r="C720" s="51" t="s">
        <v>3558</v>
      </c>
      <c r="D720" s="33" t="s">
        <v>106</v>
      </c>
      <c r="E720" s="33"/>
      <c r="F720" s="33"/>
      <c r="G720" s="33" t="s">
        <v>2876</v>
      </c>
      <c r="H720" s="237" t="s">
        <v>1545</v>
      </c>
      <c r="I720" s="290">
        <v>60</v>
      </c>
      <c r="J720" s="290">
        <v>25</v>
      </c>
      <c r="K720" s="1">
        <v>5.6</v>
      </c>
      <c r="L720" s="1">
        <v>6</v>
      </c>
      <c r="M720" s="131">
        <v>0.9</v>
      </c>
      <c r="N720" s="1">
        <f>K720*$M720</f>
        <v>5.04</v>
      </c>
      <c r="O720" s="1">
        <f>L720*$M720</f>
        <v>5.4</v>
      </c>
      <c r="P720" s="19"/>
      <c r="Q720" s="19"/>
      <c r="R720" s="99">
        <v>716</v>
      </c>
    </row>
    <row r="721" spans="1:18" ht="20" x14ac:dyDescent="0.2">
      <c r="A721" s="58"/>
      <c r="B721" s="151" t="s">
        <v>2341</v>
      </c>
      <c r="C721" s="51" t="s">
        <v>3688</v>
      </c>
      <c r="D721" s="33" t="s">
        <v>106</v>
      </c>
      <c r="E721" s="33"/>
      <c r="F721" s="33"/>
      <c r="G721" s="33" t="s">
        <v>2876</v>
      </c>
      <c r="H721" s="33"/>
      <c r="I721" s="236"/>
      <c r="J721" s="236"/>
      <c r="K721" s="69"/>
      <c r="L721" s="69"/>
      <c r="M721" s="69"/>
      <c r="N721" s="69"/>
      <c r="O721" s="69"/>
      <c r="P721" s="19"/>
      <c r="Q721" s="19"/>
      <c r="R721" s="99">
        <v>717</v>
      </c>
    </row>
    <row r="722" spans="1:18" ht="20" x14ac:dyDescent="0.2">
      <c r="A722" s="58"/>
      <c r="B722" s="151" t="s">
        <v>1952</v>
      </c>
      <c r="C722" s="51" t="s">
        <v>3684</v>
      </c>
      <c r="D722" s="33" t="s">
        <v>106</v>
      </c>
      <c r="E722" s="33"/>
      <c r="F722" s="33"/>
      <c r="G722" s="33" t="s">
        <v>2876</v>
      </c>
      <c r="H722" s="33"/>
      <c r="I722" s="236"/>
      <c r="J722" s="236"/>
      <c r="K722" s="69"/>
      <c r="L722" s="69"/>
      <c r="M722" s="69"/>
      <c r="N722" s="69"/>
      <c r="O722" s="69"/>
      <c r="P722" s="19"/>
      <c r="Q722" s="19"/>
      <c r="R722" s="99">
        <v>718</v>
      </c>
    </row>
    <row r="723" spans="1:18" ht="20" x14ac:dyDescent="0.2">
      <c r="A723" s="58"/>
      <c r="B723" s="151" t="s">
        <v>2366</v>
      </c>
      <c r="C723" s="51" t="s">
        <v>3179</v>
      </c>
      <c r="D723" s="33" t="s">
        <v>106</v>
      </c>
      <c r="E723" s="33">
        <v>50.053520599999999</v>
      </c>
      <c r="F723" s="33">
        <v>-126.7796544</v>
      </c>
      <c r="G723" s="33" t="s">
        <v>2876</v>
      </c>
      <c r="H723" s="33"/>
      <c r="I723" s="236"/>
      <c r="J723" s="236"/>
      <c r="K723" s="69"/>
      <c r="L723" s="69"/>
      <c r="M723" s="69"/>
      <c r="N723" s="69"/>
      <c r="O723" s="69"/>
      <c r="P723" s="19"/>
      <c r="Q723" s="19"/>
      <c r="R723" s="99">
        <v>719</v>
      </c>
    </row>
    <row r="724" spans="1:18" ht="20" x14ac:dyDescent="0.2">
      <c r="A724" s="58"/>
      <c r="B724" s="151" t="s">
        <v>3578</v>
      </c>
      <c r="C724" s="51" t="s">
        <v>3579</v>
      </c>
      <c r="D724" s="33" t="s">
        <v>106</v>
      </c>
      <c r="E724" s="33"/>
      <c r="F724" s="33"/>
      <c r="G724" s="33" t="s">
        <v>2876</v>
      </c>
      <c r="H724" s="33"/>
      <c r="I724" s="236"/>
      <c r="J724" s="236"/>
      <c r="K724" s="69"/>
      <c r="L724" s="69"/>
      <c r="M724" s="69"/>
      <c r="N724" s="69"/>
      <c r="O724" s="69"/>
      <c r="P724" s="19"/>
      <c r="Q724" s="19"/>
      <c r="R724" s="99">
        <v>720</v>
      </c>
    </row>
    <row r="725" spans="1:18" ht="20" x14ac:dyDescent="0.2">
      <c r="A725" s="58"/>
      <c r="B725" s="230" t="s">
        <v>1561</v>
      </c>
      <c r="C725" s="51" t="s">
        <v>3213</v>
      </c>
      <c r="D725" s="33" t="s">
        <v>173</v>
      </c>
      <c r="E725" s="33"/>
      <c r="F725" s="33"/>
      <c r="G725" s="33" t="s">
        <v>2876</v>
      </c>
      <c r="H725" s="33" t="s">
        <v>1549</v>
      </c>
      <c r="I725" s="233"/>
      <c r="J725" s="234"/>
      <c r="K725" s="241">
        <v>40</v>
      </c>
      <c r="L725" s="241">
        <v>50</v>
      </c>
      <c r="M725" s="131">
        <v>0.9</v>
      </c>
      <c r="N725" s="242">
        <f>K725*$M725</f>
        <v>36</v>
      </c>
      <c r="O725" s="242">
        <f>L725*$M725</f>
        <v>45</v>
      </c>
      <c r="P725" s="19"/>
      <c r="Q725" s="19"/>
      <c r="R725" s="99">
        <v>721</v>
      </c>
    </row>
    <row r="726" spans="1:18" ht="20" x14ac:dyDescent="0.2">
      <c r="A726" s="58"/>
      <c r="B726" s="230" t="s">
        <v>2683</v>
      </c>
      <c r="C726" s="51" t="s">
        <v>3553</v>
      </c>
      <c r="D726" s="33" t="s">
        <v>173</v>
      </c>
      <c r="E726" s="33"/>
      <c r="F726" s="33"/>
      <c r="G726" s="33" t="s">
        <v>2876</v>
      </c>
      <c r="H726" s="33" t="s">
        <v>1545</v>
      </c>
      <c r="I726" s="233"/>
      <c r="J726" s="234"/>
      <c r="K726" s="241">
        <v>10</v>
      </c>
      <c r="L726" s="241">
        <v>12.5</v>
      </c>
      <c r="M726" s="131">
        <v>0.9</v>
      </c>
      <c r="N726" s="242">
        <f>K726*$M726</f>
        <v>9</v>
      </c>
      <c r="O726" s="242">
        <f>L726*$M726</f>
        <v>11.25</v>
      </c>
      <c r="P726" s="19"/>
      <c r="Q726" s="19"/>
      <c r="R726" s="99">
        <v>722</v>
      </c>
    </row>
    <row r="727" spans="1:18" ht="20" x14ac:dyDescent="0.2">
      <c r="A727" s="58"/>
      <c r="B727" s="230" t="s">
        <v>1569</v>
      </c>
      <c r="C727" s="51" t="s">
        <v>3088</v>
      </c>
      <c r="D727" s="33" t="s">
        <v>173</v>
      </c>
      <c r="E727" s="33">
        <v>49.343024399999997</v>
      </c>
      <c r="F727" s="33">
        <v>-117.76884920000001</v>
      </c>
      <c r="G727" s="33" t="s">
        <v>2876</v>
      </c>
      <c r="H727" s="33"/>
      <c r="I727" s="233"/>
      <c r="J727" s="234"/>
      <c r="K727" s="99"/>
      <c r="L727" s="99"/>
      <c r="M727" s="99"/>
      <c r="N727" s="69"/>
      <c r="O727" s="69"/>
      <c r="P727" s="19"/>
      <c r="Q727" s="19"/>
      <c r="R727" s="99">
        <v>723</v>
      </c>
    </row>
    <row r="728" spans="1:18" ht="20" x14ac:dyDescent="0.2">
      <c r="A728" s="58"/>
      <c r="B728" s="230" t="s">
        <v>3561</v>
      </c>
      <c r="C728" s="51" t="s">
        <v>3560</v>
      </c>
      <c r="D728" s="33" t="s">
        <v>173</v>
      </c>
      <c r="E728" s="33"/>
      <c r="F728" s="33"/>
      <c r="G728" s="33" t="s">
        <v>2876</v>
      </c>
      <c r="H728" s="33"/>
      <c r="I728" s="233"/>
      <c r="J728" s="234"/>
      <c r="K728" s="99"/>
      <c r="L728" s="99"/>
      <c r="M728" s="99"/>
      <c r="N728" s="69"/>
      <c r="O728" s="69"/>
      <c r="P728" s="19"/>
      <c r="Q728" s="19"/>
      <c r="R728" s="99">
        <v>724</v>
      </c>
    </row>
    <row r="729" spans="1:18" ht="20" x14ac:dyDescent="0.2">
      <c r="A729" s="58"/>
      <c r="B729" s="230" t="s">
        <v>2655</v>
      </c>
      <c r="C729" s="51" t="s">
        <v>3612</v>
      </c>
      <c r="D729" s="33" t="s">
        <v>173</v>
      </c>
      <c r="E729" s="33"/>
      <c r="F729" s="33"/>
      <c r="G729" s="33" t="s">
        <v>2876</v>
      </c>
      <c r="H729" s="33"/>
      <c r="I729" s="233"/>
      <c r="J729" s="234"/>
      <c r="K729" s="99"/>
      <c r="L729" s="99"/>
      <c r="M729" s="99"/>
      <c r="N729" s="69"/>
      <c r="O729" s="69"/>
      <c r="P729" s="19"/>
      <c r="Q729" s="19"/>
      <c r="R729" s="99">
        <v>725</v>
      </c>
    </row>
    <row r="730" spans="1:18" ht="20" x14ac:dyDescent="0.2">
      <c r="A730" s="58"/>
      <c r="B730" s="230" t="s">
        <v>2709</v>
      </c>
      <c r="C730" s="51" t="s">
        <v>3218</v>
      </c>
      <c r="D730" s="33" t="s">
        <v>173</v>
      </c>
      <c r="E730" s="33"/>
      <c r="F730" s="33"/>
      <c r="G730" s="33" t="s">
        <v>2876</v>
      </c>
      <c r="H730" s="33" t="s">
        <v>1545</v>
      </c>
      <c r="I730" s="233"/>
      <c r="J730" s="234"/>
      <c r="K730" s="241">
        <v>10</v>
      </c>
      <c r="L730" s="241">
        <v>12.5</v>
      </c>
      <c r="M730" s="131">
        <v>0.9</v>
      </c>
      <c r="N730" s="242">
        <f>K730*$M730</f>
        <v>9</v>
      </c>
      <c r="O730" s="242">
        <f>L730*$M730</f>
        <v>11.25</v>
      </c>
      <c r="P730" s="19"/>
      <c r="Q730" s="19"/>
      <c r="R730" s="99">
        <v>726</v>
      </c>
    </row>
    <row r="731" spans="1:18" ht="20" x14ac:dyDescent="0.2">
      <c r="A731" s="58"/>
      <c r="B731" s="230" t="s">
        <v>3562</v>
      </c>
      <c r="C731" s="51" t="s">
        <v>3563</v>
      </c>
      <c r="D731" s="33" t="s">
        <v>173</v>
      </c>
      <c r="E731" s="33"/>
      <c r="F731" s="33"/>
      <c r="G731" s="33" t="s">
        <v>2876</v>
      </c>
      <c r="H731" s="33"/>
      <c r="I731" s="233"/>
      <c r="J731" s="234"/>
      <c r="K731" s="99"/>
      <c r="L731" s="99"/>
      <c r="M731" s="99"/>
      <c r="N731" s="69"/>
      <c r="O731" s="69"/>
      <c r="P731" s="19"/>
      <c r="Q731" s="19"/>
      <c r="R731" s="99">
        <v>727</v>
      </c>
    </row>
    <row r="732" spans="1:18" ht="20" x14ac:dyDescent="0.2">
      <c r="A732" s="58"/>
      <c r="B732" s="230" t="s">
        <v>2638</v>
      </c>
      <c r="C732" s="51" t="s">
        <v>3220</v>
      </c>
      <c r="D732" s="33" t="s">
        <v>173</v>
      </c>
      <c r="E732" s="33"/>
      <c r="F732" s="33"/>
      <c r="G732" s="33" t="s">
        <v>2876</v>
      </c>
      <c r="H732" s="33" t="s">
        <v>1545</v>
      </c>
      <c r="I732" s="233"/>
      <c r="J732" s="234"/>
      <c r="K732" s="241">
        <v>32</v>
      </c>
      <c r="L732" s="241">
        <v>40</v>
      </c>
      <c r="M732" s="131">
        <v>0.9</v>
      </c>
      <c r="N732" s="242">
        <f t="shared" ref="N732:O735" si="65">K732*$M732</f>
        <v>28.8</v>
      </c>
      <c r="O732" s="242">
        <f t="shared" si="65"/>
        <v>36</v>
      </c>
      <c r="P732" s="19"/>
      <c r="Q732" s="19"/>
      <c r="R732" s="99">
        <v>728</v>
      </c>
    </row>
    <row r="733" spans="1:18" ht="20" x14ac:dyDescent="0.2">
      <c r="A733" s="58"/>
      <c r="B733" s="230" t="s">
        <v>2650</v>
      </c>
      <c r="C733" s="51" t="s">
        <v>3456</v>
      </c>
      <c r="D733" s="33" t="s">
        <v>173</v>
      </c>
      <c r="E733" s="33"/>
      <c r="F733" s="33"/>
      <c r="G733" s="33" t="s">
        <v>2876</v>
      </c>
      <c r="H733" s="33" t="s">
        <v>1545</v>
      </c>
      <c r="I733" s="233"/>
      <c r="J733" s="234"/>
      <c r="K733" s="241">
        <v>38</v>
      </c>
      <c r="L733" s="241">
        <v>47.5</v>
      </c>
      <c r="M733" s="131">
        <v>0.9</v>
      </c>
      <c r="N733" s="242">
        <f t="shared" si="65"/>
        <v>34.200000000000003</v>
      </c>
      <c r="O733" s="242">
        <f t="shared" si="65"/>
        <v>42.75</v>
      </c>
      <c r="P733" s="19"/>
      <c r="Q733" s="19"/>
      <c r="R733" s="99">
        <v>729</v>
      </c>
    </row>
    <row r="734" spans="1:18" ht="20" x14ac:dyDescent="0.2">
      <c r="A734" s="58"/>
      <c r="B734" s="230" t="s">
        <v>2641</v>
      </c>
      <c r="C734" s="51" t="s">
        <v>3222</v>
      </c>
      <c r="D734" s="33" t="s">
        <v>173</v>
      </c>
      <c r="E734" s="33"/>
      <c r="F734" s="33"/>
      <c r="G734" s="33" t="s">
        <v>2876</v>
      </c>
      <c r="H734" s="33" t="s">
        <v>1545</v>
      </c>
      <c r="I734" s="233"/>
      <c r="J734" s="234"/>
      <c r="K734" s="241">
        <v>32</v>
      </c>
      <c r="L734" s="241">
        <v>40</v>
      </c>
      <c r="M734" s="131">
        <v>0.9</v>
      </c>
      <c r="N734" s="242">
        <f t="shared" si="65"/>
        <v>28.8</v>
      </c>
      <c r="O734" s="242">
        <f t="shared" si="65"/>
        <v>36</v>
      </c>
      <c r="P734" s="19"/>
      <c r="Q734" s="19"/>
      <c r="R734" s="99">
        <v>730</v>
      </c>
    </row>
    <row r="735" spans="1:18" ht="20" x14ac:dyDescent="0.2">
      <c r="A735" s="58"/>
      <c r="B735" s="230" t="s">
        <v>2750</v>
      </c>
      <c r="C735" s="51" t="s">
        <v>3493</v>
      </c>
      <c r="D735" s="33" t="s">
        <v>173</v>
      </c>
      <c r="E735" s="33"/>
      <c r="F735" s="33"/>
      <c r="G735" s="33" t="s">
        <v>2876</v>
      </c>
      <c r="H735" s="33" t="s">
        <v>1545</v>
      </c>
      <c r="I735" s="233"/>
      <c r="J735" s="234"/>
      <c r="K735" s="241">
        <v>10</v>
      </c>
      <c r="L735" s="241">
        <v>12.5</v>
      </c>
      <c r="M735" s="131">
        <v>0.9</v>
      </c>
      <c r="N735" s="242">
        <f t="shared" si="65"/>
        <v>9</v>
      </c>
      <c r="O735" s="242">
        <f t="shared" si="65"/>
        <v>11.25</v>
      </c>
      <c r="P735" s="19"/>
      <c r="Q735" s="19"/>
      <c r="R735" s="99">
        <v>731</v>
      </c>
    </row>
    <row r="736" spans="1:18" ht="20" x14ac:dyDescent="0.2">
      <c r="A736" s="58"/>
      <c r="B736" s="230" t="s">
        <v>2692</v>
      </c>
      <c r="C736" s="51" t="s">
        <v>3228</v>
      </c>
      <c r="D736" s="33" t="s">
        <v>173</v>
      </c>
      <c r="E736" s="33"/>
      <c r="F736" s="33"/>
      <c r="G736" s="33" t="s">
        <v>2876</v>
      </c>
      <c r="H736" s="33"/>
      <c r="I736" s="233"/>
      <c r="J736" s="234"/>
      <c r="K736" s="99"/>
      <c r="L736" s="99"/>
      <c r="M736" s="99"/>
      <c r="N736" s="69"/>
      <c r="O736" s="69"/>
      <c r="P736" s="19"/>
      <c r="Q736" s="19"/>
      <c r="R736" s="99">
        <v>732</v>
      </c>
    </row>
    <row r="737" spans="1:18" ht="20" x14ac:dyDescent="0.2">
      <c r="A737" s="58"/>
      <c r="B737" s="230" t="s">
        <v>3694</v>
      </c>
      <c r="C737" s="51" t="s">
        <v>3695</v>
      </c>
      <c r="D737" s="33" t="s">
        <v>173</v>
      </c>
      <c r="E737" s="33"/>
      <c r="F737" s="33"/>
      <c r="G737" s="33" t="s">
        <v>2876</v>
      </c>
      <c r="H737" s="33"/>
      <c r="I737" s="233"/>
      <c r="J737" s="234"/>
      <c r="K737" s="99"/>
      <c r="L737" s="99"/>
      <c r="M737" s="99"/>
      <c r="N737" s="69"/>
      <c r="O737" s="69"/>
      <c r="P737" s="19"/>
      <c r="Q737" s="19"/>
      <c r="R737" s="99">
        <v>733</v>
      </c>
    </row>
    <row r="738" spans="1:18" ht="20" x14ac:dyDescent="0.2">
      <c r="A738" s="58"/>
      <c r="B738" s="230" t="s">
        <v>2296</v>
      </c>
      <c r="C738" s="51" t="s">
        <v>3102</v>
      </c>
      <c r="D738" s="33" t="s">
        <v>173</v>
      </c>
      <c r="E738" s="33">
        <v>49.323118200000003</v>
      </c>
      <c r="F738" s="33">
        <v>-117.6197926</v>
      </c>
      <c r="G738" s="33" t="s">
        <v>2876</v>
      </c>
      <c r="H738" s="33"/>
      <c r="I738" s="233"/>
      <c r="J738" s="234"/>
      <c r="K738" s="99"/>
      <c r="L738" s="99"/>
      <c r="M738" s="99"/>
      <c r="N738" s="69"/>
      <c r="O738" s="69"/>
      <c r="P738" s="19"/>
      <c r="Q738" s="19"/>
      <c r="R738" s="99">
        <v>734</v>
      </c>
    </row>
    <row r="739" spans="1:18" ht="20" x14ac:dyDescent="0.2">
      <c r="A739" s="58"/>
      <c r="B739" s="230" t="s">
        <v>1960</v>
      </c>
      <c r="C739" s="51" t="s">
        <v>3100</v>
      </c>
      <c r="D739" s="33" t="s">
        <v>173</v>
      </c>
      <c r="E739" s="33">
        <v>49.324879799999998</v>
      </c>
      <c r="F739" s="33">
        <v>-117.6206529</v>
      </c>
      <c r="G739" s="33" t="s">
        <v>2876</v>
      </c>
      <c r="H739" s="33"/>
      <c r="I739" s="233"/>
      <c r="J739" s="234"/>
      <c r="K739" s="99"/>
      <c r="L739" s="99"/>
      <c r="M739" s="99"/>
      <c r="N739" s="69"/>
      <c r="O739" s="69"/>
      <c r="P739" s="19"/>
      <c r="Q739" s="19"/>
      <c r="R739" s="99">
        <v>735</v>
      </c>
    </row>
    <row r="740" spans="1:18" ht="20" x14ac:dyDescent="0.2">
      <c r="A740" s="58"/>
      <c r="B740" s="230" t="s">
        <v>3717</v>
      </c>
      <c r="C740" s="51" t="s">
        <v>3571</v>
      </c>
      <c r="D740" s="33" t="s">
        <v>173</v>
      </c>
      <c r="E740" s="33"/>
      <c r="F740" s="33"/>
      <c r="G740" s="33" t="s">
        <v>2876</v>
      </c>
      <c r="H740" s="33"/>
      <c r="I740" s="233"/>
      <c r="J740" s="234"/>
      <c r="K740" s="99"/>
      <c r="L740" s="99"/>
      <c r="M740" s="99"/>
      <c r="N740" s="69"/>
      <c r="O740" s="69"/>
      <c r="P740" s="19"/>
      <c r="Q740" s="19"/>
      <c r="R740" s="99">
        <v>736</v>
      </c>
    </row>
    <row r="741" spans="1:18" ht="20" x14ac:dyDescent="0.2">
      <c r="A741" s="58"/>
      <c r="B741" s="230" t="s">
        <v>2690</v>
      </c>
      <c r="C741" s="51" t="s">
        <v>3403</v>
      </c>
      <c r="D741" s="33" t="s">
        <v>173</v>
      </c>
      <c r="E741" s="33"/>
      <c r="F741" s="33"/>
      <c r="G741" s="33" t="s">
        <v>2876</v>
      </c>
      <c r="H741" s="33" t="s">
        <v>1545</v>
      </c>
      <c r="I741" s="233"/>
      <c r="J741" s="234"/>
      <c r="K741" s="241">
        <v>15</v>
      </c>
      <c r="L741" s="241">
        <v>18.75</v>
      </c>
      <c r="M741" s="131">
        <v>0.9</v>
      </c>
      <c r="N741" s="242">
        <f t="shared" ref="N741:O744" si="66">K741*$M741</f>
        <v>13.5</v>
      </c>
      <c r="O741" s="242">
        <f t="shared" si="66"/>
        <v>16.875</v>
      </c>
      <c r="P741" s="19"/>
      <c r="Q741" s="19"/>
      <c r="R741" s="99">
        <v>737</v>
      </c>
    </row>
    <row r="742" spans="1:18" ht="20" x14ac:dyDescent="0.2">
      <c r="A742" s="58"/>
      <c r="B742" s="230" t="s">
        <v>144</v>
      </c>
      <c r="C742" s="51" t="s">
        <v>3231</v>
      </c>
      <c r="D742" s="33" t="s">
        <v>173</v>
      </c>
      <c r="E742" s="33"/>
      <c r="F742" s="33"/>
      <c r="G742" s="33" t="s">
        <v>2876</v>
      </c>
      <c r="H742" s="33" t="s">
        <v>1545</v>
      </c>
      <c r="I742" s="233"/>
      <c r="J742" s="234"/>
      <c r="K742" s="241">
        <v>15</v>
      </c>
      <c r="L742" s="241">
        <v>18.75</v>
      </c>
      <c r="M742" s="131">
        <v>0.9</v>
      </c>
      <c r="N742" s="242">
        <f t="shared" si="66"/>
        <v>13.5</v>
      </c>
      <c r="O742" s="242">
        <f t="shared" si="66"/>
        <v>16.875</v>
      </c>
      <c r="P742" s="19"/>
      <c r="Q742" s="19"/>
      <c r="R742" s="99">
        <v>738</v>
      </c>
    </row>
    <row r="743" spans="1:18" ht="20" x14ac:dyDescent="0.2">
      <c r="A743" s="58"/>
      <c r="B743" s="230" t="s">
        <v>2689</v>
      </c>
      <c r="C743" s="51" t="s">
        <v>3386</v>
      </c>
      <c r="D743" s="33" t="s">
        <v>173</v>
      </c>
      <c r="E743" s="33"/>
      <c r="F743" s="33"/>
      <c r="G743" s="33" t="s">
        <v>2876</v>
      </c>
      <c r="H743" s="33" t="s">
        <v>1545</v>
      </c>
      <c r="I743" s="233"/>
      <c r="J743" s="234"/>
      <c r="K743" s="241">
        <v>5</v>
      </c>
      <c r="L743" s="241">
        <v>6.25</v>
      </c>
      <c r="M743" s="131">
        <v>0.9</v>
      </c>
      <c r="N743" s="242">
        <f t="shared" si="66"/>
        <v>4.5</v>
      </c>
      <c r="O743" s="242">
        <f t="shared" si="66"/>
        <v>5.625</v>
      </c>
      <c r="P743" s="19"/>
      <c r="Q743" s="19"/>
      <c r="R743" s="99">
        <v>739</v>
      </c>
    </row>
    <row r="744" spans="1:18" ht="20" x14ac:dyDescent="0.2">
      <c r="A744" s="58"/>
      <c r="B744" s="230" t="s">
        <v>2729</v>
      </c>
      <c r="C744" s="51" t="s">
        <v>3234</v>
      </c>
      <c r="D744" s="33" t="s">
        <v>173</v>
      </c>
      <c r="E744" s="33"/>
      <c r="F744" s="33"/>
      <c r="G744" s="33" t="s">
        <v>2876</v>
      </c>
      <c r="H744" s="33" t="s">
        <v>1550</v>
      </c>
      <c r="I744" s="233"/>
      <c r="J744" s="234"/>
      <c r="K744" s="241">
        <v>8.4</v>
      </c>
      <c r="L744" s="241">
        <v>10.5</v>
      </c>
      <c r="M744" s="131">
        <v>0.9</v>
      </c>
      <c r="N744" s="242">
        <f t="shared" si="66"/>
        <v>7.5600000000000005</v>
      </c>
      <c r="O744" s="242">
        <f t="shared" si="66"/>
        <v>9.4500000000000011</v>
      </c>
      <c r="P744" s="19"/>
      <c r="Q744" s="19"/>
      <c r="R744" s="99">
        <v>740</v>
      </c>
    </row>
    <row r="745" spans="1:18" ht="20" x14ac:dyDescent="0.2">
      <c r="A745" s="58"/>
      <c r="B745" s="230" t="s">
        <v>2721</v>
      </c>
      <c r="C745" s="51" t="s">
        <v>3109</v>
      </c>
      <c r="D745" s="33" t="s">
        <v>173</v>
      </c>
      <c r="E745" s="33">
        <v>49.468876799999997</v>
      </c>
      <c r="F745" s="33">
        <v>-117.46863</v>
      </c>
      <c r="G745" s="33" t="s">
        <v>2876</v>
      </c>
      <c r="H745" s="33"/>
      <c r="I745" s="233"/>
      <c r="J745" s="234"/>
      <c r="K745" s="99"/>
      <c r="L745" s="99"/>
      <c r="M745" s="99"/>
      <c r="N745" s="69"/>
      <c r="O745" s="69"/>
      <c r="P745" s="19"/>
      <c r="Q745" s="19"/>
      <c r="R745" s="99">
        <v>741</v>
      </c>
    </row>
    <row r="746" spans="1:18" ht="20" x14ac:dyDescent="0.2">
      <c r="A746" s="58"/>
      <c r="B746" s="230" t="s">
        <v>2717</v>
      </c>
      <c r="C746" s="51" t="s">
        <v>3236</v>
      </c>
      <c r="D746" s="33" t="s">
        <v>173</v>
      </c>
      <c r="E746" s="33"/>
      <c r="F746" s="33"/>
      <c r="G746" s="33" t="s">
        <v>2876</v>
      </c>
      <c r="H746" s="33" t="s">
        <v>1545</v>
      </c>
      <c r="I746" s="233"/>
      <c r="J746" s="234"/>
      <c r="K746" s="241">
        <v>10</v>
      </c>
      <c r="L746" s="241">
        <v>12.5</v>
      </c>
      <c r="M746" s="131">
        <v>0.9</v>
      </c>
      <c r="N746" s="242">
        <f t="shared" ref="N746:O752" si="67">K746*$M746</f>
        <v>9</v>
      </c>
      <c r="O746" s="242">
        <f t="shared" si="67"/>
        <v>11.25</v>
      </c>
      <c r="P746" s="19"/>
      <c r="Q746" s="19"/>
      <c r="R746" s="99">
        <v>742</v>
      </c>
    </row>
    <row r="747" spans="1:18" ht="20" x14ac:dyDescent="0.2">
      <c r="A747" s="58"/>
      <c r="B747" s="230" t="s">
        <v>2727</v>
      </c>
      <c r="C747" s="51" t="s">
        <v>3237</v>
      </c>
      <c r="D747" s="33" t="s">
        <v>173</v>
      </c>
      <c r="E747" s="33"/>
      <c r="F747" s="33"/>
      <c r="G747" s="33" t="s">
        <v>2876</v>
      </c>
      <c r="H747" s="33" t="s">
        <v>1547</v>
      </c>
      <c r="I747" s="233"/>
      <c r="J747" s="234"/>
      <c r="K747" s="241">
        <v>15</v>
      </c>
      <c r="L747" s="241">
        <v>18.75</v>
      </c>
      <c r="M747" s="131">
        <v>0.9</v>
      </c>
      <c r="N747" s="242">
        <f t="shared" si="67"/>
        <v>13.5</v>
      </c>
      <c r="O747" s="242">
        <f t="shared" si="67"/>
        <v>16.875</v>
      </c>
      <c r="P747" s="19"/>
      <c r="Q747" s="19"/>
      <c r="R747" s="99">
        <v>743</v>
      </c>
    </row>
    <row r="748" spans="1:18" ht="20" x14ac:dyDescent="0.2">
      <c r="A748" s="58"/>
      <c r="B748" s="230" t="s">
        <v>2724</v>
      </c>
      <c r="C748" s="51" t="s">
        <v>3358</v>
      </c>
      <c r="D748" s="33" t="s">
        <v>173</v>
      </c>
      <c r="E748" s="33"/>
      <c r="F748" s="33"/>
      <c r="G748" s="33" t="s">
        <v>2876</v>
      </c>
      <c r="H748" s="33" t="s">
        <v>1545</v>
      </c>
      <c r="I748" s="233"/>
      <c r="J748" s="234"/>
      <c r="K748" s="241">
        <v>15</v>
      </c>
      <c r="L748" s="241">
        <v>18.75</v>
      </c>
      <c r="M748" s="131">
        <v>0.9</v>
      </c>
      <c r="N748" s="242">
        <f t="shared" si="67"/>
        <v>13.5</v>
      </c>
      <c r="O748" s="242">
        <f t="shared" si="67"/>
        <v>16.875</v>
      </c>
      <c r="P748" s="19"/>
      <c r="Q748" s="19"/>
      <c r="R748" s="99">
        <v>744</v>
      </c>
    </row>
    <row r="749" spans="1:18" ht="20" x14ac:dyDescent="0.2">
      <c r="A749" s="58"/>
      <c r="B749" s="230" t="s">
        <v>2724</v>
      </c>
      <c r="C749" s="51" t="s">
        <v>3358</v>
      </c>
      <c r="D749" s="33" t="s">
        <v>173</v>
      </c>
      <c r="E749" s="33"/>
      <c r="F749" s="33"/>
      <c r="G749" s="33" t="s">
        <v>2876</v>
      </c>
      <c r="H749" s="33" t="s">
        <v>1549</v>
      </c>
      <c r="I749" s="233"/>
      <c r="J749" s="234"/>
      <c r="K749" s="241">
        <v>15</v>
      </c>
      <c r="L749" s="241">
        <v>18.75</v>
      </c>
      <c r="M749" s="131">
        <v>0.9</v>
      </c>
      <c r="N749" s="242">
        <f t="shared" si="67"/>
        <v>13.5</v>
      </c>
      <c r="O749" s="242">
        <f t="shared" si="67"/>
        <v>16.875</v>
      </c>
      <c r="P749" s="19"/>
      <c r="Q749" s="19"/>
      <c r="R749" s="99">
        <v>745</v>
      </c>
    </row>
    <row r="750" spans="1:18" ht="20" x14ac:dyDescent="0.2">
      <c r="A750" s="58"/>
      <c r="B750" s="230" t="s">
        <v>1646</v>
      </c>
      <c r="C750" s="51" t="s">
        <v>3210</v>
      </c>
      <c r="D750" s="33" t="s">
        <v>173</v>
      </c>
      <c r="E750" s="33"/>
      <c r="F750" s="33"/>
      <c r="G750" s="33" t="s">
        <v>2876</v>
      </c>
      <c r="H750" s="33" t="s">
        <v>1545</v>
      </c>
      <c r="I750" s="233"/>
      <c r="J750" s="234"/>
      <c r="K750" s="241">
        <v>32</v>
      </c>
      <c r="L750" s="241">
        <v>40</v>
      </c>
      <c r="M750" s="131">
        <v>0.9</v>
      </c>
      <c r="N750" s="242">
        <f t="shared" si="67"/>
        <v>28.8</v>
      </c>
      <c r="O750" s="242">
        <f t="shared" si="67"/>
        <v>36</v>
      </c>
      <c r="P750" s="19"/>
      <c r="Q750" s="19"/>
      <c r="R750" s="99">
        <v>746</v>
      </c>
    </row>
    <row r="751" spans="1:18" ht="20" x14ac:dyDescent="0.2">
      <c r="A751" s="58"/>
      <c r="B751" s="230" t="s">
        <v>2645</v>
      </c>
      <c r="C751" s="51" t="s">
        <v>3245</v>
      </c>
      <c r="D751" s="33" t="s">
        <v>173</v>
      </c>
      <c r="E751" s="33"/>
      <c r="F751" s="33"/>
      <c r="G751" s="33" t="s">
        <v>2876</v>
      </c>
      <c r="H751" s="33" t="s">
        <v>1545</v>
      </c>
      <c r="I751" s="233"/>
      <c r="J751" s="234"/>
      <c r="K751" s="241">
        <v>23</v>
      </c>
      <c r="L751" s="241">
        <v>28.75</v>
      </c>
      <c r="M751" s="131">
        <v>0.9</v>
      </c>
      <c r="N751" s="242">
        <f t="shared" si="67"/>
        <v>20.7</v>
      </c>
      <c r="O751" s="242">
        <f t="shared" si="67"/>
        <v>25.875</v>
      </c>
      <c r="P751" s="19"/>
      <c r="Q751" s="19"/>
      <c r="R751" s="99">
        <v>747</v>
      </c>
    </row>
    <row r="752" spans="1:18" ht="20" x14ac:dyDescent="0.2">
      <c r="A752" s="58"/>
      <c r="B752" s="230" t="s">
        <v>2647</v>
      </c>
      <c r="C752" s="51" t="s">
        <v>3414</v>
      </c>
      <c r="D752" s="33" t="s">
        <v>173</v>
      </c>
      <c r="E752" s="33"/>
      <c r="F752" s="33"/>
      <c r="G752" s="33" t="s">
        <v>2876</v>
      </c>
      <c r="H752" s="33" t="s">
        <v>1545</v>
      </c>
      <c r="I752" s="233"/>
      <c r="J752" s="234"/>
      <c r="K752" s="241">
        <v>32</v>
      </c>
      <c r="L752" s="241">
        <v>40</v>
      </c>
      <c r="M752" s="131">
        <v>0.9</v>
      </c>
      <c r="N752" s="242">
        <f t="shared" si="67"/>
        <v>28.8</v>
      </c>
      <c r="O752" s="242">
        <f t="shared" si="67"/>
        <v>36</v>
      </c>
      <c r="P752" s="19"/>
      <c r="Q752" s="19"/>
      <c r="R752" s="99">
        <v>748</v>
      </c>
    </row>
    <row r="753" spans="1:18" ht="20" x14ac:dyDescent="0.2">
      <c r="A753" s="58"/>
      <c r="B753" s="230" t="s">
        <v>3582</v>
      </c>
      <c r="C753" s="51" t="s">
        <v>3583</v>
      </c>
      <c r="D753" s="33" t="s">
        <v>173</v>
      </c>
      <c r="E753" s="33"/>
      <c r="F753" s="33"/>
      <c r="G753" s="33" t="s">
        <v>2876</v>
      </c>
      <c r="H753" s="33"/>
      <c r="I753" s="233"/>
      <c r="J753" s="234"/>
      <c r="K753" s="99"/>
      <c r="L753" s="99"/>
      <c r="M753" s="99"/>
      <c r="N753" s="69"/>
      <c r="O753" s="69"/>
      <c r="P753" s="19"/>
      <c r="Q753" s="19"/>
      <c r="R753" s="99">
        <v>749</v>
      </c>
    </row>
    <row r="754" spans="1:18" ht="20" x14ac:dyDescent="0.2">
      <c r="A754" s="58"/>
      <c r="B754" s="230" t="s">
        <v>3574</v>
      </c>
      <c r="C754" s="51" t="s">
        <v>3575</v>
      </c>
      <c r="D754" s="33" t="s">
        <v>173</v>
      </c>
      <c r="E754" s="33"/>
      <c r="F754" s="33"/>
      <c r="G754" s="33" t="s">
        <v>2876</v>
      </c>
      <c r="H754" s="33" t="s">
        <v>2757</v>
      </c>
      <c r="I754" s="233"/>
      <c r="J754" s="234"/>
      <c r="K754" s="241">
        <v>52.3</v>
      </c>
      <c r="L754" s="241">
        <v>52.3</v>
      </c>
      <c r="M754" s="131">
        <v>0.9</v>
      </c>
      <c r="N754" s="242">
        <f t="shared" ref="N754:N770" si="68">K754*$M754</f>
        <v>47.07</v>
      </c>
      <c r="O754" s="242">
        <f t="shared" ref="O754:O770" si="69">L754*$M754</f>
        <v>47.07</v>
      </c>
      <c r="P754" s="19"/>
      <c r="Q754" s="19"/>
      <c r="R754" s="99">
        <v>750</v>
      </c>
    </row>
    <row r="755" spans="1:18" ht="20" x14ac:dyDescent="0.2">
      <c r="A755" s="58"/>
      <c r="B755" s="230" t="s">
        <v>2712</v>
      </c>
      <c r="C755" s="51" t="s">
        <v>3251</v>
      </c>
      <c r="D755" s="33" t="s">
        <v>173</v>
      </c>
      <c r="E755" s="33"/>
      <c r="F755" s="33"/>
      <c r="G755" s="33" t="s">
        <v>2876</v>
      </c>
      <c r="H755" s="33" t="s">
        <v>1545</v>
      </c>
      <c r="I755" s="233"/>
      <c r="J755" s="234"/>
      <c r="K755" s="241">
        <v>8</v>
      </c>
      <c r="L755" s="241">
        <v>10</v>
      </c>
      <c r="M755" s="131">
        <v>0.9</v>
      </c>
      <c r="N755" s="242">
        <f t="shared" si="68"/>
        <v>7.2</v>
      </c>
      <c r="O755" s="242">
        <f t="shared" si="69"/>
        <v>9</v>
      </c>
      <c r="P755" s="19"/>
      <c r="Q755" s="19"/>
      <c r="R755" s="99">
        <v>751</v>
      </c>
    </row>
    <row r="756" spans="1:18" ht="20" x14ac:dyDescent="0.2">
      <c r="A756" s="58"/>
      <c r="B756" s="230" t="s">
        <v>2710</v>
      </c>
      <c r="C756" s="51" t="s">
        <v>3255</v>
      </c>
      <c r="D756" s="33" t="s">
        <v>173</v>
      </c>
      <c r="E756" s="33"/>
      <c r="F756" s="33"/>
      <c r="G756" s="33" t="s">
        <v>2876</v>
      </c>
      <c r="H756" s="33" t="s">
        <v>1545</v>
      </c>
      <c r="I756" s="233"/>
      <c r="J756" s="234"/>
      <c r="K756" s="241">
        <v>15</v>
      </c>
      <c r="L756" s="241">
        <v>18.75</v>
      </c>
      <c r="M756" s="131">
        <v>0.9</v>
      </c>
      <c r="N756" s="242">
        <f t="shared" si="68"/>
        <v>13.5</v>
      </c>
      <c r="O756" s="242">
        <f t="shared" si="69"/>
        <v>16.875</v>
      </c>
      <c r="P756" s="19"/>
      <c r="Q756" s="19"/>
      <c r="R756" s="99">
        <v>752</v>
      </c>
    </row>
    <row r="757" spans="1:18" ht="20" x14ac:dyDescent="0.2">
      <c r="A757" s="58"/>
      <c r="B757" s="230" t="s">
        <v>1696</v>
      </c>
      <c r="C757" s="51" t="s">
        <v>3399</v>
      </c>
      <c r="D757" s="33" t="s">
        <v>173</v>
      </c>
      <c r="E757" s="33"/>
      <c r="F757" s="33"/>
      <c r="G757" s="33" t="s">
        <v>2876</v>
      </c>
      <c r="H757" s="33" t="s">
        <v>1549</v>
      </c>
      <c r="I757" s="233"/>
      <c r="J757" s="234"/>
      <c r="K757" s="241">
        <v>28</v>
      </c>
      <c r="L757" s="241">
        <v>35</v>
      </c>
      <c r="M757" s="131">
        <v>0.9</v>
      </c>
      <c r="N757" s="242">
        <f t="shared" si="68"/>
        <v>25.2</v>
      </c>
      <c r="O757" s="242">
        <f t="shared" si="69"/>
        <v>31.5</v>
      </c>
      <c r="P757" s="19"/>
      <c r="Q757" s="19"/>
      <c r="R757" s="99">
        <v>753</v>
      </c>
    </row>
    <row r="758" spans="1:18" ht="20" x14ac:dyDescent="0.2">
      <c r="A758" s="58"/>
      <c r="B758" s="230" t="s">
        <v>1696</v>
      </c>
      <c r="C758" s="51" t="s">
        <v>3399</v>
      </c>
      <c r="D758" s="33" t="s">
        <v>173</v>
      </c>
      <c r="E758" s="33"/>
      <c r="F758" s="33"/>
      <c r="G758" s="33" t="s">
        <v>2876</v>
      </c>
      <c r="H758" s="33" t="s">
        <v>1550</v>
      </c>
      <c r="I758" s="233"/>
      <c r="J758" s="234"/>
      <c r="K758" s="241">
        <v>32</v>
      </c>
      <c r="L758" s="241">
        <v>40</v>
      </c>
      <c r="M758" s="131">
        <v>0.9</v>
      </c>
      <c r="N758" s="242">
        <f t="shared" si="68"/>
        <v>28.8</v>
      </c>
      <c r="O758" s="242">
        <f t="shared" si="69"/>
        <v>36</v>
      </c>
      <c r="P758" s="19"/>
      <c r="Q758" s="19"/>
      <c r="R758" s="99">
        <v>754</v>
      </c>
    </row>
    <row r="759" spans="1:18" ht="20" x14ac:dyDescent="0.2">
      <c r="A759" s="58"/>
      <c r="B759" s="230" t="s">
        <v>3565</v>
      </c>
      <c r="C759" s="51" t="s">
        <v>3566</v>
      </c>
      <c r="D759" s="33" t="s">
        <v>173</v>
      </c>
      <c r="E759" s="33"/>
      <c r="F759" s="33"/>
      <c r="G759" s="33" t="s">
        <v>2876</v>
      </c>
      <c r="H759" s="33" t="s">
        <v>1550</v>
      </c>
      <c r="I759" s="233"/>
      <c r="J759" s="234"/>
      <c r="K759" s="241">
        <v>15</v>
      </c>
      <c r="L759" s="241">
        <v>18.75</v>
      </c>
      <c r="M759" s="131">
        <v>0.9</v>
      </c>
      <c r="N759" s="242">
        <f t="shared" si="68"/>
        <v>13.5</v>
      </c>
      <c r="O759" s="242">
        <f t="shared" si="69"/>
        <v>16.875</v>
      </c>
      <c r="P759" s="19"/>
      <c r="Q759" s="19"/>
      <c r="R759" s="99">
        <v>755</v>
      </c>
    </row>
    <row r="760" spans="1:18" ht="20" x14ac:dyDescent="0.2">
      <c r="A760" s="58"/>
      <c r="B760" s="230" t="s">
        <v>2713</v>
      </c>
      <c r="C760" s="51" t="s">
        <v>3260</v>
      </c>
      <c r="D760" s="33" t="s">
        <v>173</v>
      </c>
      <c r="E760" s="33"/>
      <c r="F760" s="33"/>
      <c r="G760" s="33" t="s">
        <v>2876</v>
      </c>
      <c r="H760" s="33" t="s">
        <v>1545</v>
      </c>
      <c r="I760" s="233"/>
      <c r="J760" s="234"/>
      <c r="K760" s="241">
        <v>1.9</v>
      </c>
      <c r="L760" s="241">
        <v>2.375</v>
      </c>
      <c r="M760" s="131">
        <v>0.9</v>
      </c>
      <c r="N760" s="242">
        <f t="shared" si="68"/>
        <v>1.71</v>
      </c>
      <c r="O760" s="242">
        <f t="shared" si="69"/>
        <v>2.1375000000000002</v>
      </c>
      <c r="P760" s="19"/>
      <c r="Q760" s="19"/>
      <c r="R760" s="99">
        <v>756</v>
      </c>
    </row>
    <row r="761" spans="1:18" ht="20" x14ac:dyDescent="0.2">
      <c r="A761" s="58"/>
      <c r="B761" s="230" t="s">
        <v>2656</v>
      </c>
      <c r="C761" s="51" t="s">
        <v>3259</v>
      </c>
      <c r="D761" s="33" t="s">
        <v>173</v>
      </c>
      <c r="E761" s="33"/>
      <c r="F761" s="33"/>
      <c r="G761" s="33" t="s">
        <v>2876</v>
      </c>
      <c r="H761" s="33" t="s">
        <v>1545</v>
      </c>
      <c r="I761" s="233"/>
      <c r="J761" s="234"/>
      <c r="K761" s="241">
        <v>10</v>
      </c>
      <c r="L761" s="241">
        <v>12.5</v>
      </c>
      <c r="M761" s="131">
        <v>0.9</v>
      </c>
      <c r="N761" s="242">
        <f t="shared" si="68"/>
        <v>9</v>
      </c>
      <c r="O761" s="242">
        <f t="shared" si="69"/>
        <v>11.25</v>
      </c>
      <c r="P761" s="19"/>
      <c r="Q761" s="19"/>
      <c r="R761" s="99">
        <v>757</v>
      </c>
    </row>
    <row r="762" spans="1:18" ht="20" x14ac:dyDescent="0.2">
      <c r="A762" s="58"/>
      <c r="B762" s="230" t="s">
        <v>2634</v>
      </c>
      <c r="C762" s="51" t="s">
        <v>3264</v>
      </c>
      <c r="D762" s="33" t="s">
        <v>173</v>
      </c>
      <c r="E762" s="33"/>
      <c r="F762" s="33"/>
      <c r="G762" s="33" t="s">
        <v>2876</v>
      </c>
      <c r="H762" s="33" t="s">
        <v>1545</v>
      </c>
      <c r="I762" s="233"/>
      <c r="J762" s="234"/>
      <c r="K762" s="241">
        <v>32</v>
      </c>
      <c r="L762" s="241">
        <v>40</v>
      </c>
      <c r="M762" s="131">
        <v>0.9</v>
      </c>
      <c r="N762" s="242">
        <f t="shared" si="68"/>
        <v>28.8</v>
      </c>
      <c r="O762" s="242">
        <f t="shared" si="69"/>
        <v>36</v>
      </c>
      <c r="P762" s="19"/>
      <c r="Q762" s="19"/>
      <c r="R762" s="99">
        <v>758</v>
      </c>
    </row>
    <row r="763" spans="1:18" ht="20" x14ac:dyDescent="0.2">
      <c r="A763" s="58"/>
      <c r="B763" s="230" t="s">
        <v>2634</v>
      </c>
      <c r="C763" s="51" t="s">
        <v>3264</v>
      </c>
      <c r="D763" s="33" t="s">
        <v>173</v>
      </c>
      <c r="E763" s="33"/>
      <c r="F763" s="33"/>
      <c r="G763" s="33" t="s">
        <v>2876</v>
      </c>
      <c r="H763" s="33" t="s">
        <v>1550</v>
      </c>
      <c r="I763" s="233"/>
      <c r="J763" s="234"/>
      <c r="K763" s="241">
        <v>32</v>
      </c>
      <c r="L763" s="241">
        <v>40</v>
      </c>
      <c r="M763" s="131">
        <v>0.9</v>
      </c>
      <c r="N763" s="242">
        <f t="shared" si="68"/>
        <v>28.8</v>
      </c>
      <c r="O763" s="242">
        <f t="shared" si="69"/>
        <v>36</v>
      </c>
      <c r="P763" s="19"/>
      <c r="Q763" s="19"/>
      <c r="R763" s="99">
        <v>759</v>
      </c>
    </row>
    <row r="764" spans="1:18" ht="20" x14ac:dyDescent="0.2">
      <c r="A764" s="58"/>
      <c r="B764" s="230" t="s">
        <v>2673</v>
      </c>
      <c r="C764" s="51" t="s">
        <v>3268</v>
      </c>
      <c r="D764" s="33" t="s">
        <v>173</v>
      </c>
      <c r="E764" s="33"/>
      <c r="F764" s="33"/>
      <c r="G764" s="33" t="s">
        <v>2876</v>
      </c>
      <c r="H764" s="33" t="s">
        <v>2755</v>
      </c>
      <c r="I764" s="233"/>
      <c r="J764" s="234"/>
      <c r="K764" s="241">
        <v>12</v>
      </c>
      <c r="L764" s="241">
        <v>15</v>
      </c>
      <c r="M764" s="131">
        <v>0.9</v>
      </c>
      <c r="N764" s="242">
        <f t="shared" si="68"/>
        <v>10.8</v>
      </c>
      <c r="O764" s="242">
        <f t="shared" si="69"/>
        <v>13.5</v>
      </c>
      <c r="P764" s="19"/>
      <c r="Q764" s="19"/>
      <c r="R764" s="99">
        <v>760</v>
      </c>
    </row>
    <row r="765" spans="1:18" ht="20" x14ac:dyDescent="0.2">
      <c r="A765" s="58"/>
      <c r="B765" s="230" t="s">
        <v>2673</v>
      </c>
      <c r="C765" s="51" t="s">
        <v>3268</v>
      </c>
      <c r="D765" s="33" t="s">
        <v>173</v>
      </c>
      <c r="E765" s="33"/>
      <c r="F765" s="33"/>
      <c r="G765" s="33" t="s">
        <v>2876</v>
      </c>
      <c r="H765" s="33" t="s">
        <v>1555</v>
      </c>
      <c r="I765" s="233"/>
      <c r="J765" s="234"/>
      <c r="K765" s="241">
        <v>32</v>
      </c>
      <c r="L765" s="241">
        <v>40</v>
      </c>
      <c r="M765" s="131">
        <v>0.9</v>
      </c>
      <c r="N765" s="242">
        <f t="shared" si="68"/>
        <v>28.8</v>
      </c>
      <c r="O765" s="242">
        <f t="shared" si="69"/>
        <v>36</v>
      </c>
      <c r="P765" s="19"/>
      <c r="Q765" s="19"/>
      <c r="R765" s="99">
        <v>761</v>
      </c>
    </row>
    <row r="766" spans="1:18" ht="20" x14ac:dyDescent="0.2">
      <c r="A766" s="58"/>
      <c r="B766" s="230" t="s">
        <v>2649</v>
      </c>
      <c r="C766" s="51" t="s">
        <v>3713</v>
      </c>
      <c r="D766" s="33" t="s">
        <v>173</v>
      </c>
      <c r="E766" s="33"/>
      <c r="F766" s="33"/>
      <c r="G766" s="33" t="s">
        <v>2876</v>
      </c>
      <c r="H766" s="33" t="s">
        <v>1545</v>
      </c>
      <c r="I766" s="233"/>
      <c r="J766" s="234"/>
      <c r="K766" s="241">
        <v>16</v>
      </c>
      <c r="L766" s="241">
        <v>20</v>
      </c>
      <c r="M766" s="131">
        <v>0.9</v>
      </c>
      <c r="N766" s="242">
        <f t="shared" si="68"/>
        <v>14.4</v>
      </c>
      <c r="O766" s="242">
        <f t="shared" si="69"/>
        <v>18</v>
      </c>
      <c r="P766" s="19"/>
      <c r="Q766" s="19"/>
      <c r="R766" s="99">
        <v>762</v>
      </c>
    </row>
    <row r="767" spans="1:18" ht="20" x14ac:dyDescent="0.2">
      <c r="A767" s="58"/>
      <c r="B767" s="230" t="s">
        <v>2672</v>
      </c>
      <c r="C767" s="51" t="s">
        <v>3272</v>
      </c>
      <c r="D767" s="33" t="s">
        <v>173</v>
      </c>
      <c r="E767" s="33"/>
      <c r="F767" s="33"/>
      <c r="G767" s="33" t="s">
        <v>2876</v>
      </c>
      <c r="H767" s="33" t="s">
        <v>1545</v>
      </c>
      <c r="I767" s="233"/>
      <c r="J767" s="234"/>
      <c r="K767" s="241">
        <v>7.5</v>
      </c>
      <c r="L767" s="241">
        <v>9.375</v>
      </c>
      <c r="M767" s="131">
        <v>0.9</v>
      </c>
      <c r="N767" s="242">
        <f t="shared" si="68"/>
        <v>6.75</v>
      </c>
      <c r="O767" s="242">
        <f t="shared" si="69"/>
        <v>8.4375</v>
      </c>
      <c r="P767" s="19"/>
      <c r="Q767" s="19"/>
      <c r="R767" s="99">
        <v>763</v>
      </c>
    </row>
    <row r="768" spans="1:18" ht="20" x14ac:dyDescent="0.2">
      <c r="A768" s="58"/>
      <c r="B768" s="230" t="s">
        <v>2732</v>
      </c>
      <c r="C768" s="51" t="s">
        <v>3396</v>
      </c>
      <c r="D768" s="33" t="s">
        <v>173</v>
      </c>
      <c r="E768" s="33"/>
      <c r="F768" s="33"/>
      <c r="G768" s="33" t="s">
        <v>2876</v>
      </c>
      <c r="H768" s="33" t="s">
        <v>1545</v>
      </c>
      <c r="I768" s="233"/>
      <c r="J768" s="234"/>
      <c r="K768" s="241">
        <v>13.3</v>
      </c>
      <c r="L768" s="241">
        <v>16.625</v>
      </c>
      <c r="M768" s="131">
        <v>0.9</v>
      </c>
      <c r="N768" s="242">
        <f t="shared" si="68"/>
        <v>11.97</v>
      </c>
      <c r="O768" s="242">
        <f t="shared" si="69"/>
        <v>14.9625</v>
      </c>
      <c r="P768" s="19"/>
      <c r="Q768" s="19"/>
      <c r="R768" s="99">
        <v>764</v>
      </c>
    </row>
    <row r="769" spans="1:18" ht="20" x14ac:dyDescent="0.2">
      <c r="A769" s="58"/>
      <c r="B769" s="230" t="s">
        <v>2657</v>
      </c>
      <c r="C769" s="51" t="s">
        <v>3276</v>
      </c>
      <c r="D769" s="33" t="s">
        <v>173</v>
      </c>
      <c r="E769" s="33"/>
      <c r="F769" s="33"/>
      <c r="G769" s="33" t="s">
        <v>2876</v>
      </c>
      <c r="H769" s="33" t="s">
        <v>1545</v>
      </c>
      <c r="I769" s="233"/>
      <c r="J769" s="234"/>
      <c r="K769" s="241">
        <v>20</v>
      </c>
      <c r="L769" s="241">
        <v>25</v>
      </c>
      <c r="M769" s="131">
        <v>0.9</v>
      </c>
      <c r="N769" s="242">
        <f t="shared" si="68"/>
        <v>18</v>
      </c>
      <c r="O769" s="242">
        <f t="shared" si="69"/>
        <v>22.5</v>
      </c>
      <c r="P769" s="19"/>
      <c r="Q769" s="19"/>
      <c r="R769" s="99">
        <v>765</v>
      </c>
    </row>
    <row r="770" spans="1:18" ht="20" x14ac:dyDescent="0.2">
      <c r="A770" s="58"/>
      <c r="B770" s="230" t="s">
        <v>2661</v>
      </c>
      <c r="C770" s="51" t="s">
        <v>3277</v>
      </c>
      <c r="D770" s="33" t="s">
        <v>173</v>
      </c>
      <c r="E770" s="33"/>
      <c r="F770" s="33"/>
      <c r="G770" s="33" t="s">
        <v>2876</v>
      </c>
      <c r="H770" s="33" t="s">
        <v>2756</v>
      </c>
      <c r="I770" s="233"/>
      <c r="J770" s="234"/>
      <c r="K770" s="241">
        <v>80</v>
      </c>
      <c r="L770" s="241">
        <v>100</v>
      </c>
      <c r="M770" s="131">
        <v>0.9</v>
      </c>
      <c r="N770" s="242">
        <f t="shared" si="68"/>
        <v>72</v>
      </c>
      <c r="O770" s="242">
        <f t="shared" si="69"/>
        <v>90</v>
      </c>
      <c r="P770" s="19"/>
      <c r="Q770" s="19"/>
      <c r="R770" s="99">
        <v>766</v>
      </c>
    </row>
    <row r="771" spans="1:18" ht="20" x14ac:dyDescent="0.2">
      <c r="A771" s="58"/>
      <c r="B771" s="230" t="s">
        <v>1742</v>
      </c>
      <c r="C771" s="51" t="s">
        <v>3132</v>
      </c>
      <c r="D771" s="33" t="s">
        <v>173</v>
      </c>
      <c r="E771" s="33">
        <v>49.453257899999997</v>
      </c>
      <c r="F771" s="33">
        <v>-117.51789650000001</v>
      </c>
      <c r="G771" s="33" t="s">
        <v>2876</v>
      </c>
      <c r="H771" s="33"/>
      <c r="I771" s="233"/>
      <c r="J771" s="234"/>
      <c r="K771" s="99"/>
      <c r="L771" s="99"/>
      <c r="M771" s="99"/>
      <c r="N771" s="69"/>
      <c r="O771" s="69"/>
      <c r="P771" s="19"/>
      <c r="Q771" s="19"/>
      <c r="R771" s="99">
        <v>767</v>
      </c>
    </row>
    <row r="772" spans="1:18" ht="20" x14ac:dyDescent="0.2">
      <c r="A772" s="58"/>
      <c r="B772" s="230" t="s">
        <v>2751</v>
      </c>
      <c r="C772" s="51" t="s">
        <v>3106</v>
      </c>
      <c r="D772" s="33" t="s">
        <v>173</v>
      </c>
      <c r="E772" s="33">
        <v>49.336055899999998</v>
      </c>
      <c r="F772" s="33">
        <v>-117.7275496</v>
      </c>
      <c r="G772" s="33" t="s">
        <v>2876</v>
      </c>
      <c r="H772" s="33"/>
      <c r="I772" s="233"/>
      <c r="J772" s="234"/>
      <c r="K772" s="99"/>
      <c r="L772" s="99"/>
      <c r="M772" s="99"/>
      <c r="N772" s="69"/>
      <c r="O772" s="69"/>
      <c r="P772" s="19"/>
      <c r="Q772" s="19"/>
      <c r="R772" s="99">
        <v>768</v>
      </c>
    </row>
    <row r="773" spans="1:18" ht="20" x14ac:dyDescent="0.2">
      <c r="A773" s="58"/>
      <c r="B773" s="230" t="s">
        <v>2751</v>
      </c>
      <c r="C773" s="51" t="s">
        <v>3106</v>
      </c>
      <c r="D773" s="33" t="s">
        <v>173</v>
      </c>
      <c r="E773" s="33">
        <v>49.336055899999998</v>
      </c>
      <c r="F773" s="33">
        <v>-117.7275496</v>
      </c>
      <c r="G773" s="33" t="s">
        <v>2876</v>
      </c>
      <c r="H773" s="33"/>
      <c r="I773" s="233"/>
      <c r="J773" s="234"/>
      <c r="K773" s="99"/>
      <c r="L773" s="99"/>
      <c r="M773" s="99"/>
      <c r="N773" s="69"/>
      <c r="O773" s="69"/>
      <c r="P773" s="19"/>
      <c r="Q773" s="19"/>
      <c r="R773" s="99">
        <v>769</v>
      </c>
    </row>
    <row r="774" spans="1:18" ht="20" x14ac:dyDescent="0.2">
      <c r="A774" s="58"/>
      <c r="B774" s="230" t="s">
        <v>2735</v>
      </c>
      <c r="C774" s="51" t="s">
        <v>3137</v>
      </c>
      <c r="D774" s="33" t="s">
        <v>173</v>
      </c>
      <c r="E774" s="33">
        <v>49.461708899999998</v>
      </c>
      <c r="F774" s="33">
        <v>-117.5004247</v>
      </c>
      <c r="G774" s="33" t="s">
        <v>2876</v>
      </c>
      <c r="H774" s="33"/>
      <c r="I774" s="233"/>
      <c r="J774" s="234"/>
      <c r="K774" s="99"/>
      <c r="L774" s="99"/>
      <c r="M774" s="99"/>
      <c r="N774" s="69"/>
      <c r="O774" s="69"/>
      <c r="P774" s="19"/>
      <c r="Q774" s="19"/>
      <c r="R774" s="99">
        <v>770</v>
      </c>
    </row>
    <row r="775" spans="1:18" ht="20" x14ac:dyDescent="0.2">
      <c r="A775" s="58"/>
      <c r="B775" s="230" t="s">
        <v>2659</v>
      </c>
      <c r="C775" s="51" t="s">
        <v>3663</v>
      </c>
      <c r="D775" s="33" t="s">
        <v>173</v>
      </c>
      <c r="E775" s="33"/>
      <c r="F775" s="33"/>
      <c r="G775" s="33" t="s">
        <v>2876</v>
      </c>
      <c r="H775" s="33"/>
      <c r="I775" s="233"/>
      <c r="J775" s="234"/>
      <c r="K775" s="99"/>
      <c r="L775" s="99"/>
      <c r="M775" s="99"/>
      <c r="N775" s="69"/>
      <c r="O775" s="69"/>
      <c r="P775" s="19"/>
      <c r="Q775" s="19"/>
      <c r="R775" s="99">
        <v>771</v>
      </c>
    </row>
    <row r="776" spans="1:18" ht="20" x14ac:dyDescent="0.2">
      <c r="A776" s="58"/>
      <c r="B776" s="230" t="s">
        <v>2719</v>
      </c>
      <c r="C776" s="51" t="s">
        <v>3182</v>
      </c>
      <c r="D776" s="33" t="s">
        <v>173</v>
      </c>
      <c r="E776" s="33"/>
      <c r="F776" s="33"/>
      <c r="G776" s="33" t="s">
        <v>2876</v>
      </c>
      <c r="H776" s="33"/>
      <c r="I776" s="233"/>
      <c r="J776" s="234"/>
      <c r="K776" s="99"/>
      <c r="L776" s="99"/>
      <c r="M776" s="99"/>
      <c r="N776" s="69"/>
      <c r="O776" s="69"/>
      <c r="P776" s="19"/>
      <c r="Q776" s="19"/>
      <c r="R776" s="99">
        <v>772</v>
      </c>
    </row>
    <row r="777" spans="1:18" ht="20" x14ac:dyDescent="0.2">
      <c r="A777" s="58"/>
      <c r="B777" s="230" t="s">
        <v>1815</v>
      </c>
      <c r="C777" s="51" t="s">
        <v>3297</v>
      </c>
      <c r="D777" s="33" t="s">
        <v>173</v>
      </c>
      <c r="E777" s="33"/>
      <c r="F777" s="33"/>
      <c r="G777" s="33" t="s">
        <v>2876</v>
      </c>
      <c r="H777" s="33"/>
      <c r="I777" s="233"/>
      <c r="J777" s="234"/>
      <c r="K777" s="99"/>
      <c r="L777" s="99"/>
      <c r="M777" s="99"/>
      <c r="N777" s="69"/>
      <c r="O777" s="69"/>
      <c r="P777" s="19"/>
      <c r="Q777" s="19"/>
      <c r="R777" s="99">
        <v>773</v>
      </c>
    </row>
    <row r="778" spans="1:18" ht="20" x14ac:dyDescent="0.2">
      <c r="A778" s="58"/>
      <c r="B778" s="230" t="s">
        <v>2663</v>
      </c>
      <c r="C778" s="51" t="s">
        <v>3371</v>
      </c>
      <c r="D778" s="33" t="s">
        <v>173</v>
      </c>
      <c r="E778" s="33"/>
      <c r="F778" s="33"/>
      <c r="G778" s="33" t="s">
        <v>2876</v>
      </c>
      <c r="H778" s="33" t="s">
        <v>1545</v>
      </c>
      <c r="I778" s="233"/>
      <c r="J778" s="234"/>
      <c r="K778" s="241">
        <v>20</v>
      </c>
      <c r="L778" s="241">
        <v>25</v>
      </c>
      <c r="M778" s="131">
        <v>0.9</v>
      </c>
      <c r="N778" s="242">
        <f t="shared" ref="N778:N792" si="70">K778*$M778</f>
        <v>18</v>
      </c>
      <c r="O778" s="242">
        <f t="shared" ref="O778:O792" si="71">L778*$M778</f>
        <v>22.5</v>
      </c>
      <c r="P778" s="19"/>
      <c r="Q778" s="19"/>
      <c r="R778" s="99">
        <v>774</v>
      </c>
    </row>
    <row r="779" spans="1:18" ht="20" x14ac:dyDescent="0.2">
      <c r="A779" s="58"/>
      <c r="B779" s="230" t="s">
        <v>2671</v>
      </c>
      <c r="C779" s="51" t="s">
        <v>3302</v>
      </c>
      <c r="D779" s="33" t="s">
        <v>173</v>
      </c>
      <c r="E779" s="33"/>
      <c r="F779" s="33"/>
      <c r="G779" s="33" t="s">
        <v>2876</v>
      </c>
      <c r="H779" s="33" t="s">
        <v>1545</v>
      </c>
      <c r="I779" s="233"/>
      <c r="J779" s="234"/>
      <c r="K779" s="241">
        <v>15</v>
      </c>
      <c r="L779" s="241">
        <v>18.75</v>
      </c>
      <c r="M779" s="131">
        <v>0.9</v>
      </c>
      <c r="N779" s="242">
        <f t="shared" si="70"/>
        <v>13.5</v>
      </c>
      <c r="O779" s="242">
        <f t="shared" si="71"/>
        <v>16.875</v>
      </c>
      <c r="P779" s="19"/>
      <c r="Q779" s="19"/>
      <c r="R779" s="99">
        <v>775</v>
      </c>
    </row>
    <row r="780" spans="1:18" ht="20" x14ac:dyDescent="0.2">
      <c r="A780" s="58"/>
      <c r="B780" s="230" t="s">
        <v>2637</v>
      </c>
      <c r="C780" s="51" t="s">
        <v>3303</v>
      </c>
      <c r="D780" s="33" t="s">
        <v>173</v>
      </c>
      <c r="E780" s="33"/>
      <c r="F780" s="33"/>
      <c r="G780" s="33" t="s">
        <v>2876</v>
      </c>
      <c r="H780" s="33" t="s">
        <v>1545</v>
      </c>
      <c r="I780" s="233"/>
      <c r="J780" s="234"/>
      <c r="K780" s="241">
        <v>32</v>
      </c>
      <c r="L780" s="241">
        <v>40</v>
      </c>
      <c r="M780" s="131">
        <v>0.9</v>
      </c>
      <c r="N780" s="242">
        <f t="shared" si="70"/>
        <v>28.8</v>
      </c>
      <c r="O780" s="242">
        <f t="shared" si="71"/>
        <v>36</v>
      </c>
      <c r="P780" s="19"/>
      <c r="Q780" s="19"/>
      <c r="R780" s="99">
        <v>776</v>
      </c>
    </row>
    <row r="781" spans="1:18" ht="20" x14ac:dyDescent="0.2">
      <c r="A781" s="58"/>
      <c r="B781" s="230" t="s">
        <v>2637</v>
      </c>
      <c r="C781" s="51" t="s">
        <v>3303</v>
      </c>
      <c r="D781" s="33" t="s">
        <v>173</v>
      </c>
      <c r="E781" s="33"/>
      <c r="F781" s="33"/>
      <c r="G781" s="33" t="s">
        <v>2876</v>
      </c>
      <c r="H781" s="33" t="s">
        <v>1549</v>
      </c>
      <c r="I781" s="233"/>
      <c r="J781" s="234"/>
      <c r="K781" s="241">
        <v>32</v>
      </c>
      <c r="L781" s="241">
        <v>40</v>
      </c>
      <c r="M781" s="131">
        <v>0.9</v>
      </c>
      <c r="N781" s="242">
        <f t="shared" si="70"/>
        <v>28.8</v>
      </c>
      <c r="O781" s="242">
        <f t="shared" si="71"/>
        <v>36</v>
      </c>
      <c r="P781" s="19"/>
      <c r="Q781" s="19"/>
      <c r="R781" s="99">
        <v>777</v>
      </c>
    </row>
    <row r="782" spans="1:18" ht="20" x14ac:dyDescent="0.2">
      <c r="A782" s="58"/>
      <c r="B782" s="230" t="s">
        <v>2666</v>
      </c>
      <c r="C782" s="51" t="s">
        <v>3304</v>
      </c>
      <c r="D782" s="33" t="s">
        <v>173</v>
      </c>
      <c r="E782" s="33"/>
      <c r="F782" s="33"/>
      <c r="G782" s="33" t="s">
        <v>2876</v>
      </c>
      <c r="H782" s="33" t="s">
        <v>1550</v>
      </c>
      <c r="I782" s="233"/>
      <c r="J782" s="234"/>
      <c r="K782" s="241">
        <v>16</v>
      </c>
      <c r="L782" s="241">
        <v>20</v>
      </c>
      <c r="M782" s="131">
        <v>0.9</v>
      </c>
      <c r="N782" s="242">
        <f t="shared" si="70"/>
        <v>14.4</v>
      </c>
      <c r="O782" s="242">
        <f t="shared" si="71"/>
        <v>18</v>
      </c>
      <c r="P782" s="19"/>
      <c r="Q782" s="19"/>
      <c r="R782" s="99">
        <v>778</v>
      </c>
    </row>
    <row r="783" spans="1:18" ht="20" x14ac:dyDescent="0.2">
      <c r="A783" s="58"/>
      <c r="B783" s="230" t="s">
        <v>2749</v>
      </c>
      <c r="C783" s="51" t="s">
        <v>3305</v>
      </c>
      <c r="D783" s="33" t="s">
        <v>173</v>
      </c>
      <c r="E783" s="33"/>
      <c r="F783" s="33"/>
      <c r="G783" s="33" t="s">
        <v>2876</v>
      </c>
      <c r="H783" s="33" t="s">
        <v>1545</v>
      </c>
      <c r="I783" s="233"/>
      <c r="J783" s="234"/>
      <c r="K783" s="241">
        <v>16</v>
      </c>
      <c r="L783" s="241">
        <v>20</v>
      </c>
      <c r="M783" s="131">
        <v>0.9</v>
      </c>
      <c r="N783" s="242">
        <f t="shared" si="70"/>
        <v>14.4</v>
      </c>
      <c r="O783" s="242">
        <f t="shared" si="71"/>
        <v>18</v>
      </c>
      <c r="P783" s="19"/>
      <c r="Q783" s="19"/>
      <c r="R783" s="99">
        <v>779</v>
      </c>
    </row>
    <row r="784" spans="1:18" ht="20" x14ac:dyDescent="0.2">
      <c r="A784" s="58"/>
      <c r="B784" s="230" t="s">
        <v>2669</v>
      </c>
      <c r="C784" s="51" t="s">
        <v>3502</v>
      </c>
      <c r="D784" s="33" t="s">
        <v>173</v>
      </c>
      <c r="E784" s="33"/>
      <c r="F784" s="33"/>
      <c r="G784" s="33" t="s">
        <v>2876</v>
      </c>
      <c r="H784" s="33" t="s">
        <v>1545</v>
      </c>
      <c r="I784" s="233"/>
      <c r="J784" s="234"/>
      <c r="K784" s="241">
        <v>15</v>
      </c>
      <c r="L784" s="241">
        <v>18.75</v>
      </c>
      <c r="M784" s="131">
        <v>0.9</v>
      </c>
      <c r="N784" s="242">
        <f t="shared" si="70"/>
        <v>13.5</v>
      </c>
      <c r="O784" s="242">
        <f t="shared" si="71"/>
        <v>16.875</v>
      </c>
      <c r="P784" s="19"/>
      <c r="Q784" s="19"/>
      <c r="R784" s="99">
        <v>780</v>
      </c>
    </row>
    <row r="785" spans="1:18" ht="20" x14ac:dyDescent="0.2">
      <c r="A785" s="58"/>
      <c r="B785" s="230" t="s">
        <v>2669</v>
      </c>
      <c r="C785" s="51" t="s">
        <v>3502</v>
      </c>
      <c r="D785" s="33" t="s">
        <v>173</v>
      </c>
      <c r="E785" s="33"/>
      <c r="F785" s="33"/>
      <c r="G785" s="33" t="s">
        <v>2876</v>
      </c>
      <c r="H785" s="33" t="s">
        <v>1549</v>
      </c>
      <c r="I785" s="233"/>
      <c r="J785" s="234"/>
      <c r="K785" s="241">
        <v>15</v>
      </c>
      <c r="L785" s="241">
        <v>18.75</v>
      </c>
      <c r="M785" s="131">
        <v>0.9</v>
      </c>
      <c r="N785" s="242">
        <f t="shared" si="70"/>
        <v>13.5</v>
      </c>
      <c r="O785" s="242">
        <f t="shared" si="71"/>
        <v>16.875</v>
      </c>
      <c r="P785" s="19"/>
      <c r="Q785" s="19"/>
      <c r="R785" s="99">
        <v>781</v>
      </c>
    </row>
    <row r="786" spans="1:18" ht="20" x14ac:dyDescent="0.2">
      <c r="A786" s="58"/>
      <c r="B786" s="230" t="s">
        <v>2745</v>
      </c>
      <c r="C786" s="51" t="s">
        <v>3306</v>
      </c>
      <c r="D786" s="33" t="s">
        <v>173</v>
      </c>
      <c r="E786" s="33"/>
      <c r="F786" s="33"/>
      <c r="G786" s="33" t="s">
        <v>2876</v>
      </c>
      <c r="H786" s="33" t="s">
        <v>1545</v>
      </c>
      <c r="I786" s="233"/>
      <c r="J786" s="234"/>
      <c r="K786" s="241">
        <v>5.6</v>
      </c>
      <c r="L786" s="241">
        <v>7</v>
      </c>
      <c r="M786" s="131">
        <v>0.9</v>
      </c>
      <c r="N786" s="242">
        <f t="shared" si="70"/>
        <v>5.04</v>
      </c>
      <c r="O786" s="242">
        <f t="shared" si="71"/>
        <v>6.3</v>
      </c>
      <c r="P786" s="19"/>
      <c r="Q786" s="19"/>
      <c r="R786" s="99">
        <v>782</v>
      </c>
    </row>
    <row r="787" spans="1:18" ht="20" x14ac:dyDescent="0.2">
      <c r="A787" s="58"/>
      <c r="B787" s="230" t="s">
        <v>2668</v>
      </c>
      <c r="C787" s="51" t="s">
        <v>3311</v>
      </c>
      <c r="D787" s="33" t="s">
        <v>173</v>
      </c>
      <c r="E787" s="33"/>
      <c r="F787" s="33"/>
      <c r="G787" s="33" t="s">
        <v>2876</v>
      </c>
      <c r="H787" s="33" t="s">
        <v>1545</v>
      </c>
      <c r="I787" s="233"/>
      <c r="J787" s="234"/>
      <c r="K787" s="241">
        <v>15</v>
      </c>
      <c r="L787" s="241">
        <v>18.75</v>
      </c>
      <c r="M787" s="131">
        <v>0.9</v>
      </c>
      <c r="N787" s="242">
        <f t="shared" si="70"/>
        <v>13.5</v>
      </c>
      <c r="O787" s="242">
        <f t="shared" si="71"/>
        <v>16.875</v>
      </c>
      <c r="P787" s="19"/>
      <c r="Q787" s="19"/>
      <c r="R787" s="99">
        <v>783</v>
      </c>
    </row>
    <row r="788" spans="1:18" ht="20" x14ac:dyDescent="0.2">
      <c r="A788" s="58"/>
      <c r="B788" s="230" t="s">
        <v>2668</v>
      </c>
      <c r="C788" s="51" t="s">
        <v>3311</v>
      </c>
      <c r="D788" s="33" t="s">
        <v>173</v>
      </c>
      <c r="E788" s="33"/>
      <c r="F788" s="33"/>
      <c r="G788" s="33" t="s">
        <v>2876</v>
      </c>
      <c r="H788" s="33" t="s">
        <v>1549</v>
      </c>
      <c r="I788" s="233"/>
      <c r="J788" s="234"/>
      <c r="K788" s="241">
        <v>20</v>
      </c>
      <c r="L788" s="241">
        <v>25</v>
      </c>
      <c r="M788" s="131">
        <v>0.9</v>
      </c>
      <c r="N788" s="242">
        <f t="shared" si="70"/>
        <v>18</v>
      </c>
      <c r="O788" s="242">
        <f t="shared" si="71"/>
        <v>22.5</v>
      </c>
      <c r="P788" s="19"/>
      <c r="Q788" s="19"/>
      <c r="R788" s="99">
        <v>784</v>
      </c>
    </row>
    <row r="789" spans="1:18" ht="20" x14ac:dyDescent="0.2">
      <c r="A789" s="58"/>
      <c r="B789" s="230" t="s">
        <v>2743</v>
      </c>
      <c r="C789" s="51" t="s">
        <v>3310</v>
      </c>
      <c r="D789" s="33" t="s">
        <v>173</v>
      </c>
      <c r="E789" s="33"/>
      <c r="F789" s="33"/>
      <c r="G789" s="33" t="s">
        <v>2876</v>
      </c>
      <c r="H789" s="33" t="s">
        <v>1545</v>
      </c>
      <c r="I789" s="233"/>
      <c r="J789" s="234"/>
      <c r="K789" s="241">
        <v>16</v>
      </c>
      <c r="L789" s="241">
        <v>20</v>
      </c>
      <c r="M789" s="131">
        <v>0.9</v>
      </c>
      <c r="N789" s="242">
        <f t="shared" si="70"/>
        <v>14.4</v>
      </c>
      <c r="O789" s="242">
        <f t="shared" si="71"/>
        <v>18</v>
      </c>
      <c r="P789" s="19"/>
      <c r="Q789" s="19"/>
      <c r="R789" s="99">
        <v>785</v>
      </c>
    </row>
    <row r="790" spans="1:18" ht="20" x14ac:dyDescent="0.2">
      <c r="A790" s="58"/>
      <c r="B790" s="230" t="s">
        <v>2652</v>
      </c>
      <c r="C790" s="51" t="s">
        <v>3312</v>
      </c>
      <c r="D790" s="33" t="s">
        <v>173</v>
      </c>
      <c r="E790" s="33"/>
      <c r="F790" s="33"/>
      <c r="G790" s="33" t="s">
        <v>2876</v>
      </c>
      <c r="H790" s="33" t="s">
        <v>1546</v>
      </c>
      <c r="I790" s="233"/>
      <c r="J790" s="234"/>
      <c r="K790" s="241">
        <v>32</v>
      </c>
      <c r="L790" s="241">
        <v>40</v>
      </c>
      <c r="M790" s="131">
        <v>0.9</v>
      </c>
      <c r="N790" s="242">
        <f t="shared" si="70"/>
        <v>28.8</v>
      </c>
      <c r="O790" s="242">
        <f t="shared" si="71"/>
        <v>36</v>
      </c>
      <c r="P790" s="19"/>
      <c r="Q790" s="19"/>
      <c r="R790" s="99">
        <v>786</v>
      </c>
    </row>
    <row r="791" spans="1:18" ht="20" x14ac:dyDescent="0.2">
      <c r="A791" s="58"/>
      <c r="B791" s="230" t="s">
        <v>2632</v>
      </c>
      <c r="C791" s="51" t="s">
        <v>3316</v>
      </c>
      <c r="D791" s="33" t="s">
        <v>173</v>
      </c>
      <c r="E791" s="33"/>
      <c r="F791" s="33"/>
      <c r="G791" s="33" t="s">
        <v>2876</v>
      </c>
      <c r="H791" s="33" t="s">
        <v>2756</v>
      </c>
      <c r="I791" s="233"/>
      <c r="J791" s="234"/>
      <c r="K791" s="241">
        <v>57.6</v>
      </c>
      <c r="L791" s="241">
        <v>72</v>
      </c>
      <c r="M791" s="131">
        <v>0.9</v>
      </c>
      <c r="N791" s="242">
        <f t="shared" si="70"/>
        <v>51.84</v>
      </c>
      <c r="O791" s="242">
        <f t="shared" si="71"/>
        <v>64.8</v>
      </c>
      <c r="P791" s="19"/>
      <c r="Q791" s="19"/>
      <c r="R791" s="99">
        <v>787</v>
      </c>
    </row>
    <row r="792" spans="1:18" ht="20" x14ac:dyDescent="0.2">
      <c r="A792" s="58"/>
      <c r="B792" s="230" t="s">
        <v>1856</v>
      </c>
      <c r="C792" s="51" t="s">
        <v>3205</v>
      </c>
      <c r="D792" s="33" t="s">
        <v>173</v>
      </c>
      <c r="E792" s="33"/>
      <c r="F792" s="33"/>
      <c r="G792" s="33" t="s">
        <v>2876</v>
      </c>
      <c r="H792" s="33" t="s">
        <v>1550</v>
      </c>
      <c r="I792" s="233"/>
      <c r="J792" s="234"/>
      <c r="K792" s="241">
        <v>20</v>
      </c>
      <c r="L792" s="241">
        <v>25</v>
      </c>
      <c r="M792" s="131">
        <v>0.9</v>
      </c>
      <c r="N792" s="242">
        <f t="shared" si="70"/>
        <v>18</v>
      </c>
      <c r="O792" s="242">
        <f t="shared" si="71"/>
        <v>22.5</v>
      </c>
      <c r="P792" s="19"/>
      <c r="Q792" s="19"/>
      <c r="R792" s="99">
        <v>788</v>
      </c>
    </row>
    <row r="793" spans="1:18" ht="20" x14ac:dyDescent="0.2">
      <c r="A793" s="58"/>
      <c r="B793" s="230" t="s">
        <v>2718</v>
      </c>
      <c r="C793" s="51" t="s">
        <v>3317</v>
      </c>
      <c r="D793" s="33" t="s">
        <v>173</v>
      </c>
      <c r="E793" s="33"/>
      <c r="F793" s="33"/>
      <c r="G793" s="33" t="s">
        <v>2876</v>
      </c>
      <c r="H793" s="33"/>
      <c r="I793" s="233"/>
      <c r="J793" s="234"/>
      <c r="K793" s="99"/>
      <c r="L793" s="99"/>
      <c r="M793" s="99"/>
      <c r="N793" s="69"/>
      <c r="O793" s="69"/>
      <c r="P793" s="19"/>
      <c r="Q793" s="19"/>
      <c r="R793" s="99">
        <v>789</v>
      </c>
    </row>
    <row r="794" spans="1:18" ht="20" x14ac:dyDescent="0.2">
      <c r="A794" s="58"/>
      <c r="B794" s="230" t="s">
        <v>2693</v>
      </c>
      <c r="C794" s="51" t="s">
        <v>3380</v>
      </c>
      <c r="D794" s="33" t="s">
        <v>173</v>
      </c>
      <c r="E794" s="33"/>
      <c r="F794" s="33"/>
      <c r="G794" s="33" t="s">
        <v>2876</v>
      </c>
      <c r="H794" s="33" t="s">
        <v>1545</v>
      </c>
      <c r="I794" s="233"/>
      <c r="J794" s="234"/>
      <c r="K794" s="241">
        <v>16</v>
      </c>
      <c r="L794" s="241">
        <v>20</v>
      </c>
      <c r="M794" s="131">
        <v>0.9</v>
      </c>
      <c r="N794" s="242">
        <f t="shared" ref="N794:O797" si="72">K794*$M794</f>
        <v>14.4</v>
      </c>
      <c r="O794" s="242">
        <f t="shared" si="72"/>
        <v>18</v>
      </c>
      <c r="P794" s="19"/>
      <c r="Q794" s="19"/>
      <c r="R794" s="99">
        <v>790</v>
      </c>
    </row>
    <row r="795" spans="1:18" ht="20" x14ac:dyDescent="0.2">
      <c r="A795" s="58"/>
      <c r="B795" s="230" t="s">
        <v>2693</v>
      </c>
      <c r="C795" s="51" t="s">
        <v>3380</v>
      </c>
      <c r="D795" s="33" t="s">
        <v>173</v>
      </c>
      <c r="E795" s="33"/>
      <c r="F795" s="33"/>
      <c r="G795" s="33" t="s">
        <v>2876</v>
      </c>
      <c r="H795" s="33" t="s">
        <v>1549</v>
      </c>
      <c r="I795" s="233"/>
      <c r="J795" s="234"/>
      <c r="K795" s="241">
        <v>10</v>
      </c>
      <c r="L795" s="241">
        <v>12.5</v>
      </c>
      <c r="M795" s="131">
        <v>0.9</v>
      </c>
      <c r="N795" s="242">
        <f t="shared" si="72"/>
        <v>9</v>
      </c>
      <c r="O795" s="242">
        <f t="shared" si="72"/>
        <v>11.25</v>
      </c>
      <c r="P795" s="19"/>
      <c r="Q795" s="19"/>
      <c r="R795" s="99">
        <v>791</v>
      </c>
    </row>
    <row r="796" spans="1:18" ht="20" x14ac:dyDescent="0.2">
      <c r="A796" s="58"/>
      <c r="B796" s="230" t="s">
        <v>2714</v>
      </c>
      <c r="C796" s="51" t="s">
        <v>3712</v>
      </c>
      <c r="D796" s="33" t="s">
        <v>173</v>
      </c>
      <c r="E796" s="33"/>
      <c r="F796" s="33"/>
      <c r="G796" s="33" t="s">
        <v>2876</v>
      </c>
      <c r="H796" s="33" t="s">
        <v>1545</v>
      </c>
      <c r="I796" s="233"/>
      <c r="J796" s="234"/>
      <c r="K796" s="241">
        <v>13.3</v>
      </c>
      <c r="L796" s="241">
        <v>16.625</v>
      </c>
      <c r="M796" s="131">
        <v>0.9</v>
      </c>
      <c r="N796" s="242">
        <f t="shared" si="72"/>
        <v>11.97</v>
      </c>
      <c r="O796" s="242">
        <f t="shared" si="72"/>
        <v>14.9625</v>
      </c>
      <c r="P796" s="19"/>
      <c r="Q796" s="19"/>
      <c r="R796" s="99">
        <v>792</v>
      </c>
    </row>
    <row r="797" spans="1:18" ht="20" x14ac:dyDescent="0.2">
      <c r="A797" s="58"/>
      <c r="B797" s="230" t="s">
        <v>2633</v>
      </c>
      <c r="C797" s="51" t="s">
        <v>3322</v>
      </c>
      <c r="D797" s="33" t="s">
        <v>173</v>
      </c>
      <c r="E797" s="33"/>
      <c r="F797" s="33"/>
      <c r="G797" s="33" t="s">
        <v>2876</v>
      </c>
      <c r="H797" s="33" t="s">
        <v>1545</v>
      </c>
      <c r="I797" s="233"/>
      <c r="J797" s="234"/>
      <c r="K797" s="241">
        <v>32</v>
      </c>
      <c r="L797" s="241">
        <v>40</v>
      </c>
      <c r="M797" s="131">
        <v>0.9</v>
      </c>
      <c r="N797" s="242">
        <f t="shared" si="72"/>
        <v>28.8</v>
      </c>
      <c r="O797" s="242">
        <f t="shared" si="72"/>
        <v>36</v>
      </c>
      <c r="P797" s="19"/>
      <c r="Q797" s="19"/>
      <c r="R797" s="99">
        <v>793</v>
      </c>
    </row>
    <row r="798" spans="1:18" ht="20" x14ac:dyDescent="0.2">
      <c r="A798" s="58"/>
      <c r="B798" s="230" t="s">
        <v>1876</v>
      </c>
      <c r="C798" s="51" t="s">
        <v>3326</v>
      </c>
      <c r="D798" s="33" t="s">
        <v>173</v>
      </c>
      <c r="E798" s="33"/>
      <c r="F798" s="33"/>
      <c r="G798" s="33" t="s">
        <v>2876</v>
      </c>
      <c r="H798" s="33"/>
      <c r="I798" s="233"/>
      <c r="J798" s="234"/>
      <c r="K798" s="99"/>
      <c r="L798" s="99"/>
      <c r="M798" s="99"/>
      <c r="N798" s="69"/>
      <c r="O798" s="69"/>
      <c r="P798" s="19"/>
      <c r="Q798" s="19"/>
      <c r="R798" s="99">
        <v>794</v>
      </c>
    </row>
    <row r="799" spans="1:18" ht="20" x14ac:dyDescent="0.2">
      <c r="A799" s="58"/>
      <c r="B799" s="230" t="s">
        <v>2631</v>
      </c>
      <c r="C799" s="51" t="s">
        <v>3327</v>
      </c>
      <c r="D799" s="33" t="s">
        <v>173</v>
      </c>
      <c r="E799" s="33"/>
      <c r="F799" s="33"/>
      <c r="G799" s="33" t="s">
        <v>2876</v>
      </c>
      <c r="H799" s="33" t="s">
        <v>1545</v>
      </c>
      <c r="I799" s="233"/>
      <c r="J799" s="234"/>
      <c r="K799" s="241">
        <v>32</v>
      </c>
      <c r="L799" s="241">
        <v>40</v>
      </c>
      <c r="M799" s="131">
        <v>0.9</v>
      </c>
      <c r="N799" s="242">
        <f t="shared" ref="N799:O804" si="73">K799*$M799</f>
        <v>28.8</v>
      </c>
      <c r="O799" s="242">
        <f t="shared" si="73"/>
        <v>36</v>
      </c>
      <c r="P799" s="19"/>
      <c r="Q799" s="19"/>
      <c r="R799" s="99">
        <v>795</v>
      </c>
    </row>
    <row r="800" spans="1:18" ht="20" x14ac:dyDescent="0.2">
      <c r="A800" s="58"/>
      <c r="B800" s="230" t="s">
        <v>2326</v>
      </c>
      <c r="C800" s="51" t="s">
        <v>3162</v>
      </c>
      <c r="D800" s="33" t="s">
        <v>173</v>
      </c>
      <c r="E800" s="33">
        <v>49.455486499999999</v>
      </c>
      <c r="F800" s="33">
        <v>-117.5197117</v>
      </c>
      <c r="G800" s="33" t="s">
        <v>2876</v>
      </c>
      <c r="H800" s="33" t="s">
        <v>1545</v>
      </c>
      <c r="I800" s="233"/>
      <c r="J800" s="234"/>
      <c r="K800" s="241">
        <v>4.5</v>
      </c>
      <c r="L800" s="241">
        <v>7</v>
      </c>
      <c r="M800" s="131">
        <v>0.9</v>
      </c>
      <c r="N800" s="242">
        <f t="shared" si="73"/>
        <v>4.05</v>
      </c>
      <c r="O800" s="242">
        <f t="shared" si="73"/>
        <v>6.3</v>
      </c>
      <c r="P800" s="19"/>
      <c r="Q800" s="19"/>
      <c r="R800" s="99">
        <v>796</v>
      </c>
    </row>
    <row r="801" spans="1:18" ht="20" x14ac:dyDescent="0.2">
      <c r="A801" s="58"/>
      <c r="B801" s="230" t="s">
        <v>2700</v>
      </c>
      <c r="C801" s="51" t="s">
        <v>3707</v>
      </c>
      <c r="D801" s="33" t="s">
        <v>173</v>
      </c>
      <c r="E801" s="33"/>
      <c r="F801" s="33"/>
      <c r="G801" s="33" t="s">
        <v>2876</v>
      </c>
      <c r="H801" s="33" t="s">
        <v>1545</v>
      </c>
      <c r="I801" s="233"/>
      <c r="J801" s="234"/>
      <c r="K801" s="241">
        <v>10</v>
      </c>
      <c r="L801" s="241">
        <v>12.5</v>
      </c>
      <c r="M801" s="131">
        <v>0.9</v>
      </c>
      <c r="N801" s="242">
        <f t="shared" si="73"/>
        <v>9</v>
      </c>
      <c r="O801" s="242">
        <f t="shared" si="73"/>
        <v>11.25</v>
      </c>
      <c r="P801" s="19"/>
      <c r="Q801" s="19"/>
      <c r="R801" s="99">
        <v>797</v>
      </c>
    </row>
    <row r="802" spans="1:18" ht="20" x14ac:dyDescent="0.2">
      <c r="A802" s="58"/>
      <c r="B802" s="230" t="s">
        <v>308</v>
      </c>
      <c r="C802" s="51" t="s">
        <v>3542</v>
      </c>
      <c r="D802" s="33" t="s">
        <v>173</v>
      </c>
      <c r="E802" s="33"/>
      <c r="F802" s="33"/>
      <c r="G802" s="33" t="s">
        <v>2876</v>
      </c>
      <c r="H802" s="33" t="s">
        <v>1549</v>
      </c>
      <c r="I802" s="233"/>
      <c r="J802" s="234"/>
      <c r="K802" s="241">
        <v>20</v>
      </c>
      <c r="L802" s="241">
        <v>25</v>
      </c>
      <c r="M802" s="131">
        <v>0.9</v>
      </c>
      <c r="N802" s="242">
        <f t="shared" si="73"/>
        <v>18</v>
      </c>
      <c r="O802" s="242">
        <f t="shared" si="73"/>
        <v>22.5</v>
      </c>
      <c r="P802" s="19"/>
      <c r="Q802" s="19"/>
      <c r="R802" s="99">
        <v>798</v>
      </c>
    </row>
    <row r="803" spans="1:18" ht="20" x14ac:dyDescent="0.2">
      <c r="A803" s="58"/>
      <c r="B803" s="230" t="s">
        <v>2741</v>
      </c>
      <c r="C803" s="51" t="s">
        <v>3339</v>
      </c>
      <c r="D803" s="33" t="s">
        <v>173</v>
      </c>
      <c r="E803" s="33"/>
      <c r="F803" s="33"/>
      <c r="G803" s="33" t="s">
        <v>2876</v>
      </c>
      <c r="H803" s="33" t="s">
        <v>1545</v>
      </c>
      <c r="I803" s="233"/>
      <c r="J803" s="234"/>
      <c r="K803" s="241">
        <v>3.5</v>
      </c>
      <c r="L803" s="241">
        <v>3.5</v>
      </c>
      <c r="M803" s="131">
        <v>0.9</v>
      </c>
      <c r="N803" s="242">
        <f t="shared" si="73"/>
        <v>3.15</v>
      </c>
      <c r="O803" s="242">
        <f t="shared" si="73"/>
        <v>3.15</v>
      </c>
      <c r="P803" s="19"/>
      <c r="Q803" s="19"/>
      <c r="R803" s="99">
        <v>799</v>
      </c>
    </row>
    <row r="804" spans="1:18" ht="20" x14ac:dyDescent="0.2">
      <c r="A804" s="58"/>
      <c r="B804" s="230" t="s">
        <v>2681</v>
      </c>
      <c r="C804" s="51" t="s">
        <v>3345</v>
      </c>
      <c r="D804" s="33" t="s">
        <v>173</v>
      </c>
      <c r="E804" s="33"/>
      <c r="F804" s="33"/>
      <c r="G804" s="33" t="s">
        <v>2876</v>
      </c>
      <c r="H804" s="33" t="s">
        <v>1545</v>
      </c>
      <c r="I804" s="233"/>
      <c r="J804" s="234"/>
      <c r="K804" s="241">
        <v>15</v>
      </c>
      <c r="L804" s="241">
        <v>18.75</v>
      </c>
      <c r="M804" s="131">
        <v>0.9</v>
      </c>
      <c r="N804" s="242">
        <f t="shared" si="73"/>
        <v>13.5</v>
      </c>
      <c r="O804" s="242">
        <f t="shared" si="73"/>
        <v>16.875</v>
      </c>
      <c r="P804" s="19"/>
      <c r="Q804" s="19"/>
      <c r="R804" s="99">
        <v>800</v>
      </c>
    </row>
    <row r="805" spans="1:18" ht="20" x14ac:dyDescent="0.2">
      <c r="A805" s="58"/>
      <c r="B805" s="230" t="s">
        <v>2723</v>
      </c>
      <c r="C805" s="51" t="s">
        <v>3169</v>
      </c>
      <c r="D805" s="33" t="s">
        <v>173</v>
      </c>
      <c r="E805" s="33">
        <v>49.460113300000003</v>
      </c>
      <c r="F805" s="33">
        <v>-117.484182</v>
      </c>
      <c r="G805" s="33" t="s">
        <v>2876</v>
      </c>
      <c r="H805" s="33"/>
      <c r="I805" s="233"/>
      <c r="J805" s="234"/>
      <c r="K805" s="99"/>
      <c r="L805" s="99"/>
      <c r="M805" s="99"/>
      <c r="N805" s="69"/>
      <c r="O805" s="69"/>
      <c r="P805" s="19"/>
      <c r="Q805" s="19"/>
      <c r="R805" s="99">
        <v>801</v>
      </c>
    </row>
    <row r="806" spans="1:18" ht="20" x14ac:dyDescent="0.2">
      <c r="A806" s="58"/>
      <c r="B806" s="230" t="s">
        <v>3584</v>
      </c>
      <c r="C806" s="51" t="s">
        <v>3585</v>
      </c>
      <c r="D806" s="33" t="s">
        <v>173</v>
      </c>
      <c r="E806" s="33"/>
      <c r="F806" s="33"/>
      <c r="G806" s="33" t="s">
        <v>2876</v>
      </c>
      <c r="H806" s="33"/>
      <c r="I806" s="233"/>
      <c r="J806" s="234"/>
      <c r="K806" s="99"/>
      <c r="L806" s="99"/>
      <c r="M806" s="99"/>
      <c r="N806" s="69"/>
      <c r="O806" s="69"/>
      <c r="P806" s="19"/>
      <c r="Q806" s="19"/>
      <c r="R806" s="99">
        <v>802</v>
      </c>
    </row>
    <row r="807" spans="1:18" ht="20" x14ac:dyDescent="0.2">
      <c r="A807" s="58"/>
      <c r="B807" s="230" t="s">
        <v>2746</v>
      </c>
      <c r="C807" s="51" t="s">
        <v>3495</v>
      </c>
      <c r="D807" s="33" t="s">
        <v>173</v>
      </c>
      <c r="E807" s="33"/>
      <c r="F807" s="33"/>
      <c r="G807" s="33" t="s">
        <v>2876</v>
      </c>
      <c r="H807" s="33" t="s">
        <v>1545</v>
      </c>
      <c r="I807" s="233"/>
      <c r="J807" s="234"/>
      <c r="K807" s="241">
        <v>8</v>
      </c>
      <c r="L807" s="241">
        <v>10</v>
      </c>
      <c r="M807" s="131">
        <v>0.9</v>
      </c>
      <c r="N807" s="242">
        <f>K807*$M807</f>
        <v>7.2</v>
      </c>
      <c r="O807" s="242">
        <f>L807*$M807</f>
        <v>9</v>
      </c>
      <c r="P807" s="19"/>
      <c r="Q807" s="19"/>
      <c r="R807" s="99">
        <v>803</v>
      </c>
    </row>
    <row r="808" spans="1:18" ht="20" x14ac:dyDescent="0.2">
      <c r="A808" s="58"/>
      <c r="B808" s="230" t="s">
        <v>2746</v>
      </c>
      <c r="C808" s="51" t="s">
        <v>3495</v>
      </c>
      <c r="D808" s="33" t="s">
        <v>173</v>
      </c>
      <c r="E808" s="33"/>
      <c r="F808" s="33"/>
      <c r="G808" s="33" t="s">
        <v>2876</v>
      </c>
      <c r="H808" s="33" t="s">
        <v>1549</v>
      </c>
      <c r="I808" s="233"/>
      <c r="J808" s="234"/>
      <c r="K808" s="241">
        <v>10</v>
      </c>
      <c r="L808" s="241">
        <v>12.5</v>
      </c>
      <c r="M808" s="131">
        <v>0.9</v>
      </c>
      <c r="N808" s="242">
        <f>K808*$M808</f>
        <v>9</v>
      </c>
      <c r="O808" s="242">
        <f>L808*$M808</f>
        <v>11.25</v>
      </c>
      <c r="P808" s="19"/>
      <c r="Q808" s="19"/>
      <c r="R808" s="99">
        <v>804</v>
      </c>
    </row>
    <row r="809" spans="1:18" ht="20" x14ac:dyDescent="0.2">
      <c r="A809" s="58"/>
      <c r="B809" s="230" t="s">
        <v>1930</v>
      </c>
      <c r="C809" s="51" t="s">
        <v>3347</v>
      </c>
      <c r="D809" s="33" t="s">
        <v>173</v>
      </c>
      <c r="E809" s="33"/>
      <c r="F809" s="33"/>
      <c r="G809" s="33" t="s">
        <v>2876</v>
      </c>
      <c r="H809" s="33"/>
      <c r="I809" s="233"/>
      <c r="J809" s="234"/>
      <c r="K809" s="99"/>
      <c r="L809" s="99"/>
      <c r="M809" s="99"/>
      <c r="N809" s="69"/>
      <c r="O809" s="69"/>
      <c r="P809" s="19"/>
      <c r="Q809" s="19"/>
      <c r="R809" s="99">
        <v>805</v>
      </c>
    </row>
    <row r="810" spans="1:18" ht="20" x14ac:dyDescent="0.2">
      <c r="A810" s="58"/>
      <c r="B810" s="230" t="s">
        <v>1933</v>
      </c>
      <c r="C810" s="51" t="s">
        <v>3349</v>
      </c>
      <c r="D810" s="33" t="s">
        <v>173</v>
      </c>
      <c r="E810" s="33"/>
      <c r="F810" s="33"/>
      <c r="G810" s="33" t="s">
        <v>2876</v>
      </c>
      <c r="H810" s="33"/>
      <c r="I810" s="233"/>
      <c r="J810" s="234"/>
      <c r="K810" s="99"/>
      <c r="L810" s="99"/>
      <c r="M810" s="99"/>
      <c r="N810" s="69"/>
      <c r="O810" s="69"/>
      <c r="P810" s="19"/>
      <c r="Q810" s="19"/>
      <c r="R810" s="99">
        <v>806</v>
      </c>
    </row>
    <row r="811" spans="1:18" ht="20" x14ac:dyDescent="0.2">
      <c r="A811" s="58"/>
      <c r="B811" s="230" t="s">
        <v>2333</v>
      </c>
      <c r="C811" s="51" t="s">
        <v>3175</v>
      </c>
      <c r="D811" s="33" t="s">
        <v>173</v>
      </c>
      <c r="E811" s="33">
        <v>49.004674999999999</v>
      </c>
      <c r="F811" s="33">
        <v>-117.61599339999999</v>
      </c>
      <c r="G811" s="33" t="s">
        <v>2876</v>
      </c>
      <c r="H811" s="33"/>
      <c r="I811" s="233"/>
      <c r="J811" s="234"/>
      <c r="K811" s="99"/>
      <c r="L811" s="99"/>
      <c r="M811" s="99"/>
      <c r="N811" s="69"/>
      <c r="O811" s="69"/>
      <c r="P811" s="19"/>
      <c r="Q811" s="19"/>
      <c r="R811" s="99">
        <v>807</v>
      </c>
    </row>
    <row r="812" spans="1:18" ht="20" x14ac:dyDescent="0.2">
      <c r="A812" s="58"/>
      <c r="B812" s="230" t="s">
        <v>2332</v>
      </c>
      <c r="C812" s="51" t="s">
        <v>3174</v>
      </c>
      <c r="D812" s="33" t="s">
        <v>173</v>
      </c>
      <c r="E812" s="33">
        <v>49.004147699999997</v>
      </c>
      <c r="F812" s="33">
        <v>-117.6128674</v>
      </c>
      <c r="G812" s="33" t="s">
        <v>2876</v>
      </c>
      <c r="H812" s="33"/>
      <c r="I812" s="233"/>
      <c r="J812" s="234"/>
      <c r="K812" s="99"/>
      <c r="L812" s="99"/>
      <c r="M812" s="99"/>
      <c r="N812" s="69"/>
      <c r="O812" s="69"/>
      <c r="P812" s="19"/>
      <c r="Q812" s="19"/>
      <c r="R812" s="99">
        <v>808</v>
      </c>
    </row>
    <row r="813" spans="1:18" ht="20" x14ac:dyDescent="0.2">
      <c r="A813" s="58"/>
      <c r="B813" s="230" t="s">
        <v>3604</v>
      </c>
      <c r="C813" s="51" t="s">
        <v>3605</v>
      </c>
      <c r="D813" s="33" t="s">
        <v>173</v>
      </c>
      <c r="E813" s="33"/>
      <c r="F813" s="33"/>
      <c r="G813" s="33" t="s">
        <v>2876</v>
      </c>
      <c r="H813" s="33"/>
      <c r="I813" s="233"/>
      <c r="J813" s="234"/>
      <c r="K813" s="99"/>
      <c r="L813" s="99"/>
      <c r="M813" s="99"/>
      <c r="N813" s="69"/>
      <c r="O813" s="69"/>
      <c r="P813" s="19"/>
      <c r="Q813" s="19"/>
      <c r="R813" s="99">
        <v>809</v>
      </c>
    </row>
    <row r="814" spans="1:18" ht="20" x14ac:dyDescent="0.2">
      <c r="A814" s="58"/>
      <c r="B814" s="230" t="s">
        <v>1936</v>
      </c>
      <c r="C814" s="51" t="s">
        <v>3356</v>
      </c>
      <c r="D814" s="33" t="s">
        <v>173</v>
      </c>
      <c r="E814" s="33"/>
      <c r="F814" s="33"/>
      <c r="G814" s="33" t="s">
        <v>2876</v>
      </c>
      <c r="H814" s="33"/>
      <c r="I814" s="233"/>
      <c r="J814" s="234"/>
      <c r="K814" s="99"/>
      <c r="L814" s="99"/>
      <c r="M814" s="99"/>
      <c r="N814" s="69"/>
      <c r="O814" s="69"/>
      <c r="P814" s="19"/>
      <c r="Q814" s="19"/>
      <c r="R814" s="99">
        <v>810</v>
      </c>
    </row>
    <row r="815" spans="1:18" ht="20" x14ac:dyDescent="0.2">
      <c r="A815" s="58"/>
      <c r="B815" s="230" t="s">
        <v>2676</v>
      </c>
      <c r="C815" s="51" t="s">
        <v>3451</v>
      </c>
      <c r="D815" s="33" t="s">
        <v>173</v>
      </c>
      <c r="E815" s="33"/>
      <c r="F815" s="33"/>
      <c r="G815" s="33" t="s">
        <v>2876</v>
      </c>
      <c r="H815" s="33" t="s">
        <v>1545</v>
      </c>
      <c r="I815" s="233"/>
      <c r="J815" s="234"/>
      <c r="K815" s="241">
        <v>32</v>
      </c>
      <c r="L815" s="241">
        <v>40</v>
      </c>
      <c r="M815" s="131">
        <v>0.9</v>
      </c>
      <c r="N815" s="242">
        <f>K815*$M815</f>
        <v>28.8</v>
      </c>
      <c r="O815" s="242">
        <f>L815*$M815</f>
        <v>36</v>
      </c>
      <c r="P815" s="19"/>
      <c r="Q815" s="19"/>
      <c r="R815" s="99">
        <v>811</v>
      </c>
    </row>
    <row r="816" spans="1:18" ht="20" x14ac:dyDescent="0.2">
      <c r="A816" s="58"/>
      <c r="B816" s="230" t="s">
        <v>2680</v>
      </c>
      <c r="C816" s="51" t="s">
        <v>3351</v>
      </c>
      <c r="D816" s="33" t="s">
        <v>173</v>
      </c>
      <c r="E816" s="33"/>
      <c r="F816" s="33"/>
      <c r="G816" s="33" t="s">
        <v>2876</v>
      </c>
      <c r="H816" s="33" t="s">
        <v>1545</v>
      </c>
      <c r="I816" s="233"/>
      <c r="J816" s="234"/>
      <c r="K816" s="241">
        <v>8</v>
      </c>
      <c r="L816" s="241">
        <v>10</v>
      </c>
      <c r="M816" s="131">
        <v>0.9</v>
      </c>
      <c r="N816" s="242">
        <f>K816*$M816</f>
        <v>7.2</v>
      </c>
      <c r="O816" s="242">
        <f>L816*$M816</f>
        <v>9</v>
      </c>
      <c r="P816" s="19"/>
      <c r="Q816" s="19"/>
      <c r="R816" s="99">
        <v>812</v>
      </c>
    </row>
    <row r="817" spans="1:18" ht="20" x14ac:dyDescent="0.2">
      <c r="A817" s="58"/>
      <c r="B817" s="230" t="s">
        <v>2752</v>
      </c>
      <c r="C817" s="51" t="s">
        <v>3465</v>
      </c>
      <c r="D817" s="33" t="s">
        <v>173</v>
      </c>
      <c r="E817" s="33"/>
      <c r="F817" s="33"/>
      <c r="G817" s="33" t="s">
        <v>2876</v>
      </c>
      <c r="H817" s="33"/>
      <c r="I817" s="233"/>
      <c r="J817" s="234"/>
      <c r="K817" s="99"/>
      <c r="L817" s="99"/>
      <c r="M817" s="99"/>
      <c r="N817" s="69"/>
      <c r="O817" s="69"/>
      <c r="P817" s="19"/>
      <c r="Q817" s="19"/>
      <c r="R817" s="99">
        <v>813</v>
      </c>
    </row>
    <row r="818" spans="1:18" ht="20" x14ac:dyDescent="0.2">
      <c r="A818" s="58"/>
      <c r="B818" s="230" t="s">
        <v>2682</v>
      </c>
      <c r="C818" s="51" t="s">
        <v>3352</v>
      </c>
      <c r="D818" s="33" t="s">
        <v>173</v>
      </c>
      <c r="E818" s="33"/>
      <c r="F818" s="33"/>
      <c r="G818" s="33" t="s">
        <v>2876</v>
      </c>
      <c r="H818" s="33" t="s">
        <v>2756</v>
      </c>
      <c r="I818" s="233"/>
      <c r="J818" s="234"/>
      <c r="K818" s="241">
        <v>30</v>
      </c>
      <c r="L818" s="241">
        <v>37.5</v>
      </c>
      <c r="M818" s="131">
        <v>0.9</v>
      </c>
      <c r="N818" s="242">
        <f>K818*$M818</f>
        <v>27</v>
      </c>
      <c r="O818" s="242">
        <f>L818*$M818</f>
        <v>33.75</v>
      </c>
      <c r="P818" s="19"/>
      <c r="Q818" s="19"/>
      <c r="R818" s="99">
        <v>814</v>
      </c>
    </row>
    <row r="819" spans="1:18" ht="20" x14ac:dyDescent="0.2">
      <c r="A819" s="58"/>
      <c r="B819" s="230" t="s">
        <v>2716</v>
      </c>
      <c r="C819" s="51" t="s">
        <v>3357</v>
      </c>
      <c r="D819" s="33" t="s">
        <v>173</v>
      </c>
      <c r="E819" s="33"/>
      <c r="F819" s="33"/>
      <c r="G819" s="33" t="s">
        <v>2876</v>
      </c>
      <c r="H819" s="33" t="s">
        <v>1545</v>
      </c>
      <c r="I819" s="233"/>
      <c r="J819" s="234"/>
      <c r="K819" s="241">
        <v>1.5</v>
      </c>
      <c r="L819" s="241">
        <v>1.875</v>
      </c>
      <c r="M819" s="131">
        <v>0.9</v>
      </c>
      <c r="N819" s="242">
        <f>K819*$M819</f>
        <v>1.35</v>
      </c>
      <c r="O819" s="242">
        <f>L819*$M819</f>
        <v>1.6875</v>
      </c>
      <c r="P819" s="19"/>
      <c r="Q819" s="19"/>
      <c r="R819" s="99">
        <v>815</v>
      </c>
    </row>
    <row r="820" spans="1:18" x14ac:dyDescent="0.2">
      <c r="A820" s="6"/>
      <c r="B820" s="254"/>
      <c r="C820" s="254"/>
      <c r="D820" s="254"/>
      <c r="E820" s="254"/>
      <c r="F820" s="254"/>
      <c r="G820" s="254"/>
    </row>
    <row r="821" spans="1:18" x14ac:dyDescent="0.2">
      <c r="A821" s="6"/>
      <c r="B821" s="254"/>
      <c r="C821" s="254"/>
      <c r="D821" s="254"/>
      <c r="E821" s="254"/>
      <c r="F821" s="254"/>
      <c r="G821" s="254"/>
    </row>
    <row r="822" spans="1:18" ht="19" x14ac:dyDescent="0.2">
      <c r="A822" s="292" t="s">
        <v>2031</v>
      </c>
      <c r="B822" s="254"/>
      <c r="C822" s="254"/>
      <c r="D822" s="254"/>
      <c r="E822" s="254"/>
      <c r="F822" s="254"/>
      <c r="G822" s="254"/>
      <c r="H822" s="254"/>
      <c r="I822" s="254"/>
      <c r="J822" s="254"/>
      <c r="K822" s="254"/>
      <c r="L822" s="254"/>
      <c r="M822" s="254"/>
      <c r="N822" s="189"/>
      <c r="O822" s="254"/>
      <c r="R822" s="254"/>
    </row>
    <row r="823" spans="1:18" ht="19" x14ac:dyDescent="0.25">
      <c r="A823" s="7" t="s">
        <v>3741</v>
      </c>
      <c r="B823" s="254"/>
      <c r="C823" s="254"/>
      <c r="D823" s="254"/>
      <c r="E823" s="254"/>
      <c r="F823" s="254"/>
      <c r="G823" s="254"/>
      <c r="H823" s="254"/>
      <c r="I823" s="254"/>
      <c r="J823" s="254"/>
      <c r="K823" s="254"/>
      <c r="L823" s="254"/>
      <c r="M823" s="254"/>
      <c r="N823" s="189"/>
      <c r="O823" s="254"/>
      <c r="R823" s="254"/>
    </row>
    <row r="824" spans="1:18" ht="19" x14ac:dyDescent="0.25">
      <c r="A824" s="7" t="s">
        <v>3592</v>
      </c>
      <c r="B824" s="254"/>
      <c r="C824" s="254"/>
      <c r="D824" s="254"/>
      <c r="E824" s="254"/>
      <c r="F824" s="254"/>
      <c r="G824" s="254"/>
      <c r="H824" s="254"/>
      <c r="I824" s="254"/>
      <c r="J824" s="254"/>
      <c r="K824" s="254"/>
      <c r="L824" s="254"/>
      <c r="M824" s="254"/>
      <c r="N824" s="189"/>
      <c r="O824" s="254"/>
      <c r="R824" s="254"/>
    </row>
    <row r="825" spans="1:18" ht="19" x14ac:dyDescent="0.25">
      <c r="A825" s="7" t="s">
        <v>3593</v>
      </c>
      <c r="B825" s="254"/>
      <c r="C825" s="254"/>
      <c r="D825" s="254"/>
      <c r="E825" s="254"/>
      <c r="F825" s="254"/>
      <c r="G825" s="254"/>
      <c r="H825" s="254"/>
      <c r="I825" s="254"/>
      <c r="J825" s="254"/>
      <c r="K825" s="254"/>
      <c r="L825" s="254"/>
      <c r="M825" s="254"/>
      <c r="N825" s="189"/>
      <c r="O825" s="254"/>
      <c r="R825" s="254"/>
    </row>
    <row r="826" spans="1:18" ht="19" x14ac:dyDescent="0.25">
      <c r="A826" s="7" t="s">
        <v>3594</v>
      </c>
      <c r="B826" s="254"/>
      <c r="C826" s="254"/>
      <c r="D826" s="254"/>
      <c r="E826" s="254"/>
      <c r="F826" s="254"/>
      <c r="G826" s="254"/>
      <c r="H826" s="254"/>
      <c r="I826" s="254"/>
      <c r="J826" s="254"/>
      <c r="K826" s="254"/>
      <c r="L826" s="254"/>
      <c r="M826" s="254"/>
      <c r="N826" s="189"/>
      <c r="O826" s="254"/>
      <c r="R826" s="254"/>
    </row>
    <row r="827" spans="1:18" ht="19" x14ac:dyDescent="0.25">
      <c r="A827" s="7" t="s">
        <v>3595</v>
      </c>
      <c r="B827" s="254"/>
      <c r="C827" s="254"/>
      <c r="D827" s="254"/>
      <c r="E827" s="254"/>
      <c r="F827" s="254"/>
      <c r="G827" s="254"/>
      <c r="H827" s="254"/>
      <c r="I827" s="254"/>
      <c r="J827" s="254"/>
      <c r="K827" s="254"/>
      <c r="L827" s="254"/>
      <c r="M827" s="254"/>
      <c r="N827" s="189"/>
      <c r="O827" s="254"/>
      <c r="R827" s="254"/>
    </row>
    <row r="828" spans="1:18" ht="19" x14ac:dyDescent="0.25">
      <c r="A828" s="7" t="s">
        <v>3742</v>
      </c>
      <c r="B828" s="254"/>
      <c r="C828" s="254"/>
      <c r="D828" s="254"/>
      <c r="E828" s="254"/>
      <c r="F828" s="254"/>
      <c r="G828" s="254"/>
      <c r="H828" s="254"/>
      <c r="I828" s="254"/>
      <c r="J828" s="254"/>
      <c r="K828" s="254"/>
      <c r="L828" s="254"/>
      <c r="M828" s="254"/>
      <c r="N828" s="189"/>
      <c r="O828" s="254"/>
      <c r="R828" s="254"/>
    </row>
    <row r="829" spans="1:18" ht="19" x14ac:dyDescent="0.25">
      <c r="A829" s="7" t="s">
        <v>3743</v>
      </c>
      <c r="B829" s="254"/>
      <c r="C829" s="254"/>
      <c r="D829" s="254"/>
      <c r="E829" s="254"/>
      <c r="F829" s="254"/>
      <c r="G829" s="254"/>
      <c r="H829" s="254"/>
      <c r="I829" s="254"/>
      <c r="J829" s="254"/>
      <c r="K829" s="254"/>
      <c r="L829" s="254"/>
      <c r="M829" s="254"/>
      <c r="N829" s="189"/>
      <c r="O829" s="254"/>
      <c r="R829" s="254"/>
    </row>
    <row r="830" spans="1:18" ht="19" x14ac:dyDescent="0.25">
      <c r="A830" s="7" t="s">
        <v>3596</v>
      </c>
      <c r="B830" s="254"/>
      <c r="C830" s="254"/>
      <c r="D830" s="254"/>
      <c r="E830" s="254"/>
      <c r="F830" s="254"/>
      <c r="G830" s="254"/>
      <c r="H830" s="254"/>
      <c r="I830" s="254"/>
      <c r="J830" s="254"/>
      <c r="K830" s="254"/>
      <c r="L830" s="254"/>
      <c r="M830" s="254"/>
      <c r="N830" s="189"/>
      <c r="O830" s="254"/>
      <c r="R830" s="254"/>
    </row>
    <row r="831" spans="1:18" ht="19" x14ac:dyDescent="0.25">
      <c r="A831" s="7" t="s">
        <v>2032</v>
      </c>
      <c r="B831" s="254"/>
      <c r="C831" s="254"/>
      <c r="D831" s="254"/>
      <c r="E831" s="254"/>
      <c r="F831" s="254"/>
      <c r="G831" s="254"/>
      <c r="H831" s="254"/>
      <c r="I831" s="254"/>
      <c r="J831" s="254"/>
      <c r="K831" s="254"/>
      <c r="L831" s="254"/>
      <c r="M831" s="254"/>
      <c r="N831" s="189"/>
      <c r="O831" s="254"/>
      <c r="R831" s="254"/>
    </row>
    <row r="832" spans="1:18" ht="19" x14ac:dyDescent="0.25">
      <c r="A832" s="7" t="s">
        <v>2033</v>
      </c>
      <c r="B832" s="254"/>
      <c r="C832" s="254"/>
      <c r="D832" s="254"/>
      <c r="E832" s="254"/>
      <c r="F832" s="254"/>
      <c r="G832" s="254"/>
      <c r="H832" s="254"/>
      <c r="I832" s="41"/>
      <c r="J832" s="254"/>
      <c r="K832" s="254"/>
      <c r="L832" s="41"/>
      <c r="M832" s="41"/>
      <c r="O832" s="254"/>
      <c r="R832" s="254"/>
    </row>
    <row r="833" spans="1:32" ht="19" x14ac:dyDescent="0.25">
      <c r="A833" s="7" t="s">
        <v>3597</v>
      </c>
      <c r="B833" s="254"/>
      <c r="C833" s="254"/>
      <c r="D833" s="254"/>
      <c r="E833" s="254"/>
      <c r="F833" s="254"/>
      <c r="G833" s="254"/>
      <c r="H833" s="254"/>
      <c r="I833" s="254"/>
      <c r="J833" s="254"/>
      <c r="K833" s="254"/>
      <c r="L833" s="254"/>
      <c r="M833" s="254"/>
      <c r="N833" s="189"/>
      <c r="O833" s="254"/>
      <c r="R833" s="254"/>
    </row>
    <row r="834" spans="1:32" ht="19" x14ac:dyDescent="0.25">
      <c r="A834" s="7" t="s">
        <v>2034</v>
      </c>
      <c r="B834" s="254"/>
      <c r="C834" s="254"/>
      <c r="D834" s="254"/>
      <c r="E834" s="254"/>
      <c r="F834" s="254"/>
      <c r="G834" s="254"/>
      <c r="H834" s="254"/>
      <c r="I834" s="41"/>
      <c r="J834" s="254"/>
      <c r="K834" s="254"/>
      <c r="L834" s="41"/>
      <c r="M834" s="41"/>
      <c r="O834" s="254"/>
      <c r="R834" s="254"/>
    </row>
    <row r="835" spans="1:32" ht="19" x14ac:dyDescent="0.25">
      <c r="A835" s="7" t="s">
        <v>3598</v>
      </c>
      <c r="B835" s="254"/>
      <c r="C835" s="254"/>
      <c r="D835" s="254"/>
      <c r="E835" s="254"/>
      <c r="F835" s="254"/>
      <c r="G835" s="254"/>
      <c r="H835" s="254"/>
      <c r="I835" s="254"/>
      <c r="J835" s="254"/>
      <c r="K835" s="254"/>
      <c r="L835" s="254"/>
      <c r="M835" s="254"/>
      <c r="N835" s="189"/>
      <c r="O835" s="254"/>
      <c r="R835" s="254"/>
    </row>
    <row r="836" spans="1:32" x14ac:dyDescent="0.2">
      <c r="B836" s="41"/>
      <c r="C836" s="41"/>
      <c r="G836" s="38"/>
      <c r="H836" s="39"/>
      <c r="I836" s="39"/>
      <c r="J836" s="41"/>
      <c r="K836" s="41"/>
      <c r="L836" s="41"/>
      <c r="M836" s="41"/>
      <c r="P836" s="41"/>
      <c r="Q836" s="178"/>
      <c r="R836" s="41"/>
      <c r="S836" s="41"/>
      <c r="U836" s="90"/>
      <c r="V836" s="90"/>
      <c r="W836" s="90"/>
      <c r="X836" s="90"/>
      <c r="Z836" s="90"/>
      <c r="AA836" s="90"/>
      <c r="AB836" s="90"/>
      <c r="AC836" s="90"/>
      <c r="AD836" s="90"/>
      <c r="AE836" s="183"/>
      <c r="AF836" s="183"/>
    </row>
    <row r="837" spans="1:32" x14ac:dyDescent="0.2">
      <c r="B837" s="41"/>
      <c r="C837" s="41"/>
      <c r="G837" s="38"/>
      <c r="H837" s="39"/>
      <c r="I837" s="39"/>
      <c r="J837" s="41"/>
      <c r="K837" s="41"/>
      <c r="L837" s="41"/>
      <c r="M837" s="41"/>
      <c r="P837" s="41"/>
      <c r="Q837" s="178"/>
      <c r="R837" s="41"/>
      <c r="S837" s="41"/>
      <c r="U837" s="90"/>
      <c r="V837" s="90"/>
      <c r="W837" s="90"/>
      <c r="X837" s="90"/>
      <c r="Z837" s="90"/>
      <c r="AA837" s="90"/>
      <c r="AB837" s="90"/>
      <c r="AC837" s="90"/>
      <c r="AD837" s="90"/>
      <c r="AE837" s="183"/>
      <c r="AF837" s="183"/>
    </row>
    <row r="838" spans="1:32" x14ac:dyDescent="0.2">
      <c r="B838" s="254"/>
      <c r="C838" s="254"/>
      <c r="D838" s="254"/>
      <c r="E838" s="254"/>
      <c r="F838" s="254"/>
      <c r="G838" s="254"/>
    </row>
    <row r="839" spans="1:32" x14ac:dyDescent="0.2">
      <c r="B839" s="254"/>
      <c r="C839" s="254"/>
      <c r="D839" s="254"/>
      <c r="E839" s="254"/>
      <c r="F839" s="254"/>
      <c r="G839" s="254"/>
    </row>
    <row r="840" spans="1:32" x14ac:dyDescent="0.2">
      <c r="B840" s="254"/>
      <c r="C840" s="254"/>
      <c r="D840" s="254"/>
      <c r="E840" s="254"/>
      <c r="F840" s="254"/>
      <c r="G840" s="254"/>
    </row>
    <row r="841" spans="1:32" x14ac:dyDescent="0.2">
      <c r="B841" s="254"/>
      <c r="C841" s="254"/>
      <c r="D841" s="254"/>
      <c r="E841" s="254"/>
      <c r="F841" s="254"/>
      <c r="G841" s="254"/>
    </row>
    <row r="842" spans="1:32" x14ac:dyDescent="0.2">
      <c r="B842" s="254"/>
      <c r="C842" s="254"/>
      <c r="D842" s="254"/>
      <c r="E842" s="254"/>
      <c r="F842" s="254"/>
      <c r="G842" s="254"/>
    </row>
    <row r="843" spans="1:32" x14ac:dyDescent="0.2">
      <c r="B843" s="254"/>
      <c r="C843" s="254"/>
      <c r="D843" s="254"/>
      <c r="E843" s="254"/>
      <c r="F843" s="254"/>
      <c r="G843" s="254"/>
    </row>
    <row r="844" spans="1:32" x14ac:dyDescent="0.2">
      <c r="B844" s="254"/>
      <c r="C844" s="254"/>
      <c r="D844" s="254"/>
      <c r="E844" s="254"/>
      <c r="F844" s="254"/>
      <c r="G844" s="254"/>
    </row>
    <row r="845" spans="1:32" x14ac:dyDescent="0.2">
      <c r="B845" s="254"/>
      <c r="C845" s="254"/>
      <c r="D845" s="254"/>
      <c r="E845" s="254"/>
      <c r="F845" s="254"/>
      <c r="G845" s="254"/>
    </row>
    <row r="846" spans="1:32" x14ac:dyDescent="0.2">
      <c r="B846" s="254"/>
      <c r="C846" s="254"/>
      <c r="D846" s="254"/>
      <c r="E846" s="254"/>
      <c r="F846" s="254"/>
      <c r="G846" s="254"/>
    </row>
    <row r="847" spans="1:32" x14ac:dyDescent="0.2">
      <c r="B847" s="254"/>
      <c r="C847" s="254"/>
      <c r="D847" s="254"/>
      <c r="E847" s="254"/>
      <c r="F847" s="254"/>
      <c r="G847" s="254"/>
    </row>
    <row r="848" spans="1:32" x14ac:dyDescent="0.2">
      <c r="B848" s="254"/>
      <c r="C848" s="254"/>
      <c r="D848" s="254"/>
      <c r="E848" s="254"/>
      <c r="F848" s="254"/>
      <c r="G848" s="254"/>
    </row>
    <row r="849" spans="2:7" x14ac:dyDescent="0.2">
      <c r="B849" s="254"/>
      <c r="C849" s="254"/>
      <c r="D849" s="254"/>
      <c r="E849" s="254"/>
      <c r="F849" s="254"/>
      <c r="G849" s="254"/>
    </row>
    <row r="850" spans="2:7" x14ac:dyDescent="0.2">
      <c r="B850" s="254"/>
      <c r="C850" s="254"/>
      <c r="D850" s="254"/>
      <c r="E850" s="254"/>
      <c r="F850" s="254"/>
      <c r="G850" s="254"/>
    </row>
    <row r="851" spans="2:7" x14ac:dyDescent="0.2">
      <c r="B851" s="254"/>
      <c r="C851" s="254"/>
      <c r="D851" s="254"/>
      <c r="E851" s="254"/>
      <c r="F851" s="254"/>
      <c r="G851" s="254"/>
    </row>
    <row r="852" spans="2:7" x14ac:dyDescent="0.2">
      <c r="B852" s="254"/>
      <c r="C852" s="254"/>
      <c r="D852" s="254"/>
      <c r="E852" s="254"/>
      <c r="F852" s="254"/>
      <c r="G852" s="254"/>
    </row>
    <row r="853" spans="2:7" x14ac:dyDescent="0.2">
      <c r="B853" s="254"/>
      <c r="C853" s="254"/>
      <c r="D853" s="254"/>
      <c r="E853" s="254"/>
      <c r="F853" s="254"/>
      <c r="G853" s="254"/>
    </row>
    <row r="854" spans="2:7" x14ac:dyDescent="0.2">
      <c r="B854" s="254"/>
      <c r="C854" s="254"/>
      <c r="D854" s="254"/>
      <c r="E854" s="254"/>
      <c r="F854" s="254"/>
      <c r="G854" s="254"/>
    </row>
    <row r="855" spans="2:7" x14ac:dyDescent="0.2">
      <c r="B855" s="254"/>
      <c r="C855" s="254"/>
      <c r="D855" s="254"/>
      <c r="E855" s="254"/>
      <c r="F855" s="254"/>
      <c r="G855" s="254"/>
    </row>
    <row r="856" spans="2:7" x14ac:dyDescent="0.2">
      <c r="B856" s="254"/>
      <c r="C856" s="254"/>
      <c r="D856" s="254"/>
      <c r="E856" s="254"/>
      <c r="F856" s="254"/>
      <c r="G856" s="254"/>
    </row>
    <row r="857" spans="2:7" x14ac:dyDescent="0.2">
      <c r="B857" s="254"/>
      <c r="C857" s="254"/>
      <c r="D857" s="254"/>
      <c r="E857" s="254"/>
      <c r="F857" s="254"/>
      <c r="G857" s="254"/>
    </row>
    <row r="858" spans="2:7" x14ac:dyDescent="0.2">
      <c r="B858" s="254"/>
      <c r="C858" s="254"/>
      <c r="D858" s="254"/>
      <c r="E858" s="254"/>
      <c r="F858" s="254"/>
      <c r="G858" s="254"/>
    </row>
    <row r="859" spans="2:7" x14ac:dyDescent="0.2">
      <c r="B859" s="254"/>
      <c r="C859" s="254"/>
      <c r="D859" s="254"/>
      <c r="E859" s="254"/>
      <c r="F859" s="254"/>
      <c r="G859" s="254"/>
    </row>
    <row r="860" spans="2:7" x14ac:dyDescent="0.2">
      <c r="B860" s="254"/>
      <c r="C860" s="254"/>
      <c r="D860" s="254"/>
      <c r="E860" s="254"/>
      <c r="F860" s="254"/>
      <c r="G860" s="254"/>
    </row>
    <row r="861" spans="2:7" x14ac:dyDescent="0.2">
      <c r="B861" s="254"/>
      <c r="C861" s="254"/>
      <c r="D861" s="254"/>
      <c r="E861" s="254"/>
      <c r="F861" s="254"/>
      <c r="G861" s="254"/>
    </row>
    <row r="862" spans="2:7" x14ac:dyDescent="0.2">
      <c r="B862" s="254"/>
      <c r="C862" s="254"/>
      <c r="D862" s="254"/>
      <c r="E862" s="254"/>
      <c r="F862" s="254"/>
      <c r="G862" s="254"/>
    </row>
    <row r="863" spans="2:7" x14ac:dyDescent="0.2">
      <c r="B863" s="254"/>
      <c r="C863" s="254"/>
      <c r="D863" s="254"/>
      <c r="E863" s="254"/>
      <c r="F863" s="254"/>
      <c r="G863" s="254"/>
    </row>
    <row r="864" spans="2:7" x14ac:dyDescent="0.2">
      <c r="B864" s="254"/>
      <c r="C864" s="254"/>
      <c r="D864" s="254"/>
      <c r="E864" s="254"/>
      <c r="F864" s="254"/>
      <c r="G864" s="254"/>
    </row>
    <row r="865" spans="2:7" x14ac:dyDescent="0.2">
      <c r="B865" s="254"/>
      <c r="C865" s="254"/>
      <c r="D865" s="254"/>
      <c r="E865" s="254"/>
      <c r="F865" s="254"/>
      <c r="G865" s="254"/>
    </row>
    <row r="866" spans="2:7" x14ac:dyDescent="0.2">
      <c r="B866" s="254"/>
      <c r="C866" s="254"/>
      <c r="D866" s="254"/>
      <c r="E866" s="254"/>
      <c r="F866" s="254"/>
      <c r="G866" s="254"/>
    </row>
    <row r="867" spans="2:7" x14ac:dyDescent="0.2">
      <c r="B867" s="254"/>
      <c r="C867" s="254"/>
      <c r="D867" s="254"/>
      <c r="E867" s="254"/>
      <c r="F867" s="254"/>
      <c r="G867" s="254"/>
    </row>
    <row r="868" spans="2:7" x14ac:dyDescent="0.2">
      <c r="B868" s="254"/>
      <c r="C868" s="254"/>
      <c r="D868" s="254"/>
      <c r="E868" s="254"/>
      <c r="F868" s="254"/>
      <c r="G868" s="254"/>
    </row>
    <row r="869" spans="2:7" x14ac:dyDescent="0.2">
      <c r="B869" s="254"/>
      <c r="C869" s="254"/>
      <c r="D869" s="254"/>
      <c r="E869" s="254"/>
      <c r="F869" s="254"/>
      <c r="G869" s="254"/>
    </row>
    <row r="870" spans="2:7" x14ac:dyDescent="0.2">
      <c r="B870" s="254"/>
      <c r="C870" s="254"/>
      <c r="D870" s="254"/>
      <c r="E870" s="254"/>
      <c r="F870" s="254"/>
      <c r="G870" s="254"/>
    </row>
    <row r="871" spans="2:7" x14ac:dyDescent="0.2">
      <c r="B871" s="254"/>
      <c r="C871" s="254"/>
      <c r="D871" s="254"/>
      <c r="E871" s="254"/>
      <c r="F871" s="254"/>
      <c r="G871" s="254"/>
    </row>
    <row r="872" spans="2:7" x14ac:dyDescent="0.2">
      <c r="B872" s="254"/>
      <c r="C872" s="254"/>
      <c r="D872" s="254"/>
      <c r="E872" s="254"/>
      <c r="F872" s="254"/>
      <c r="G872" s="254"/>
    </row>
    <row r="873" spans="2:7" x14ac:dyDescent="0.2">
      <c r="B873" s="254"/>
      <c r="C873" s="254"/>
      <c r="D873" s="254"/>
      <c r="E873" s="254"/>
      <c r="F873" s="254"/>
      <c r="G873" s="254"/>
    </row>
    <row r="874" spans="2:7" x14ac:dyDescent="0.2">
      <c r="B874" s="254"/>
      <c r="C874" s="254"/>
      <c r="D874" s="254"/>
      <c r="E874" s="254"/>
      <c r="F874" s="254"/>
      <c r="G874" s="254"/>
    </row>
    <row r="875" spans="2:7" x14ac:dyDescent="0.2">
      <c r="B875" s="254"/>
      <c r="C875" s="254"/>
      <c r="D875" s="254"/>
      <c r="E875" s="254"/>
      <c r="F875" s="254"/>
      <c r="G875" s="254"/>
    </row>
    <row r="876" spans="2:7" x14ac:dyDescent="0.2">
      <c r="B876" s="254"/>
      <c r="C876" s="254"/>
      <c r="D876" s="254"/>
      <c r="E876" s="254"/>
      <c r="F876" s="254"/>
      <c r="G876" s="254"/>
    </row>
    <row r="877" spans="2:7" x14ac:dyDescent="0.2">
      <c r="B877" s="254"/>
      <c r="C877" s="254"/>
      <c r="D877" s="254"/>
      <c r="E877" s="254"/>
      <c r="F877" s="254"/>
      <c r="G877" s="254"/>
    </row>
    <row r="878" spans="2:7" x14ac:dyDescent="0.2">
      <c r="B878" s="254"/>
      <c r="C878" s="254"/>
      <c r="D878" s="254"/>
      <c r="E878" s="254"/>
      <c r="F878" s="254"/>
      <c r="G878" s="254"/>
    </row>
    <row r="879" spans="2:7" x14ac:dyDescent="0.2">
      <c r="B879" s="254"/>
      <c r="C879" s="254"/>
      <c r="D879" s="254"/>
      <c r="E879" s="254"/>
      <c r="F879" s="254"/>
      <c r="G879" s="254"/>
    </row>
    <row r="880" spans="2:7" x14ac:dyDescent="0.2">
      <c r="B880" s="254"/>
      <c r="C880" s="254"/>
      <c r="D880" s="254"/>
      <c r="E880" s="254"/>
      <c r="F880" s="254"/>
      <c r="G880" s="254"/>
    </row>
    <row r="881" spans="2:7" x14ac:dyDescent="0.2">
      <c r="B881" s="254"/>
      <c r="C881" s="254"/>
      <c r="D881" s="254"/>
      <c r="E881" s="254"/>
      <c r="F881" s="254"/>
      <c r="G881" s="254"/>
    </row>
    <row r="882" spans="2:7" x14ac:dyDescent="0.2">
      <c r="B882" s="254"/>
      <c r="C882" s="254"/>
      <c r="D882" s="254"/>
      <c r="E882" s="254"/>
      <c r="F882" s="254"/>
      <c r="G882" s="254"/>
    </row>
    <row r="883" spans="2:7" x14ac:dyDescent="0.2">
      <c r="B883" s="254"/>
      <c r="C883" s="254"/>
      <c r="D883" s="254"/>
      <c r="E883" s="254"/>
      <c r="F883" s="254"/>
      <c r="G883" s="254"/>
    </row>
    <row r="884" spans="2:7" x14ac:dyDescent="0.2">
      <c r="B884" s="254"/>
      <c r="C884" s="254"/>
      <c r="D884" s="254"/>
      <c r="E884" s="254"/>
      <c r="F884" s="254"/>
      <c r="G884" s="254"/>
    </row>
    <row r="885" spans="2:7" x14ac:dyDescent="0.2">
      <c r="B885" s="254"/>
      <c r="C885" s="254"/>
      <c r="D885" s="254"/>
      <c r="E885" s="254"/>
      <c r="F885" s="254"/>
      <c r="G885" s="254"/>
    </row>
    <row r="886" spans="2:7" x14ac:dyDescent="0.2">
      <c r="B886" s="254"/>
      <c r="C886" s="254"/>
      <c r="D886" s="254"/>
      <c r="E886" s="254"/>
      <c r="F886" s="254"/>
      <c r="G886" s="254"/>
    </row>
    <row r="887" spans="2:7" x14ac:dyDescent="0.2">
      <c r="B887" s="254"/>
      <c r="C887" s="254"/>
      <c r="D887" s="254"/>
      <c r="E887" s="254"/>
      <c r="F887" s="254"/>
      <c r="G887" s="254"/>
    </row>
    <row r="888" spans="2:7" x14ac:dyDescent="0.2">
      <c r="B888" s="254"/>
      <c r="C888" s="254"/>
      <c r="D888" s="254"/>
      <c r="E888" s="254"/>
      <c r="F888" s="254"/>
      <c r="G888" s="254"/>
    </row>
    <row r="889" spans="2:7" x14ac:dyDescent="0.2">
      <c r="B889" s="254"/>
      <c r="C889" s="254"/>
      <c r="D889" s="254"/>
      <c r="E889" s="254"/>
      <c r="F889" s="254"/>
      <c r="G889" s="254"/>
    </row>
    <row r="890" spans="2:7" x14ac:dyDescent="0.2">
      <c r="B890" s="254"/>
      <c r="C890" s="254"/>
      <c r="D890" s="254"/>
      <c r="E890" s="254"/>
      <c r="F890" s="254"/>
      <c r="G890" s="254"/>
    </row>
    <row r="891" spans="2:7" x14ac:dyDescent="0.2">
      <c r="B891" s="254"/>
      <c r="C891" s="254"/>
      <c r="D891" s="254"/>
      <c r="E891" s="254"/>
      <c r="F891" s="254"/>
      <c r="G891" s="254"/>
    </row>
    <row r="892" spans="2:7" x14ac:dyDescent="0.2">
      <c r="B892" s="254"/>
      <c r="C892" s="254"/>
      <c r="D892" s="254"/>
      <c r="E892" s="254"/>
      <c r="F892" s="254"/>
      <c r="G892" s="254"/>
    </row>
    <row r="893" spans="2:7" x14ac:dyDescent="0.2">
      <c r="B893" s="254"/>
      <c r="C893" s="254"/>
      <c r="D893" s="254"/>
      <c r="E893" s="254"/>
      <c r="F893" s="254"/>
      <c r="G893" s="254"/>
    </row>
    <row r="894" spans="2:7" x14ac:dyDescent="0.2">
      <c r="B894" s="254"/>
      <c r="C894" s="254"/>
      <c r="D894" s="254"/>
      <c r="E894" s="254"/>
      <c r="F894" s="254"/>
      <c r="G894" s="254"/>
    </row>
    <row r="895" spans="2:7" x14ac:dyDescent="0.2">
      <c r="B895" s="254"/>
      <c r="C895" s="254"/>
      <c r="D895" s="254"/>
      <c r="E895" s="254"/>
      <c r="F895" s="254"/>
      <c r="G895" s="254"/>
    </row>
    <row r="896" spans="2:7" x14ac:dyDescent="0.2">
      <c r="B896" s="254"/>
      <c r="C896" s="254"/>
      <c r="D896" s="254"/>
      <c r="E896" s="254"/>
      <c r="F896" s="254"/>
      <c r="G896" s="254"/>
    </row>
    <row r="897" spans="2:7" x14ac:dyDescent="0.2">
      <c r="B897" s="254"/>
      <c r="C897" s="254"/>
      <c r="D897" s="254"/>
      <c r="E897" s="254"/>
      <c r="F897" s="254"/>
      <c r="G897" s="254"/>
    </row>
    <row r="898" spans="2:7" x14ac:dyDescent="0.2">
      <c r="B898" s="254"/>
      <c r="C898" s="254"/>
      <c r="D898" s="254"/>
      <c r="E898" s="254"/>
      <c r="F898" s="254"/>
      <c r="G898" s="254"/>
    </row>
    <row r="899" spans="2:7" x14ac:dyDescent="0.2">
      <c r="B899" s="254"/>
      <c r="C899" s="254"/>
      <c r="D899" s="254"/>
      <c r="E899" s="254"/>
      <c r="F899" s="254"/>
      <c r="G899" s="254"/>
    </row>
    <row r="900" spans="2:7" x14ac:dyDescent="0.2">
      <c r="B900" s="254"/>
      <c r="C900" s="254"/>
      <c r="D900" s="254"/>
      <c r="E900" s="254"/>
      <c r="F900" s="254"/>
      <c r="G900" s="254"/>
    </row>
    <row r="901" spans="2:7" x14ac:dyDescent="0.2">
      <c r="B901" s="254"/>
      <c r="C901" s="254"/>
      <c r="D901" s="254"/>
      <c r="E901" s="254"/>
      <c r="F901" s="254"/>
      <c r="G901" s="254"/>
    </row>
    <row r="902" spans="2:7" x14ac:dyDescent="0.2">
      <c r="B902" s="254"/>
      <c r="C902" s="254"/>
      <c r="D902" s="254"/>
      <c r="E902" s="254"/>
      <c r="F902" s="254"/>
      <c r="G902" s="254"/>
    </row>
    <row r="903" spans="2:7" x14ac:dyDescent="0.2">
      <c r="B903" s="254"/>
      <c r="C903" s="254"/>
      <c r="D903" s="254"/>
      <c r="E903" s="254"/>
      <c r="F903" s="254"/>
      <c r="G903" s="254"/>
    </row>
    <row r="904" spans="2:7" x14ac:dyDescent="0.2">
      <c r="B904" s="254"/>
      <c r="C904" s="254"/>
      <c r="D904" s="254"/>
      <c r="E904" s="254"/>
      <c r="F904" s="254"/>
      <c r="G904" s="254"/>
    </row>
    <row r="905" spans="2:7" x14ac:dyDescent="0.2">
      <c r="B905" s="254"/>
      <c r="C905" s="254"/>
      <c r="D905" s="254"/>
      <c r="E905" s="254"/>
      <c r="F905" s="254"/>
      <c r="G905" s="254"/>
    </row>
    <row r="906" spans="2:7" x14ac:dyDescent="0.2">
      <c r="B906" s="254"/>
      <c r="C906" s="254"/>
      <c r="D906" s="254"/>
      <c r="E906" s="254"/>
      <c r="F906" s="254"/>
      <c r="G906" s="254"/>
    </row>
    <row r="907" spans="2:7" x14ac:dyDescent="0.2">
      <c r="B907" s="254"/>
      <c r="C907" s="254"/>
      <c r="D907" s="254"/>
      <c r="E907" s="254"/>
      <c r="F907" s="254"/>
      <c r="G907" s="254"/>
    </row>
    <row r="908" spans="2:7" x14ac:dyDescent="0.2">
      <c r="B908" s="254"/>
      <c r="C908" s="254"/>
      <c r="D908" s="254"/>
      <c r="E908" s="254"/>
      <c r="F908" s="254"/>
      <c r="G908" s="254"/>
    </row>
    <row r="909" spans="2:7" x14ac:dyDescent="0.2">
      <c r="B909" s="254"/>
      <c r="C909" s="254"/>
      <c r="D909" s="254"/>
      <c r="E909" s="254"/>
      <c r="F909" s="254"/>
      <c r="G909" s="254"/>
    </row>
    <row r="910" spans="2:7" x14ac:dyDescent="0.2">
      <c r="B910" s="254"/>
      <c r="C910" s="254"/>
      <c r="D910" s="254"/>
      <c r="E910" s="254"/>
      <c r="F910" s="254"/>
      <c r="G910" s="254"/>
    </row>
    <row r="911" spans="2:7" x14ac:dyDescent="0.2">
      <c r="B911" s="254"/>
      <c r="C911" s="254"/>
      <c r="D911" s="254"/>
      <c r="E911" s="254"/>
      <c r="F911" s="254"/>
      <c r="G911" s="254"/>
    </row>
    <row r="912" spans="2:7" x14ac:dyDescent="0.2">
      <c r="B912" s="254"/>
      <c r="C912" s="254"/>
      <c r="D912" s="254"/>
      <c r="E912" s="254"/>
      <c r="F912" s="254"/>
      <c r="G912" s="254"/>
    </row>
    <row r="913" spans="2:7" x14ac:dyDescent="0.2">
      <c r="B913" s="254"/>
      <c r="C913" s="254"/>
      <c r="D913" s="254"/>
      <c r="E913" s="254"/>
      <c r="F913" s="254"/>
      <c r="G913" s="254"/>
    </row>
    <row r="914" spans="2:7" x14ac:dyDescent="0.2">
      <c r="B914" s="254"/>
      <c r="C914" s="254"/>
      <c r="D914" s="254"/>
      <c r="E914" s="254"/>
      <c r="F914" s="254"/>
      <c r="G914" s="254"/>
    </row>
    <row r="915" spans="2:7" x14ac:dyDescent="0.2">
      <c r="B915" s="254"/>
      <c r="C915" s="254"/>
      <c r="D915" s="254"/>
      <c r="E915" s="254"/>
      <c r="F915" s="254"/>
      <c r="G915" s="254"/>
    </row>
    <row r="916" spans="2:7" x14ac:dyDescent="0.2">
      <c r="B916" s="254"/>
      <c r="C916" s="254"/>
      <c r="D916" s="254"/>
      <c r="E916" s="254"/>
      <c r="F916" s="254"/>
      <c r="G916" s="254"/>
    </row>
    <row r="917" spans="2:7" x14ac:dyDescent="0.2">
      <c r="B917" s="254"/>
      <c r="C917" s="254"/>
      <c r="D917" s="254"/>
      <c r="E917" s="254"/>
      <c r="F917" s="254"/>
      <c r="G917" s="254"/>
    </row>
    <row r="918" spans="2:7" x14ac:dyDescent="0.2">
      <c r="B918" s="254"/>
      <c r="C918" s="254"/>
      <c r="D918" s="254"/>
      <c r="E918" s="254"/>
      <c r="F918" s="254"/>
      <c r="G918" s="254"/>
    </row>
    <row r="919" spans="2:7" x14ac:dyDescent="0.2">
      <c r="B919" s="254"/>
      <c r="C919" s="254"/>
      <c r="D919" s="254"/>
      <c r="E919" s="254"/>
      <c r="F919" s="254"/>
      <c r="G919" s="254"/>
    </row>
    <row r="920" spans="2:7" x14ac:dyDescent="0.2">
      <c r="B920" s="254"/>
      <c r="C920" s="254"/>
      <c r="D920" s="254"/>
      <c r="E920" s="254"/>
      <c r="F920" s="254"/>
      <c r="G920" s="254"/>
    </row>
    <row r="921" spans="2:7" x14ac:dyDescent="0.2">
      <c r="B921" s="254"/>
      <c r="C921" s="254"/>
      <c r="D921" s="254"/>
      <c r="E921" s="254"/>
      <c r="F921" s="254"/>
      <c r="G921" s="254"/>
    </row>
    <row r="922" spans="2:7" x14ac:dyDescent="0.2">
      <c r="B922" s="254"/>
      <c r="C922" s="254"/>
      <c r="D922" s="254"/>
      <c r="E922" s="254"/>
      <c r="F922" s="254"/>
      <c r="G922" s="254"/>
    </row>
    <row r="923" spans="2:7" x14ac:dyDescent="0.2">
      <c r="B923" s="254"/>
      <c r="C923" s="254"/>
      <c r="D923" s="254"/>
      <c r="E923" s="254"/>
      <c r="F923" s="254"/>
      <c r="G923" s="254"/>
    </row>
    <row r="924" spans="2:7" x14ac:dyDescent="0.2">
      <c r="B924" s="254"/>
      <c r="C924" s="254"/>
      <c r="D924" s="254"/>
      <c r="E924" s="254"/>
      <c r="F924" s="254"/>
      <c r="G924" s="254"/>
    </row>
    <row r="925" spans="2:7" x14ac:dyDescent="0.2">
      <c r="B925" s="254"/>
      <c r="C925" s="254"/>
      <c r="D925" s="254"/>
      <c r="E925" s="254"/>
      <c r="F925" s="254"/>
      <c r="G925" s="254"/>
    </row>
    <row r="926" spans="2:7" x14ac:dyDescent="0.2">
      <c r="B926" s="254"/>
      <c r="C926" s="254"/>
      <c r="D926" s="254"/>
      <c r="E926" s="254"/>
      <c r="F926" s="254"/>
      <c r="G926" s="254"/>
    </row>
    <row r="927" spans="2:7" x14ac:dyDescent="0.2">
      <c r="B927" s="254"/>
      <c r="C927" s="254"/>
      <c r="D927" s="254"/>
      <c r="E927" s="254"/>
      <c r="F927" s="254"/>
      <c r="G927" s="254"/>
    </row>
    <row r="928" spans="2:7" x14ac:dyDescent="0.2">
      <c r="B928" s="254"/>
      <c r="C928" s="254"/>
      <c r="D928" s="254"/>
      <c r="E928" s="254"/>
      <c r="F928" s="254"/>
      <c r="G928" s="254"/>
    </row>
    <row r="929" spans="2:7" x14ac:dyDescent="0.2">
      <c r="B929" s="254"/>
      <c r="C929" s="254"/>
      <c r="D929" s="254"/>
      <c r="E929" s="254"/>
      <c r="F929" s="254"/>
      <c r="G929" s="254"/>
    </row>
    <row r="930" spans="2:7" x14ac:dyDescent="0.2">
      <c r="B930" s="254"/>
      <c r="C930" s="254"/>
      <c r="D930" s="254"/>
      <c r="E930" s="254"/>
      <c r="F930" s="254"/>
      <c r="G930" s="254"/>
    </row>
    <row r="931" spans="2:7" x14ac:dyDescent="0.2">
      <c r="B931" s="254"/>
      <c r="C931" s="254"/>
      <c r="D931" s="254"/>
      <c r="E931" s="254"/>
      <c r="F931" s="254"/>
      <c r="G931" s="254"/>
    </row>
    <row r="932" spans="2:7" x14ac:dyDescent="0.2">
      <c r="B932" s="254"/>
      <c r="C932" s="254"/>
      <c r="D932" s="254"/>
      <c r="E932" s="254"/>
      <c r="F932" s="254"/>
      <c r="G932" s="254"/>
    </row>
    <row r="933" spans="2:7" x14ac:dyDescent="0.2">
      <c r="B933" s="254"/>
      <c r="C933" s="254"/>
      <c r="D933" s="254"/>
      <c r="E933" s="254"/>
      <c r="F933" s="254"/>
      <c r="G933" s="254"/>
    </row>
    <row r="934" spans="2:7" x14ac:dyDescent="0.2">
      <c r="B934" s="254"/>
      <c r="C934" s="254"/>
      <c r="D934" s="254"/>
      <c r="E934" s="254"/>
      <c r="F934" s="254"/>
      <c r="G934" s="254"/>
    </row>
    <row r="935" spans="2:7" x14ac:dyDescent="0.2">
      <c r="B935" s="254"/>
      <c r="C935" s="254"/>
      <c r="D935" s="254"/>
      <c r="E935" s="254"/>
      <c r="F935" s="254"/>
      <c r="G935" s="254"/>
    </row>
    <row r="936" spans="2:7" x14ac:dyDescent="0.2">
      <c r="B936" s="254"/>
      <c r="C936" s="254"/>
      <c r="D936" s="254"/>
      <c r="E936" s="254"/>
      <c r="F936" s="254"/>
      <c r="G936" s="254"/>
    </row>
    <row r="937" spans="2:7" x14ac:dyDescent="0.2">
      <c r="B937" s="254"/>
      <c r="C937" s="254"/>
      <c r="D937" s="254"/>
      <c r="E937" s="254"/>
      <c r="F937" s="254"/>
      <c r="G937" s="254"/>
    </row>
    <row r="938" spans="2:7" x14ac:dyDescent="0.2">
      <c r="B938" s="254"/>
      <c r="C938" s="254"/>
      <c r="D938" s="254"/>
      <c r="E938" s="254"/>
      <c r="F938" s="254"/>
      <c r="G938" s="254"/>
    </row>
    <row r="939" spans="2:7" x14ac:dyDescent="0.2">
      <c r="B939" s="254"/>
      <c r="C939" s="254"/>
      <c r="D939" s="254"/>
      <c r="E939" s="254"/>
      <c r="F939" s="254"/>
      <c r="G939" s="254"/>
    </row>
    <row r="940" spans="2:7" x14ac:dyDescent="0.2">
      <c r="B940" s="254"/>
      <c r="C940" s="254"/>
      <c r="D940" s="254"/>
      <c r="E940" s="254"/>
      <c r="F940" s="254"/>
      <c r="G940" s="254"/>
    </row>
    <row r="941" spans="2:7" x14ac:dyDescent="0.2">
      <c r="B941" s="254"/>
      <c r="C941" s="254"/>
      <c r="D941" s="254"/>
      <c r="E941" s="254"/>
      <c r="F941" s="254"/>
      <c r="G941" s="254"/>
    </row>
    <row r="942" spans="2:7" x14ac:dyDescent="0.2">
      <c r="B942" s="254"/>
      <c r="C942" s="254"/>
      <c r="D942" s="254"/>
      <c r="E942" s="254"/>
      <c r="F942" s="254"/>
      <c r="G942" s="254"/>
    </row>
    <row r="943" spans="2:7" x14ac:dyDescent="0.2">
      <c r="B943" s="254"/>
      <c r="C943" s="254"/>
      <c r="D943" s="254"/>
      <c r="E943" s="254"/>
      <c r="F943" s="254"/>
      <c r="G943" s="254"/>
    </row>
    <row r="944" spans="2:7" x14ac:dyDescent="0.2">
      <c r="B944" s="254"/>
      <c r="C944" s="254"/>
      <c r="D944" s="254"/>
      <c r="E944" s="254"/>
      <c r="F944" s="254"/>
      <c r="G944" s="254"/>
    </row>
    <row r="945" spans="2:7" x14ac:dyDescent="0.2">
      <c r="B945" s="254"/>
      <c r="C945" s="254"/>
      <c r="D945" s="254"/>
      <c r="E945" s="254"/>
      <c r="F945" s="254"/>
      <c r="G945" s="254"/>
    </row>
    <row r="946" spans="2:7" x14ac:dyDescent="0.2">
      <c r="B946" s="254"/>
      <c r="C946" s="254"/>
      <c r="D946" s="254"/>
      <c r="E946" s="254"/>
      <c r="F946" s="254"/>
      <c r="G946" s="254"/>
    </row>
    <row r="947" spans="2:7" x14ac:dyDescent="0.2">
      <c r="B947" s="254"/>
      <c r="C947" s="254"/>
      <c r="D947" s="254"/>
      <c r="E947" s="254"/>
      <c r="F947" s="254"/>
      <c r="G947" s="254"/>
    </row>
    <row r="948" spans="2:7" x14ac:dyDescent="0.2">
      <c r="B948" s="254"/>
      <c r="C948" s="254"/>
      <c r="D948" s="254"/>
      <c r="E948" s="254"/>
      <c r="F948" s="254"/>
      <c r="G948" s="254"/>
    </row>
    <row r="949" spans="2:7" x14ac:dyDescent="0.2">
      <c r="B949" s="254"/>
      <c r="C949" s="254"/>
      <c r="D949" s="254"/>
      <c r="E949" s="254"/>
      <c r="F949" s="254"/>
      <c r="G949" s="254"/>
    </row>
    <row r="950" spans="2:7" x14ac:dyDescent="0.2">
      <c r="B950" s="254"/>
      <c r="C950" s="254"/>
      <c r="D950" s="254"/>
      <c r="E950" s="254"/>
      <c r="F950" s="254"/>
      <c r="G950" s="254"/>
    </row>
    <row r="951" spans="2:7" x14ac:dyDescent="0.2">
      <c r="B951" s="254"/>
      <c r="C951" s="254"/>
      <c r="D951" s="254"/>
      <c r="E951" s="254"/>
      <c r="F951" s="254"/>
      <c r="G951" s="254"/>
    </row>
    <row r="952" spans="2:7" x14ac:dyDescent="0.2">
      <c r="B952" s="254"/>
      <c r="C952" s="254"/>
      <c r="D952" s="254"/>
      <c r="E952" s="254"/>
      <c r="F952" s="254"/>
      <c r="G952" s="254"/>
    </row>
    <row r="953" spans="2:7" x14ac:dyDescent="0.2">
      <c r="B953" s="254"/>
      <c r="C953" s="254"/>
      <c r="D953" s="254"/>
      <c r="E953" s="254"/>
      <c r="F953" s="254"/>
      <c r="G953" s="254"/>
    </row>
    <row r="954" spans="2:7" x14ac:dyDescent="0.2">
      <c r="B954" s="254"/>
      <c r="C954" s="254"/>
      <c r="D954" s="254"/>
      <c r="E954" s="254"/>
      <c r="F954" s="254"/>
      <c r="G954" s="254"/>
    </row>
    <row r="955" spans="2:7" x14ac:dyDescent="0.2">
      <c r="B955" s="254"/>
      <c r="C955" s="254"/>
      <c r="D955" s="254"/>
      <c r="E955" s="254"/>
      <c r="F955" s="254"/>
      <c r="G955" s="254"/>
    </row>
    <row r="956" spans="2:7" x14ac:dyDescent="0.2">
      <c r="B956" s="254"/>
      <c r="C956" s="254"/>
      <c r="D956" s="254"/>
      <c r="E956" s="254"/>
      <c r="F956" s="254"/>
      <c r="G956" s="254"/>
    </row>
    <row r="957" spans="2:7" x14ac:dyDescent="0.2">
      <c r="B957" s="254"/>
      <c r="C957" s="254"/>
      <c r="D957" s="254"/>
      <c r="E957" s="254"/>
      <c r="F957" s="254"/>
      <c r="G957" s="254"/>
    </row>
    <row r="958" spans="2:7" x14ac:dyDescent="0.2">
      <c r="B958" s="254"/>
      <c r="C958" s="254"/>
      <c r="D958" s="254"/>
      <c r="E958" s="254"/>
      <c r="F958" s="254"/>
      <c r="G958" s="254"/>
    </row>
    <row r="959" spans="2:7" x14ac:dyDescent="0.2">
      <c r="B959" s="254"/>
      <c r="C959" s="254"/>
      <c r="D959" s="254"/>
      <c r="E959" s="254"/>
      <c r="F959" s="254"/>
      <c r="G959" s="254"/>
    </row>
    <row r="960" spans="2:7" x14ac:dyDescent="0.2">
      <c r="B960" s="254"/>
      <c r="C960" s="254"/>
      <c r="D960" s="254"/>
      <c r="E960" s="254"/>
      <c r="F960" s="254"/>
      <c r="G960" s="254"/>
    </row>
    <row r="961" spans="2:7" x14ac:dyDescent="0.2">
      <c r="B961" s="254"/>
      <c r="C961" s="254"/>
      <c r="D961" s="254"/>
      <c r="E961" s="254"/>
      <c r="F961" s="254"/>
      <c r="G961" s="254"/>
    </row>
    <row r="962" spans="2:7" x14ac:dyDescent="0.2">
      <c r="B962" s="254"/>
      <c r="C962" s="254"/>
      <c r="D962" s="254"/>
      <c r="E962" s="254"/>
      <c r="F962" s="254"/>
      <c r="G962" s="254"/>
    </row>
    <row r="963" spans="2:7" x14ac:dyDescent="0.2">
      <c r="B963" s="254"/>
      <c r="C963" s="254"/>
      <c r="D963" s="254"/>
      <c r="E963" s="254"/>
      <c r="F963" s="254"/>
      <c r="G963" s="254"/>
    </row>
    <row r="964" spans="2:7" x14ac:dyDescent="0.2">
      <c r="B964" s="254"/>
      <c r="C964" s="254"/>
      <c r="D964" s="254"/>
      <c r="E964" s="254"/>
      <c r="F964" s="254"/>
      <c r="G964" s="254"/>
    </row>
    <row r="965" spans="2:7" x14ac:dyDescent="0.2">
      <c r="B965" s="254"/>
      <c r="C965" s="254"/>
      <c r="D965" s="254"/>
      <c r="E965" s="254"/>
      <c r="F965" s="254"/>
      <c r="G965" s="254"/>
    </row>
    <row r="966" spans="2:7" x14ac:dyDescent="0.2">
      <c r="B966" s="254"/>
      <c r="C966" s="254"/>
      <c r="D966" s="254"/>
      <c r="E966" s="254"/>
      <c r="F966" s="254"/>
      <c r="G966" s="254"/>
    </row>
    <row r="967" spans="2:7" x14ac:dyDescent="0.2">
      <c r="B967" s="254"/>
      <c r="C967" s="254"/>
      <c r="D967" s="254"/>
      <c r="E967" s="254"/>
      <c r="F967" s="254"/>
      <c r="G967" s="254"/>
    </row>
    <row r="968" spans="2:7" x14ac:dyDescent="0.2">
      <c r="B968" s="254"/>
      <c r="C968" s="254"/>
      <c r="D968" s="254"/>
      <c r="E968" s="254"/>
      <c r="F968" s="254"/>
      <c r="G968" s="254"/>
    </row>
    <row r="969" spans="2:7" x14ac:dyDescent="0.2">
      <c r="B969" s="254"/>
      <c r="C969" s="254"/>
      <c r="D969" s="254"/>
      <c r="E969" s="254"/>
      <c r="F969" s="254"/>
      <c r="G969" s="254"/>
    </row>
    <row r="970" spans="2:7" x14ac:dyDescent="0.2">
      <c r="B970" s="254"/>
      <c r="C970" s="254"/>
      <c r="D970" s="254"/>
      <c r="E970" s="254"/>
      <c r="F970" s="254"/>
      <c r="G970" s="254"/>
    </row>
    <row r="971" spans="2:7" x14ac:dyDescent="0.2">
      <c r="B971" s="254"/>
      <c r="C971" s="254"/>
      <c r="D971" s="254"/>
      <c r="E971" s="254"/>
      <c r="F971" s="254"/>
      <c r="G971" s="254"/>
    </row>
    <row r="972" spans="2:7" x14ac:dyDescent="0.2">
      <c r="B972" s="254"/>
      <c r="C972" s="254"/>
      <c r="D972" s="254"/>
      <c r="E972" s="254"/>
      <c r="F972" s="254"/>
      <c r="G972" s="254"/>
    </row>
    <row r="973" spans="2:7" x14ac:dyDescent="0.2">
      <c r="B973" s="254"/>
      <c r="C973" s="254"/>
      <c r="D973" s="254"/>
      <c r="E973" s="254"/>
      <c r="F973" s="254"/>
      <c r="G973" s="254"/>
    </row>
    <row r="974" spans="2:7" x14ac:dyDescent="0.2">
      <c r="B974" s="254"/>
      <c r="C974" s="254"/>
      <c r="D974" s="254"/>
      <c r="E974" s="254"/>
      <c r="F974" s="254"/>
      <c r="G974" s="254"/>
    </row>
    <row r="975" spans="2:7" x14ac:dyDescent="0.2">
      <c r="B975" s="254"/>
      <c r="C975" s="254"/>
      <c r="D975" s="254"/>
      <c r="E975" s="254"/>
      <c r="F975" s="254"/>
      <c r="G975" s="254"/>
    </row>
    <row r="976" spans="2:7" x14ac:dyDescent="0.2">
      <c r="B976" s="254"/>
      <c r="C976" s="254"/>
      <c r="D976" s="254"/>
      <c r="E976" s="254"/>
      <c r="F976" s="254"/>
      <c r="G976" s="254"/>
    </row>
    <row r="977" spans="2:7" x14ac:dyDescent="0.2">
      <c r="B977" s="254"/>
      <c r="C977" s="254"/>
      <c r="D977" s="254"/>
      <c r="E977" s="254"/>
      <c r="F977" s="254"/>
      <c r="G977" s="254"/>
    </row>
    <row r="978" spans="2:7" x14ac:dyDescent="0.2">
      <c r="B978" s="254"/>
      <c r="C978" s="254"/>
      <c r="D978" s="254"/>
      <c r="E978" s="254"/>
      <c r="F978" s="254"/>
      <c r="G978" s="254"/>
    </row>
    <row r="979" spans="2:7" x14ac:dyDescent="0.2">
      <c r="B979" s="254"/>
      <c r="C979" s="254"/>
      <c r="D979" s="254"/>
      <c r="E979" s="254"/>
      <c r="F979" s="254"/>
      <c r="G979" s="254"/>
    </row>
    <row r="980" spans="2:7" x14ac:dyDescent="0.2">
      <c r="B980" s="254"/>
      <c r="C980" s="254"/>
      <c r="D980" s="254"/>
      <c r="E980" s="254"/>
      <c r="F980" s="254"/>
      <c r="G980" s="254"/>
    </row>
    <row r="981" spans="2:7" x14ac:dyDescent="0.2">
      <c r="B981" s="254"/>
      <c r="C981" s="254"/>
      <c r="D981" s="254"/>
      <c r="E981" s="254"/>
      <c r="F981" s="254"/>
      <c r="G981" s="254"/>
    </row>
    <row r="982" spans="2:7" x14ac:dyDescent="0.2">
      <c r="B982" s="254"/>
      <c r="C982" s="254"/>
      <c r="D982" s="254"/>
      <c r="E982" s="254"/>
      <c r="F982" s="254"/>
      <c r="G982" s="254"/>
    </row>
    <row r="983" spans="2:7" x14ac:dyDescent="0.2">
      <c r="B983" s="254"/>
      <c r="C983" s="254"/>
      <c r="D983" s="254"/>
      <c r="E983" s="254"/>
      <c r="F983" s="254"/>
      <c r="G983" s="254"/>
    </row>
    <row r="984" spans="2:7" x14ac:dyDescent="0.2">
      <c r="B984" s="254"/>
      <c r="C984" s="254"/>
      <c r="D984" s="254"/>
      <c r="E984" s="254"/>
      <c r="F984" s="254"/>
      <c r="G984" s="254"/>
    </row>
    <row r="985" spans="2:7" x14ac:dyDescent="0.2">
      <c r="B985" s="254"/>
      <c r="C985" s="254"/>
      <c r="D985" s="254"/>
      <c r="E985" s="254"/>
      <c r="F985" s="254"/>
      <c r="G985" s="254"/>
    </row>
    <row r="986" spans="2:7" x14ac:dyDescent="0.2">
      <c r="B986" s="254"/>
      <c r="C986" s="254"/>
      <c r="D986" s="254"/>
      <c r="E986" s="254"/>
      <c r="F986" s="254"/>
      <c r="G986" s="254"/>
    </row>
    <row r="987" spans="2:7" x14ac:dyDescent="0.2">
      <c r="B987" s="254"/>
      <c r="C987" s="254"/>
      <c r="D987" s="254"/>
      <c r="E987" s="254"/>
      <c r="F987" s="254"/>
      <c r="G987" s="254"/>
    </row>
    <row r="988" spans="2:7" x14ac:dyDescent="0.2">
      <c r="B988" s="254"/>
      <c r="C988" s="254"/>
      <c r="D988" s="254"/>
      <c r="E988" s="254"/>
      <c r="F988" s="254"/>
      <c r="G988" s="254"/>
    </row>
    <row r="989" spans="2:7" x14ac:dyDescent="0.2">
      <c r="B989" s="254"/>
      <c r="C989" s="254"/>
      <c r="D989" s="254"/>
      <c r="E989" s="254"/>
      <c r="F989" s="254"/>
      <c r="G989" s="254"/>
    </row>
    <row r="990" spans="2:7" x14ac:dyDescent="0.2">
      <c r="B990" s="254"/>
      <c r="C990" s="254"/>
      <c r="D990" s="254"/>
      <c r="E990" s="254"/>
      <c r="F990" s="254"/>
      <c r="G990" s="254"/>
    </row>
    <row r="991" spans="2:7" x14ac:dyDescent="0.2">
      <c r="B991" s="254"/>
      <c r="C991" s="254"/>
      <c r="D991" s="254"/>
      <c r="E991" s="254"/>
      <c r="F991" s="254"/>
      <c r="G991" s="254"/>
    </row>
    <row r="992" spans="2:7" x14ac:dyDescent="0.2">
      <c r="B992" s="254"/>
      <c r="C992" s="254"/>
      <c r="D992" s="254"/>
      <c r="E992" s="254"/>
      <c r="F992" s="254"/>
      <c r="G992" s="254"/>
    </row>
    <row r="993" spans="2:7" x14ac:dyDescent="0.2">
      <c r="B993" s="254"/>
      <c r="C993" s="254"/>
      <c r="D993" s="254"/>
      <c r="E993" s="254"/>
      <c r="F993" s="254"/>
      <c r="G993" s="254"/>
    </row>
    <row r="994" spans="2:7" x14ac:dyDescent="0.2">
      <c r="B994" s="254"/>
      <c r="C994" s="254"/>
      <c r="D994" s="254"/>
      <c r="E994" s="254"/>
      <c r="F994" s="254"/>
      <c r="G994" s="254"/>
    </row>
    <row r="995" spans="2:7" x14ac:dyDescent="0.2">
      <c r="B995" s="254"/>
      <c r="C995" s="254"/>
      <c r="D995" s="254"/>
      <c r="E995" s="254"/>
      <c r="F995" s="254"/>
      <c r="G995" s="254"/>
    </row>
    <row r="996" spans="2:7" x14ac:dyDescent="0.2">
      <c r="B996" s="254"/>
      <c r="C996" s="254"/>
      <c r="D996" s="254"/>
      <c r="E996" s="254"/>
      <c r="F996" s="254"/>
      <c r="G996" s="254"/>
    </row>
    <row r="997" spans="2:7" x14ac:dyDescent="0.2">
      <c r="B997" s="254"/>
      <c r="C997" s="254"/>
      <c r="D997" s="254"/>
      <c r="E997" s="254"/>
      <c r="F997" s="254"/>
      <c r="G997" s="254"/>
    </row>
    <row r="998" spans="2:7" x14ac:dyDescent="0.2">
      <c r="B998" s="254"/>
      <c r="C998" s="254"/>
      <c r="D998" s="254"/>
      <c r="E998" s="254"/>
      <c r="F998" s="254"/>
      <c r="G998" s="254"/>
    </row>
    <row r="999" spans="2:7" x14ac:dyDescent="0.2">
      <c r="B999" s="254"/>
      <c r="C999" s="254"/>
      <c r="D999" s="254"/>
      <c r="E999" s="254"/>
      <c r="F999" s="254"/>
      <c r="G999" s="254"/>
    </row>
    <row r="1000" spans="2:7" x14ac:dyDescent="0.2">
      <c r="B1000" s="254"/>
      <c r="C1000" s="254"/>
      <c r="D1000" s="254"/>
      <c r="E1000" s="254"/>
      <c r="F1000" s="254"/>
      <c r="G1000" s="254"/>
    </row>
    <row r="1001" spans="2:7" x14ac:dyDescent="0.2">
      <c r="B1001" s="254"/>
      <c r="C1001" s="254"/>
      <c r="D1001" s="254"/>
      <c r="E1001" s="254"/>
      <c r="F1001" s="254"/>
      <c r="G1001" s="254"/>
    </row>
    <row r="1002" spans="2:7" x14ac:dyDescent="0.2">
      <c r="B1002" s="254"/>
      <c r="C1002" s="254"/>
      <c r="D1002" s="254"/>
      <c r="E1002" s="254"/>
      <c r="F1002" s="254"/>
      <c r="G1002" s="254"/>
    </row>
    <row r="1003" spans="2:7" x14ac:dyDescent="0.2">
      <c r="B1003" s="254"/>
      <c r="C1003" s="254"/>
      <c r="D1003" s="254"/>
      <c r="E1003" s="254"/>
      <c r="F1003" s="254"/>
      <c r="G1003" s="254"/>
    </row>
    <row r="1004" spans="2:7" x14ac:dyDescent="0.2">
      <c r="B1004" s="254"/>
      <c r="C1004" s="254"/>
      <c r="D1004" s="254"/>
      <c r="E1004" s="254"/>
      <c r="F1004" s="254"/>
      <c r="G1004" s="254"/>
    </row>
    <row r="1005" spans="2:7" x14ac:dyDescent="0.2">
      <c r="B1005" s="254"/>
      <c r="C1005" s="254"/>
      <c r="D1005" s="254"/>
      <c r="E1005" s="254"/>
      <c r="F1005" s="254"/>
      <c r="G1005" s="254"/>
    </row>
    <row r="1006" spans="2:7" x14ac:dyDescent="0.2">
      <c r="B1006" s="254"/>
      <c r="C1006" s="254"/>
      <c r="D1006" s="254"/>
      <c r="E1006" s="254"/>
      <c r="F1006" s="254"/>
      <c r="G1006" s="254"/>
    </row>
    <row r="1007" spans="2:7" x14ac:dyDescent="0.2">
      <c r="B1007" s="254"/>
      <c r="C1007" s="254"/>
      <c r="D1007" s="254"/>
      <c r="E1007" s="254"/>
      <c r="F1007" s="254"/>
      <c r="G1007" s="254"/>
    </row>
    <row r="1008" spans="2:7" x14ac:dyDescent="0.2">
      <c r="B1008" s="254"/>
      <c r="C1008" s="254"/>
      <c r="D1008" s="254"/>
      <c r="E1008" s="254"/>
      <c r="F1008" s="254"/>
      <c r="G1008" s="254"/>
    </row>
    <row r="1009" spans="2:7" x14ac:dyDescent="0.2">
      <c r="B1009" s="254"/>
      <c r="C1009" s="254"/>
      <c r="D1009" s="254"/>
      <c r="E1009" s="254"/>
      <c r="F1009" s="254"/>
      <c r="G1009" s="254"/>
    </row>
    <row r="1010" spans="2:7" x14ac:dyDescent="0.2">
      <c r="B1010" s="254"/>
      <c r="C1010" s="254"/>
      <c r="D1010" s="254"/>
      <c r="E1010" s="254"/>
      <c r="F1010" s="254"/>
      <c r="G1010" s="254"/>
    </row>
    <row r="1011" spans="2:7" x14ac:dyDescent="0.2">
      <c r="B1011" s="254"/>
      <c r="C1011" s="254"/>
      <c r="D1011" s="254"/>
      <c r="E1011" s="254"/>
      <c r="F1011" s="254"/>
      <c r="G1011" s="254"/>
    </row>
    <row r="1012" spans="2:7" x14ac:dyDescent="0.2">
      <c r="B1012" s="254"/>
      <c r="C1012" s="254"/>
      <c r="D1012" s="254"/>
      <c r="E1012" s="254"/>
      <c r="F1012" s="254"/>
      <c r="G1012" s="254"/>
    </row>
    <row r="1013" spans="2:7" x14ac:dyDescent="0.2">
      <c r="B1013" s="254"/>
      <c r="C1013" s="254"/>
      <c r="D1013" s="254"/>
      <c r="E1013" s="254"/>
      <c r="F1013" s="254"/>
      <c r="G1013" s="254"/>
    </row>
    <row r="1014" spans="2:7" x14ac:dyDescent="0.2">
      <c r="B1014" s="254"/>
      <c r="C1014" s="254"/>
      <c r="D1014" s="254"/>
      <c r="E1014" s="254"/>
      <c r="F1014" s="254"/>
      <c r="G1014" s="254"/>
    </row>
    <row r="1015" spans="2:7" x14ac:dyDescent="0.2">
      <c r="B1015" s="254"/>
      <c r="C1015" s="254"/>
      <c r="D1015" s="254"/>
      <c r="E1015" s="254"/>
      <c r="F1015" s="254"/>
      <c r="G1015" s="254"/>
    </row>
    <row r="1016" spans="2:7" x14ac:dyDescent="0.2">
      <c r="B1016" s="254"/>
      <c r="C1016" s="254"/>
      <c r="D1016" s="254"/>
      <c r="E1016" s="254"/>
      <c r="F1016" s="254"/>
      <c r="G1016" s="254"/>
    </row>
    <row r="1017" spans="2:7" x14ac:dyDescent="0.2">
      <c r="B1017" s="254"/>
      <c r="C1017" s="254"/>
      <c r="D1017" s="254"/>
      <c r="E1017" s="254"/>
      <c r="F1017" s="254"/>
      <c r="G1017" s="254"/>
    </row>
    <row r="1018" spans="2:7" x14ac:dyDescent="0.2">
      <c r="B1018" s="254"/>
      <c r="C1018" s="254"/>
      <c r="D1018" s="254"/>
      <c r="E1018" s="254"/>
      <c r="F1018" s="254"/>
      <c r="G1018" s="254"/>
    </row>
    <row r="1019" spans="2:7" x14ac:dyDescent="0.2">
      <c r="B1019" s="254"/>
      <c r="C1019" s="254"/>
      <c r="D1019" s="254"/>
      <c r="E1019" s="254"/>
      <c r="F1019" s="254"/>
      <c r="G1019" s="254"/>
    </row>
    <row r="1020" spans="2:7" x14ac:dyDescent="0.2">
      <c r="B1020" s="254"/>
      <c r="C1020" s="254"/>
      <c r="D1020" s="254"/>
      <c r="E1020" s="254"/>
      <c r="F1020" s="254"/>
      <c r="G1020" s="254"/>
    </row>
    <row r="1021" spans="2:7" x14ac:dyDescent="0.2">
      <c r="B1021" s="254"/>
      <c r="C1021" s="254"/>
      <c r="D1021" s="254"/>
      <c r="E1021" s="254"/>
      <c r="F1021" s="254"/>
      <c r="G1021" s="254"/>
    </row>
    <row r="1022" spans="2:7" x14ac:dyDescent="0.2">
      <c r="B1022" s="254"/>
      <c r="C1022" s="254"/>
      <c r="D1022" s="254"/>
      <c r="E1022" s="254"/>
      <c r="F1022" s="254"/>
      <c r="G1022" s="254"/>
    </row>
    <row r="1023" spans="2:7" x14ac:dyDescent="0.2">
      <c r="B1023" s="254"/>
      <c r="C1023" s="254"/>
      <c r="D1023" s="254"/>
      <c r="E1023" s="254"/>
      <c r="F1023" s="254"/>
      <c r="G1023" s="254"/>
    </row>
    <row r="1024" spans="2:7" x14ac:dyDescent="0.2">
      <c r="B1024" s="254"/>
      <c r="C1024" s="254"/>
      <c r="D1024" s="254"/>
      <c r="E1024" s="254"/>
      <c r="F1024" s="254"/>
      <c r="G1024" s="254"/>
    </row>
    <row r="1025" spans="2:7" x14ac:dyDescent="0.2">
      <c r="B1025" s="254"/>
      <c r="C1025" s="254"/>
      <c r="D1025" s="254"/>
      <c r="E1025" s="254"/>
      <c r="F1025" s="254"/>
      <c r="G1025" s="254"/>
    </row>
    <row r="1026" spans="2:7" x14ac:dyDescent="0.2">
      <c r="B1026" s="254"/>
      <c r="C1026" s="254"/>
      <c r="D1026" s="254"/>
      <c r="E1026" s="254"/>
      <c r="F1026" s="254"/>
      <c r="G1026" s="254"/>
    </row>
    <row r="1027" spans="2:7" x14ac:dyDescent="0.2">
      <c r="B1027" s="254"/>
      <c r="C1027" s="254"/>
      <c r="D1027" s="254"/>
      <c r="E1027" s="254"/>
      <c r="F1027" s="254"/>
      <c r="G1027" s="254"/>
    </row>
    <row r="1028" spans="2:7" x14ac:dyDescent="0.2">
      <c r="B1028" s="254"/>
      <c r="C1028" s="254"/>
      <c r="D1028" s="254"/>
      <c r="E1028" s="254"/>
      <c r="F1028" s="254"/>
      <c r="G1028" s="254"/>
    </row>
    <row r="1029" spans="2:7" x14ac:dyDescent="0.2">
      <c r="B1029" s="254"/>
      <c r="C1029" s="254"/>
      <c r="D1029" s="254"/>
      <c r="E1029" s="254"/>
      <c r="F1029" s="254"/>
      <c r="G1029" s="254"/>
    </row>
    <row r="1030" spans="2:7" x14ac:dyDescent="0.2">
      <c r="B1030" s="254"/>
      <c r="C1030" s="254"/>
      <c r="D1030" s="254"/>
      <c r="E1030" s="254"/>
      <c r="F1030" s="254"/>
      <c r="G1030" s="254"/>
    </row>
    <row r="1031" spans="2:7" x14ac:dyDescent="0.2">
      <c r="B1031" s="254"/>
      <c r="C1031" s="254"/>
      <c r="D1031" s="254"/>
      <c r="E1031" s="254"/>
      <c r="F1031" s="254"/>
      <c r="G1031" s="254"/>
    </row>
    <row r="1032" spans="2:7" x14ac:dyDescent="0.2">
      <c r="B1032" s="254"/>
      <c r="C1032" s="254"/>
      <c r="D1032" s="254"/>
      <c r="E1032" s="254"/>
      <c r="F1032" s="254"/>
      <c r="G1032" s="254"/>
    </row>
    <row r="1033" spans="2:7" x14ac:dyDescent="0.2">
      <c r="B1033" s="254"/>
      <c r="C1033" s="254"/>
      <c r="D1033" s="254"/>
      <c r="E1033" s="254"/>
      <c r="F1033" s="254"/>
      <c r="G1033" s="254"/>
    </row>
    <row r="1034" spans="2:7" x14ac:dyDescent="0.2">
      <c r="B1034" s="254"/>
      <c r="C1034" s="254"/>
      <c r="D1034" s="254"/>
      <c r="E1034" s="254"/>
      <c r="F1034" s="254"/>
      <c r="G1034" s="254"/>
    </row>
    <row r="1035" spans="2:7" x14ac:dyDescent="0.2">
      <c r="B1035" s="254"/>
      <c r="C1035" s="254"/>
      <c r="D1035" s="254"/>
      <c r="E1035" s="254"/>
      <c r="F1035" s="254"/>
      <c r="G1035" s="254"/>
    </row>
    <row r="1036" spans="2:7" x14ac:dyDescent="0.2">
      <c r="B1036" s="254"/>
      <c r="C1036" s="254"/>
      <c r="D1036" s="254"/>
      <c r="E1036" s="254"/>
      <c r="F1036" s="254"/>
      <c r="G1036" s="254"/>
    </row>
    <row r="1037" spans="2:7" x14ac:dyDescent="0.2">
      <c r="B1037" s="254"/>
      <c r="C1037" s="254"/>
      <c r="D1037" s="254"/>
      <c r="E1037" s="254"/>
      <c r="F1037" s="254"/>
      <c r="G1037" s="254"/>
    </row>
    <row r="1038" spans="2:7" x14ac:dyDescent="0.2">
      <c r="B1038" s="254"/>
      <c r="C1038" s="254"/>
      <c r="D1038" s="254"/>
      <c r="E1038" s="254"/>
      <c r="F1038" s="254"/>
      <c r="G1038" s="254"/>
    </row>
    <row r="1039" spans="2:7" x14ac:dyDescent="0.2">
      <c r="B1039" s="254"/>
      <c r="C1039" s="254"/>
      <c r="D1039" s="254"/>
      <c r="E1039" s="254"/>
      <c r="F1039" s="254"/>
      <c r="G1039" s="254"/>
    </row>
    <row r="1040" spans="2:7" x14ac:dyDescent="0.2">
      <c r="B1040" s="254"/>
      <c r="C1040" s="254"/>
      <c r="D1040" s="254"/>
      <c r="E1040" s="254"/>
      <c r="F1040" s="254"/>
      <c r="G1040" s="254"/>
    </row>
    <row r="1041" spans="2:7" x14ac:dyDescent="0.2">
      <c r="B1041" s="254"/>
      <c r="C1041" s="254"/>
      <c r="D1041" s="254"/>
      <c r="E1041" s="254"/>
      <c r="F1041" s="254"/>
      <c r="G1041" s="254"/>
    </row>
    <row r="1042" spans="2:7" x14ac:dyDescent="0.2">
      <c r="B1042" s="254"/>
      <c r="C1042" s="254"/>
      <c r="D1042" s="254"/>
      <c r="E1042" s="254"/>
      <c r="F1042" s="254"/>
      <c r="G1042" s="254"/>
    </row>
    <row r="1043" spans="2:7" x14ac:dyDescent="0.2">
      <c r="B1043" s="254"/>
      <c r="C1043" s="254"/>
      <c r="D1043" s="254"/>
      <c r="E1043" s="254"/>
      <c r="F1043" s="254"/>
      <c r="G1043" s="254"/>
    </row>
    <row r="1044" spans="2:7" x14ac:dyDescent="0.2">
      <c r="B1044" s="254"/>
      <c r="C1044" s="254"/>
      <c r="D1044" s="254"/>
      <c r="E1044" s="254"/>
      <c r="F1044" s="254"/>
      <c r="G1044" s="254"/>
    </row>
    <row r="1045" spans="2:7" x14ac:dyDescent="0.2">
      <c r="B1045" s="254"/>
      <c r="C1045" s="254"/>
      <c r="D1045" s="254"/>
      <c r="E1045" s="254"/>
      <c r="F1045" s="254"/>
      <c r="G1045" s="254"/>
    </row>
    <row r="1046" spans="2:7" x14ac:dyDescent="0.2">
      <c r="B1046" s="254"/>
      <c r="C1046" s="254"/>
      <c r="D1046" s="254"/>
      <c r="E1046" s="254"/>
      <c r="F1046" s="254"/>
      <c r="G1046" s="254"/>
    </row>
    <row r="1047" spans="2:7" x14ac:dyDescent="0.2">
      <c r="B1047" s="254"/>
      <c r="C1047" s="254"/>
      <c r="D1047" s="254"/>
      <c r="E1047" s="254"/>
      <c r="F1047" s="254"/>
      <c r="G1047" s="254"/>
    </row>
    <row r="1048" spans="2:7" x14ac:dyDescent="0.2">
      <c r="B1048" s="254"/>
      <c r="C1048" s="254"/>
      <c r="D1048" s="254"/>
      <c r="E1048" s="254"/>
      <c r="F1048" s="254"/>
      <c r="G1048" s="254"/>
    </row>
    <row r="1049" spans="2:7" x14ac:dyDescent="0.2">
      <c r="B1049" s="254"/>
      <c r="C1049" s="254"/>
      <c r="D1049" s="254"/>
      <c r="E1049" s="254"/>
      <c r="F1049" s="254"/>
      <c r="G1049" s="254"/>
    </row>
    <row r="1050" spans="2:7" x14ac:dyDescent="0.2">
      <c r="B1050" s="254"/>
      <c r="C1050" s="254"/>
      <c r="D1050" s="254"/>
      <c r="E1050" s="254"/>
      <c r="F1050" s="254"/>
      <c r="G1050" s="254"/>
    </row>
    <row r="1051" spans="2:7" x14ac:dyDescent="0.2">
      <c r="B1051" s="254"/>
      <c r="C1051" s="254"/>
      <c r="D1051" s="254"/>
      <c r="E1051" s="254"/>
      <c r="F1051" s="254"/>
      <c r="G1051" s="254"/>
    </row>
    <row r="1052" spans="2:7" x14ac:dyDescent="0.2">
      <c r="B1052" s="254"/>
      <c r="C1052" s="254"/>
      <c r="D1052" s="254"/>
      <c r="E1052" s="254"/>
      <c r="F1052" s="254"/>
      <c r="G1052" s="254"/>
    </row>
    <row r="1053" spans="2:7" x14ac:dyDescent="0.2">
      <c r="B1053" s="254"/>
      <c r="C1053" s="254"/>
      <c r="D1053" s="254"/>
      <c r="E1053" s="254"/>
      <c r="F1053" s="254"/>
      <c r="G1053" s="254"/>
    </row>
    <row r="1054" spans="2:7" x14ac:dyDescent="0.2">
      <c r="B1054" s="254"/>
      <c r="C1054" s="254"/>
      <c r="D1054" s="254"/>
      <c r="E1054" s="254"/>
      <c r="F1054" s="254"/>
      <c r="G1054" s="254"/>
    </row>
    <row r="1055" spans="2:7" x14ac:dyDescent="0.2">
      <c r="B1055" s="254"/>
      <c r="C1055" s="254"/>
      <c r="D1055" s="254"/>
      <c r="E1055" s="254"/>
      <c r="F1055" s="254"/>
      <c r="G1055" s="254"/>
    </row>
    <row r="1056" spans="2:7" x14ac:dyDescent="0.2">
      <c r="B1056" s="254"/>
      <c r="C1056" s="254"/>
      <c r="D1056" s="254"/>
      <c r="E1056" s="254"/>
      <c r="F1056" s="254"/>
      <c r="G1056" s="254"/>
    </row>
    <row r="1057" spans="2:7" x14ac:dyDescent="0.2">
      <c r="B1057" s="254"/>
      <c r="C1057" s="254"/>
      <c r="D1057" s="254"/>
      <c r="E1057" s="254"/>
      <c r="F1057" s="254"/>
      <c r="G1057" s="254"/>
    </row>
    <row r="1058" spans="2:7" x14ac:dyDescent="0.2">
      <c r="B1058" s="254"/>
      <c r="C1058" s="254"/>
      <c r="D1058" s="254"/>
      <c r="E1058" s="254"/>
      <c r="F1058" s="254"/>
      <c r="G1058" s="254"/>
    </row>
    <row r="1059" spans="2:7" x14ac:dyDescent="0.2">
      <c r="B1059" s="254"/>
      <c r="C1059" s="254"/>
      <c r="D1059" s="254"/>
      <c r="E1059" s="254"/>
      <c r="F1059" s="254"/>
      <c r="G1059" s="254"/>
    </row>
    <row r="1060" spans="2:7" x14ac:dyDescent="0.2">
      <c r="B1060" s="254"/>
      <c r="C1060" s="254"/>
      <c r="D1060" s="254"/>
      <c r="E1060" s="254"/>
      <c r="F1060" s="254"/>
      <c r="G1060" s="254"/>
    </row>
    <row r="1061" spans="2:7" x14ac:dyDescent="0.2">
      <c r="B1061" s="254"/>
      <c r="C1061" s="254"/>
      <c r="D1061" s="254"/>
      <c r="E1061" s="254"/>
      <c r="F1061" s="254"/>
      <c r="G1061" s="254"/>
    </row>
    <row r="1062" spans="2:7" x14ac:dyDescent="0.2">
      <c r="B1062" s="254"/>
      <c r="C1062" s="254"/>
      <c r="D1062" s="254"/>
      <c r="E1062" s="254"/>
      <c r="F1062" s="254"/>
      <c r="G1062" s="254"/>
    </row>
    <row r="1063" spans="2:7" x14ac:dyDescent="0.2">
      <c r="B1063" s="254"/>
      <c r="C1063" s="254"/>
      <c r="D1063" s="254"/>
      <c r="E1063" s="254"/>
      <c r="F1063" s="254"/>
      <c r="G1063" s="254"/>
    </row>
    <row r="1064" spans="2:7" x14ac:dyDescent="0.2">
      <c r="B1064" s="254"/>
      <c r="C1064" s="254"/>
      <c r="D1064" s="254"/>
      <c r="E1064" s="254"/>
      <c r="F1064" s="254"/>
      <c r="G1064" s="254"/>
    </row>
    <row r="1065" spans="2:7" x14ac:dyDescent="0.2">
      <c r="B1065" s="254"/>
      <c r="C1065" s="254"/>
      <c r="D1065" s="254"/>
      <c r="E1065" s="254"/>
      <c r="F1065" s="254"/>
      <c r="G1065" s="254"/>
    </row>
    <row r="1066" spans="2:7" x14ac:dyDescent="0.2">
      <c r="B1066" s="254"/>
      <c r="C1066" s="254"/>
      <c r="D1066" s="254"/>
      <c r="E1066" s="254"/>
      <c r="F1066" s="254"/>
      <c r="G1066" s="254"/>
    </row>
    <row r="1067" spans="2:7" x14ac:dyDescent="0.2">
      <c r="B1067" s="254"/>
      <c r="C1067" s="254"/>
      <c r="D1067" s="254"/>
      <c r="E1067" s="254"/>
      <c r="F1067" s="254"/>
      <c r="G1067" s="254"/>
    </row>
    <row r="1068" spans="2:7" x14ac:dyDescent="0.2">
      <c r="B1068" s="254"/>
      <c r="C1068" s="254"/>
      <c r="D1068" s="254"/>
      <c r="E1068" s="254"/>
      <c r="F1068" s="254"/>
      <c r="G1068" s="254"/>
    </row>
    <row r="1069" spans="2:7" x14ac:dyDescent="0.2">
      <c r="B1069" s="254"/>
      <c r="C1069" s="254"/>
      <c r="D1069" s="254"/>
      <c r="E1069" s="254"/>
      <c r="F1069" s="254"/>
      <c r="G1069" s="254"/>
    </row>
    <row r="1070" spans="2:7" x14ac:dyDescent="0.2">
      <c r="B1070" s="254"/>
      <c r="C1070" s="254"/>
      <c r="D1070" s="254"/>
      <c r="E1070" s="254"/>
      <c r="F1070" s="254"/>
      <c r="G1070" s="254"/>
    </row>
    <row r="1071" spans="2:7" x14ac:dyDescent="0.2">
      <c r="B1071" s="254"/>
      <c r="C1071" s="254"/>
      <c r="D1071" s="254"/>
      <c r="E1071" s="254"/>
      <c r="F1071" s="254"/>
      <c r="G1071" s="254"/>
    </row>
    <row r="1072" spans="2:7" x14ac:dyDescent="0.2">
      <c r="B1072" s="254"/>
      <c r="C1072" s="254"/>
      <c r="D1072" s="254"/>
      <c r="E1072" s="254"/>
      <c r="F1072" s="254"/>
      <c r="G1072" s="254"/>
    </row>
    <row r="1073" spans="2:7" x14ac:dyDescent="0.2">
      <c r="B1073" s="254"/>
      <c r="C1073" s="254"/>
      <c r="D1073" s="254"/>
      <c r="E1073" s="254"/>
      <c r="F1073" s="254"/>
      <c r="G1073" s="254"/>
    </row>
    <row r="1074" spans="2:7" x14ac:dyDescent="0.2">
      <c r="B1074" s="254"/>
      <c r="C1074" s="254"/>
      <c r="D1074" s="254"/>
      <c r="E1074" s="254"/>
      <c r="F1074" s="254"/>
      <c r="G1074" s="254"/>
    </row>
    <row r="1075" spans="2:7" x14ac:dyDescent="0.2">
      <c r="B1075" s="254"/>
      <c r="C1075" s="254"/>
      <c r="D1075" s="254"/>
      <c r="E1075" s="254"/>
      <c r="F1075" s="254"/>
      <c r="G1075" s="254"/>
    </row>
    <row r="1076" spans="2:7" x14ac:dyDescent="0.2">
      <c r="B1076" s="254"/>
      <c r="C1076" s="254"/>
      <c r="D1076" s="254"/>
      <c r="E1076" s="254"/>
      <c r="F1076" s="254"/>
      <c r="G1076" s="254"/>
    </row>
    <row r="1077" spans="2:7" x14ac:dyDescent="0.2">
      <c r="B1077" s="254"/>
      <c r="C1077" s="254"/>
      <c r="D1077" s="254"/>
      <c r="E1077" s="254"/>
      <c r="F1077" s="254"/>
      <c r="G1077" s="254"/>
    </row>
    <row r="1078" spans="2:7" x14ac:dyDescent="0.2">
      <c r="B1078" s="254"/>
      <c r="C1078" s="254"/>
      <c r="D1078" s="254"/>
      <c r="E1078" s="254"/>
      <c r="F1078" s="254"/>
      <c r="G1078" s="254"/>
    </row>
    <row r="1079" spans="2:7" x14ac:dyDescent="0.2">
      <c r="B1079" s="254"/>
      <c r="C1079" s="254"/>
      <c r="D1079" s="254"/>
      <c r="E1079" s="254"/>
      <c r="F1079" s="254"/>
      <c r="G1079" s="254"/>
    </row>
    <row r="1080" spans="2:7" x14ac:dyDescent="0.2">
      <c r="B1080" s="254"/>
      <c r="C1080" s="254"/>
      <c r="D1080" s="254"/>
      <c r="E1080" s="254"/>
      <c r="F1080" s="254"/>
      <c r="G1080" s="254"/>
    </row>
    <row r="1081" spans="2:7" x14ac:dyDescent="0.2">
      <c r="B1081" s="254"/>
      <c r="C1081" s="254"/>
      <c r="D1081" s="254"/>
      <c r="E1081" s="254"/>
      <c r="F1081" s="254"/>
      <c r="G1081" s="254"/>
    </row>
    <row r="1082" spans="2:7" x14ac:dyDescent="0.2">
      <c r="B1082" s="254"/>
      <c r="C1082" s="254"/>
      <c r="D1082" s="254"/>
      <c r="E1082" s="254"/>
      <c r="F1082" s="254"/>
      <c r="G1082" s="254"/>
    </row>
    <row r="1083" spans="2:7" x14ac:dyDescent="0.2">
      <c r="B1083" s="254"/>
      <c r="C1083" s="254"/>
      <c r="D1083" s="254"/>
      <c r="E1083" s="254"/>
      <c r="F1083" s="254"/>
      <c r="G1083" s="254"/>
    </row>
    <row r="1084" spans="2:7" x14ac:dyDescent="0.2">
      <c r="B1084" s="254"/>
      <c r="C1084" s="254"/>
      <c r="D1084" s="254"/>
      <c r="E1084" s="254"/>
      <c r="F1084" s="254"/>
      <c r="G1084" s="254"/>
    </row>
    <row r="1085" spans="2:7" x14ac:dyDescent="0.2">
      <c r="B1085" s="254"/>
      <c r="C1085" s="254"/>
      <c r="D1085" s="254"/>
      <c r="E1085" s="254"/>
      <c r="F1085" s="254"/>
      <c r="G1085" s="254"/>
    </row>
    <row r="1086" spans="2:7" x14ac:dyDescent="0.2">
      <c r="B1086" s="254"/>
      <c r="C1086" s="254"/>
      <c r="D1086" s="254"/>
      <c r="E1086" s="254"/>
      <c r="F1086" s="254"/>
      <c r="G1086" s="254"/>
    </row>
    <row r="1087" spans="2:7" x14ac:dyDescent="0.2">
      <c r="B1087" s="254"/>
      <c r="C1087" s="254"/>
      <c r="D1087" s="254"/>
      <c r="E1087" s="254"/>
      <c r="F1087" s="254"/>
      <c r="G1087" s="254"/>
    </row>
    <row r="1088" spans="2:7" x14ac:dyDescent="0.2">
      <c r="B1088" s="254"/>
      <c r="C1088" s="254"/>
      <c r="D1088" s="254"/>
      <c r="E1088" s="254"/>
      <c r="F1088" s="254"/>
      <c r="G1088" s="254"/>
    </row>
    <row r="1089" spans="2:7" x14ac:dyDescent="0.2">
      <c r="B1089" s="254"/>
      <c r="C1089" s="254"/>
      <c r="D1089" s="254"/>
      <c r="E1089" s="254"/>
      <c r="F1089" s="254"/>
      <c r="G1089" s="254"/>
    </row>
    <row r="1090" spans="2:7" x14ac:dyDescent="0.2">
      <c r="B1090" s="254"/>
      <c r="C1090" s="254"/>
      <c r="D1090" s="254"/>
      <c r="E1090" s="254"/>
      <c r="F1090" s="254"/>
      <c r="G1090" s="254"/>
    </row>
    <row r="1091" spans="2:7" x14ac:dyDescent="0.2">
      <c r="B1091" s="254"/>
      <c r="C1091" s="254"/>
      <c r="D1091" s="254"/>
      <c r="E1091" s="254"/>
      <c r="F1091" s="254"/>
      <c r="G1091" s="254"/>
    </row>
    <row r="1092" spans="2:7" x14ac:dyDescent="0.2">
      <c r="B1092" s="254"/>
      <c r="C1092" s="254"/>
      <c r="D1092" s="254"/>
      <c r="E1092" s="254"/>
      <c r="F1092" s="254"/>
      <c r="G1092" s="254"/>
    </row>
    <row r="1093" spans="2:7" x14ac:dyDescent="0.2">
      <c r="B1093" s="254"/>
      <c r="C1093" s="254"/>
      <c r="D1093" s="254"/>
      <c r="E1093" s="254"/>
      <c r="F1093" s="254"/>
      <c r="G1093" s="254"/>
    </row>
    <row r="1094" spans="2:7" x14ac:dyDescent="0.2">
      <c r="B1094" s="254"/>
      <c r="C1094" s="254"/>
      <c r="D1094" s="254"/>
      <c r="E1094" s="254"/>
      <c r="F1094" s="254"/>
      <c r="G1094" s="254"/>
    </row>
    <row r="1095" spans="2:7" x14ac:dyDescent="0.2">
      <c r="B1095" s="254"/>
      <c r="C1095" s="254"/>
      <c r="D1095" s="254"/>
      <c r="E1095" s="254"/>
      <c r="F1095" s="254"/>
      <c r="G1095" s="254"/>
    </row>
    <row r="1096" spans="2:7" x14ac:dyDescent="0.2">
      <c r="B1096" s="254"/>
      <c r="C1096" s="254"/>
      <c r="D1096" s="254"/>
      <c r="E1096" s="254"/>
      <c r="F1096" s="254"/>
      <c r="G1096" s="254"/>
    </row>
    <row r="1097" spans="2:7" x14ac:dyDescent="0.2">
      <c r="B1097" s="254"/>
      <c r="C1097" s="254"/>
      <c r="D1097" s="254"/>
      <c r="E1097" s="254"/>
      <c r="F1097" s="254"/>
      <c r="G1097" s="254"/>
    </row>
    <row r="1098" spans="2:7" x14ac:dyDescent="0.2">
      <c r="B1098" s="254"/>
      <c r="C1098" s="254"/>
      <c r="D1098" s="254"/>
      <c r="E1098" s="254"/>
      <c r="F1098" s="254"/>
      <c r="G1098" s="254"/>
    </row>
    <row r="1099" spans="2:7" x14ac:dyDescent="0.2">
      <c r="B1099" s="254"/>
      <c r="C1099" s="254"/>
      <c r="D1099" s="254"/>
      <c r="E1099" s="254"/>
      <c r="F1099" s="254"/>
      <c r="G1099" s="254"/>
    </row>
    <row r="1100" spans="2:7" x14ac:dyDescent="0.2">
      <c r="B1100" s="254"/>
      <c r="C1100" s="254"/>
      <c r="D1100" s="254"/>
      <c r="E1100" s="254"/>
      <c r="F1100" s="254"/>
      <c r="G1100" s="254"/>
    </row>
    <row r="1101" spans="2:7" x14ac:dyDescent="0.2">
      <c r="B1101" s="254"/>
      <c r="C1101" s="254"/>
      <c r="D1101" s="254"/>
      <c r="E1101" s="254"/>
      <c r="F1101" s="254"/>
      <c r="G1101" s="254"/>
    </row>
    <row r="1102" spans="2:7" x14ac:dyDescent="0.2">
      <c r="B1102" s="254"/>
      <c r="C1102" s="254"/>
      <c r="D1102" s="254"/>
      <c r="E1102" s="254"/>
      <c r="F1102" s="254"/>
      <c r="G1102" s="254"/>
    </row>
    <row r="1103" spans="2:7" x14ac:dyDescent="0.2">
      <c r="B1103" s="254"/>
      <c r="C1103" s="254"/>
      <c r="D1103" s="254"/>
      <c r="E1103" s="254"/>
      <c r="F1103" s="254"/>
      <c r="G1103" s="254"/>
    </row>
    <row r="1104" spans="2:7" x14ac:dyDescent="0.2">
      <c r="B1104" s="254"/>
      <c r="C1104" s="254"/>
      <c r="D1104" s="254"/>
      <c r="E1104" s="254"/>
      <c r="F1104" s="254"/>
      <c r="G1104" s="254"/>
    </row>
    <row r="1105" spans="2:7" x14ac:dyDescent="0.2">
      <c r="B1105" s="254"/>
      <c r="C1105" s="254"/>
      <c r="D1105" s="254"/>
      <c r="E1105" s="254"/>
      <c r="F1105" s="254"/>
      <c r="G1105" s="254"/>
    </row>
    <row r="1106" spans="2:7" x14ac:dyDescent="0.2">
      <c r="B1106" s="254"/>
      <c r="C1106" s="254"/>
      <c r="D1106" s="254"/>
      <c r="E1106" s="254"/>
      <c r="F1106" s="254"/>
      <c r="G1106" s="254"/>
    </row>
    <row r="1107" spans="2:7" x14ac:dyDescent="0.2">
      <c r="B1107" s="254"/>
      <c r="C1107" s="254"/>
      <c r="D1107" s="254"/>
      <c r="E1107" s="254"/>
      <c r="F1107" s="254"/>
      <c r="G1107" s="254"/>
    </row>
    <row r="1108" spans="2:7" x14ac:dyDescent="0.2">
      <c r="B1108" s="254"/>
      <c r="C1108" s="254"/>
      <c r="D1108" s="254"/>
      <c r="E1108" s="254"/>
      <c r="F1108" s="254"/>
      <c r="G1108" s="254"/>
    </row>
    <row r="1109" spans="2:7" x14ac:dyDescent="0.2">
      <c r="B1109" s="254"/>
      <c r="C1109" s="254"/>
      <c r="D1109" s="254"/>
      <c r="E1109" s="254"/>
      <c r="F1109" s="254"/>
      <c r="G1109" s="254"/>
    </row>
    <row r="1110" spans="2:7" x14ac:dyDescent="0.2">
      <c r="B1110" s="254"/>
      <c r="C1110" s="254"/>
      <c r="D1110" s="254"/>
      <c r="E1110" s="254"/>
      <c r="F1110" s="254"/>
      <c r="G1110" s="254"/>
    </row>
    <row r="1111" spans="2:7" x14ac:dyDescent="0.2">
      <c r="B1111" s="254"/>
      <c r="C1111" s="254"/>
      <c r="D1111" s="254"/>
      <c r="E1111" s="254"/>
      <c r="F1111" s="254"/>
      <c r="G1111" s="254"/>
    </row>
    <row r="1112" spans="2:7" x14ac:dyDescent="0.2">
      <c r="B1112" s="254"/>
      <c r="C1112" s="254"/>
      <c r="D1112" s="254"/>
      <c r="E1112" s="254"/>
      <c r="F1112" s="254"/>
      <c r="G1112" s="254"/>
    </row>
    <row r="1113" spans="2:7" x14ac:dyDescent="0.2">
      <c r="B1113" s="254"/>
      <c r="C1113" s="254"/>
      <c r="D1113" s="254"/>
      <c r="E1113" s="254"/>
      <c r="F1113" s="254"/>
      <c r="G1113" s="254"/>
    </row>
    <row r="1114" spans="2:7" x14ac:dyDescent="0.2">
      <c r="B1114" s="254"/>
      <c r="C1114" s="254"/>
      <c r="D1114" s="254"/>
      <c r="E1114" s="254"/>
      <c r="F1114" s="254"/>
      <c r="G1114" s="254"/>
    </row>
    <row r="1115" spans="2:7" x14ac:dyDescent="0.2">
      <c r="B1115" s="254"/>
      <c r="C1115" s="254"/>
      <c r="D1115" s="254"/>
      <c r="E1115" s="254"/>
      <c r="F1115" s="254"/>
      <c r="G1115" s="254"/>
    </row>
    <row r="1116" spans="2:7" x14ac:dyDescent="0.2">
      <c r="B1116" s="254"/>
      <c r="C1116" s="254"/>
      <c r="D1116" s="254"/>
      <c r="E1116" s="254"/>
      <c r="F1116" s="254"/>
      <c r="G1116" s="254"/>
    </row>
    <row r="1117" spans="2:7" x14ac:dyDescent="0.2">
      <c r="B1117" s="254"/>
      <c r="C1117" s="254"/>
      <c r="D1117" s="254"/>
      <c r="E1117" s="254"/>
      <c r="F1117" s="254"/>
      <c r="G1117" s="254"/>
    </row>
    <row r="1118" spans="2:7" x14ac:dyDescent="0.2">
      <c r="B1118" s="254"/>
      <c r="C1118" s="254"/>
      <c r="D1118" s="254"/>
      <c r="E1118" s="254"/>
      <c r="F1118" s="254"/>
      <c r="G1118" s="254"/>
    </row>
    <row r="1119" spans="2:7" x14ac:dyDescent="0.2">
      <c r="B1119" s="254"/>
      <c r="C1119" s="254"/>
      <c r="D1119" s="254"/>
      <c r="E1119" s="254"/>
      <c r="F1119" s="254"/>
      <c r="G1119" s="254"/>
    </row>
    <row r="1120" spans="2:7" x14ac:dyDescent="0.2">
      <c r="B1120" s="254"/>
      <c r="C1120" s="254"/>
      <c r="D1120" s="254"/>
      <c r="E1120" s="254"/>
      <c r="F1120" s="254"/>
      <c r="G1120" s="254"/>
    </row>
    <row r="1121" spans="2:7" x14ac:dyDescent="0.2">
      <c r="B1121" s="254"/>
      <c r="C1121" s="254"/>
      <c r="D1121" s="254"/>
      <c r="E1121" s="254"/>
      <c r="F1121" s="254"/>
      <c r="G1121" s="254"/>
    </row>
    <row r="1122" spans="2:7" x14ac:dyDescent="0.2">
      <c r="B1122" s="254"/>
      <c r="C1122" s="254"/>
      <c r="D1122" s="254"/>
      <c r="E1122" s="254"/>
      <c r="F1122" s="254"/>
      <c r="G1122" s="254"/>
    </row>
    <row r="1123" spans="2:7" x14ac:dyDescent="0.2">
      <c r="B1123" s="254"/>
      <c r="C1123" s="254"/>
      <c r="D1123" s="254"/>
      <c r="E1123" s="254"/>
      <c r="F1123" s="254"/>
      <c r="G1123" s="254"/>
    </row>
    <row r="1124" spans="2:7" x14ac:dyDescent="0.2">
      <c r="B1124" s="254"/>
      <c r="C1124" s="254"/>
      <c r="D1124" s="254"/>
      <c r="E1124" s="254"/>
      <c r="F1124" s="254"/>
      <c r="G1124" s="254"/>
    </row>
    <row r="1125" spans="2:7" x14ac:dyDescent="0.2">
      <c r="B1125" s="254"/>
      <c r="C1125" s="254"/>
      <c r="D1125" s="254"/>
      <c r="E1125" s="254"/>
      <c r="F1125" s="254"/>
      <c r="G1125" s="254"/>
    </row>
    <row r="1126" spans="2:7" x14ac:dyDescent="0.2">
      <c r="B1126" s="254"/>
      <c r="C1126" s="254"/>
      <c r="D1126" s="254"/>
      <c r="E1126" s="254"/>
      <c r="F1126" s="254"/>
      <c r="G1126" s="254"/>
    </row>
    <row r="1127" spans="2:7" x14ac:dyDescent="0.2">
      <c r="B1127" s="254"/>
      <c r="C1127" s="254"/>
      <c r="D1127" s="254"/>
      <c r="E1127" s="254"/>
      <c r="F1127" s="254"/>
      <c r="G1127" s="254"/>
    </row>
    <row r="1128" spans="2:7" x14ac:dyDescent="0.2">
      <c r="B1128" s="254"/>
      <c r="C1128" s="254"/>
      <c r="D1128" s="254"/>
      <c r="E1128" s="254"/>
      <c r="F1128" s="254"/>
      <c r="G1128" s="254"/>
    </row>
    <row r="1129" spans="2:7" x14ac:dyDescent="0.2">
      <c r="B1129" s="254"/>
      <c r="C1129" s="254"/>
      <c r="D1129" s="254"/>
      <c r="E1129" s="254"/>
      <c r="F1129" s="254"/>
      <c r="G1129" s="254"/>
    </row>
    <row r="1130" spans="2:7" x14ac:dyDescent="0.2">
      <c r="B1130" s="254"/>
      <c r="C1130" s="254"/>
      <c r="D1130" s="254"/>
      <c r="E1130" s="254"/>
      <c r="F1130" s="254"/>
      <c r="G1130" s="254"/>
    </row>
    <row r="1131" spans="2:7" x14ac:dyDescent="0.2">
      <c r="B1131" s="254"/>
      <c r="C1131" s="254"/>
      <c r="D1131" s="254"/>
      <c r="E1131" s="254"/>
      <c r="F1131" s="254"/>
      <c r="G1131" s="254"/>
    </row>
    <row r="1132" spans="2:7" x14ac:dyDescent="0.2">
      <c r="B1132" s="254"/>
      <c r="C1132" s="254"/>
      <c r="D1132" s="254"/>
      <c r="E1132" s="254"/>
      <c r="F1132" s="254"/>
      <c r="G1132" s="254"/>
    </row>
    <row r="1133" spans="2:7" x14ac:dyDescent="0.2">
      <c r="B1133" s="254"/>
      <c r="C1133" s="254"/>
      <c r="D1133" s="254"/>
      <c r="E1133" s="254"/>
      <c r="F1133" s="254"/>
      <c r="G1133" s="254"/>
    </row>
    <row r="1134" spans="2:7" x14ac:dyDescent="0.2">
      <c r="B1134" s="254"/>
      <c r="C1134" s="254"/>
      <c r="D1134" s="254"/>
      <c r="E1134" s="254"/>
      <c r="F1134" s="254"/>
      <c r="G1134" s="254"/>
    </row>
    <row r="1135" spans="2:7" x14ac:dyDescent="0.2">
      <c r="B1135" s="254"/>
      <c r="C1135" s="254"/>
      <c r="D1135" s="254"/>
      <c r="E1135" s="254"/>
      <c r="F1135" s="254"/>
      <c r="G1135" s="254"/>
    </row>
    <row r="1136" spans="2:7" x14ac:dyDescent="0.2">
      <c r="B1136" s="254"/>
      <c r="C1136" s="254"/>
      <c r="D1136" s="254"/>
      <c r="E1136" s="254"/>
      <c r="F1136" s="254"/>
      <c r="G1136" s="254"/>
    </row>
    <row r="1137" spans="2:7" x14ac:dyDescent="0.2">
      <c r="B1137" s="254"/>
      <c r="C1137" s="254"/>
      <c r="D1137" s="254"/>
      <c r="E1137" s="254"/>
      <c r="F1137" s="254"/>
      <c r="G1137" s="254"/>
    </row>
    <row r="1138" spans="2:7" x14ac:dyDescent="0.2">
      <c r="B1138" s="254"/>
      <c r="C1138" s="254"/>
      <c r="D1138" s="254"/>
      <c r="E1138" s="254"/>
      <c r="F1138" s="254"/>
      <c r="G1138" s="254"/>
    </row>
    <row r="1139" spans="2:7" x14ac:dyDescent="0.2">
      <c r="B1139" s="254"/>
      <c r="C1139" s="254"/>
      <c r="D1139" s="254"/>
      <c r="E1139" s="254"/>
      <c r="F1139" s="254"/>
      <c r="G1139" s="254"/>
    </row>
    <row r="1140" spans="2:7" x14ac:dyDescent="0.2">
      <c r="B1140" s="254"/>
      <c r="C1140" s="254"/>
      <c r="D1140" s="254"/>
      <c r="E1140" s="254"/>
      <c r="F1140" s="254"/>
      <c r="G1140" s="254"/>
    </row>
    <row r="1141" spans="2:7" x14ac:dyDescent="0.2">
      <c r="B1141" s="254"/>
      <c r="C1141" s="254"/>
      <c r="D1141" s="254"/>
      <c r="E1141" s="254"/>
      <c r="F1141" s="254"/>
      <c r="G1141" s="254"/>
    </row>
    <row r="1142" spans="2:7" x14ac:dyDescent="0.2">
      <c r="B1142" s="254"/>
      <c r="C1142" s="254"/>
      <c r="D1142" s="254"/>
      <c r="E1142" s="254"/>
      <c r="F1142" s="254"/>
      <c r="G1142" s="254"/>
    </row>
    <row r="1143" spans="2:7" x14ac:dyDescent="0.2">
      <c r="B1143" s="254"/>
      <c r="C1143" s="254"/>
      <c r="D1143" s="254"/>
      <c r="E1143" s="254"/>
      <c r="F1143" s="254"/>
      <c r="G1143" s="254"/>
    </row>
    <row r="1144" spans="2:7" x14ac:dyDescent="0.2">
      <c r="B1144" s="254"/>
      <c r="C1144" s="254"/>
      <c r="D1144" s="254"/>
      <c r="E1144" s="254"/>
      <c r="F1144" s="254"/>
      <c r="G1144" s="254"/>
    </row>
    <row r="1145" spans="2:7" x14ac:dyDescent="0.2">
      <c r="B1145" s="254"/>
      <c r="C1145" s="254"/>
      <c r="D1145" s="254"/>
      <c r="E1145" s="254"/>
      <c r="F1145" s="254"/>
      <c r="G1145" s="254"/>
    </row>
    <row r="1146" spans="2:7" x14ac:dyDescent="0.2">
      <c r="B1146" s="254"/>
      <c r="C1146" s="254"/>
      <c r="D1146" s="254"/>
      <c r="E1146" s="254"/>
      <c r="F1146" s="254"/>
      <c r="G1146" s="254"/>
    </row>
    <row r="1147" spans="2:7" x14ac:dyDescent="0.2">
      <c r="B1147" s="254"/>
      <c r="C1147" s="254"/>
      <c r="D1147" s="254"/>
      <c r="E1147" s="254"/>
      <c r="F1147" s="254"/>
      <c r="G1147" s="254"/>
    </row>
    <row r="1148" spans="2:7" x14ac:dyDescent="0.2">
      <c r="B1148" s="254"/>
      <c r="C1148" s="254"/>
      <c r="D1148" s="254"/>
      <c r="E1148" s="254"/>
      <c r="F1148" s="254"/>
      <c r="G1148" s="254"/>
    </row>
    <row r="1149" spans="2:7" x14ac:dyDescent="0.2">
      <c r="B1149" s="254"/>
      <c r="C1149" s="254"/>
      <c r="D1149" s="254"/>
      <c r="E1149" s="254"/>
      <c r="F1149" s="254"/>
      <c r="G1149" s="254"/>
    </row>
    <row r="1150" spans="2:7" x14ac:dyDescent="0.2">
      <c r="B1150" s="254"/>
      <c r="C1150" s="254"/>
      <c r="D1150" s="254"/>
      <c r="E1150" s="254"/>
      <c r="F1150" s="254"/>
      <c r="G1150" s="254"/>
    </row>
    <row r="1151" spans="2:7" x14ac:dyDescent="0.2">
      <c r="B1151" s="254"/>
      <c r="C1151" s="254"/>
      <c r="D1151" s="254"/>
      <c r="E1151" s="254"/>
      <c r="F1151" s="254"/>
      <c r="G1151" s="254"/>
    </row>
    <row r="1152" spans="2:7" x14ac:dyDescent="0.2">
      <c r="B1152" s="254"/>
      <c r="C1152" s="254"/>
      <c r="D1152" s="254"/>
      <c r="E1152" s="254"/>
      <c r="F1152" s="254"/>
      <c r="G1152" s="254"/>
    </row>
    <row r="1153" spans="2:7" x14ac:dyDescent="0.2">
      <c r="B1153" s="254"/>
      <c r="C1153" s="254"/>
      <c r="D1153" s="254"/>
      <c r="E1153" s="254"/>
      <c r="F1153" s="254"/>
      <c r="G1153" s="254"/>
    </row>
    <row r="1154" spans="2:7" x14ac:dyDescent="0.2">
      <c r="B1154" s="254"/>
      <c r="C1154" s="254"/>
      <c r="D1154" s="254"/>
      <c r="E1154" s="254"/>
      <c r="F1154" s="254"/>
      <c r="G1154" s="254"/>
    </row>
    <row r="1155" spans="2:7" x14ac:dyDescent="0.2">
      <c r="B1155" s="254"/>
      <c r="C1155" s="254"/>
      <c r="D1155" s="254"/>
      <c r="E1155" s="254"/>
      <c r="F1155" s="254"/>
      <c r="G1155" s="254"/>
    </row>
    <row r="1156" spans="2:7" x14ac:dyDescent="0.2">
      <c r="B1156" s="254"/>
      <c r="C1156" s="254"/>
      <c r="D1156" s="254"/>
      <c r="E1156" s="254"/>
      <c r="F1156" s="254"/>
      <c r="G1156" s="254"/>
    </row>
    <row r="1157" spans="2:7" x14ac:dyDescent="0.2">
      <c r="B1157" s="254"/>
      <c r="C1157" s="254"/>
      <c r="D1157" s="254"/>
      <c r="E1157" s="254"/>
      <c r="F1157" s="254"/>
      <c r="G1157" s="254"/>
    </row>
    <row r="1158" spans="2:7" x14ac:dyDescent="0.2">
      <c r="B1158" s="254"/>
      <c r="C1158" s="254"/>
      <c r="D1158" s="254"/>
      <c r="E1158" s="254"/>
      <c r="F1158" s="254"/>
      <c r="G1158" s="254"/>
    </row>
    <row r="1159" spans="2:7" x14ac:dyDescent="0.2">
      <c r="B1159" s="254"/>
      <c r="C1159" s="254"/>
      <c r="D1159" s="254"/>
      <c r="E1159" s="254"/>
      <c r="F1159" s="254"/>
      <c r="G1159" s="254"/>
    </row>
    <row r="1160" spans="2:7" x14ac:dyDescent="0.2">
      <c r="B1160" s="254"/>
      <c r="C1160" s="254"/>
      <c r="D1160" s="254"/>
      <c r="E1160" s="254"/>
      <c r="F1160" s="254"/>
      <c r="G1160" s="254"/>
    </row>
    <row r="1161" spans="2:7" x14ac:dyDescent="0.2">
      <c r="B1161" s="254"/>
      <c r="C1161" s="254"/>
      <c r="D1161" s="254"/>
      <c r="E1161" s="254"/>
      <c r="F1161" s="254"/>
      <c r="G1161" s="254"/>
    </row>
    <row r="1162" spans="2:7" x14ac:dyDescent="0.2">
      <c r="B1162" s="254"/>
      <c r="C1162" s="254"/>
      <c r="D1162" s="254"/>
      <c r="E1162" s="254"/>
      <c r="F1162" s="254"/>
      <c r="G1162" s="254"/>
    </row>
    <row r="1163" spans="2:7" x14ac:dyDescent="0.2">
      <c r="B1163" s="254"/>
      <c r="C1163" s="254"/>
      <c r="D1163" s="254"/>
      <c r="E1163" s="254"/>
      <c r="F1163" s="254"/>
      <c r="G1163" s="254"/>
    </row>
    <row r="1164" spans="2:7" x14ac:dyDescent="0.2">
      <c r="B1164" s="254"/>
      <c r="C1164" s="254"/>
      <c r="D1164" s="254"/>
      <c r="E1164" s="254"/>
      <c r="F1164" s="254"/>
      <c r="G1164" s="254"/>
    </row>
    <row r="1165" spans="2:7" x14ac:dyDescent="0.2">
      <c r="B1165" s="254"/>
      <c r="C1165" s="254"/>
      <c r="D1165" s="254"/>
      <c r="E1165" s="254"/>
      <c r="F1165" s="254"/>
      <c r="G1165" s="254"/>
    </row>
    <row r="1166" spans="2:7" x14ac:dyDescent="0.2">
      <c r="B1166" s="254"/>
      <c r="C1166" s="254"/>
      <c r="D1166" s="254"/>
      <c r="E1166" s="254"/>
      <c r="F1166" s="254"/>
      <c r="G1166" s="254"/>
    </row>
    <row r="1167" spans="2:7" x14ac:dyDescent="0.2">
      <c r="B1167" s="254"/>
      <c r="C1167" s="254"/>
      <c r="D1167" s="254"/>
      <c r="E1167" s="254"/>
      <c r="F1167" s="254"/>
      <c r="G1167" s="254"/>
    </row>
    <row r="1168" spans="2:7" x14ac:dyDescent="0.2">
      <c r="B1168" s="254"/>
      <c r="C1168" s="254"/>
      <c r="D1168" s="254"/>
      <c r="E1168" s="254"/>
      <c r="F1168" s="254"/>
      <c r="G1168" s="254"/>
    </row>
    <row r="1169" spans="2:7" x14ac:dyDescent="0.2">
      <c r="B1169" s="254"/>
      <c r="C1169" s="254"/>
      <c r="D1169" s="254"/>
      <c r="E1169" s="254"/>
      <c r="F1169" s="254"/>
      <c r="G1169" s="254"/>
    </row>
    <row r="1170" spans="2:7" x14ac:dyDescent="0.2">
      <c r="B1170" s="254"/>
      <c r="C1170" s="254"/>
      <c r="D1170" s="254"/>
      <c r="E1170" s="254"/>
      <c r="F1170" s="254"/>
      <c r="G1170" s="254"/>
    </row>
    <row r="1171" spans="2:7" x14ac:dyDescent="0.2">
      <c r="B1171" s="254"/>
      <c r="C1171" s="254"/>
      <c r="D1171" s="254"/>
      <c r="E1171" s="254"/>
      <c r="F1171" s="254"/>
      <c r="G1171" s="254"/>
    </row>
    <row r="1172" spans="2:7" x14ac:dyDescent="0.2">
      <c r="B1172" s="254"/>
      <c r="C1172" s="254"/>
      <c r="D1172" s="254"/>
      <c r="E1172" s="254"/>
      <c r="F1172" s="254"/>
      <c r="G1172" s="254"/>
    </row>
    <row r="1173" spans="2:7" x14ac:dyDescent="0.2">
      <c r="B1173" s="254"/>
      <c r="C1173" s="254"/>
      <c r="D1173" s="254"/>
      <c r="E1173" s="254"/>
      <c r="F1173" s="254"/>
      <c r="G1173" s="254"/>
    </row>
    <row r="1174" spans="2:7" x14ac:dyDescent="0.2">
      <c r="B1174" s="254"/>
      <c r="C1174" s="254"/>
      <c r="D1174" s="254"/>
      <c r="E1174" s="254"/>
      <c r="F1174" s="254"/>
      <c r="G1174" s="254"/>
    </row>
    <row r="1175" spans="2:7" x14ac:dyDescent="0.2">
      <c r="B1175" s="254"/>
      <c r="C1175" s="254"/>
      <c r="D1175" s="254"/>
      <c r="E1175" s="254"/>
      <c r="F1175" s="254"/>
      <c r="G1175" s="254"/>
    </row>
    <row r="1176" spans="2:7" x14ac:dyDescent="0.2">
      <c r="B1176" s="254"/>
      <c r="C1176" s="254"/>
      <c r="D1176" s="254"/>
      <c r="E1176" s="254"/>
      <c r="F1176" s="254"/>
      <c r="G1176" s="254"/>
    </row>
    <row r="1177" spans="2:7" x14ac:dyDescent="0.2">
      <c r="B1177" s="254"/>
      <c r="C1177" s="254"/>
      <c r="D1177" s="254"/>
      <c r="E1177" s="254"/>
      <c r="F1177" s="254"/>
      <c r="G1177" s="254"/>
    </row>
    <row r="1178" spans="2:7" x14ac:dyDescent="0.2">
      <c r="B1178" s="254"/>
      <c r="C1178" s="254"/>
      <c r="D1178" s="254"/>
      <c r="E1178" s="254"/>
      <c r="F1178" s="254"/>
      <c r="G1178" s="254"/>
    </row>
    <row r="1179" spans="2:7" x14ac:dyDescent="0.2">
      <c r="B1179" s="254"/>
      <c r="C1179" s="254"/>
      <c r="D1179" s="254"/>
      <c r="E1179" s="254"/>
      <c r="F1179" s="254"/>
      <c r="G1179" s="254"/>
    </row>
    <row r="1180" spans="2:7" x14ac:dyDescent="0.2">
      <c r="B1180" s="254"/>
      <c r="C1180" s="254"/>
      <c r="D1180" s="254"/>
      <c r="E1180" s="254"/>
      <c r="F1180" s="254"/>
      <c r="G1180" s="254"/>
    </row>
    <row r="1181" spans="2:7" x14ac:dyDescent="0.2">
      <c r="B1181" s="254"/>
      <c r="C1181" s="254"/>
      <c r="D1181" s="254"/>
      <c r="E1181" s="254"/>
      <c r="F1181" s="254"/>
      <c r="G1181" s="254"/>
    </row>
    <row r="1182" spans="2:7" x14ac:dyDescent="0.2">
      <c r="B1182" s="254"/>
      <c r="C1182" s="254"/>
      <c r="D1182" s="254"/>
      <c r="E1182" s="254"/>
      <c r="F1182" s="254"/>
      <c r="G1182" s="254"/>
    </row>
    <row r="1183" spans="2:7" x14ac:dyDescent="0.2">
      <c r="B1183" s="254"/>
      <c r="C1183" s="254"/>
      <c r="D1183" s="254"/>
      <c r="E1183" s="254"/>
      <c r="F1183" s="254"/>
      <c r="G1183" s="254"/>
    </row>
    <row r="1184" spans="2:7" x14ac:dyDescent="0.2">
      <c r="B1184" s="254"/>
      <c r="C1184" s="254"/>
      <c r="D1184" s="254"/>
      <c r="E1184" s="254"/>
      <c r="F1184" s="254"/>
      <c r="G1184" s="254"/>
    </row>
    <row r="1185" spans="2:7" x14ac:dyDescent="0.2">
      <c r="B1185" s="254"/>
      <c r="C1185" s="254"/>
      <c r="D1185" s="254"/>
      <c r="E1185" s="254"/>
      <c r="F1185" s="254"/>
      <c r="G1185" s="254"/>
    </row>
    <row r="1186" spans="2:7" x14ac:dyDescent="0.2">
      <c r="B1186" s="254"/>
      <c r="C1186" s="254"/>
      <c r="D1186" s="254"/>
      <c r="E1186" s="254"/>
      <c r="F1186" s="254"/>
      <c r="G1186" s="254"/>
    </row>
    <row r="1187" spans="2:7" x14ac:dyDescent="0.2">
      <c r="B1187" s="254"/>
      <c r="C1187" s="254"/>
      <c r="D1187" s="254"/>
      <c r="E1187" s="254"/>
      <c r="F1187" s="254"/>
      <c r="G1187" s="254"/>
    </row>
    <row r="1188" spans="2:7" x14ac:dyDescent="0.2">
      <c r="B1188" s="254"/>
      <c r="C1188" s="254"/>
      <c r="D1188" s="254"/>
      <c r="E1188" s="254"/>
      <c r="F1188" s="254"/>
      <c r="G1188" s="254"/>
    </row>
    <row r="1189" spans="2:7" x14ac:dyDescent="0.2">
      <c r="B1189" s="254"/>
      <c r="C1189" s="254"/>
      <c r="D1189" s="254"/>
      <c r="E1189" s="254"/>
      <c r="F1189" s="254"/>
      <c r="G1189" s="254"/>
    </row>
    <row r="1190" spans="2:7" x14ac:dyDescent="0.2">
      <c r="B1190" s="254"/>
      <c r="C1190" s="254"/>
      <c r="D1190" s="254"/>
      <c r="E1190" s="254"/>
      <c r="F1190" s="254"/>
      <c r="G1190" s="254"/>
    </row>
    <row r="1191" spans="2:7" x14ac:dyDescent="0.2">
      <c r="B1191" s="254"/>
      <c r="C1191" s="254"/>
      <c r="D1191" s="254"/>
      <c r="E1191" s="254"/>
      <c r="F1191" s="254"/>
      <c r="G1191" s="254"/>
    </row>
    <row r="1192" spans="2:7" x14ac:dyDescent="0.2">
      <c r="B1192" s="254"/>
      <c r="C1192" s="254"/>
      <c r="D1192" s="254"/>
      <c r="E1192" s="254"/>
      <c r="F1192" s="254"/>
      <c r="G1192" s="254"/>
    </row>
    <row r="1193" spans="2:7" x14ac:dyDescent="0.2">
      <c r="B1193" s="254"/>
      <c r="C1193" s="254"/>
      <c r="D1193" s="254"/>
      <c r="E1193" s="254"/>
      <c r="F1193" s="254"/>
      <c r="G1193" s="254"/>
    </row>
    <row r="1194" spans="2:7" x14ac:dyDescent="0.2">
      <c r="B1194" s="254"/>
      <c r="C1194" s="254"/>
      <c r="D1194" s="254"/>
      <c r="E1194" s="254"/>
      <c r="F1194" s="254"/>
      <c r="G1194" s="254"/>
    </row>
    <row r="1195" spans="2:7" x14ac:dyDescent="0.2">
      <c r="B1195" s="254"/>
      <c r="C1195" s="254"/>
      <c r="D1195" s="254"/>
      <c r="E1195" s="254"/>
      <c r="F1195" s="254"/>
      <c r="G1195" s="254"/>
    </row>
    <row r="1196" spans="2:7" x14ac:dyDescent="0.2">
      <c r="B1196" s="254"/>
      <c r="C1196" s="254"/>
      <c r="D1196" s="254"/>
      <c r="E1196" s="254"/>
      <c r="F1196" s="254"/>
      <c r="G1196" s="254"/>
    </row>
    <row r="1197" spans="2:7" x14ac:dyDescent="0.2">
      <c r="B1197" s="254"/>
      <c r="C1197" s="254"/>
      <c r="D1197" s="254"/>
      <c r="E1197" s="254"/>
      <c r="F1197" s="254"/>
      <c r="G1197" s="254"/>
    </row>
    <row r="1198" spans="2:7" x14ac:dyDescent="0.2">
      <c r="B1198" s="254"/>
      <c r="C1198" s="254"/>
      <c r="D1198" s="254"/>
      <c r="E1198" s="254"/>
      <c r="F1198" s="254"/>
      <c r="G1198" s="254"/>
    </row>
    <row r="1199" spans="2:7" x14ac:dyDescent="0.2">
      <c r="B1199" s="254"/>
      <c r="C1199" s="254"/>
      <c r="D1199" s="254"/>
      <c r="E1199" s="254"/>
      <c r="F1199" s="254"/>
      <c r="G1199" s="254"/>
    </row>
    <row r="1200" spans="2:7" x14ac:dyDescent="0.2">
      <c r="B1200" s="254"/>
      <c r="C1200" s="254"/>
      <c r="D1200" s="254"/>
      <c r="E1200" s="254"/>
      <c r="F1200" s="254"/>
      <c r="G1200" s="254"/>
    </row>
    <row r="1201" spans="2:7" x14ac:dyDescent="0.2">
      <c r="B1201" s="254"/>
      <c r="C1201" s="254"/>
      <c r="D1201" s="254"/>
      <c r="E1201" s="254"/>
      <c r="F1201" s="254"/>
      <c r="G1201" s="254"/>
    </row>
    <row r="1202" spans="2:7" x14ac:dyDescent="0.2">
      <c r="B1202" s="254"/>
      <c r="C1202" s="254"/>
      <c r="D1202" s="254"/>
      <c r="E1202" s="254"/>
      <c r="F1202" s="254"/>
      <c r="G1202" s="254"/>
    </row>
    <row r="1203" spans="2:7" x14ac:dyDescent="0.2">
      <c r="B1203" s="254"/>
      <c r="C1203" s="254"/>
      <c r="D1203" s="254"/>
      <c r="E1203" s="254"/>
      <c r="F1203" s="254"/>
      <c r="G1203" s="254"/>
    </row>
    <row r="1204" spans="2:7" x14ac:dyDescent="0.2">
      <c r="B1204" s="254"/>
      <c r="C1204" s="254"/>
      <c r="D1204" s="254"/>
      <c r="E1204" s="254"/>
      <c r="F1204" s="254"/>
      <c r="G1204" s="254"/>
    </row>
    <row r="1205" spans="2:7" x14ac:dyDescent="0.2">
      <c r="B1205" s="254"/>
      <c r="C1205" s="254"/>
      <c r="D1205" s="254"/>
      <c r="E1205" s="254"/>
      <c r="F1205" s="254"/>
      <c r="G1205" s="254"/>
    </row>
    <row r="1206" spans="2:7" x14ac:dyDescent="0.2">
      <c r="B1206" s="254"/>
      <c r="C1206" s="254"/>
      <c r="D1206" s="254"/>
      <c r="E1206" s="254"/>
      <c r="F1206" s="254"/>
      <c r="G1206" s="254"/>
    </row>
    <row r="1207" spans="2:7" x14ac:dyDescent="0.2">
      <c r="B1207" s="254"/>
      <c r="C1207" s="254"/>
      <c r="D1207" s="254"/>
      <c r="E1207" s="254"/>
      <c r="F1207" s="254"/>
      <c r="G1207" s="254"/>
    </row>
    <row r="1208" spans="2:7" x14ac:dyDescent="0.2">
      <c r="B1208" s="254"/>
      <c r="C1208" s="254"/>
      <c r="D1208" s="254"/>
      <c r="E1208" s="254"/>
      <c r="F1208" s="254"/>
      <c r="G1208" s="254"/>
    </row>
    <row r="1209" spans="2:7" x14ac:dyDescent="0.2">
      <c r="B1209" s="254"/>
      <c r="C1209" s="254"/>
      <c r="D1209" s="254"/>
      <c r="E1209" s="254"/>
      <c r="F1209" s="254"/>
      <c r="G1209" s="254"/>
    </row>
    <row r="1210" spans="2:7" x14ac:dyDescent="0.2">
      <c r="B1210" s="254"/>
      <c r="C1210" s="254"/>
      <c r="D1210" s="254"/>
      <c r="E1210" s="254"/>
      <c r="F1210" s="254"/>
      <c r="G1210" s="254"/>
    </row>
    <row r="1211" spans="2:7" x14ac:dyDescent="0.2">
      <c r="B1211" s="254"/>
      <c r="C1211" s="254"/>
      <c r="D1211" s="254"/>
      <c r="E1211" s="254"/>
      <c r="F1211" s="254"/>
      <c r="G1211" s="254"/>
    </row>
    <row r="1212" spans="2:7" x14ac:dyDescent="0.2">
      <c r="B1212" s="254"/>
      <c r="C1212" s="254"/>
      <c r="D1212" s="254"/>
      <c r="E1212" s="254"/>
      <c r="F1212" s="254"/>
      <c r="G1212" s="254"/>
    </row>
    <row r="1213" spans="2:7" x14ac:dyDescent="0.2">
      <c r="B1213" s="254"/>
      <c r="C1213" s="254"/>
      <c r="D1213" s="254"/>
      <c r="E1213" s="254"/>
      <c r="F1213" s="254"/>
      <c r="G1213" s="254"/>
    </row>
    <row r="1214" spans="2:7" x14ac:dyDescent="0.2">
      <c r="B1214" s="254"/>
      <c r="C1214" s="254"/>
      <c r="D1214" s="254"/>
      <c r="E1214" s="254"/>
      <c r="F1214" s="254"/>
      <c r="G1214" s="254"/>
    </row>
    <row r="1215" spans="2:7" x14ac:dyDescent="0.2">
      <c r="B1215" s="254"/>
      <c r="C1215" s="254"/>
      <c r="D1215" s="254"/>
      <c r="E1215" s="254"/>
      <c r="F1215" s="254"/>
      <c r="G1215" s="254"/>
    </row>
    <row r="1216" spans="2:7" x14ac:dyDescent="0.2">
      <c r="B1216" s="254"/>
      <c r="C1216" s="254"/>
      <c r="D1216" s="254"/>
      <c r="E1216" s="254"/>
      <c r="F1216" s="254"/>
      <c r="G1216" s="254"/>
    </row>
    <row r="1217" spans="2:7" x14ac:dyDescent="0.2">
      <c r="B1217" s="254"/>
      <c r="C1217" s="254"/>
      <c r="D1217" s="254"/>
      <c r="E1217" s="254"/>
      <c r="F1217" s="254"/>
      <c r="G1217" s="254"/>
    </row>
    <row r="1218" spans="2:7" x14ac:dyDescent="0.2">
      <c r="B1218" s="254"/>
      <c r="C1218" s="254"/>
      <c r="D1218" s="254"/>
      <c r="E1218" s="254"/>
      <c r="F1218" s="254"/>
      <c r="G1218" s="254"/>
    </row>
    <row r="1219" spans="2:7" x14ac:dyDescent="0.2">
      <c r="B1219" s="254"/>
      <c r="C1219" s="254"/>
      <c r="D1219" s="254"/>
      <c r="E1219" s="254"/>
      <c r="F1219" s="254"/>
      <c r="G1219" s="254"/>
    </row>
    <row r="1220" spans="2:7" x14ac:dyDescent="0.2">
      <c r="B1220" s="254"/>
      <c r="C1220" s="254"/>
      <c r="D1220" s="254"/>
      <c r="E1220" s="254"/>
      <c r="F1220" s="254"/>
      <c r="G1220" s="254"/>
    </row>
    <row r="1221" spans="2:7" x14ac:dyDescent="0.2">
      <c r="B1221" s="254"/>
      <c r="C1221" s="254"/>
      <c r="D1221" s="254"/>
      <c r="E1221" s="254"/>
      <c r="F1221" s="254"/>
      <c r="G1221" s="254"/>
    </row>
    <row r="1222" spans="2:7" x14ac:dyDescent="0.2">
      <c r="B1222" s="254"/>
      <c r="C1222" s="254"/>
      <c r="D1222" s="254"/>
      <c r="E1222" s="254"/>
      <c r="F1222" s="254"/>
      <c r="G1222" s="254"/>
    </row>
    <row r="1223" spans="2:7" x14ac:dyDescent="0.2">
      <c r="B1223" s="254"/>
      <c r="C1223" s="254"/>
      <c r="D1223" s="254"/>
      <c r="E1223" s="254"/>
      <c r="F1223" s="254"/>
      <c r="G1223" s="254"/>
    </row>
    <row r="1224" spans="2:7" x14ac:dyDescent="0.2">
      <c r="B1224" s="254"/>
      <c r="C1224" s="254"/>
      <c r="D1224" s="254"/>
      <c r="E1224" s="254"/>
      <c r="F1224" s="254"/>
      <c r="G1224" s="254"/>
    </row>
    <row r="1225" spans="2:7" x14ac:dyDescent="0.2">
      <c r="B1225" s="254"/>
      <c r="C1225" s="254"/>
      <c r="D1225" s="254"/>
      <c r="E1225" s="254"/>
      <c r="F1225" s="254"/>
      <c r="G1225" s="254"/>
    </row>
    <row r="1226" spans="2:7" x14ac:dyDescent="0.2">
      <c r="B1226" s="254"/>
      <c r="C1226" s="254"/>
      <c r="D1226" s="254"/>
      <c r="E1226" s="254"/>
      <c r="F1226" s="254"/>
      <c r="G1226" s="254"/>
    </row>
    <row r="1227" spans="2:7" x14ac:dyDescent="0.2">
      <c r="B1227" s="254"/>
      <c r="C1227" s="254"/>
      <c r="D1227" s="254"/>
      <c r="E1227" s="254"/>
      <c r="F1227" s="254"/>
      <c r="G1227" s="254"/>
    </row>
    <row r="1228" spans="2:7" x14ac:dyDescent="0.2">
      <c r="B1228" s="254"/>
      <c r="C1228" s="254"/>
      <c r="D1228" s="254"/>
      <c r="E1228" s="254"/>
      <c r="F1228" s="254"/>
      <c r="G1228" s="254"/>
    </row>
    <row r="1229" spans="2:7" x14ac:dyDescent="0.2">
      <c r="B1229" s="254"/>
      <c r="C1229" s="254"/>
      <c r="D1229" s="254"/>
      <c r="E1229" s="254"/>
      <c r="F1229" s="254"/>
      <c r="G1229" s="254"/>
    </row>
    <row r="1230" spans="2:7" x14ac:dyDescent="0.2">
      <c r="B1230" s="254"/>
      <c r="C1230" s="254"/>
      <c r="D1230" s="254"/>
      <c r="E1230" s="254"/>
      <c r="F1230" s="254"/>
      <c r="G1230" s="254"/>
    </row>
    <row r="1231" spans="2:7" x14ac:dyDescent="0.2">
      <c r="B1231" s="254"/>
      <c r="C1231" s="254"/>
      <c r="D1231" s="254"/>
      <c r="E1231" s="254"/>
      <c r="F1231" s="254"/>
      <c r="G1231" s="254"/>
    </row>
    <row r="1232" spans="2:7" x14ac:dyDescent="0.2">
      <c r="B1232" s="254"/>
      <c r="C1232" s="254"/>
      <c r="D1232" s="254"/>
      <c r="E1232" s="254"/>
      <c r="F1232" s="254"/>
      <c r="G1232" s="254"/>
    </row>
    <row r="1233" spans="2:7" x14ac:dyDescent="0.2">
      <c r="B1233" s="254"/>
      <c r="C1233" s="254"/>
      <c r="D1233" s="254"/>
      <c r="E1233" s="254"/>
      <c r="F1233" s="254"/>
      <c r="G1233" s="254"/>
    </row>
    <row r="1234" spans="2:7" x14ac:dyDescent="0.2">
      <c r="B1234" s="254"/>
      <c r="C1234" s="254"/>
      <c r="D1234" s="254"/>
      <c r="E1234" s="254"/>
      <c r="F1234" s="254"/>
      <c r="G1234" s="254"/>
    </row>
    <row r="1235" spans="2:7" x14ac:dyDescent="0.2">
      <c r="B1235" s="254"/>
      <c r="C1235" s="254"/>
      <c r="D1235" s="254"/>
      <c r="E1235" s="254"/>
      <c r="F1235" s="254"/>
      <c r="G1235" s="254"/>
    </row>
    <row r="1236" spans="2:7" x14ac:dyDescent="0.2">
      <c r="B1236" s="254"/>
      <c r="C1236" s="254"/>
      <c r="D1236" s="254"/>
      <c r="E1236" s="254"/>
      <c r="F1236" s="254"/>
      <c r="G1236" s="254"/>
    </row>
    <row r="1237" spans="2:7" x14ac:dyDescent="0.2">
      <c r="B1237" s="254"/>
      <c r="C1237" s="254"/>
      <c r="D1237" s="254"/>
      <c r="E1237" s="254"/>
      <c r="F1237" s="254"/>
      <c r="G1237" s="254"/>
    </row>
    <row r="1238" spans="2:7" x14ac:dyDescent="0.2">
      <c r="B1238" s="254"/>
      <c r="C1238" s="254"/>
      <c r="D1238" s="254"/>
      <c r="E1238" s="254"/>
      <c r="F1238" s="254"/>
      <c r="G1238" s="254"/>
    </row>
    <row r="1239" spans="2:7" x14ac:dyDescent="0.2">
      <c r="B1239" s="254"/>
      <c r="C1239" s="254"/>
      <c r="D1239" s="254"/>
      <c r="E1239" s="254"/>
      <c r="F1239" s="254"/>
      <c r="G1239" s="254"/>
    </row>
    <row r="1240" spans="2:7" x14ac:dyDescent="0.2">
      <c r="B1240" s="254"/>
      <c r="C1240" s="254"/>
      <c r="D1240" s="254"/>
      <c r="E1240" s="254"/>
      <c r="F1240" s="254"/>
      <c r="G1240" s="254"/>
    </row>
    <row r="1241" spans="2:7" x14ac:dyDescent="0.2">
      <c r="B1241" s="254"/>
      <c r="C1241" s="254"/>
      <c r="D1241" s="254"/>
      <c r="E1241" s="254"/>
      <c r="F1241" s="254"/>
      <c r="G1241" s="254"/>
    </row>
    <row r="1242" spans="2:7" x14ac:dyDescent="0.2">
      <c r="B1242" s="254"/>
      <c r="C1242" s="254"/>
      <c r="D1242" s="254"/>
      <c r="E1242" s="254"/>
      <c r="F1242" s="254"/>
      <c r="G1242" s="254"/>
    </row>
    <row r="1243" spans="2:7" x14ac:dyDescent="0.2">
      <c r="B1243" s="254"/>
      <c r="C1243" s="254"/>
      <c r="D1243" s="254"/>
      <c r="E1243" s="254"/>
      <c r="F1243" s="254"/>
      <c r="G1243" s="254"/>
    </row>
    <row r="1244" spans="2:7" x14ac:dyDescent="0.2">
      <c r="B1244" s="254"/>
      <c r="C1244" s="254"/>
      <c r="D1244" s="254"/>
      <c r="E1244" s="254"/>
      <c r="F1244" s="254"/>
      <c r="G1244" s="254"/>
    </row>
    <row r="1245" spans="2:7" x14ac:dyDescent="0.2">
      <c r="B1245" s="254"/>
      <c r="C1245" s="254"/>
      <c r="D1245" s="254"/>
      <c r="E1245" s="254"/>
      <c r="F1245" s="254"/>
      <c r="G1245" s="254"/>
    </row>
    <row r="1246" spans="2:7" x14ac:dyDescent="0.2">
      <c r="B1246" s="254"/>
      <c r="C1246" s="254"/>
      <c r="D1246" s="254"/>
      <c r="E1246" s="254"/>
      <c r="F1246" s="254"/>
      <c r="G1246" s="254"/>
    </row>
    <row r="1247" spans="2:7" x14ac:dyDescent="0.2">
      <c r="B1247" s="254"/>
      <c r="C1247" s="254"/>
      <c r="D1247" s="254"/>
      <c r="E1247" s="254"/>
      <c r="F1247" s="254"/>
      <c r="G1247" s="254"/>
    </row>
    <row r="1248" spans="2:7" x14ac:dyDescent="0.2">
      <c r="B1248" s="254"/>
      <c r="C1248" s="254"/>
      <c r="D1248" s="254"/>
      <c r="E1248" s="254"/>
      <c r="F1248" s="254"/>
      <c r="G1248" s="254"/>
    </row>
    <row r="1249" spans="2:7" x14ac:dyDescent="0.2">
      <c r="B1249" s="254"/>
      <c r="C1249" s="254"/>
      <c r="D1249" s="254"/>
      <c r="E1249" s="254"/>
      <c r="F1249" s="254"/>
      <c r="G1249" s="254"/>
    </row>
    <row r="1250" spans="2:7" x14ac:dyDescent="0.2">
      <c r="B1250" s="254"/>
      <c r="C1250" s="254"/>
      <c r="D1250" s="254"/>
      <c r="E1250" s="254"/>
      <c r="F1250" s="254"/>
      <c r="G1250" s="254"/>
    </row>
    <row r="1251" spans="2:7" x14ac:dyDescent="0.2">
      <c r="B1251" s="254"/>
      <c r="C1251" s="254"/>
      <c r="D1251" s="254"/>
      <c r="E1251" s="254"/>
      <c r="F1251" s="254"/>
      <c r="G1251" s="254"/>
    </row>
    <row r="1252" spans="2:7" x14ac:dyDescent="0.2">
      <c r="B1252" s="254"/>
      <c r="C1252" s="254"/>
      <c r="D1252" s="254"/>
      <c r="E1252" s="254"/>
      <c r="F1252" s="254"/>
      <c r="G1252" s="254"/>
    </row>
    <row r="1253" spans="2:7" x14ac:dyDescent="0.2">
      <c r="B1253" s="254"/>
      <c r="C1253" s="254"/>
      <c r="D1253" s="254"/>
      <c r="E1253" s="254"/>
      <c r="F1253" s="254"/>
      <c r="G1253" s="254"/>
    </row>
    <row r="1254" spans="2:7" x14ac:dyDescent="0.2">
      <c r="B1254" s="254"/>
      <c r="C1254" s="254"/>
      <c r="D1254" s="254"/>
      <c r="E1254" s="254"/>
      <c r="F1254" s="254"/>
      <c r="G1254" s="254"/>
    </row>
    <row r="1255" spans="2:7" x14ac:dyDescent="0.2">
      <c r="B1255" s="254"/>
      <c r="C1255" s="254"/>
      <c r="D1255" s="254"/>
      <c r="E1255" s="254"/>
      <c r="F1255" s="254"/>
      <c r="G1255" s="254"/>
    </row>
    <row r="1256" spans="2:7" x14ac:dyDescent="0.2">
      <c r="B1256" s="254"/>
      <c r="C1256" s="254"/>
      <c r="D1256" s="254"/>
      <c r="E1256" s="254"/>
      <c r="F1256" s="254"/>
      <c r="G1256" s="254"/>
    </row>
    <row r="1257" spans="2:7" x14ac:dyDescent="0.2">
      <c r="B1257" s="254"/>
      <c r="C1257" s="254"/>
      <c r="D1257" s="254"/>
      <c r="E1257" s="254"/>
      <c r="F1257" s="254"/>
      <c r="G1257" s="254"/>
    </row>
    <row r="1258" spans="2:7" x14ac:dyDescent="0.2">
      <c r="B1258" s="254"/>
      <c r="C1258" s="254"/>
      <c r="D1258" s="254"/>
      <c r="E1258" s="254"/>
      <c r="F1258" s="254"/>
      <c r="G1258" s="254"/>
    </row>
    <row r="1259" spans="2:7" x14ac:dyDescent="0.2">
      <c r="B1259" s="254"/>
      <c r="C1259" s="254"/>
      <c r="D1259" s="254"/>
      <c r="E1259" s="254"/>
      <c r="F1259" s="254"/>
      <c r="G1259" s="254"/>
    </row>
    <row r="1260" spans="2:7" x14ac:dyDescent="0.2">
      <c r="B1260" s="254"/>
      <c r="C1260" s="254"/>
      <c r="D1260" s="254"/>
      <c r="E1260" s="254"/>
      <c r="F1260" s="254"/>
      <c r="G1260" s="254"/>
    </row>
    <row r="1261" spans="2:7" x14ac:dyDescent="0.2">
      <c r="B1261" s="254"/>
      <c r="C1261" s="254"/>
      <c r="D1261" s="254"/>
      <c r="E1261" s="254"/>
      <c r="F1261" s="254"/>
      <c r="G1261" s="254"/>
    </row>
    <row r="1262" spans="2:7" x14ac:dyDescent="0.2">
      <c r="B1262" s="254"/>
      <c r="C1262" s="254"/>
      <c r="D1262" s="254"/>
      <c r="E1262" s="254"/>
      <c r="F1262" s="254"/>
      <c r="G1262" s="254"/>
    </row>
    <row r="1263" spans="2:7" x14ac:dyDescent="0.2">
      <c r="B1263" s="254"/>
      <c r="C1263" s="254"/>
      <c r="D1263" s="254"/>
      <c r="E1263" s="254"/>
      <c r="F1263" s="254"/>
      <c r="G1263" s="254"/>
    </row>
    <row r="1264" spans="2:7" x14ac:dyDescent="0.2">
      <c r="B1264" s="254"/>
      <c r="C1264" s="254"/>
      <c r="D1264" s="254"/>
      <c r="E1264" s="254"/>
      <c r="F1264" s="254"/>
      <c r="G1264" s="254"/>
    </row>
    <row r="1265" spans="2:7" x14ac:dyDescent="0.2">
      <c r="B1265" s="254"/>
      <c r="C1265" s="254"/>
      <c r="D1265" s="254"/>
      <c r="E1265" s="254"/>
      <c r="F1265" s="254"/>
      <c r="G1265" s="254"/>
    </row>
    <row r="1266" spans="2:7" x14ac:dyDescent="0.2">
      <c r="B1266" s="254"/>
      <c r="C1266" s="254"/>
      <c r="D1266" s="254"/>
      <c r="E1266" s="254"/>
      <c r="F1266" s="254"/>
      <c r="G1266" s="254"/>
    </row>
    <row r="1267" spans="2:7" x14ac:dyDescent="0.2">
      <c r="B1267" s="254"/>
      <c r="C1267" s="254"/>
      <c r="D1267" s="254"/>
      <c r="E1267" s="254"/>
      <c r="F1267" s="254"/>
      <c r="G1267" s="254"/>
    </row>
    <row r="1268" spans="2:7" x14ac:dyDescent="0.2">
      <c r="B1268" s="254"/>
      <c r="C1268" s="254"/>
      <c r="D1268" s="254"/>
      <c r="E1268" s="254"/>
      <c r="F1268" s="254"/>
      <c r="G1268" s="254"/>
    </row>
    <row r="1269" spans="2:7" x14ac:dyDescent="0.2">
      <c r="B1269" s="254"/>
      <c r="C1269" s="254"/>
      <c r="D1269" s="254"/>
      <c r="E1269" s="254"/>
      <c r="F1269" s="254"/>
      <c r="G1269" s="254"/>
    </row>
    <row r="1270" spans="2:7" x14ac:dyDescent="0.2">
      <c r="B1270" s="254"/>
      <c r="C1270" s="254"/>
      <c r="D1270" s="254"/>
      <c r="E1270" s="254"/>
      <c r="F1270" s="254"/>
      <c r="G1270" s="254"/>
    </row>
    <row r="1271" spans="2:7" x14ac:dyDescent="0.2">
      <c r="B1271" s="254"/>
      <c r="C1271" s="254"/>
      <c r="D1271" s="254"/>
      <c r="E1271" s="254"/>
      <c r="F1271" s="254"/>
      <c r="G1271" s="254"/>
    </row>
    <row r="1272" spans="2:7" x14ac:dyDescent="0.2">
      <c r="B1272" s="254"/>
      <c r="C1272" s="254"/>
      <c r="D1272" s="254"/>
      <c r="E1272" s="254"/>
      <c r="F1272" s="254"/>
      <c r="G1272" s="254"/>
    </row>
    <row r="1273" spans="2:7" x14ac:dyDescent="0.2">
      <c r="B1273" s="254"/>
      <c r="C1273" s="254"/>
      <c r="D1273" s="254"/>
      <c r="E1273" s="254"/>
      <c r="F1273" s="254"/>
      <c r="G1273" s="254"/>
    </row>
    <row r="1274" spans="2:7" x14ac:dyDescent="0.2">
      <c r="B1274" s="254"/>
      <c r="C1274" s="254"/>
      <c r="D1274" s="254"/>
      <c r="E1274" s="254"/>
      <c r="F1274" s="254"/>
      <c r="G1274" s="254"/>
    </row>
    <row r="1275" spans="2:7" x14ac:dyDescent="0.2">
      <c r="B1275" s="254"/>
      <c r="C1275" s="254"/>
      <c r="D1275" s="254"/>
      <c r="E1275" s="254"/>
      <c r="F1275" s="254"/>
      <c r="G1275" s="254"/>
    </row>
    <row r="1276" spans="2:7" x14ac:dyDescent="0.2">
      <c r="B1276" s="254"/>
      <c r="C1276" s="254"/>
      <c r="D1276" s="254"/>
      <c r="E1276" s="254"/>
      <c r="F1276" s="254"/>
      <c r="G1276" s="254"/>
    </row>
    <row r="1277" spans="2:7" x14ac:dyDescent="0.2">
      <c r="B1277" s="254"/>
      <c r="C1277" s="254"/>
      <c r="D1277" s="254"/>
      <c r="E1277" s="254"/>
      <c r="F1277" s="254"/>
      <c r="G1277" s="254"/>
    </row>
    <row r="1278" spans="2:7" x14ac:dyDescent="0.2">
      <c r="B1278" s="254"/>
      <c r="C1278" s="254"/>
      <c r="D1278" s="254"/>
      <c r="E1278" s="254"/>
      <c r="F1278" s="254"/>
      <c r="G1278" s="254"/>
    </row>
    <row r="1279" spans="2:7" x14ac:dyDescent="0.2">
      <c r="B1279" s="254"/>
      <c r="C1279" s="254"/>
      <c r="D1279" s="254"/>
      <c r="E1279" s="254"/>
      <c r="F1279" s="254"/>
      <c r="G1279" s="254"/>
    </row>
    <row r="1280" spans="2:7" x14ac:dyDescent="0.2">
      <c r="B1280" s="254"/>
      <c r="C1280" s="254"/>
      <c r="D1280" s="254"/>
      <c r="E1280" s="254"/>
      <c r="F1280" s="254"/>
      <c r="G1280" s="254"/>
    </row>
    <row r="1281" spans="2:7" x14ac:dyDescent="0.2">
      <c r="B1281" s="254"/>
      <c r="C1281" s="254"/>
      <c r="D1281" s="254"/>
      <c r="E1281" s="254"/>
      <c r="F1281" s="254"/>
      <c r="G1281" s="254"/>
    </row>
    <row r="1282" spans="2:7" x14ac:dyDescent="0.2">
      <c r="B1282" s="254"/>
      <c r="C1282" s="254"/>
      <c r="D1282" s="254"/>
      <c r="E1282" s="254"/>
      <c r="F1282" s="254"/>
      <c r="G1282" s="254"/>
    </row>
    <row r="1283" spans="2:7" x14ac:dyDescent="0.2">
      <c r="B1283" s="254"/>
      <c r="C1283" s="254"/>
      <c r="D1283" s="254"/>
      <c r="E1283" s="254"/>
      <c r="F1283" s="254"/>
      <c r="G1283" s="254"/>
    </row>
    <row r="1284" spans="2:7" x14ac:dyDescent="0.2">
      <c r="B1284" s="254"/>
      <c r="C1284" s="254"/>
      <c r="D1284" s="254"/>
      <c r="E1284" s="254"/>
      <c r="F1284" s="254"/>
      <c r="G1284" s="254"/>
    </row>
    <row r="1285" spans="2:7" x14ac:dyDescent="0.2">
      <c r="B1285" s="254"/>
      <c r="C1285" s="254"/>
      <c r="D1285" s="254"/>
      <c r="E1285" s="254"/>
      <c r="F1285" s="254"/>
      <c r="G1285" s="254"/>
    </row>
    <row r="1286" spans="2:7" x14ac:dyDescent="0.2">
      <c r="B1286" s="254"/>
      <c r="C1286" s="254"/>
      <c r="D1286" s="254"/>
      <c r="E1286" s="254"/>
      <c r="F1286" s="254"/>
      <c r="G1286" s="254"/>
    </row>
    <row r="1287" spans="2:7" x14ac:dyDescent="0.2">
      <c r="B1287" s="254"/>
      <c r="C1287" s="254"/>
      <c r="D1287" s="254"/>
      <c r="E1287" s="254"/>
      <c r="F1287" s="254"/>
      <c r="G1287" s="254"/>
    </row>
    <row r="1288" spans="2:7" x14ac:dyDescent="0.2">
      <c r="B1288" s="254"/>
      <c r="C1288" s="254"/>
      <c r="D1288" s="254"/>
      <c r="E1288" s="254"/>
      <c r="F1288" s="254"/>
      <c r="G1288" s="254"/>
    </row>
    <row r="1289" spans="2:7" x14ac:dyDescent="0.2">
      <c r="B1289" s="254"/>
      <c r="C1289" s="254"/>
      <c r="D1289" s="254"/>
      <c r="E1289" s="254"/>
      <c r="F1289" s="254"/>
      <c r="G1289" s="254"/>
    </row>
    <row r="1290" spans="2:7" x14ac:dyDescent="0.2">
      <c r="B1290" s="254"/>
      <c r="C1290" s="254"/>
      <c r="D1290" s="254"/>
      <c r="E1290" s="254"/>
      <c r="F1290" s="254"/>
      <c r="G1290" s="254"/>
    </row>
    <row r="1291" spans="2:7" x14ac:dyDescent="0.2">
      <c r="B1291" s="254"/>
      <c r="C1291" s="254"/>
      <c r="D1291" s="254"/>
      <c r="E1291" s="254"/>
      <c r="F1291" s="254"/>
      <c r="G1291" s="254"/>
    </row>
    <row r="1292" spans="2:7" x14ac:dyDescent="0.2">
      <c r="B1292" s="254"/>
      <c r="C1292" s="254"/>
      <c r="D1292" s="254"/>
      <c r="E1292" s="254"/>
      <c r="F1292" s="254"/>
      <c r="G1292" s="254"/>
    </row>
    <row r="1293" spans="2:7" x14ac:dyDescent="0.2">
      <c r="B1293" s="254"/>
      <c r="C1293" s="254"/>
      <c r="D1293" s="254"/>
      <c r="E1293" s="254"/>
      <c r="F1293" s="254"/>
      <c r="G1293" s="254"/>
    </row>
    <row r="1294" spans="2:7" x14ac:dyDescent="0.2">
      <c r="B1294" s="254"/>
      <c r="C1294" s="254"/>
      <c r="D1294" s="254"/>
      <c r="E1294" s="254"/>
      <c r="F1294" s="254"/>
      <c r="G1294" s="254"/>
    </row>
    <row r="1295" spans="2:7" x14ac:dyDescent="0.2">
      <c r="B1295" s="254"/>
      <c r="C1295" s="254"/>
      <c r="D1295" s="254"/>
      <c r="E1295" s="254"/>
      <c r="F1295" s="254"/>
      <c r="G1295" s="254"/>
    </row>
    <row r="1296" spans="2:7" x14ac:dyDescent="0.2">
      <c r="B1296" s="254"/>
      <c r="C1296" s="254"/>
      <c r="D1296" s="254"/>
      <c r="E1296" s="254"/>
      <c r="F1296" s="254"/>
      <c r="G1296" s="254"/>
    </row>
    <row r="1297" spans="2:7" x14ac:dyDescent="0.2">
      <c r="B1297" s="254"/>
      <c r="C1297" s="254"/>
      <c r="D1297" s="254"/>
      <c r="E1297" s="254"/>
      <c r="F1297" s="254"/>
      <c r="G1297" s="254"/>
    </row>
    <row r="1298" spans="2:7" x14ac:dyDescent="0.2">
      <c r="B1298" s="254"/>
      <c r="C1298" s="254"/>
      <c r="D1298" s="254"/>
      <c r="E1298" s="254"/>
      <c r="F1298" s="254"/>
      <c r="G1298" s="254"/>
    </row>
    <row r="1299" spans="2:7" x14ac:dyDescent="0.2">
      <c r="B1299" s="254"/>
      <c r="C1299" s="254"/>
      <c r="D1299" s="254"/>
      <c r="E1299" s="254"/>
      <c r="F1299" s="254"/>
      <c r="G1299" s="254"/>
    </row>
    <row r="1300" spans="2:7" x14ac:dyDescent="0.2">
      <c r="B1300" s="254"/>
      <c r="C1300" s="254"/>
      <c r="D1300" s="254"/>
      <c r="E1300" s="254"/>
      <c r="F1300" s="254"/>
      <c r="G1300" s="254"/>
    </row>
    <row r="1301" spans="2:7" x14ac:dyDescent="0.2">
      <c r="B1301" s="254"/>
      <c r="C1301" s="254"/>
      <c r="D1301" s="254"/>
      <c r="E1301" s="254"/>
      <c r="F1301" s="254"/>
      <c r="G1301" s="254"/>
    </row>
    <row r="1302" spans="2:7" x14ac:dyDescent="0.2">
      <c r="B1302" s="254"/>
      <c r="C1302" s="254"/>
      <c r="D1302" s="254"/>
      <c r="E1302" s="254"/>
      <c r="F1302" s="254"/>
      <c r="G1302" s="254"/>
    </row>
    <row r="1303" spans="2:7" x14ac:dyDescent="0.2">
      <c r="B1303" s="254"/>
      <c r="C1303" s="254"/>
      <c r="D1303" s="254"/>
      <c r="E1303" s="254"/>
      <c r="F1303" s="254"/>
      <c r="G1303" s="254"/>
    </row>
    <row r="1304" spans="2:7" x14ac:dyDescent="0.2">
      <c r="B1304" s="254"/>
      <c r="C1304" s="254"/>
      <c r="D1304" s="254"/>
      <c r="E1304" s="254"/>
      <c r="F1304" s="254"/>
      <c r="G1304" s="254"/>
    </row>
    <row r="1305" spans="2:7" x14ac:dyDescent="0.2">
      <c r="B1305" s="254"/>
      <c r="C1305" s="254"/>
      <c r="D1305" s="254"/>
      <c r="E1305" s="254"/>
      <c r="F1305" s="254"/>
      <c r="G1305" s="254"/>
    </row>
    <row r="1306" spans="2:7" x14ac:dyDescent="0.2">
      <c r="B1306" s="254"/>
      <c r="C1306" s="254"/>
      <c r="D1306" s="254"/>
      <c r="E1306" s="254"/>
      <c r="F1306" s="254"/>
      <c r="G1306" s="254"/>
    </row>
    <row r="1307" spans="2:7" x14ac:dyDescent="0.2">
      <c r="B1307" s="254"/>
      <c r="C1307" s="254"/>
      <c r="D1307" s="254"/>
      <c r="E1307" s="254"/>
      <c r="F1307" s="254"/>
      <c r="G1307" s="254"/>
    </row>
    <row r="1308" spans="2:7" x14ac:dyDescent="0.2">
      <c r="B1308" s="254"/>
      <c r="C1308" s="254"/>
      <c r="D1308" s="254"/>
      <c r="E1308" s="254"/>
      <c r="F1308" s="254"/>
      <c r="G1308" s="254"/>
    </row>
    <row r="1309" spans="2:7" x14ac:dyDescent="0.2">
      <c r="B1309" s="254"/>
      <c r="C1309" s="254"/>
      <c r="D1309" s="254"/>
      <c r="E1309" s="254"/>
      <c r="F1309" s="254"/>
      <c r="G1309" s="254"/>
    </row>
    <row r="1310" spans="2:7" x14ac:dyDescent="0.2">
      <c r="B1310" s="254"/>
      <c r="C1310" s="254"/>
      <c r="D1310" s="254"/>
      <c r="E1310" s="254"/>
      <c r="F1310" s="254"/>
      <c r="G1310" s="254"/>
    </row>
    <row r="1311" spans="2:7" x14ac:dyDescent="0.2">
      <c r="B1311" s="254"/>
      <c r="C1311" s="254"/>
      <c r="D1311" s="254"/>
      <c r="E1311" s="254"/>
      <c r="F1311" s="254"/>
      <c r="G1311" s="254"/>
    </row>
    <row r="1312" spans="2:7" x14ac:dyDescent="0.2">
      <c r="B1312" s="254"/>
      <c r="C1312" s="254"/>
      <c r="D1312" s="254"/>
      <c r="E1312" s="254"/>
      <c r="F1312" s="254"/>
      <c r="G1312" s="254"/>
    </row>
    <row r="1313" spans="2:7" x14ac:dyDescent="0.2">
      <c r="B1313" s="254"/>
      <c r="C1313" s="254"/>
      <c r="D1313" s="254"/>
      <c r="E1313" s="254"/>
      <c r="F1313" s="254"/>
      <c r="G1313" s="254"/>
    </row>
    <row r="1314" spans="2:7" x14ac:dyDescent="0.2">
      <c r="B1314" s="254"/>
      <c r="C1314" s="254"/>
      <c r="D1314" s="254"/>
      <c r="E1314" s="254"/>
      <c r="F1314" s="254"/>
      <c r="G1314" s="254"/>
    </row>
    <row r="1315" spans="2:7" x14ac:dyDescent="0.2">
      <c r="B1315" s="254"/>
      <c r="C1315" s="254"/>
      <c r="D1315" s="254"/>
      <c r="E1315" s="254"/>
      <c r="F1315" s="254"/>
      <c r="G1315" s="254"/>
    </row>
    <row r="1316" spans="2:7" x14ac:dyDescent="0.2">
      <c r="B1316" s="254"/>
      <c r="C1316" s="254"/>
      <c r="D1316" s="254"/>
      <c r="E1316" s="254"/>
      <c r="F1316" s="254"/>
      <c r="G1316" s="254"/>
    </row>
    <row r="1317" spans="2:7" x14ac:dyDescent="0.2">
      <c r="B1317" s="254"/>
      <c r="C1317" s="254"/>
      <c r="D1317" s="254"/>
      <c r="E1317" s="254"/>
      <c r="F1317" s="254"/>
      <c r="G1317" s="254"/>
    </row>
    <row r="1318" spans="2:7" x14ac:dyDescent="0.2">
      <c r="B1318" s="254"/>
      <c r="C1318" s="254"/>
      <c r="D1318" s="254"/>
      <c r="E1318" s="254"/>
      <c r="F1318" s="254"/>
      <c r="G1318" s="254"/>
    </row>
    <row r="1319" spans="2:7" x14ac:dyDescent="0.2">
      <c r="B1319" s="254"/>
      <c r="C1319" s="254"/>
      <c r="D1319" s="254"/>
      <c r="E1319" s="254"/>
      <c r="F1319" s="254"/>
      <c r="G1319" s="254"/>
    </row>
    <row r="1320" spans="2:7" x14ac:dyDescent="0.2">
      <c r="B1320" s="254"/>
      <c r="C1320" s="254"/>
      <c r="D1320" s="254"/>
      <c r="E1320" s="254"/>
      <c r="F1320" s="254"/>
      <c r="G1320" s="254"/>
    </row>
    <row r="1321" spans="2:7" x14ac:dyDescent="0.2">
      <c r="B1321" s="254"/>
      <c r="C1321" s="254"/>
      <c r="D1321" s="254"/>
      <c r="E1321" s="254"/>
      <c r="F1321" s="254"/>
      <c r="G1321" s="254"/>
    </row>
    <row r="1322" spans="2:7" x14ac:dyDescent="0.2">
      <c r="B1322" s="254"/>
      <c r="C1322" s="254"/>
      <c r="D1322" s="254"/>
      <c r="E1322" s="254"/>
      <c r="F1322" s="254"/>
      <c r="G1322" s="254"/>
    </row>
    <row r="1323" spans="2:7" x14ac:dyDescent="0.2">
      <c r="B1323" s="254"/>
      <c r="C1323" s="254"/>
      <c r="D1323" s="254"/>
      <c r="E1323" s="254"/>
      <c r="F1323" s="254"/>
      <c r="G1323" s="254"/>
    </row>
    <row r="1324" spans="2:7" x14ac:dyDescent="0.2">
      <c r="B1324" s="254"/>
      <c r="C1324" s="254"/>
      <c r="D1324" s="254"/>
      <c r="E1324" s="254"/>
      <c r="F1324" s="254"/>
      <c r="G1324" s="254"/>
    </row>
    <row r="1325" spans="2:7" x14ac:dyDescent="0.2">
      <c r="B1325" s="254"/>
      <c r="C1325" s="254"/>
      <c r="D1325" s="254"/>
      <c r="E1325" s="254"/>
      <c r="F1325" s="254"/>
      <c r="G1325" s="254"/>
    </row>
    <row r="1326" spans="2:7" x14ac:dyDescent="0.2">
      <c r="B1326" s="254"/>
      <c r="C1326" s="254"/>
      <c r="D1326" s="254"/>
      <c r="E1326" s="254"/>
      <c r="F1326" s="254"/>
      <c r="G1326" s="254"/>
    </row>
    <row r="1327" spans="2:7" x14ac:dyDescent="0.2">
      <c r="B1327" s="254"/>
      <c r="C1327" s="254"/>
      <c r="D1327" s="254"/>
      <c r="E1327" s="254"/>
      <c r="F1327" s="254"/>
      <c r="G1327" s="254"/>
    </row>
    <row r="1328" spans="2:7" x14ac:dyDescent="0.2">
      <c r="B1328" s="254"/>
      <c r="C1328" s="254"/>
      <c r="D1328" s="254"/>
      <c r="E1328" s="254"/>
      <c r="F1328" s="254"/>
      <c r="G1328" s="254"/>
    </row>
    <row r="1329" spans="2:7" x14ac:dyDescent="0.2">
      <c r="B1329" s="254"/>
      <c r="C1329" s="254"/>
      <c r="D1329" s="254"/>
      <c r="E1329" s="254"/>
      <c r="F1329" s="254"/>
      <c r="G1329" s="254"/>
    </row>
    <row r="1330" spans="2:7" x14ac:dyDescent="0.2">
      <c r="B1330" s="254"/>
      <c r="C1330" s="254"/>
      <c r="D1330" s="254"/>
      <c r="E1330" s="254"/>
      <c r="F1330" s="254"/>
      <c r="G1330" s="254"/>
    </row>
    <row r="1331" spans="2:7" x14ac:dyDescent="0.2">
      <c r="B1331" s="254"/>
      <c r="C1331" s="254"/>
      <c r="D1331" s="254"/>
      <c r="E1331" s="254"/>
      <c r="F1331" s="254"/>
      <c r="G1331" s="254"/>
    </row>
    <row r="1332" spans="2:7" x14ac:dyDescent="0.2">
      <c r="B1332" s="254"/>
      <c r="C1332" s="254"/>
      <c r="D1332" s="254"/>
      <c r="E1332" s="254"/>
      <c r="F1332" s="254"/>
      <c r="G1332" s="254"/>
    </row>
    <row r="1333" spans="2:7" x14ac:dyDescent="0.2">
      <c r="B1333" s="254"/>
      <c r="C1333" s="254"/>
      <c r="D1333" s="254"/>
      <c r="E1333" s="254"/>
      <c r="F1333" s="254"/>
      <c r="G1333" s="254"/>
    </row>
    <row r="1334" spans="2:7" x14ac:dyDescent="0.2">
      <c r="B1334" s="254"/>
      <c r="C1334" s="254"/>
      <c r="D1334" s="254"/>
      <c r="E1334" s="254"/>
      <c r="F1334" s="254"/>
      <c r="G1334" s="254"/>
    </row>
    <row r="1335" spans="2:7" x14ac:dyDescent="0.2">
      <c r="B1335" s="254"/>
      <c r="C1335" s="254"/>
      <c r="D1335" s="254"/>
      <c r="E1335" s="254"/>
      <c r="F1335" s="254"/>
      <c r="G1335" s="254"/>
    </row>
    <row r="1336" spans="2:7" x14ac:dyDescent="0.2">
      <c r="B1336" s="254"/>
      <c r="C1336" s="254"/>
      <c r="D1336" s="254"/>
      <c r="E1336" s="254"/>
      <c r="F1336" s="254"/>
      <c r="G1336" s="254"/>
    </row>
    <row r="1337" spans="2:7" x14ac:dyDescent="0.2">
      <c r="B1337" s="254"/>
      <c r="C1337" s="254"/>
      <c r="D1337" s="254"/>
      <c r="E1337" s="254"/>
      <c r="F1337" s="254"/>
      <c r="G1337" s="254"/>
    </row>
    <row r="1338" spans="2:7" x14ac:dyDescent="0.2">
      <c r="B1338" s="254"/>
      <c r="C1338" s="254"/>
      <c r="D1338" s="254"/>
      <c r="E1338" s="254"/>
      <c r="F1338" s="254"/>
      <c r="G1338" s="254"/>
    </row>
    <row r="1339" spans="2:7" x14ac:dyDescent="0.2">
      <c r="B1339" s="254"/>
      <c r="C1339" s="254"/>
      <c r="D1339" s="254"/>
      <c r="E1339" s="254"/>
      <c r="F1339" s="254"/>
      <c r="G1339" s="254"/>
    </row>
    <row r="1340" spans="2:7" x14ac:dyDescent="0.2">
      <c r="B1340" s="254"/>
      <c r="C1340" s="254"/>
      <c r="D1340" s="254"/>
      <c r="E1340" s="254"/>
      <c r="F1340" s="254"/>
      <c r="G1340" s="254"/>
    </row>
    <row r="1341" spans="2:7" x14ac:dyDescent="0.2">
      <c r="B1341" s="254"/>
      <c r="C1341" s="254"/>
      <c r="D1341" s="254"/>
      <c r="E1341" s="254"/>
      <c r="F1341" s="254"/>
      <c r="G1341" s="254"/>
    </row>
    <row r="1342" spans="2:7" x14ac:dyDescent="0.2">
      <c r="B1342" s="254"/>
      <c r="C1342" s="254"/>
      <c r="D1342" s="254"/>
      <c r="E1342" s="254"/>
      <c r="F1342" s="254"/>
      <c r="G1342" s="254"/>
    </row>
    <row r="1343" spans="2:7" x14ac:dyDescent="0.2">
      <c r="B1343" s="254"/>
      <c r="C1343" s="254"/>
      <c r="D1343" s="254"/>
      <c r="E1343" s="254"/>
      <c r="F1343" s="254"/>
      <c r="G1343" s="254"/>
    </row>
    <row r="1344" spans="2:7" x14ac:dyDescent="0.2">
      <c r="B1344" s="254"/>
      <c r="C1344" s="254"/>
      <c r="D1344" s="254"/>
      <c r="E1344" s="254"/>
      <c r="F1344" s="254"/>
      <c r="G1344" s="254"/>
    </row>
    <row r="1345" spans="2:7" x14ac:dyDescent="0.2">
      <c r="B1345" s="254"/>
      <c r="C1345" s="254"/>
      <c r="D1345" s="254"/>
      <c r="E1345" s="254"/>
      <c r="F1345" s="254"/>
      <c r="G1345" s="254"/>
    </row>
    <row r="1346" spans="2:7" x14ac:dyDescent="0.2">
      <c r="B1346" s="254"/>
      <c r="C1346" s="254"/>
      <c r="D1346" s="254"/>
      <c r="E1346" s="254"/>
      <c r="F1346" s="254"/>
      <c r="G1346" s="254"/>
    </row>
    <row r="1347" spans="2:7" x14ac:dyDescent="0.2">
      <c r="B1347" s="254"/>
      <c r="C1347" s="254"/>
      <c r="D1347" s="254"/>
      <c r="E1347" s="254"/>
      <c r="F1347" s="254"/>
      <c r="G1347" s="254"/>
    </row>
    <row r="1348" spans="2:7" x14ac:dyDescent="0.2">
      <c r="B1348" s="254"/>
      <c r="C1348" s="254"/>
      <c r="D1348" s="254"/>
      <c r="E1348" s="254"/>
      <c r="F1348" s="254"/>
      <c r="G1348" s="254"/>
    </row>
    <row r="1349" spans="2:7" x14ac:dyDescent="0.2">
      <c r="B1349" s="254"/>
      <c r="C1349" s="254"/>
      <c r="D1349" s="254"/>
      <c r="E1349" s="254"/>
      <c r="F1349" s="254"/>
      <c r="G1349" s="254"/>
    </row>
    <row r="1350" spans="2:7" x14ac:dyDescent="0.2">
      <c r="B1350" s="254"/>
      <c r="C1350" s="254"/>
      <c r="D1350" s="254"/>
      <c r="E1350" s="254"/>
      <c r="F1350" s="254"/>
      <c r="G1350" s="254"/>
    </row>
    <row r="1351" spans="2:7" x14ac:dyDescent="0.2">
      <c r="B1351" s="254"/>
      <c r="C1351" s="254"/>
      <c r="D1351" s="254"/>
      <c r="E1351" s="254"/>
      <c r="F1351" s="254"/>
      <c r="G1351" s="254"/>
    </row>
    <row r="1352" spans="2:7" x14ac:dyDescent="0.2">
      <c r="B1352" s="254"/>
      <c r="C1352" s="254"/>
      <c r="D1352" s="254"/>
      <c r="E1352" s="254"/>
      <c r="F1352" s="254"/>
      <c r="G1352" s="254"/>
    </row>
    <row r="1353" spans="2:7" x14ac:dyDescent="0.2">
      <c r="B1353" s="254"/>
      <c r="C1353" s="254"/>
      <c r="D1353" s="254"/>
      <c r="E1353" s="254"/>
      <c r="F1353" s="254"/>
      <c r="G1353" s="254"/>
    </row>
    <row r="1354" spans="2:7" x14ac:dyDescent="0.2">
      <c r="B1354" s="254"/>
      <c r="C1354" s="254"/>
      <c r="D1354" s="254"/>
      <c r="E1354" s="254"/>
      <c r="F1354" s="254"/>
      <c r="G1354" s="254"/>
    </row>
    <row r="1355" spans="2:7" x14ac:dyDescent="0.2">
      <c r="B1355" s="254"/>
      <c r="C1355" s="254"/>
      <c r="D1355" s="254"/>
      <c r="E1355" s="254"/>
      <c r="F1355" s="254"/>
      <c r="G1355" s="254"/>
    </row>
    <row r="1356" spans="2:7" x14ac:dyDescent="0.2">
      <c r="B1356" s="254"/>
      <c r="C1356" s="254"/>
      <c r="D1356" s="254"/>
      <c r="E1356" s="254"/>
      <c r="F1356" s="254"/>
      <c r="G1356" s="254"/>
    </row>
    <row r="1357" spans="2:7" x14ac:dyDescent="0.2">
      <c r="B1357" s="254"/>
      <c r="C1357" s="254"/>
      <c r="D1357" s="254"/>
      <c r="E1357" s="254"/>
      <c r="F1357" s="254"/>
      <c r="G1357" s="254"/>
    </row>
    <row r="1358" spans="2:7" x14ac:dyDescent="0.2">
      <c r="B1358" s="254"/>
      <c r="C1358" s="254"/>
      <c r="D1358" s="254"/>
      <c r="E1358" s="254"/>
      <c r="F1358" s="254"/>
      <c r="G1358" s="254"/>
    </row>
    <row r="1359" spans="2:7" x14ac:dyDescent="0.2">
      <c r="B1359" s="254"/>
      <c r="C1359" s="254"/>
      <c r="D1359" s="254"/>
      <c r="E1359" s="254"/>
      <c r="F1359" s="254"/>
      <c r="G1359" s="254"/>
    </row>
    <row r="1360" spans="2:7" x14ac:dyDescent="0.2">
      <c r="B1360" s="254"/>
      <c r="C1360" s="254"/>
      <c r="D1360" s="254"/>
      <c r="E1360" s="254"/>
      <c r="F1360" s="254"/>
      <c r="G1360" s="254"/>
    </row>
    <row r="1361" spans="2:7" x14ac:dyDescent="0.2">
      <c r="B1361" s="254"/>
      <c r="C1361" s="254"/>
      <c r="D1361" s="254"/>
      <c r="E1361" s="254"/>
      <c r="F1361" s="254"/>
      <c r="G1361" s="254"/>
    </row>
    <row r="1362" spans="2:7" x14ac:dyDescent="0.2">
      <c r="B1362" s="254"/>
      <c r="C1362" s="254"/>
      <c r="D1362" s="254"/>
      <c r="E1362" s="254"/>
      <c r="F1362" s="254"/>
      <c r="G1362" s="254"/>
    </row>
    <row r="1363" spans="2:7" x14ac:dyDescent="0.2">
      <c r="B1363" s="254"/>
      <c r="C1363" s="254"/>
      <c r="D1363" s="254"/>
      <c r="E1363" s="254"/>
      <c r="F1363" s="254"/>
      <c r="G1363" s="254"/>
    </row>
    <row r="1364" spans="2:7" x14ac:dyDescent="0.2">
      <c r="B1364" s="254"/>
      <c r="C1364" s="254"/>
      <c r="D1364" s="254"/>
      <c r="E1364" s="254"/>
      <c r="F1364" s="254"/>
      <c r="G1364" s="254"/>
    </row>
    <row r="1365" spans="2:7" x14ac:dyDescent="0.2">
      <c r="B1365" s="254"/>
      <c r="C1365" s="254"/>
      <c r="D1365" s="254"/>
      <c r="E1365" s="254"/>
      <c r="F1365" s="254"/>
      <c r="G1365" s="254"/>
    </row>
    <row r="1366" spans="2:7" x14ac:dyDescent="0.2">
      <c r="B1366" s="254"/>
      <c r="C1366" s="254"/>
      <c r="D1366" s="254"/>
      <c r="E1366" s="254"/>
      <c r="F1366" s="254"/>
      <c r="G1366" s="254"/>
    </row>
    <row r="1367" spans="2:7" x14ac:dyDescent="0.2">
      <c r="B1367" s="254"/>
      <c r="C1367" s="254"/>
      <c r="D1367" s="254"/>
      <c r="E1367" s="254"/>
      <c r="F1367" s="254"/>
      <c r="G1367" s="254"/>
    </row>
    <row r="1368" spans="2:7" x14ac:dyDescent="0.2">
      <c r="B1368" s="254"/>
      <c r="C1368" s="254"/>
      <c r="D1368" s="254"/>
      <c r="E1368" s="254"/>
      <c r="F1368" s="254"/>
      <c r="G1368" s="254"/>
    </row>
    <row r="1369" spans="2:7" x14ac:dyDescent="0.2">
      <c r="B1369" s="254"/>
      <c r="C1369" s="254"/>
      <c r="D1369" s="254"/>
      <c r="E1369" s="254"/>
      <c r="F1369" s="254"/>
      <c r="G1369" s="254"/>
    </row>
    <row r="1370" spans="2:7" x14ac:dyDescent="0.2">
      <c r="B1370" s="254"/>
      <c r="C1370" s="254"/>
      <c r="D1370" s="254"/>
      <c r="E1370" s="254"/>
      <c r="F1370" s="254"/>
      <c r="G1370" s="254"/>
    </row>
    <row r="1371" spans="2:7" x14ac:dyDescent="0.2">
      <c r="B1371" s="254"/>
      <c r="C1371" s="254"/>
      <c r="D1371" s="254"/>
      <c r="E1371" s="254"/>
      <c r="F1371" s="254"/>
      <c r="G1371" s="254"/>
    </row>
    <row r="1372" spans="2:7" x14ac:dyDescent="0.2">
      <c r="B1372" s="254"/>
      <c r="C1372" s="254"/>
      <c r="D1372" s="254"/>
      <c r="E1372" s="254"/>
      <c r="F1372" s="254"/>
      <c r="G1372" s="254"/>
    </row>
    <row r="1373" spans="2:7" x14ac:dyDescent="0.2">
      <c r="B1373" s="254"/>
      <c r="C1373" s="254"/>
      <c r="D1373" s="254"/>
      <c r="E1373" s="254"/>
      <c r="F1373" s="254"/>
      <c r="G1373" s="254"/>
    </row>
    <row r="1374" spans="2:7" x14ac:dyDescent="0.2">
      <c r="B1374" s="254"/>
      <c r="C1374" s="254"/>
      <c r="D1374" s="254"/>
      <c r="E1374" s="254"/>
      <c r="F1374" s="254"/>
      <c r="G1374" s="254"/>
    </row>
    <row r="1375" spans="2:7" x14ac:dyDescent="0.2">
      <c r="B1375" s="254"/>
      <c r="C1375" s="254"/>
      <c r="D1375" s="254"/>
      <c r="E1375" s="254"/>
      <c r="F1375" s="254"/>
      <c r="G1375" s="254"/>
    </row>
    <row r="1376" spans="2:7" x14ac:dyDescent="0.2">
      <c r="B1376" s="254"/>
      <c r="C1376" s="254"/>
      <c r="D1376" s="254"/>
      <c r="E1376" s="254"/>
      <c r="F1376" s="254"/>
      <c r="G1376" s="254"/>
    </row>
    <row r="1377" spans="2:7" x14ac:dyDescent="0.2">
      <c r="B1377" s="254"/>
      <c r="C1377" s="254"/>
      <c r="D1377" s="254"/>
      <c r="E1377" s="254"/>
      <c r="F1377" s="254"/>
      <c r="G1377" s="254"/>
    </row>
    <row r="1378" spans="2:7" x14ac:dyDescent="0.2">
      <c r="B1378" s="254"/>
      <c r="C1378" s="254"/>
      <c r="D1378" s="254"/>
      <c r="E1378" s="254"/>
      <c r="F1378" s="254"/>
      <c r="G1378" s="254"/>
    </row>
    <row r="1379" spans="2:7" x14ac:dyDescent="0.2">
      <c r="B1379" s="254"/>
      <c r="C1379" s="254"/>
      <c r="D1379" s="254"/>
      <c r="E1379" s="254"/>
      <c r="F1379" s="254"/>
      <c r="G1379" s="254"/>
    </row>
    <row r="1380" spans="2:7" x14ac:dyDescent="0.2">
      <c r="B1380" s="254"/>
      <c r="C1380" s="254"/>
      <c r="D1380" s="254"/>
      <c r="E1380" s="254"/>
      <c r="F1380" s="254"/>
      <c r="G1380" s="254"/>
    </row>
    <row r="1381" spans="2:7" x14ac:dyDescent="0.2">
      <c r="B1381" s="254"/>
      <c r="C1381" s="254"/>
      <c r="D1381" s="254"/>
      <c r="E1381" s="254"/>
      <c r="F1381" s="254"/>
      <c r="G1381" s="254"/>
    </row>
    <row r="1382" spans="2:7" x14ac:dyDescent="0.2">
      <c r="B1382" s="254"/>
      <c r="C1382" s="254"/>
      <c r="D1382" s="254"/>
      <c r="E1382" s="254"/>
      <c r="F1382" s="254"/>
      <c r="G1382" s="254"/>
    </row>
    <row r="1383" spans="2:7" x14ac:dyDescent="0.2">
      <c r="B1383" s="254"/>
      <c r="C1383" s="254"/>
      <c r="D1383" s="254"/>
      <c r="E1383" s="254"/>
      <c r="F1383" s="254"/>
      <c r="G1383" s="254"/>
    </row>
    <row r="1384" spans="2:7" x14ac:dyDescent="0.2">
      <c r="B1384" s="254"/>
      <c r="C1384" s="254"/>
      <c r="D1384" s="254"/>
      <c r="E1384" s="254"/>
      <c r="F1384" s="254"/>
      <c r="G1384" s="254"/>
    </row>
    <row r="1385" spans="2:7" x14ac:dyDescent="0.2">
      <c r="B1385" s="254"/>
      <c r="C1385" s="254"/>
      <c r="D1385" s="254"/>
      <c r="E1385" s="254"/>
      <c r="F1385" s="254"/>
      <c r="G1385" s="254"/>
    </row>
    <row r="1386" spans="2:7" x14ac:dyDescent="0.2">
      <c r="B1386" s="254"/>
      <c r="C1386" s="254"/>
      <c r="D1386" s="254"/>
      <c r="E1386" s="254"/>
      <c r="F1386" s="254"/>
      <c r="G1386" s="254"/>
    </row>
    <row r="1387" spans="2:7" x14ac:dyDescent="0.2">
      <c r="B1387" s="254"/>
      <c r="C1387" s="254"/>
      <c r="D1387" s="254"/>
      <c r="E1387" s="254"/>
      <c r="F1387" s="254"/>
      <c r="G1387" s="254"/>
    </row>
    <row r="1388" spans="2:7" x14ac:dyDescent="0.2">
      <c r="B1388" s="254"/>
      <c r="C1388" s="254"/>
      <c r="D1388" s="254"/>
      <c r="E1388" s="254"/>
      <c r="F1388" s="254"/>
      <c r="G1388" s="254"/>
    </row>
    <row r="1389" spans="2:7" x14ac:dyDescent="0.2">
      <c r="B1389" s="254"/>
      <c r="C1389" s="254"/>
      <c r="D1389" s="254"/>
      <c r="E1389" s="254"/>
      <c r="F1389" s="254"/>
      <c r="G1389" s="254"/>
    </row>
    <row r="1390" spans="2:7" x14ac:dyDescent="0.2">
      <c r="B1390" s="254"/>
      <c r="C1390" s="254"/>
      <c r="D1390" s="254"/>
      <c r="E1390" s="254"/>
      <c r="F1390" s="254"/>
      <c r="G1390" s="254"/>
    </row>
    <row r="1391" spans="2:7" x14ac:dyDescent="0.2">
      <c r="B1391" s="254"/>
      <c r="C1391" s="254"/>
      <c r="D1391" s="254"/>
      <c r="E1391" s="254"/>
      <c r="F1391" s="254"/>
      <c r="G1391" s="254"/>
    </row>
    <row r="1392" spans="2:7" x14ac:dyDescent="0.2">
      <c r="B1392" s="254"/>
      <c r="C1392" s="254"/>
      <c r="D1392" s="254"/>
      <c r="E1392" s="254"/>
      <c r="F1392" s="254"/>
      <c r="G1392" s="254"/>
    </row>
    <row r="1393" spans="2:7" x14ac:dyDescent="0.2">
      <c r="B1393" s="254"/>
      <c r="C1393" s="254"/>
      <c r="D1393" s="254"/>
      <c r="E1393" s="254"/>
      <c r="F1393" s="254"/>
      <c r="G1393" s="254"/>
    </row>
    <row r="1394" spans="2:7" x14ac:dyDescent="0.2">
      <c r="B1394" s="254"/>
      <c r="C1394" s="254"/>
      <c r="D1394" s="254"/>
      <c r="E1394" s="254"/>
      <c r="F1394" s="254"/>
      <c r="G1394" s="254"/>
    </row>
    <row r="1395" spans="2:7" x14ac:dyDescent="0.2">
      <c r="B1395" s="254"/>
      <c r="C1395" s="254"/>
      <c r="D1395" s="254"/>
      <c r="E1395" s="254"/>
      <c r="F1395" s="254"/>
      <c r="G1395" s="254"/>
    </row>
    <row r="1396" spans="2:7" x14ac:dyDescent="0.2">
      <c r="B1396" s="254"/>
      <c r="C1396" s="254"/>
      <c r="D1396" s="254"/>
      <c r="E1396" s="254"/>
      <c r="F1396" s="254"/>
      <c r="G1396" s="254"/>
    </row>
    <row r="1397" spans="2:7" x14ac:dyDescent="0.2">
      <c r="B1397" s="254"/>
      <c r="C1397" s="254"/>
      <c r="D1397" s="254"/>
      <c r="E1397" s="254"/>
      <c r="F1397" s="254"/>
      <c r="G1397" s="254"/>
    </row>
    <row r="1398" spans="2:7" x14ac:dyDescent="0.2">
      <c r="B1398" s="254"/>
      <c r="C1398" s="254"/>
      <c r="D1398" s="254"/>
      <c r="E1398" s="254"/>
      <c r="F1398" s="254"/>
      <c r="G1398" s="254"/>
    </row>
    <row r="1399" spans="2:7" x14ac:dyDescent="0.2">
      <c r="B1399" s="254"/>
      <c r="C1399" s="254"/>
      <c r="D1399" s="254"/>
      <c r="E1399" s="254"/>
      <c r="F1399" s="254"/>
      <c r="G1399" s="254"/>
    </row>
    <row r="1400" spans="2:7" x14ac:dyDescent="0.2">
      <c r="B1400" s="254"/>
      <c r="C1400" s="254"/>
      <c r="D1400" s="254"/>
      <c r="E1400" s="254"/>
      <c r="F1400" s="254"/>
      <c r="G1400" s="254"/>
    </row>
    <row r="1401" spans="2:7" x14ac:dyDescent="0.2">
      <c r="B1401" s="254"/>
      <c r="C1401" s="254"/>
      <c r="D1401" s="254"/>
      <c r="E1401" s="254"/>
      <c r="F1401" s="254"/>
      <c r="G1401" s="254"/>
    </row>
    <row r="1402" spans="2:7" x14ac:dyDescent="0.2">
      <c r="B1402" s="254"/>
      <c r="C1402" s="254"/>
      <c r="D1402" s="254"/>
      <c r="E1402" s="254"/>
      <c r="F1402" s="254"/>
      <c r="G1402" s="254"/>
    </row>
    <row r="1403" spans="2:7" x14ac:dyDescent="0.2">
      <c r="B1403" s="254"/>
      <c r="C1403" s="254"/>
      <c r="D1403" s="254"/>
      <c r="E1403" s="254"/>
      <c r="F1403" s="254"/>
      <c r="G1403" s="254"/>
    </row>
    <row r="1404" spans="2:7" x14ac:dyDescent="0.2">
      <c r="B1404" s="254"/>
      <c r="C1404" s="254"/>
      <c r="D1404" s="254"/>
      <c r="E1404" s="254"/>
      <c r="F1404" s="254"/>
      <c r="G1404" s="254"/>
    </row>
    <row r="1405" spans="2:7" x14ac:dyDescent="0.2">
      <c r="B1405" s="254"/>
      <c r="C1405" s="254"/>
      <c r="D1405" s="254"/>
      <c r="E1405" s="254"/>
      <c r="F1405" s="254"/>
      <c r="G1405" s="254"/>
    </row>
    <row r="1406" spans="2:7" x14ac:dyDescent="0.2">
      <c r="B1406" s="254"/>
      <c r="C1406" s="254"/>
      <c r="D1406" s="254"/>
      <c r="E1406" s="254"/>
      <c r="F1406" s="254"/>
      <c r="G1406" s="254"/>
    </row>
    <row r="1407" spans="2:7" x14ac:dyDescent="0.2">
      <c r="B1407" s="254"/>
      <c r="C1407" s="254"/>
      <c r="D1407" s="254"/>
      <c r="E1407" s="254"/>
      <c r="F1407" s="254"/>
      <c r="G1407" s="254"/>
    </row>
    <row r="1408" spans="2:7" x14ac:dyDescent="0.2">
      <c r="B1408" s="254"/>
      <c r="C1408" s="254"/>
      <c r="D1408" s="254"/>
      <c r="E1408" s="254"/>
      <c r="F1408" s="254"/>
      <c r="G1408" s="254"/>
    </row>
    <row r="1409" spans="2:7" x14ac:dyDescent="0.2">
      <c r="B1409" s="254"/>
      <c r="C1409" s="254"/>
      <c r="D1409" s="254"/>
      <c r="E1409" s="254"/>
      <c r="F1409" s="254"/>
      <c r="G1409" s="254"/>
    </row>
    <row r="1410" spans="2:7" x14ac:dyDescent="0.2">
      <c r="B1410" s="254"/>
      <c r="C1410" s="254"/>
      <c r="D1410" s="254"/>
      <c r="E1410" s="254"/>
      <c r="F1410" s="254"/>
      <c r="G1410" s="254"/>
    </row>
    <row r="1411" spans="2:7" x14ac:dyDescent="0.2">
      <c r="B1411" s="254"/>
      <c r="C1411" s="254"/>
      <c r="D1411" s="254"/>
      <c r="E1411" s="254"/>
      <c r="F1411" s="254"/>
      <c r="G1411" s="254"/>
    </row>
    <row r="1412" spans="2:7" x14ac:dyDescent="0.2">
      <c r="B1412" s="254"/>
      <c r="C1412" s="254"/>
      <c r="D1412" s="254"/>
      <c r="E1412" s="254"/>
      <c r="F1412" s="254"/>
      <c r="G1412" s="254"/>
    </row>
    <row r="1413" spans="2:7" x14ac:dyDescent="0.2">
      <c r="B1413" s="254"/>
      <c r="C1413" s="254"/>
      <c r="D1413" s="254"/>
      <c r="E1413" s="254"/>
      <c r="F1413" s="254"/>
      <c r="G1413" s="254"/>
    </row>
    <row r="1414" spans="2:7" x14ac:dyDescent="0.2">
      <c r="B1414" s="254"/>
      <c r="C1414" s="254"/>
      <c r="D1414" s="254"/>
      <c r="E1414" s="254"/>
      <c r="F1414" s="254"/>
      <c r="G1414" s="254"/>
    </row>
    <row r="1415" spans="2:7" x14ac:dyDescent="0.2">
      <c r="B1415" s="254"/>
      <c r="C1415" s="254"/>
      <c r="D1415" s="254"/>
      <c r="E1415" s="254"/>
      <c r="F1415" s="254"/>
      <c r="G1415" s="254"/>
    </row>
    <row r="1416" spans="2:7" x14ac:dyDescent="0.2">
      <c r="B1416" s="254"/>
      <c r="C1416" s="254"/>
      <c r="D1416" s="254"/>
      <c r="E1416" s="254"/>
      <c r="F1416" s="254"/>
      <c r="G1416" s="254"/>
    </row>
    <row r="1417" spans="2:7" x14ac:dyDescent="0.2">
      <c r="B1417" s="254"/>
      <c r="C1417" s="254"/>
      <c r="D1417" s="254"/>
      <c r="E1417" s="254"/>
      <c r="F1417" s="254"/>
      <c r="G1417" s="254"/>
    </row>
    <row r="1418" spans="2:7" x14ac:dyDescent="0.2">
      <c r="B1418" s="254"/>
      <c r="C1418" s="254"/>
      <c r="D1418" s="254"/>
      <c r="E1418" s="254"/>
      <c r="F1418" s="254"/>
      <c r="G1418" s="254"/>
    </row>
    <row r="1419" spans="2:7" x14ac:dyDescent="0.2">
      <c r="B1419" s="254"/>
      <c r="C1419" s="254"/>
      <c r="D1419" s="254"/>
      <c r="E1419" s="254"/>
      <c r="F1419" s="254"/>
      <c r="G1419" s="254"/>
    </row>
    <row r="1420" spans="2:7" x14ac:dyDescent="0.2">
      <c r="B1420" s="254"/>
      <c r="C1420" s="254"/>
      <c r="D1420" s="254"/>
      <c r="E1420" s="254"/>
      <c r="F1420" s="254"/>
      <c r="G1420" s="254"/>
    </row>
    <row r="1421" spans="2:7" x14ac:dyDescent="0.2">
      <c r="B1421" s="254"/>
      <c r="C1421" s="254"/>
      <c r="D1421" s="254"/>
      <c r="E1421" s="254"/>
      <c r="F1421" s="254"/>
      <c r="G1421" s="254"/>
    </row>
    <row r="1422" spans="2:7" x14ac:dyDescent="0.2">
      <c r="B1422" s="254"/>
      <c r="C1422" s="254"/>
      <c r="D1422" s="254"/>
      <c r="E1422" s="254"/>
      <c r="F1422" s="254"/>
      <c r="G1422" s="254"/>
    </row>
    <row r="1423" spans="2:7" x14ac:dyDescent="0.2">
      <c r="B1423" s="254"/>
      <c r="C1423" s="254"/>
      <c r="D1423" s="254"/>
      <c r="E1423" s="254"/>
      <c r="F1423" s="254"/>
      <c r="G1423" s="254"/>
    </row>
    <row r="1424" spans="2:7" x14ac:dyDescent="0.2">
      <c r="B1424" s="254"/>
      <c r="C1424" s="254"/>
      <c r="D1424" s="254"/>
      <c r="E1424" s="254"/>
      <c r="F1424" s="254"/>
      <c r="G1424" s="254"/>
    </row>
    <row r="1425" spans="2:7" x14ac:dyDescent="0.2">
      <c r="B1425" s="254"/>
      <c r="C1425" s="254"/>
      <c r="D1425" s="254"/>
      <c r="E1425" s="254"/>
      <c r="F1425" s="254"/>
      <c r="G1425" s="254"/>
    </row>
    <row r="1426" spans="2:7" x14ac:dyDescent="0.2">
      <c r="B1426" s="254"/>
      <c r="C1426" s="254"/>
      <c r="D1426" s="254"/>
      <c r="E1426" s="254"/>
      <c r="F1426" s="254"/>
      <c r="G1426" s="254"/>
    </row>
    <row r="1427" spans="2:7" x14ac:dyDescent="0.2">
      <c r="B1427" s="254"/>
      <c r="C1427" s="254"/>
      <c r="D1427" s="254"/>
      <c r="E1427" s="254"/>
      <c r="F1427" s="254"/>
      <c r="G1427" s="254"/>
    </row>
    <row r="1428" spans="2:7" x14ac:dyDescent="0.2">
      <c r="B1428" s="254"/>
      <c r="C1428" s="254"/>
      <c r="D1428" s="254"/>
      <c r="E1428" s="254"/>
      <c r="F1428" s="254"/>
      <c r="G1428" s="254"/>
    </row>
    <row r="1429" spans="2:7" x14ac:dyDescent="0.2">
      <c r="B1429" s="254"/>
      <c r="C1429" s="254"/>
      <c r="D1429" s="254"/>
      <c r="E1429" s="254"/>
      <c r="F1429" s="254"/>
      <c r="G1429" s="254"/>
    </row>
    <row r="1430" spans="2:7" x14ac:dyDescent="0.2">
      <c r="B1430" s="254"/>
      <c r="C1430" s="254"/>
      <c r="D1430" s="254"/>
      <c r="E1430" s="254"/>
      <c r="F1430" s="254"/>
      <c r="G1430" s="254"/>
    </row>
    <row r="1431" spans="2:7" x14ac:dyDescent="0.2">
      <c r="B1431" s="254"/>
      <c r="C1431" s="254"/>
      <c r="D1431" s="254"/>
      <c r="E1431" s="254"/>
      <c r="F1431" s="254"/>
      <c r="G1431" s="254"/>
    </row>
    <row r="1432" spans="2:7" x14ac:dyDescent="0.2">
      <c r="B1432" s="254"/>
      <c r="C1432" s="254"/>
      <c r="D1432" s="254"/>
      <c r="E1432" s="254"/>
      <c r="F1432" s="254"/>
      <c r="G1432" s="254"/>
    </row>
    <row r="1433" spans="2:7" x14ac:dyDescent="0.2">
      <c r="B1433" s="254"/>
      <c r="C1433" s="254"/>
      <c r="D1433" s="254"/>
      <c r="E1433" s="254"/>
      <c r="F1433" s="254"/>
      <c r="G1433" s="254"/>
    </row>
    <row r="1434" spans="2:7" x14ac:dyDescent="0.2">
      <c r="B1434" s="254"/>
      <c r="C1434" s="254"/>
      <c r="D1434" s="254"/>
      <c r="E1434" s="254"/>
      <c r="F1434" s="254"/>
      <c r="G1434" s="254"/>
    </row>
    <row r="1435" spans="2:7" x14ac:dyDescent="0.2">
      <c r="B1435" s="254"/>
      <c r="C1435" s="254"/>
      <c r="D1435" s="254"/>
      <c r="E1435" s="254"/>
      <c r="F1435" s="254"/>
      <c r="G1435" s="254"/>
    </row>
    <row r="1436" spans="2:7" x14ac:dyDescent="0.2">
      <c r="B1436" s="254"/>
      <c r="C1436" s="254"/>
      <c r="D1436" s="254"/>
      <c r="E1436" s="254"/>
      <c r="F1436" s="254"/>
      <c r="G1436" s="254"/>
    </row>
    <row r="1437" spans="2:7" x14ac:dyDescent="0.2">
      <c r="B1437" s="254"/>
      <c r="C1437" s="254"/>
      <c r="D1437" s="254"/>
      <c r="E1437" s="254"/>
      <c r="F1437" s="254"/>
      <c r="G1437" s="254"/>
    </row>
    <row r="1438" spans="2:7" x14ac:dyDescent="0.2">
      <c r="B1438" s="254"/>
      <c r="C1438" s="254"/>
      <c r="D1438" s="254"/>
      <c r="E1438" s="254"/>
      <c r="F1438" s="254"/>
      <c r="G1438" s="254"/>
    </row>
    <row r="1439" spans="2:7" x14ac:dyDescent="0.2">
      <c r="B1439" s="254"/>
      <c r="C1439" s="254"/>
      <c r="D1439" s="254"/>
      <c r="E1439" s="254"/>
      <c r="F1439" s="254"/>
      <c r="G1439" s="254"/>
    </row>
    <row r="1440" spans="2:7" x14ac:dyDescent="0.2">
      <c r="B1440" s="254"/>
      <c r="C1440" s="254"/>
      <c r="D1440" s="254"/>
      <c r="E1440" s="254"/>
      <c r="F1440" s="254"/>
      <c r="G1440" s="254"/>
    </row>
    <row r="1441" spans="2:7" x14ac:dyDescent="0.2">
      <c r="B1441" s="254"/>
      <c r="C1441" s="254"/>
      <c r="D1441" s="254"/>
      <c r="E1441" s="254"/>
      <c r="F1441" s="254"/>
      <c r="G1441" s="254"/>
    </row>
    <row r="1442" spans="2:7" x14ac:dyDescent="0.2">
      <c r="B1442" s="254"/>
      <c r="C1442" s="254"/>
      <c r="D1442" s="254"/>
      <c r="E1442" s="254"/>
      <c r="F1442" s="254"/>
      <c r="G1442" s="254"/>
    </row>
    <row r="1443" spans="2:7" x14ac:dyDescent="0.2">
      <c r="B1443" s="254"/>
      <c r="C1443" s="254"/>
      <c r="D1443" s="254"/>
      <c r="E1443" s="254"/>
      <c r="F1443" s="254"/>
      <c r="G1443" s="254"/>
    </row>
    <row r="1444" spans="2:7" x14ac:dyDescent="0.2">
      <c r="B1444" s="254"/>
      <c r="C1444" s="254"/>
      <c r="D1444" s="254"/>
      <c r="E1444" s="254"/>
      <c r="F1444" s="254"/>
      <c r="G1444" s="254"/>
    </row>
    <row r="1445" spans="2:7" x14ac:dyDescent="0.2">
      <c r="B1445" s="254"/>
      <c r="C1445" s="254"/>
      <c r="D1445" s="254"/>
      <c r="E1445" s="254"/>
      <c r="F1445" s="254"/>
      <c r="G1445" s="254"/>
    </row>
    <row r="1446" spans="2:7" x14ac:dyDescent="0.2">
      <c r="B1446" s="254"/>
      <c r="C1446" s="254"/>
      <c r="D1446" s="254"/>
      <c r="E1446" s="254"/>
      <c r="F1446" s="254"/>
      <c r="G1446" s="254"/>
    </row>
    <row r="1447" spans="2:7" x14ac:dyDescent="0.2">
      <c r="B1447" s="254"/>
      <c r="C1447" s="254"/>
      <c r="D1447" s="254"/>
      <c r="E1447" s="254"/>
      <c r="F1447" s="254"/>
      <c r="G1447" s="254"/>
    </row>
    <row r="1448" spans="2:7" x14ac:dyDescent="0.2">
      <c r="B1448" s="254"/>
      <c r="C1448" s="254"/>
      <c r="D1448" s="254"/>
      <c r="E1448" s="254"/>
      <c r="F1448" s="254"/>
      <c r="G1448" s="254"/>
    </row>
    <row r="1449" spans="2:7" x14ac:dyDescent="0.2">
      <c r="B1449" s="254"/>
      <c r="C1449" s="254"/>
      <c r="D1449" s="254"/>
      <c r="E1449" s="254"/>
      <c r="F1449" s="254"/>
      <c r="G1449" s="254"/>
    </row>
    <row r="1450" spans="2:7" x14ac:dyDescent="0.2">
      <c r="B1450" s="254"/>
      <c r="C1450" s="254"/>
      <c r="D1450" s="254"/>
      <c r="E1450" s="254"/>
      <c r="F1450" s="254"/>
      <c r="G1450" s="254"/>
    </row>
    <row r="1451" spans="2:7" x14ac:dyDescent="0.2">
      <c r="B1451" s="254"/>
      <c r="C1451" s="254"/>
      <c r="D1451" s="254"/>
      <c r="E1451" s="254"/>
      <c r="F1451" s="254"/>
      <c r="G1451" s="254"/>
    </row>
    <row r="1452" spans="2:7" x14ac:dyDescent="0.2">
      <c r="B1452" s="254"/>
      <c r="C1452" s="254"/>
      <c r="D1452" s="254"/>
      <c r="E1452" s="254"/>
      <c r="F1452" s="254"/>
      <c r="G1452" s="254"/>
    </row>
    <row r="1453" spans="2:7" x14ac:dyDescent="0.2">
      <c r="B1453" s="254"/>
      <c r="C1453" s="254"/>
      <c r="D1453" s="254"/>
      <c r="E1453" s="254"/>
      <c r="F1453" s="254"/>
      <c r="G1453" s="254"/>
    </row>
    <row r="1454" spans="2:7" x14ac:dyDescent="0.2">
      <c r="B1454" s="254"/>
      <c r="C1454" s="254"/>
      <c r="D1454" s="254"/>
      <c r="E1454" s="254"/>
      <c r="F1454" s="254"/>
      <c r="G1454" s="254"/>
    </row>
    <row r="1455" spans="2:7" x14ac:dyDescent="0.2">
      <c r="B1455" s="254"/>
      <c r="C1455" s="254"/>
      <c r="D1455" s="254"/>
      <c r="E1455" s="254"/>
      <c r="F1455" s="254"/>
      <c r="G1455" s="254"/>
    </row>
    <row r="1456" spans="2:7" x14ac:dyDescent="0.2">
      <c r="B1456" s="254"/>
      <c r="C1456" s="254"/>
      <c r="D1456" s="254"/>
      <c r="E1456" s="254"/>
      <c r="F1456" s="254"/>
      <c r="G1456" s="254"/>
    </row>
    <row r="1457" spans="2:7" x14ac:dyDescent="0.2">
      <c r="B1457" s="254"/>
      <c r="C1457" s="254"/>
      <c r="D1457" s="254"/>
      <c r="E1457" s="254"/>
      <c r="F1457" s="254"/>
      <c r="G1457" s="254"/>
    </row>
    <row r="1458" spans="2:7" x14ac:dyDescent="0.2">
      <c r="B1458" s="254"/>
      <c r="C1458" s="254"/>
      <c r="D1458" s="254"/>
      <c r="E1458" s="254"/>
      <c r="F1458" s="254"/>
      <c r="G1458" s="254"/>
    </row>
    <row r="1459" spans="2:7" x14ac:dyDescent="0.2">
      <c r="B1459" s="254"/>
      <c r="C1459" s="254"/>
      <c r="D1459" s="254"/>
      <c r="E1459" s="254"/>
      <c r="F1459" s="254"/>
      <c r="G1459" s="254"/>
    </row>
    <row r="1460" spans="2:7" x14ac:dyDescent="0.2">
      <c r="B1460" s="254"/>
      <c r="C1460" s="254"/>
      <c r="D1460" s="254"/>
      <c r="E1460" s="254"/>
      <c r="F1460" s="254"/>
      <c r="G1460" s="254"/>
    </row>
    <row r="1461" spans="2:7" x14ac:dyDescent="0.2">
      <c r="B1461" s="254"/>
      <c r="C1461" s="254"/>
      <c r="D1461" s="254"/>
      <c r="E1461" s="254"/>
      <c r="F1461" s="254"/>
      <c r="G1461" s="254"/>
    </row>
    <row r="1462" spans="2:7" x14ac:dyDescent="0.2">
      <c r="B1462" s="254"/>
      <c r="C1462" s="254"/>
      <c r="D1462" s="254"/>
      <c r="E1462" s="254"/>
      <c r="F1462" s="254"/>
      <c r="G1462" s="254"/>
    </row>
    <row r="1463" spans="2:7" x14ac:dyDescent="0.2">
      <c r="B1463" s="254"/>
      <c r="C1463" s="254"/>
      <c r="D1463" s="254"/>
      <c r="E1463" s="254"/>
      <c r="F1463" s="254"/>
      <c r="G1463" s="254"/>
    </row>
    <row r="1464" spans="2:7" x14ac:dyDescent="0.2">
      <c r="B1464" s="254"/>
      <c r="C1464" s="254"/>
      <c r="D1464" s="254"/>
      <c r="E1464" s="254"/>
      <c r="F1464" s="254"/>
      <c r="G1464" s="254"/>
    </row>
    <row r="1465" spans="2:7" x14ac:dyDescent="0.2">
      <c r="B1465" s="254"/>
      <c r="C1465" s="254"/>
      <c r="D1465" s="254"/>
      <c r="E1465" s="254"/>
      <c r="F1465" s="254"/>
      <c r="G1465" s="254"/>
    </row>
    <row r="1466" spans="2:7" x14ac:dyDescent="0.2">
      <c r="B1466" s="254"/>
      <c r="C1466" s="254"/>
      <c r="D1466" s="254"/>
      <c r="E1466" s="254"/>
      <c r="F1466" s="254"/>
      <c r="G1466" s="254"/>
    </row>
    <row r="1467" spans="2:7" x14ac:dyDescent="0.2">
      <c r="B1467" s="254"/>
      <c r="C1467" s="254"/>
      <c r="D1467" s="254"/>
      <c r="E1467" s="254"/>
      <c r="F1467" s="254"/>
      <c r="G1467" s="254"/>
    </row>
    <row r="1468" spans="2:7" x14ac:dyDescent="0.2">
      <c r="B1468" s="254"/>
      <c r="C1468" s="254"/>
      <c r="D1468" s="254"/>
      <c r="E1468" s="254"/>
      <c r="F1468" s="254"/>
      <c r="G1468" s="254"/>
    </row>
    <row r="1469" spans="2:7" x14ac:dyDescent="0.2">
      <c r="B1469" s="254"/>
      <c r="C1469" s="254"/>
      <c r="D1469" s="254"/>
      <c r="E1469" s="254"/>
      <c r="F1469" s="254"/>
      <c r="G1469" s="254"/>
    </row>
    <row r="1470" spans="2:7" x14ac:dyDescent="0.2">
      <c r="B1470" s="254"/>
      <c r="C1470" s="254"/>
      <c r="D1470" s="254"/>
      <c r="E1470" s="254"/>
      <c r="F1470" s="254"/>
      <c r="G1470" s="254"/>
    </row>
    <row r="1471" spans="2:7" x14ac:dyDescent="0.2">
      <c r="B1471" s="254"/>
      <c r="C1471" s="254"/>
      <c r="D1471" s="254"/>
      <c r="E1471" s="254"/>
      <c r="F1471" s="254"/>
      <c r="G1471" s="254"/>
    </row>
    <row r="1472" spans="2:7" x14ac:dyDescent="0.2">
      <c r="B1472" s="254"/>
      <c r="C1472" s="254"/>
      <c r="D1472" s="254"/>
      <c r="E1472" s="254"/>
      <c r="F1472" s="254"/>
      <c r="G1472" s="254"/>
    </row>
    <row r="1473" spans="2:7" x14ac:dyDescent="0.2">
      <c r="B1473" s="254"/>
      <c r="C1473" s="254"/>
      <c r="D1473" s="254"/>
      <c r="E1473" s="254"/>
      <c r="F1473" s="254"/>
      <c r="G1473" s="254"/>
    </row>
    <row r="1474" spans="2:7" x14ac:dyDescent="0.2">
      <c r="B1474" s="254"/>
      <c r="C1474" s="254"/>
      <c r="D1474" s="254"/>
      <c r="E1474" s="254"/>
      <c r="F1474" s="254"/>
      <c r="G1474" s="254"/>
    </row>
    <row r="1475" spans="2:7" x14ac:dyDescent="0.2">
      <c r="B1475" s="254"/>
      <c r="C1475" s="254"/>
      <c r="D1475" s="254"/>
      <c r="E1475" s="254"/>
      <c r="F1475" s="254"/>
      <c r="G1475" s="254"/>
    </row>
    <row r="1476" spans="2:7" x14ac:dyDescent="0.2">
      <c r="B1476" s="254"/>
      <c r="C1476" s="254"/>
      <c r="D1476" s="254"/>
      <c r="E1476" s="254"/>
      <c r="F1476" s="254"/>
      <c r="G1476" s="254"/>
    </row>
    <row r="1477" spans="2:7" x14ac:dyDescent="0.2">
      <c r="B1477" s="254"/>
      <c r="C1477" s="254"/>
      <c r="D1477" s="254"/>
      <c r="E1477" s="254"/>
      <c r="F1477" s="254"/>
      <c r="G1477" s="254"/>
    </row>
    <row r="1478" spans="2:7" x14ac:dyDescent="0.2">
      <c r="B1478" s="254"/>
      <c r="C1478" s="254"/>
      <c r="D1478" s="254"/>
      <c r="E1478" s="254"/>
      <c r="F1478" s="254"/>
      <c r="G1478" s="254"/>
    </row>
    <row r="1479" spans="2:7" x14ac:dyDescent="0.2">
      <c r="B1479" s="254"/>
      <c r="C1479" s="254"/>
      <c r="D1479" s="254"/>
      <c r="E1479" s="254"/>
      <c r="F1479" s="254"/>
      <c r="G1479" s="254"/>
    </row>
    <row r="1480" spans="2:7" x14ac:dyDescent="0.2">
      <c r="B1480" s="254"/>
      <c r="C1480" s="254"/>
      <c r="D1480" s="254"/>
      <c r="E1480" s="254"/>
      <c r="F1480" s="254"/>
      <c r="G1480" s="254"/>
    </row>
    <row r="1481" spans="2:7" x14ac:dyDescent="0.2">
      <c r="B1481" s="254"/>
      <c r="C1481" s="254"/>
      <c r="D1481" s="254"/>
      <c r="E1481" s="254"/>
      <c r="F1481" s="254"/>
      <c r="G1481" s="254"/>
    </row>
    <row r="1482" spans="2:7" x14ac:dyDescent="0.2">
      <c r="B1482" s="254"/>
      <c r="C1482" s="254"/>
      <c r="D1482" s="254"/>
      <c r="E1482" s="254"/>
      <c r="F1482" s="254"/>
      <c r="G1482" s="254"/>
    </row>
    <row r="1483" spans="2:7" x14ac:dyDescent="0.2">
      <c r="B1483" s="254"/>
      <c r="C1483" s="254"/>
      <c r="D1483" s="254"/>
      <c r="E1483" s="254"/>
      <c r="F1483" s="254"/>
      <c r="G1483" s="254"/>
    </row>
    <row r="1484" spans="2:7" x14ac:dyDescent="0.2">
      <c r="B1484" s="254"/>
      <c r="C1484" s="254"/>
      <c r="D1484" s="254"/>
      <c r="E1484" s="254"/>
      <c r="F1484" s="254"/>
      <c r="G1484" s="254"/>
    </row>
    <row r="1485" spans="2:7" x14ac:dyDescent="0.2">
      <c r="B1485" s="254"/>
      <c r="C1485" s="254"/>
      <c r="D1485" s="254"/>
      <c r="E1485" s="254"/>
      <c r="F1485" s="254"/>
      <c r="G1485" s="254"/>
    </row>
    <row r="1486" spans="2:7" x14ac:dyDescent="0.2">
      <c r="B1486" s="254"/>
      <c r="C1486" s="254"/>
      <c r="D1486" s="254"/>
      <c r="E1486" s="254"/>
      <c r="F1486" s="254"/>
      <c r="G1486" s="254"/>
    </row>
    <row r="1487" spans="2:7" x14ac:dyDescent="0.2">
      <c r="B1487" s="254"/>
      <c r="C1487" s="254"/>
      <c r="D1487" s="254"/>
      <c r="E1487" s="254"/>
      <c r="F1487" s="254"/>
      <c r="G1487" s="254"/>
    </row>
    <row r="1488" spans="2:7" x14ac:dyDescent="0.2">
      <c r="B1488" s="254"/>
      <c r="C1488" s="254"/>
      <c r="D1488" s="254"/>
      <c r="E1488" s="254"/>
      <c r="F1488" s="254"/>
      <c r="G1488" s="254"/>
    </row>
    <row r="1489" spans="2:7" x14ac:dyDescent="0.2">
      <c r="B1489" s="254"/>
      <c r="C1489" s="254"/>
      <c r="D1489" s="254"/>
      <c r="E1489" s="254"/>
      <c r="F1489" s="254"/>
      <c r="G1489" s="254"/>
    </row>
    <row r="1490" spans="2:7" x14ac:dyDescent="0.2">
      <c r="B1490" s="254"/>
      <c r="C1490" s="254"/>
      <c r="D1490" s="254"/>
      <c r="E1490" s="254"/>
      <c r="F1490" s="254"/>
      <c r="G1490" s="254"/>
    </row>
    <row r="1491" spans="2:7" x14ac:dyDescent="0.2">
      <c r="B1491" s="254"/>
      <c r="C1491" s="254"/>
      <c r="D1491" s="254"/>
      <c r="E1491" s="254"/>
      <c r="F1491" s="254"/>
      <c r="G1491" s="254"/>
    </row>
    <row r="1492" spans="2:7" x14ac:dyDescent="0.2">
      <c r="B1492" s="254"/>
      <c r="C1492" s="254"/>
      <c r="D1492" s="254"/>
      <c r="E1492" s="254"/>
      <c r="F1492" s="254"/>
      <c r="G1492" s="254"/>
    </row>
    <row r="1493" spans="2:7" x14ac:dyDescent="0.2">
      <c r="B1493" s="254"/>
      <c r="C1493" s="254"/>
      <c r="D1493" s="254"/>
      <c r="E1493" s="254"/>
      <c r="F1493" s="254"/>
      <c r="G1493" s="254"/>
    </row>
    <row r="1494" spans="2:7" x14ac:dyDescent="0.2">
      <c r="B1494" s="254"/>
      <c r="C1494" s="254"/>
      <c r="D1494" s="254"/>
      <c r="E1494" s="254"/>
      <c r="F1494" s="254"/>
      <c r="G1494" s="254"/>
    </row>
    <row r="1495" spans="2:7" x14ac:dyDescent="0.2">
      <c r="B1495" s="254"/>
      <c r="C1495" s="254"/>
      <c r="D1495" s="254"/>
      <c r="E1495" s="254"/>
      <c r="F1495" s="254"/>
      <c r="G1495" s="254"/>
    </row>
    <row r="1496" spans="2:7" x14ac:dyDescent="0.2">
      <c r="B1496" s="254"/>
      <c r="C1496" s="254"/>
      <c r="D1496" s="254"/>
      <c r="E1496" s="254"/>
      <c r="F1496" s="254"/>
      <c r="G1496" s="254"/>
    </row>
    <row r="1497" spans="2:7" x14ac:dyDescent="0.2">
      <c r="B1497" s="254"/>
      <c r="C1497" s="254"/>
      <c r="D1497" s="254"/>
      <c r="E1497" s="254"/>
      <c r="F1497" s="254"/>
      <c r="G1497" s="254"/>
    </row>
    <row r="1498" spans="2:7" x14ac:dyDescent="0.2">
      <c r="B1498" s="254"/>
      <c r="C1498" s="254"/>
      <c r="D1498" s="254"/>
      <c r="E1498" s="254"/>
      <c r="F1498" s="254"/>
      <c r="G1498" s="254"/>
    </row>
    <row r="1499" spans="2:7" x14ac:dyDescent="0.2">
      <c r="B1499" s="254"/>
      <c r="C1499" s="254"/>
      <c r="D1499" s="254"/>
      <c r="E1499" s="254"/>
      <c r="F1499" s="254"/>
      <c r="G1499" s="254"/>
    </row>
    <row r="1500" spans="2:7" x14ac:dyDescent="0.2">
      <c r="B1500" s="254"/>
      <c r="C1500" s="254"/>
      <c r="D1500" s="254"/>
      <c r="E1500" s="254"/>
      <c r="F1500" s="254"/>
      <c r="G1500" s="254"/>
    </row>
    <row r="1501" spans="2:7" x14ac:dyDescent="0.2">
      <c r="B1501" s="254"/>
      <c r="C1501" s="254"/>
      <c r="D1501" s="254"/>
      <c r="E1501" s="254"/>
      <c r="F1501" s="254"/>
      <c r="G1501" s="254"/>
    </row>
    <row r="1502" spans="2:7" x14ac:dyDescent="0.2">
      <c r="B1502" s="254"/>
      <c r="C1502" s="254"/>
      <c r="D1502" s="254"/>
      <c r="E1502" s="254"/>
      <c r="F1502" s="254"/>
      <c r="G1502" s="254"/>
    </row>
    <row r="1503" spans="2:7" x14ac:dyDescent="0.2">
      <c r="B1503" s="254"/>
      <c r="C1503" s="254"/>
      <c r="D1503" s="254"/>
      <c r="E1503" s="254"/>
      <c r="F1503" s="254"/>
      <c r="G1503" s="254"/>
    </row>
    <row r="1504" spans="2:7" x14ac:dyDescent="0.2">
      <c r="B1504" s="254"/>
      <c r="C1504" s="254"/>
      <c r="D1504" s="254"/>
      <c r="E1504" s="254"/>
      <c r="F1504" s="254"/>
      <c r="G1504" s="254"/>
    </row>
    <row r="1505" spans="2:7" x14ac:dyDescent="0.2">
      <c r="B1505" s="254"/>
      <c r="C1505" s="254"/>
      <c r="D1505" s="254"/>
      <c r="E1505" s="254"/>
      <c r="F1505" s="254"/>
      <c r="G1505" s="254"/>
    </row>
    <row r="1506" spans="2:7" x14ac:dyDescent="0.2">
      <c r="B1506" s="254"/>
      <c r="C1506" s="254"/>
      <c r="D1506" s="254"/>
      <c r="E1506" s="254"/>
      <c r="F1506" s="254"/>
      <c r="G1506" s="254"/>
    </row>
    <row r="1507" spans="2:7" x14ac:dyDescent="0.2">
      <c r="B1507" s="254"/>
      <c r="C1507" s="254"/>
      <c r="D1507" s="254"/>
      <c r="E1507" s="254"/>
      <c r="F1507" s="254"/>
      <c r="G1507" s="254"/>
    </row>
    <row r="1508" spans="2:7" x14ac:dyDescent="0.2">
      <c r="B1508" s="254"/>
      <c r="C1508" s="254"/>
      <c r="D1508" s="254"/>
      <c r="E1508" s="254"/>
      <c r="F1508" s="254"/>
      <c r="G1508" s="254"/>
    </row>
    <row r="1509" spans="2:7" x14ac:dyDescent="0.2">
      <c r="B1509" s="254"/>
      <c r="C1509" s="254"/>
      <c r="D1509" s="254"/>
      <c r="E1509" s="254"/>
      <c r="F1509" s="254"/>
      <c r="G1509" s="254"/>
    </row>
    <row r="1510" spans="2:7" x14ac:dyDescent="0.2">
      <c r="B1510" s="254"/>
      <c r="C1510" s="254"/>
      <c r="D1510" s="254"/>
      <c r="E1510" s="254"/>
      <c r="F1510" s="254"/>
      <c r="G1510" s="254"/>
    </row>
    <row r="1511" spans="2:7" x14ac:dyDescent="0.2">
      <c r="B1511" s="254"/>
      <c r="C1511" s="254"/>
      <c r="D1511" s="254"/>
      <c r="E1511" s="254"/>
      <c r="F1511" s="254"/>
      <c r="G1511" s="254"/>
    </row>
    <row r="1512" spans="2:7" x14ac:dyDescent="0.2">
      <c r="B1512" s="254"/>
      <c r="C1512" s="254"/>
      <c r="D1512" s="254"/>
      <c r="E1512" s="254"/>
      <c r="F1512" s="254"/>
      <c r="G1512" s="254"/>
    </row>
    <row r="1513" spans="2:7" x14ac:dyDescent="0.2">
      <c r="B1513" s="254"/>
      <c r="C1513" s="254"/>
      <c r="D1513" s="254"/>
      <c r="E1513" s="254"/>
      <c r="F1513" s="254"/>
      <c r="G1513" s="254"/>
    </row>
    <row r="1514" spans="2:7" x14ac:dyDescent="0.2">
      <c r="B1514" s="254"/>
      <c r="C1514" s="254"/>
      <c r="D1514" s="254"/>
      <c r="E1514" s="254"/>
      <c r="F1514" s="254"/>
      <c r="G1514" s="254"/>
    </row>
    <row r="1515" spans="2:7" x14ac:dyDescent="0.2">
      <c r="B1515" s="254"/>
      <c r="C1515" s="254"/>
      <c r="D1515" s="254"/>
      <c r="E1515" s="254"/>
      <c r="F1515" s="254"/>
      <c r="G1515" s="254"/>
    </row>
    <row r="1516" spans="2:7" x14ac:dyDescent="0.2">
      <c r="B1516" s="254"/>
      <c r="C1516" s="254"/>
      <c r="D1516" s="254"/>
      <c r="E1516" s="254"/>
      <c r="F1516" s="254"/>
      <c r="G1516" s="254"/>
    </row>
    <row r="1517" spans="2:7" x14ac:dyDescent="0.2">
      <c r="B1517" s="254"/>
      <c r="C1517" s="254"/>
      <c r="D1517" s="254"/>
      <c r="E1517" s="254"/>
      <c r="F1517" s="254"/>
      <c r="G1517" s="254"/>
    </row>
    <row r="1518" spans="2:7" x14ac:dyDescent="0.2">
      <c r="B1518" s="254"/>
      <c r="C1518" s="254"/>
      <c r="D1518" s="254"/>
      <c r="E1518" s="254"/>
      <c r="F1518" s="254"/>
      <c r="G1518" s="254"/>
    </row>
    <row r="1519" spans="2:7" x14ac:dyDescent="0.2">
      <c r="B1519" s="254"/>
      <c r="C1519" s="254"/>
      <c r="D1519" s="254"/>
      <c r="E1519" s="254"/>
      <c r="F1519" s="254"/>
      <c r="G1519" s="254"/>
    </row>
    <row r="1520" spans="2:7" x14ac:dyDescent="0.2">
      <c r="B1520" s="254"/>
      <c r="C1520" s="254"/>
      <c r="D1520" s="254"/>
      <c r="E1520" s="254"/>
      <c r="F1520" s="254"/>
      <c r="G1520" s="254"/>
    </row>
    <row r="1521" spans="2:7" x14ac:dyDescent="0.2">
      <c r="B1521" s="254"/>
      <c r="C1521" s="254"/>
      <c r="D1521" s="254"/>
      <c r="E1521" s="254"/>
      <c r="F1521" s="254"/>
      <c r="G1521" s="254"/>
    </row>
    <row r="1522" spans="2:7" x14ac:dyDescent="0.2">
      <c r="B1522" s="254"/>
      <c r="C1522" s="254"/>
      <c r="D1522" s="254"/>
      <c r="E1522" s="254"/>
      <c r="F1522" s="254"/>
      <c r="G1522" s="254"/>
    </row>
    <row r="1523" spans="2:7" x14ac:dyDescent="0.2">
      <c r="B1523" s="254"/>
      <c r="C1523" s="254"/>
      <c r="D1523" s="254"/>
      <c r="E1523" s="254"/>
      <c r="F1523" s="254"/>
      <c r="G1523" s="254"/>
    </row>
    <row r="1524" spans="2:7" x14ac:dyDescent="0.2">
      <c r="B1524" s="254"/>
      <c r="C1524" s="254"/>
      <c r="D1524" s="254"/>
      <c r="E1524" s="254"/>
      <c r="F1524" s="254"/>
      <c r="G1524" s="254"/>
    </row>
    <row r="1525" spans="2:7" x14ac:dyDescent="0.2">
      <c r="B1525" s="254"/>
      <c r="C1525" s="254"/>
      <c r="D1525" s="254"/>
      <c r="E1525" s="254"/>
      <c r="F1525" s="254"/>
      <c r="G1525" s="254"/>
    </row>
    <row r="1526" spans="2:7" x14ac:dyDescent="0.2">
      <c r="B1526" s="254"/>
      <c r="C1526" s="254"/>
      <c r="D1526" s="254"/>
      <c r="E1526" s="254"/>
      <c r="F1526" s="254"/>
      <c r="G1526" s="254"/>
    </row>
    <row r="1527" spans="2:7" x14ac:dyDescent="0.2">
      <c r="B1527" s="254"/>
      <c r="C1527" s="254"/>
      <c r="D1527" s="254"/>
      <c r="E1527" s="254"/>
      <c r="F1527" s="254"/>
      <c r="G1527" s="254"/>
    </row>
    <row r="1528" spans="2:7" x14ac:dyDescent="0.2">
      <c r="B1528" s="254"/>
      <c r="C1528" s="254"/>
      <c r="D1528" s="254"/>
      <c r="E1528" s="254"/>
      <c r="F1528" s="254"/>
      <c r="G1528" s="254"/>
    </row>
    <row r="1529" spans="2:7" x14ac:dyDescent="0.2">
      <c r="B1529" s="254"/>
      <c r="C1529" s="254"/>
      <c r="D1529" s="254"/>
      <c r="E1529" s="254"/>
      <c r="F1529" s="254"/>
      <c r="G1529" s="254"/>
    </row>
    <row r="1530" spans="2:7" x14ac:dyDescent="0.2">
      <c r="B1530" s="254"/>
      <c r="C1530" s="254"/>
      <c r="D1530" s="254"/>
      <c r="E1530" s="254"/>
      <c r="F1530" s="254"/>
      <c r="G1530" s="254"/>
    </row>
    <row r="1531" spans="2:7" x14ac:dyDescent="0.2">
      <c r="B1531" s="254"/>
      <c r="C1531" s="254"/>
      <c r="D1531" s="254"/>
      <c r="E1531" s="254"/>
      <c r="F1531" s="254"/>
      <c r="G1531" s="254"/>
    </row>
    <row r="1532" spans="2:7" x14ac:dyDescent="0.2">
      <c r="B1532" s="254"/>
      <c r="C1532" s="254"/>
      <c r="D1532" s="254"/>
      <c r="E1532" s="254"/>
      <c r="F1532" s="254"/>
      <c r="G1532" s="254"/>
    </row>
    <row r="1533" spans="2:7" x14ac:dyDescent="0.2">
      <c r="B1533" s="254"/>
      <c r="C1533" s="254"/>
      <c r="D1533" s="254"/>
      <c r="E1533" s="254"/>
      <c r="F1533" s="254"/>
      <c r="G1533" s="254"/>
    </row>
    <row r="1534" spans="2:7" x14ac:dyDescent="0.2">
      <c r="B1534" s="254"/>
      <c r="C1534" s="254"/>
      <c r="D1534" s="254"/>
      <c r="E1534" s="254"/>
      <c r="F1534" s="254"/>
      <c r="G1534" s="254"/>
    </row>
    <row r="1535" spans="2:7" x14ac:dyDescent="0.2">
      <c r="B1535" s="254"/>
      <c r="C1535" s="254"/>
      <c r="D1535" s="254"/>
      <c r="E1535" s="254"/>
      <c r="F1535" s="254"/>
      <c r="G1535" s="254"/>
    </row>
    <row r="1536" spans="2:7" x14ac:dyDescent="0.2">
      <c r="B1536" s="254"/>
      <c r="C1536" s="254"/>
      <c r="D1536" s="254"/>
      <c r="E1536" s="254"/>
      <c r="F1536" s="254"/>
      <c r="G1536" s="254"/>
    </row>
    <row r="1537" spans="2:7" x14ac:dyDescent="0.2">
      <c r="B1537" s="254"/>
      <c r="C1537" s="254"/>
      <c r="D1537" s="254"/>
      <c r="E1537" s="254"/>
      <c r="F1537" s="254"/>
      <c r="G1537" s="254"/>
    </row>
    <row r="1538" spans="2:7" x14ac:dyDescent="0.2">
      <c r="B1538" s="254"/>
      <c r="C1538" s="254"/>
      <c r="D1538" s="254"/>
      <c r="E1538" s="254"/>
      <c r="F1538" s="254"/>
      <c r="G1538" s="254"/>
    </row>
    <row r="1539" spans="2:7" x14ac:dyDescent="0.2">
      <c r="B1539" s="254"/>
      <c r="C1539" s="254"/>
      <c r="D1539" s="254"/>
      <c r="E1539" s="254"/>
      <c r="F1539" s="254"/>
      <c r="G1539" s="254"/>
    </row>
    <row r="1540" spans="2:7" x14ac:dyDescent="0.2">
      <c r="B1540" s="254"/>
      <c r="C1540" s="254"/>
      <c r="D1540" s="254"/>
      <c r="E1540" s="254"/>
      <c r="F1540" s="254"/>
      <c r="G1540" s="254"/>
    </row>
    <row r="1541" spans="2:7" x14ac:dyDescent="0.2">
      <c r="B1541" s="254"/>
      <c r="C1541" s="254"/>
      <c r="D1541" s="254"/>
      <c r="E1541" s="254"/>
      <c r="F1541" s="254"/>
      <c r="G1541" s="254"/>
    </row>
    <row r="1542" spans="2:7" x14ac:dyDescent="0.2">
      <c r="B1542" s="254"/>
      <c r="C1542" s="254"/>
      <c r="D1542" s="254"/>
      <c r="E1542" s="254"/>
      <c r="F1542" s="254"/>
      <c r="G1542" s="254"/>
    </row>
    <row r="1543" spans="2:7" x14ac:dyDescent="0.2">
      <c r="B1543" s="254"/>
      <c r="C1543" s="254"/>
      <c r="D1543" s="254"/>
      <c r="E1543" s="254"/>
      <c r="F1543" s="254"/>
      <c r="G1543" s="254"/>
    </row>
    <row r="1544" spans="2:7" x14ac:dyDescent="0.2">
      <c r="B1544" s="254"/>
      <c r="C1544" s="254"/>
      <c r="D1544" s="254"/>
      <c r="E1544" s="254"/>
      <c r="F1544" s="254"/>
      <c r="G1544" s="254"/>
    </row>
    <row r="1545" spans="2:7" x14ac:dyDescent="0.2">
      <c r="B1545" s="254"/>
      <c r="C1545" s="254"/>
      <c r="D1545" s="254"/>
      <c r="E1545" s="254"/>
      <c r="F1545" s="254"/>
      <c r="G1545" s="254"/>
    </row>
    <row r="1546" spans="2:7" x14ac:dyDescent="0.2">
      <c r="B1546" s="254"/>
      <c r="C1546" s="254"/>
      <c r="D1546" s="254"/>
      <c r="E1546" s="254"/>
      <c r="F1546" s="254"/>
      <c r="G1546" s="254"/>
    </row>
    <row r="1547" spans="2:7" x14ac:dyDescent="0.2">
      <c r="B1547" s="254"/>
      <c r="C1547" s="254"/>
      <c r="D1547" s="254"/>
      <c r="E1547" s="254"/>
      <c r="F1547" s="254"/>
      <c r="G1547" s="254"/>
    </row>
    <row r="1548" spans="2:7" x14ac:dyDescent="0.2">
      <c r="B1548" s="254"/>
      <c r="C1548" s="254"/>
      <c r="D1548" s="254"/>
      <c r="E1548" s="254"/>
      <c r="F1548" s="254"/>
      <c r="G1548" s="254"/>
    </row>
    <row r="1549" spans="2:7" x14ac:dyDescent="0.2">
      <c r="B1549" s="254"/>
      <c r="C1549" s="254"/>
      <c r="D1549" s="254"/>
      <c r="E1549" s="254"/>
      <c r="F1549" s="254"/>
      <c r="G1549" s="254"/>
    </row>
    <row r="1550" spans="2:7" x14ac:dyDescent="0.2">
      <c r="B1550" s="254"/>
      <c r="C1550" s="254"/>
      <c r="D1550" s="254"/>
      <c r="E1550" s="254"/>
      <c r="F1550" s="254"/>
      <c r="G1550" s="254"/>
    </row>
    <row r="1551" spans="2:7" x14ac:dyDescent="0.2">
      <c r="B1551" s="254"/>
      <c r="C1551" s="254"/>
      <c r="D1551" s="254"/>
      <c r="E1551" s="254"/>
      <c r="F1551" s="254"/>
      <c r="G1551" s="254"/>
    </row>
    <row r="1552" spans="2:7" x14ac:dyDescent="0.2">
      <c r="B1552" s="254"/>
      <c r="C1552" s="254"/>
      <c r="D1552" s="254"/>
      <c r="E1552" s="254"/>
      <c r="F1552" s="254"/>
      <c r="G1552" s="254"/>
    </row>
    <row r="1553" spans="2:7" x14ac:dyDescent="0.2">
      <c r="B1553" s="254"/>
      <c r="C1553" s="254"/>
      <c r="D1553" s="254"/>
      <c r="E1553" s="254"/>
      <c r="F1553" s="254"/>
      <c r="G1553" s="254"/>
    </row>
    <row r="1554" spans="2:7" x14ac:dyDescent="0.2">
      <c r="B1554" s="254"/>
      <c r="C1554" s="254"/>
      <c r="D1554" s="254"/>
      <c r="E1554" s="254"/>
      <c r="F1554" s="254"/>
      <c r="G1554" s="254"/>
    </row>
    <row r="1555" spans="2:7" x14ac:dyDescent="0.2">
      <c r="B1555" s="254"/>
      <c r="C1555" s="254"/>
      <c r="D1555" s="254"/>
      <c r="E1555" s="254"/>
      <c r="F1555" s="254"/>
      <c r="G1555" s="254"/>
    </row>
    <row r="1556" spans="2:7" x14ac:dyDescent="0.2">
      <c r="B1556" s="254"/>
      <c r="C1556" s="254"/>
      <c r="D1556" s="254"/>
      <c r="E1556" s="254"/>
      <c r="F1556" s="254"/>
      <c r="G1556" s="254"/>
    </row>
    <row r="1557" spans="2:7" x14ac:dyDescent="0.2">
      <c r="B1557" s="254"/>
      <c r="C1557" s="254"/>
      <c r="D1557" s="254"/>
      <c r="E1557" s="254"/>
      <c r="F1557" s="254"/>
      <c r="G1557" s="254"/>
    </row>
    <row r="1558" spans="2:7" x14ac:dyDescent="0.2">
      <c r="B1558" s="254"/>
      <c r="C1558" s="254"/>
      <c r="D1558" s="254"/>
      <c r="E1558" s="254"/>
      <c r="F1558" s="254"/>
      <c r="G1558" s="254"/>
    </row>
    <row r="1559" spans="2:7" x14ac:dyDescent="0.2">
      <c r="B1559" s="254"/>
      <c r="C1559" s="254"/>
      <c r="D1559" s="254"/>
      <c r="E1559" s="254"/>
      <c r="F1559" s="254"/>
      <c r="G1559" s="254"/>
    </row>
    <row r="1560" spans="2:7" x14ac:dyDescent="0.2">
      <c r="B1560" s="254"/>
      <c r="C1560" s="254"/>
      <c r="D1560" s="254"/>
      <c r="E1560" s="254"/>
      <c r="F1560" s="254"/>
      <c r="G1560" s="254"/>
    </row>
    <row r="1561" spans="2:7" x14ac:dyDescent="0.2">
      <c r="B1561" s="254"/>
      <c r="C1561" s="254"/>
      <c r="D1561" s="254"/>
      <c r="E1561" s="254"/>
      <c r="F1561" s="254"/>
      <c r="G1561" s="254"/>
    </row>
    <row r="1562" spans="2:7" x14ac:dyDescent="0.2">
      <c r="B1562" s="254"/>
      <c r="C1562" s="254"/>
      <c r="D1562" s="254"/>
      <c r="E1562" s="254"/>
      <c r="F1562" s="254"/>
      <c r="G1562" s="254"/>
    </row>
    <row r="1563" spans="2:7" x14ac:dyDescent="0.2">
      <c r="B1563" s="254"/>
      <c r="C1563" s="254"/>
      <c r="D1563" s="254"/>
      <c r="E1563" s="254"/>
      <c r="F1563" s="254"/>
      <c r="G1563" s="254"/>
    </row>
    <row r="1564" spans="2:7" x14ac:dyDescent="0.2">
      <c r="B1564" s="254"/>
      <c r="C1564" s="254"/>
      <c r="D1564" s="254"/>
      <c r="E1564" s="254"/>
      <c r="F1564" s="254"/>
      <c r="G1564" s="254"/>
    </row>
    <row r="1565" spans="2:7" x14ac:dyDescent="0.2">
      <c r="B1565" s="254"/>
      <c r="C1565" s="254"/>
      <c r="D1565" s="254"/>
      <c r="E1565" s="254"/>
      <c r="F1565" s="254"/>
      <c r="G1565" s="254"/>
    </row>
    <row r="1566" spans="2:7" x14ac:dyDescent="0.2">
      <c r="B1566" s="254"/>
      <c r="C1566" s="254"/>
      <c r="D1566" s="254"/>
      <c r="E1566" s="254"/>
      <c r="F1566" s="254"/>
      <c r="G1566" s="254"/>
    </row>
    <row r="1567" spans="2:7" x14ac:dyDescent="0.2">
      <c r="B1567" s="254"/>
      <c r="C1567" s="254"/>
      <c r="D1567" s="254"/>
      <c r="E1567" s="254"/>
      <c r="F1567" s="254"/>
      <c r="G1567" s="254"/>
    </row>
    <row r="1568" spans="2:7" x14ac:dyDescent="0.2">
      <c r="B1568" s="254"/>
      <c r="C1568" s="254"/>
      <c r="D1568" s="254"/>
      <c r="E1568" s="254"/>
      <c r="F1568" s="254"/>
      <c r="G1568" s="254"/>
    </row>
    <row r="1569" spans="2:7" x14ac:dyDescent="0.2">
      <c r="B1569" s="254"/>
      <c r="C1569" s="254"/>
      <c r="D1569" s="254"/>
      <c r="E1569" s="254"/>
      <c r="F1569" s="254"/>
      <c r="G1569" s="254"/>
    </row>
    <row r="1570" spans="2:7" x14ac:dyDescent="0.2">
      <c r="B1570" s="254"/>
      <c r="C1570" s="254"/>
      <c r="D1570" s="254"/>
      <c r="E1570" s="254"/>
      <c r="F1570" s="254"/>
      <c r="G1570" s="254"/>
    </row>
    <row r="1571" spans="2:7" x14ac:dyDescent="0.2">
      <c r="B1571" s="254"/>
      <c r="C1571" s="254"/>
      <c r="D1571" s="254"/>
      <c r="E1571" s="254"/>
      <c r="F1571" s="254"/>
      <c r="G1571" s="254"/>
    </row>
    <row r="1572" spans="2:7" x14ac:dyDescent="0.2">
      <c r="B1572" s="254"/>
      <c r="C1572" s="254"/>
      <c r="D1572" s="254"/>
      <c r="E1572" s="254"/>
      <c r="F1572" s="254"/>
      <c r="G1572" s="254"/>
    </row>
    <row r="1573" spans="2:7" x14ac:dyDescent="0.2">
      <c r="B1573" s="254"/>
      <c r="C1573" s="254"/>
      <c r="D1573" s="254"/>
      <c r="E1573" s="254"/>
      <c r="F1573" s="254"/>
      <c r="G1573" s="254"/>
    </row>
    <row r="1574" spans="2:7" x14ac:dyDescent="0.2">
      <c r="B1574" s="254"/>
      <c r="C1574" s="254"/>
      <c r="D1574" s="254"/>
      <c r="E1574" s="254"/>
      <c r="F1574" s="254"/>
      <c r="G1574" s="254"/>
    </row>
    <row r="1575" spans="2:7" x14ac:dyDescent="0.2">
      <c r="B1575" s="254"/>
      <c r="C1575" s="254"/>
      <c r="D1575" s="254"/>
      <c r="E1575" s="254"/>
      <c r="F1575" s="254"/>
      <c r="G1575" s="254"/>
    </row>
    <row r="1576" spans="2:7" x14ac:dyDescent="0.2">
      <c r="B1576" s="254"/>
      <c r="C1576" s="254"/>
      <c r="D1576" s="254"/>
      <c r="E1576" s="254"/>
      <c r="F1576" s="254"/>
      <c r="G1576" s="254"/>
    </row>
    <row r="1577" spans="2:7" x14ac:dyDescent="0.2">
      <c r="B1577" s="254"/>
      <c r="C1577" s="254"/>
      <c r="D1577" s="254"/>
      <c r="E1577" s="254"/>
      <c r="F1577" s="254"/>
      <c r="G1577" s="254"/>
    </row>
    <row r="1578" spans="2:7" x14ac:dyDescent="0.2">
      <c r="B1578" s="254"/>
      <c r="C1578" s="254"/>
      <c r="D1578" s="254"/>
      <c r="E1578" s="254"/>
      <c r="F1578" s="254"/>
      <c r="G1578" s="254"/>
    </row>
    <row r="1579" spans="2:7" x14ac:dyDescent="0.2">
      <c r="B1579" s="254"/>
      <c r="C1579" s="254"/>
      <c r="D1579" s="254"/>
      <c r="E1579" s="254"/>
      <c r="F1579" s="254"/>
      <c r="G1579" s="254"/>
    </row>
    <row r="1580" spans="2:7" x14ac:dyDescent="0.2">
      <c r="B1580" s="254"/>
      <c r="C1580" s="254"/>
      <c r="D1580" s="254"/>
      <c r="E1580" s="254"/>
      <c r="F1580" s="254"/>
      <c r="G1580" s="254"/>
    </row>
    <row r="1581" spans="2:7" x14ac:dyDescent="0.2">
      <c r="B1581" s="254"/>
      <c r="C1581" s="254"/>
      <c r="D1581" s="254"/>
      <c r="E1581" s="254"/>
      <c r="F1581" s="254"/>
      <c r="G1581" s="254"/>
    </row>
    <row r="1582" spans="2:7" x14ac:dyDescent="0.2">
      <c r="B1582" s="254"/>
      <c r="C1582" s="254"/>
      <c r="D1582" s="254"/>
      <c r="E1582" s="254"/>
      <c r="F1582" s="254"/>
      <c r="G1582" s="254"/>
    </row>
    <row r="1583" spans="2:7" x14ac:dyDescent="0.2">
      <c r="B1583" s="254"/>
      <c r="C1583" s="254"/>
      <c r="D1583" s="254"/>
      <c r="E1583" s="254"/>
      <c r="F1583" s="254"/>
      <c r="G1583" s="254"/>
    </row>
    <row r="1584" spans="2:7" x14ac:dyDescent="0.2">
      <c r="B1584" s="254"/>
      <c r="C1584" s="254"/>
      <c r="D1584" s="254"/>
      <c r="E1584" s="254"/>
      <c r="F1584" s="254"/>
      <c r="G1584" s="254"/>
    </row>
    <row r="1585" spans="2:7" x14ac:dyDescent="0.2">
      <c r="B1585" s="254"/>
      <c r="C1585" s="254"/>
      <c r="D1585" s="254"/>
      <c r="E1585" s="254"/>
      <c r="F1585" s="254"/>
      <c r="G1585" s="254"/>
    </row>
    <row r="1586" spans="2:7" x14ac:dyDescent="0.2">
      <c r="B1586" s="254"/>
      <c r="C1586" s="254"/>
      <c r="D1586" s="254"/>
      <c r="E1586" s="254"/>
      <c r="F1586" s="254"/>
      <c r="G1586" s="254"/>
    </row>
    <row r="1587" spans="2:7" x14ac:dyDescent="0.2">
      <c r="B1587" s="254"/>
      <c r="C1587" s="254"/>
      <c r="D1587" s="254"/>
      <c r="E1587" s="254"/>
      <c r="F1587" s="254"/>
      <c r="G1587" s="254"/>
    </row>
    <row r="1588" spans="2:7" x14ac:dyDescent="0.2">
      <c r="B1588" s="254"/>
      <c r="C1588" s="254"/>
      <c r="D1588" s="254"/>
      <c r="E1588" s="254"/>
      <c r="F1588" s="254"/>
      <c r="G1588" s="254"/>
    </row>
    <row r="1589" spans="2:7" x14ac:dyDescent="0.2">
      <c r="B1589" s="254"/>
      <c r="C1589" s="254"/>
      <c r="D1589" s="254"/>
      <c r="E1589" s="254"/>
      <c r="F1589" s="254"/>
      <c r="G1589" s="254"/>
    </row>
    <row r="1590" spans="2:7" x14ac:dyDescent="0.2">
      <c r="B1590" s="254"/>
      <c r="C1590" s="254"/>
      <c r="D1590" s="254"/>
      <c r="E1590" s="254"/>
      <c r="F1590" s="254"/>
      <c r="G1590" s="254"/>
    </row>
    <row r="1591" spans="2:7" x14ac:dyDescent="0.2">
      <c r="B1591" s="254"/>
      <c r="C1591" s="254"/>
      <c r="D1591" s="254"/>
      <c r="E1591" s="254"/>
      <c r="F1591" s="254"/>
      <c r="G1591" s="254"/>
    </row>
    <row r="1592" spans="2:7" x14ac:dyDescent="0.2">
      <c r="B1592" s="254"/>
      <c r="C1592" s="254"/>
      <c r="D1592" s="254"/>
      <c r="E1592" s="254"/>
      <c r="F1592" s="254"/>
      <c r="G1592" s="254"/>
    </row>
    <row r="1593" spans="2:7" x14ac:dyDescent="0.2">
      <c r="B1593" s="254"/>
      <c r="C1593" s="254"/>
      <c r="D1593" s="254"/>
      <c r="E1593" s="254"/>
      <c r="F1593" s="254"/>
      <c r="G1593" s="254"/>
    </row>
    <row r="1594" spans="2:7" x14ac:dyDescent="0.2">
      <c r="B1594" s="254"/>
      <c r="C1594" s="254"/>
      <c r="D1594" s="254"/>
      <c r="E1594" s="254"/>
      <c r="F1594" s="254"/>
      <c r="G1594" s="254"/>
    </row>
    <row r="1595" spans="2:7" x14ac:dyDescent="0.2">
      <c r="B1595" s="254"/>
      <c r="C1595" s="254"/>
      <c r="D1595" s="254"/>
      <c r="E1595" s="254"/>
      <c r="F1595" s="254"/>
      <c r="G1595" s="254"/>
    </row>
    <row r="1596" spans="2:7" x14ac:dyDescent="0.2">
      <c r="B1596" s="254"/>
      <c r="C1596" s="254"/>
      <c r="D1596" s="254"/>
      <c r="E1596" s="254"/>
      <c r="F1596" s="254"/>
      <c r="G1596" s="254"/>
    </row>
    <row r="1597" spans="2:7" x14ac:dyDescent="0.2">
      <c r="B1597" s="254"/>
      <c r="C1597" s="254"/>
      <c r="D1597" s="254"/>
      <c r="E1597" s="254"/>
      <c r="F1597" s="254"/>
      <c r="G1597" s="254"/>
    </row>
    <row r="1598" spans="2:7" x14ac:dyDescent="0.2">
      <c r="B1598" s="254"/>
      <c r="C1598" s="254"/>
      <c r="D1598" s="254"/>
      <c r="E1598" s="254"/>
      <c r="F1598" s="254"/>
      <c r="G1598" s="254"/>
    </row>
    <row r="1599" spans="2:7" x14ac:dyDescent="0.2">
      <c r="B1599" s="254"/>
      <c r="C1599" s="254"/>
      <c r="D1599" s="254"/>
      <c r="E1599" s="254"/>
      <c r="F1599" s="254"/>
      <c r="G1599" s="254"/>
    </row>
    <row r="1600" spans="2:7" x14ac:dyDescent="0.2">
      <c r="B1600" s="254"/>
      <c r="C1600" s="254"/>
      <c r="D1600" s="254"/>
      <c r="E1600" s="254"/>
      <c r="F1600" s="254"/>
      <c r="G1600" s="254"/>
    </row>
    <row r="1601" spans="2:7" x14ac:dyDescent="0.2">
      <c r="B1601" s="254"/>
      <c r="C1601" s="254"/>
      <c r="D1601" s="254"/>
      <c r="E1601" s="254"/>
      <c r="F1601" s="254"/>
      <c r="G1601" s="254"/>
    </row>
    <row r="1602" spans="2:7" x14ac:dyDescent="0.2">
      <c r="B1602" s="254"/>
      <c r="C1602" s="254"/>
      <c r="D1602" s="254"/>
      <c r="E1602" s="254"/>
      <c r="F1602" s="254"/>
      <c r="G1602" s="254"/>
    </row>
    <row r="1603" spans="2:7" x14ac:dyDescent="0.2">
      <c r="B1603" s="254"/>
      <c r="C1603" s="254"/>
      <c r="D1603" s="254"/>
      <c r="E1603" s="254"/>
      <c r="F1603" s="254"/>
      <c r="G1603" s="254"/>
    </row>
    <row r="1604" spans="2:7" x14ac:dyDescent="0.2">
      <c r="B1604" s="254"/>
      <c r="C1604" s="254"/>
      <c r="D1604" s="254"/>
      <c r="E1604" s="254"/>
      <c r="F1604" s="254"/>
      <c r="G1604" s="254"/>
    </row>
    <row r="1605" spans="2:7" x14ac:dyDescent="0.2">
      <c r="B1605" s="254"/>
      <c r="C1605" s="254"/>
      <c r="D1605" s="254"/>
      <c r="E1605" s="254"/>
      <c r="F1605" s="254"/>
      <c r="G1605" s="254"/>
    </row>
    <row r="1606" spans="2:7" x14ac:dyDescent="0.2">
      <c r="B1606" s="254"/>
      <c r="C1606" s="254"/>
      <c r="D1606" s="254"/>
      <c r="E1606" s="254"/>
      <c r="F1606" s="254"/>
      <c r="G1606" s="254"/>
    </row>
    <row r="1607" spans="2:7" x14ac:dyDescent="0.2">
      <c r="B1607" s="254"/>
      <c r="C1607" s="254"/>
      <c r="D1607" s="254"/>
      <c r="E1607" s="254"/>
      <c r="F1607" s="254"/>
      <c r="G1607" s="254"/>
    </row>
    <row r="1608" spans="2:7" x14ac:dyDescent="0.2">
      <c r="B1608" s="254"/>
      <c r="C1608" s="254"/>
      <c r="D1608" s="254"/>
      <c r="E1608" s="254"/>
      <c r="F1608" s="254"/>
      <c r="G1608" s="254"/>
    </row>
    <row r="1609" spans="2:7" x14ac:dyDescent="0.2">
      <c r="B1609" s="254"/>
      <c r="C1609" s="254"/>
      <c r="D1609" s="254"/>
      <c r="E1609" s="254"/>
      <c r="F1609" s="254"/>
      <c r="G1609" s="254"/>
    </row>
    <row r="1610" spans="2:7" x14ac:dyDescent="0.2">
      <c r="B1610" s="254"/>
      <c r="C1610" s="254"/>
      <c r="D1610" s="254"/>
      <c r="E1610" s="254"/>
      <c r="F1610" s="254"/>
      <c r="G1610" s="254"/>
    </row>
    <row r="1611" spans="2:7" x14ac:dyDescent="0.2">
      <c r="B1611" s="254"/>
      <c r="C1611" s="254"/>
      <c r="D1611" s="254"/>
      <c r="E1611" s="254"/>
      <c r="F1611" s="254"/>
      <c r="G1611" s="254"/>
    </row>
    <row r="1612" spans="2:7" x14ac:dyDescent="0.2">
      <c r="B1612" s="254"/>
      <c r="C1612" s="254"/>
      <c r="D1612" s="254"/>
      <c r="E1612" s="254"/>
      <c r="F1612" s="254"/>
      <c r="G1612" s="254"/>
    </row>
    <row r="1613" spans="2:7" x14ac:dyDescent="0.2">
      <c r="B1613" s="254"/>
      <c r="C1613" s="254"/>
      <c r="D1613" s="254"/>
      <c r="E1613" s="254"/>
      <c r="F1613" s="254"/>
      <c r="G1613" s="254"/>
    </row>
    <row r="1614" spans="2:7" x14ac:dyDescent="0.2">
      <c r="B1614" s="254"/>
      <c r="C1614" s="254"/>
      <c r="D1614" s="254"/>
      <c r="E1614" s="254"/>
      <c r="F1614" s="254"/>
      <c r="G1614" s="254"/>
    </row>
    <row r="1615" spans="2:7" x14ac:dyDescent="0.2">
      <c r="B1615" s="254"/>
      <c r="C1615" s="254"/>
      <c r="D1615" s="254"/>
      <c r="E1615" s="254"/>
      <c r="F1615" s="254"/>
      <c r="G1615" s="254"/>
    </row>
    <row r="1616" spans="2:7" x14ac:dyDescent="0.2">
      <c r="B1616" s="254"/>
      <c r="C1616" s="254"/>
      <c r="D1616" s="254"/>
      <c r="E1616" s="254"/>
      <c r="F1616" s="254"/>
      <c r="G1616" s="254"/>
    </row>
    <row r="1617" spans="2:7" x14ac:dyDescent="0.2">
      <c r="B1617" s="254"/>
      <c r="C1617" s="254"/>
      <c r="D1617" s="254"/>
      <c r="E1617" s="254"/>
      <c r="F1617" s="254"/>
      <c r="G1617" s="254"/>
    </row>
    <row r="1618" spans="2:7" x14ac:dyDescent="0.2">
      <c r="B1618" s="254"/>
      <c r="C1618" s="254"/>
      <c r="D1618" s="254"/>
      <c r="E1618" s="254"/>
      <c r="F1618" s="254"/>
      <c r="G1618" s="254"/>
    </row>
    <row r="1619" spans="2:7" x14ac:dyDescent="0.2">
      <c r="B1619" s="254"/>
      <c r="C1619" s="254"/>
      <c r="D1619" s="254"/>
      <c r="E1619" s="254"/>
      <c r="F1619" s="254"/>
      <c r="G1619" s="254"/>
    </row>
    <row r="1620" spans="2:7" x14ac:dyDescent="0.2">
      <c r="B1620" s="254"/>
      <c r="C1620" s="254"/>
      <c r="D1620" s="254"/>
      <c r="E1620" s="254"/>
      <c r="F1620" s="254"/>
      <c r="G1620" s="254"/>
    </row>
    <row r="1621" spans="2:7" x14ac:dyDescent="0.2">
      <c r="B1621" s="254"/>
      <c r="C1621" s="254"/>
      <c r="D1621" s="254"/>
      <c r="E1621" s="254"/>
      <c r="F1621" s="254"/>
      <c r="G1621" s="254"/>
    </row>
    <row r="1622" spans="2:7" x14ac:dyDescent="0.2">
      <c r="B1622" s="254"/>
      <c r="C1622" s="254"/>
      <c r="D1622" s="254"/>
      <c r="E1622" s="254"/>
      <c r="F1622" s="254"/>
      <c r="G1622" s="254"/>
    </row>
    <row r="1623" spans="2:7" x14ac:dyDescent="0.2">
      <c r="B1623" s="254"/>
      <c r="C1623" s="254"/>
      <c r="D1623" s="254"/>
      <c r="E1623" s="254"/>
      <c r="F1623" s="254"/>
      <c r="G1623" s="254"/>
    </row>
    <row r="1624" spans="2:7" x14ac:dyDescent="0.2">
      <c r="B1624" s="254"/>
      <c r="C1624" s="254"/>
      <c r="D1624" s="254"/>
      <c r="E1624" s="254"/>
      <c r="F1624" s="254"/>
      <c r="G1624" s="254"/>
    </row>
    <row r="1625" spans="2:7" x14ac:dyDescent="0.2">
      <c r="B1625" s="254"/>
      <c r="C1625" s="254"/>
      <c r="D1625" s="254"/>
      <c r="E1625" s="254"/>
      <c r="F1625" s="254"/>
      <c r="G1625" s="254"/>
    </row>
    <row r="1626" spans="2:7" x14ac:dyDescent="0.2">
      <c r="B1626" s="254"/>
      <c r="C1626" s="254"/>
      <c r="D1626" s="254"/>
      <c r="E1626" s="254"/>
      <c r="F1626" s="254"/>
      <c r="G1626" s="254"/>
    </row>
    <row r="1627" spans="2:7" x14ac:dyDescent="0.2">
      <c r="B1627" s="254"/>
      <c r="C1627" s="254"/>
      <c r="D1627" s="254"/>
      <c r="E1627" s="254"/>
      <c r="F1627" s="254"/>
      <c r="G1627" s="254"/>
    </row>
    <row r="1628" spans="2:7" x14ac:dyDescent="0.2">
      <c r="B1628" s="254"/>
      <c r="C1628" s="254"/>
      <c r="D1628" s="254"/>
      <c r="E1628" s="254"/>
      <c r="F1628" s="254"/>
      <c r="G1628" s="254"/>
    </row>
    <row r="1629" spans="2:7" x14ac:dyDescent="0.2">
      <c r="B1629" s="254"/>
      <c r="C1629" s="254"/>
      <c r="D1629" s="254"/>
      <c r="E1629" s="254"/>
      <c r="F1629" s="254"/>
      <c r="G1629" s="254"/>
    </row>
    <row r="1630" spans="2:7" x14ac:dyDescent="0.2">
      <c r="B1630" s="254"/>
      <c r="C1630" s="254"/>
      <c r="D1630" s="254"/>
      <c r="E1630" s="254"/>
      <c r="F1630" s="254"/>
      <c r="G1630" s="254"/>
    </row>
    <row r="1631" spans="2:7" x14ac:dyDescent="0.2">
      <c r="B1631" s="254"/>
      <c r="C1631" s="254"/>
      <c r="D1631" s="254"/>
      <c r="E1631" s="254"/>
      <c r="F1631" s="254"/>
      <c r="G1631" s="254"/>
    </row>
    <row r="1632" spans="2:7" x14ac:dyDescent="0.2">
      <c r="B1632" s="254"/>
      <c r="C1632" s="254"/>
      <c r="D1632" s="254"/>
      <c r="E1632" s="254"/>
      <c r="F1632" s="254"/>
      <c r="G1632" s="254"/>
    </row>
    <row r="1633" spans="2:7" x14ac:dyDescent="0.2">
      <c r="B1633" s="254"/>
      <c r="C1633" s="254"/>
      <c r="D1633" s="254"/>
      <c r="E1633" s="254"/>
      <c r="F1633" s="254"/>
      <c r="G1633" s="254"/>
    </row>
    <row r="1634" spans="2:7" x14ac:dyDescent="0.2">
      <c r="B1634" s="254"/>
      <c r="C1634" s="254"/>
      <c r="D1634" s="254"/>
      <c r="E1634" s="254"/>
      <c r="F1634" s="254"/>
      <c r="G1634" s="254"/>
    </row>
    <row r="1635" spans="2:7" x14ac:dyDescent="0.2">
      <c r="B1635" s="254"/>
      <c r="C1635" s="254"/>
      <c r="D1635" s="254"/>
      <c r="E1635" s="254"/>
      <c r="F1635" s="254"/>
      <c r="G1635" s="254"/>
    </row>
    <row r="1636" spans="2:7" x14ac:dyDescent="0.2">
      <c r="B1636" s="254"/>
      <c r="C1636" s="254"/>
      <c r="D1636" s="254"/>
      <c r="E1636" s="254"/>
      <c r="F1636" s="254"/>
      <c r="G1636" s="254"/>
    </row>
    <row r="1637" spans="2:7" x14ac:dyDescent="0.2">
      <c r="B1637" s="254"/>
      <c r="C1637" s="254"/>
      <c r="D1637" s="254"/>
      <c r="E1637" s="254"/>
      <c r="F1637" s="254"/>
      <c r="G1637" s="254"/>
    </row>
    <row r="1638" spans="2:7" x14ac:dyDescent="0.2">
      <c r="B1638" s="254"/>
      <c r="C1638" s="254"/>
      <c r="D1638" s="254"/>
      <c r="E1638" s="254"/>
      <c r="F1638" s="254"/>
      <c r="G1638" s="254"/>
    </row>
    <row r="1639" spans="2:7" x14ac:dyDescent="0.2">
      <c r="B1639" s="254"/>
      <c r="C1639" s="254"/>
      <c r="D1639" s="254"/>
      <c r="E1639" s="254"/>
      <c r="F1639" s="254"/>
      <c r="G1639" s="254"/>
    </row>
    <row r="1640" spans="2:7" x14ac:dyDescent="0.2">
      <c r="B1640" s="254"/>
      <c r="C1640" s="254"/>
      <c r="D1640" s="254"/>
      <c r="E1640" s="254"/>
      <c r="F1640" s="254"/>
      <c r="G1640" s="254"/>
    </row>
    <row r="1641" spans="2:7" x14ac:dyDescent="0.2">
      <c r="B1641" s="254"/>
      <c r="C1641" s="254"/>
      <c r="D1641" s="254"/>
      <c r="E1641" s="254"/>
      <c r="F1641" s="254"/>
      <c r="G1641" s="254"/>
    </row>
    <row r="1642" spans="2:7" x14ac:dyDescent="0.2">
      <c r="B1642" s="254"/>
      <c r="C1642" s="254"/>
      <c r="D1642" s="254"/>
      <c r="E1642" s="254"/>
      <c r="F1642" s="254"/>
      <c r="G1642" s="254"/>
    </row>
    <row r="1643" spans="2:7" x14ac:dyDescent="0.2">
      <c r="B1643" s="254"/>
      <c r="C1643" s="254"/>
      <c r="D1643" s="254"/>
      <c r="E1643" s="254"/>
      <c r="F1643" s="254"/>
      <c r="G1643" s="254"/>
    </row>
    <row r="1644" spans="2:7" x14ac:dyDescent="0.2">
      <c r="B1644" s="254"/>
      <c r="C1644" s="254"/>
      <c r="D1644" s="254"/>
      <c r="E1644" s="254"/>
      <c r="F1644" s="254"/>
      <c r="G1644" s="254"/>
    </row>
    <row r="1645" spans="2:7" x14ac:dyDescent="0.2">
      <c r="B1645" s="254"/>
      <c r="C1645" s="254"/>
      <c r="D1645" s="254"/>
      <c r="E1645" s="254"/>
      <c r="F1645" s="254"/>
      <c r="G1645" s="254"/>
    </row>
    <row r="1646" spans="2:7" x14ac:dyDescent="0.2">
      <c r="B1646" s="254"/>
      <c r="C1646" s="254"/>
      <c r="D1646" s="254"/>
      <c r="E1646" s="254"/>
      <c r="F1646" s="254"/>
      <c r="G1646" s="254"/>
    </row>
    <row r="1647" spans="2:7" x14ac:dyDescent="0.2">
      <c r="B1647" s="254"/>
      <c r="C1647" s="254"/>
      <c r="D1647" s="254"/>
      <c r="E1647" s="254"/>
      <c r="F1647" s="254"/>
      <c r="G1647" s="254"/>
    </row>
    <row r="1648" spans="2:7" x14ac:dyDescent="0.2">
      <c r="B1648" s="254"/>
      <c r="C1648" s="254"/>
      <c r="D1648" s="254"/>
      <c r="E1648" s="254"/>
      <c r="F1648" s="254"/>
      <c r="G1648" s="254"/>
    </row>
    <row r="1649" spans="2:7" x14ac:dyDescent="0.2">
      <c r="B1649" s="254"/>
      <c r="C1649" s="254"/>
      <c r="D1649" s="254"/>
      <c r="E1649" s="254"/>
      <c r="F1649" s="254"/>
      <c r="G1649" s="254"/>
    </row>
    <row r="1650" spans="2:7" x14ac:dyDescent="0.2">
      <c r="B1650" s="254"/>
      <c r="C1650" s="254"/>
      <c r="D1650" s="254"/>
      <c r="E1650" s="254"/>
      <c r="F1650" s="254"/>
      <c r="G1650" s="254"/>
    </row>
    <row r="1651" spans="2:7" x14ac:dyDescent="0.2">
      <c r="B1651" s="254"/>
      <c r="C1651" s="254"/>
      <c r="D1651" s="254"/>
      <c r="E1651" s="254"/>
      <c r="F1651" s="254"/>
      <c r="G1651" s="254"/>
    </row>
    <row r="1652" spans="2:7" x14ac:dyDescent="0.2">
      <c r="B1652" s="254"/>
      <c r="C1652" s="254"/>
      <c r="D1652" s="254"/>
      <c r="E1652" s="254"/>
      <c r="F1652" s="254"/>
      <c r="G1652" s="254"/>
    </row>
    <row r="1653" spans="2:7" x14ac:dyDescent="0.2">
      <c r="B1653" s="254"/>
      <c r="C1653" s="254"/>
      <c r="D1653" s="254"/>
      <c r="E1653" s="254"/>
      <c r="F1653" s="254"/>
      <c r="G1653" s="254"/>
    </row>
    <row r="1654" spans="2:7" x14ac:dyDescent="0.2">
      <c r="B1654" s="254"/>
      <c r="C1654" s="254"/>
      <c r="D1654" s="254"/>
      <c r="E1654" s="254"/>
      <c r="F1654" s="254"/>
      <c r="G1654" s="254"/>
    </row>
    <row r="1655" spans="2:7" x14ac:dyDescent="0.2">
      <c r="B1655" s="254"/>
      <c r="C1655" s="254"/>
      <c r="D1655" s="254"/>
      <c r="E1655" s="254"/>
      <c r="F1655" s="254"/>
      <c r="G1655" s="254"/>
    </row>
    <row r="1656" spans="2:7" x14ac:dyDescent="0.2">
      <c r="B1656" s="254"/>
      <c r="C1656" s="254"/>
      <c r="D1656" s="254"/>
      <c r="E1656" s="254"/>
      <c r="F1656" s="254"/>
      <c r="G1656" s="254"/>
    </row>
    <row r="1657" spans="2:7" x14ac:dyDescent="0.2">
      <c r="B1657" s="254"/>
      <c r="C1657" s="254"/>
      <c r="D1657" s="254"/>
      <c r="E1657" s="254"/>
      <c r="F1657" s="254"/>
      <c r="G1657" s="254"/>
    </row>
    <row r="1658" spans="2:7" x14ac:dyDescent="0.2">
      <c r="B1658" s="254"/>
      <c r="C1658" s="254"/>
      <c r="D1658" s="254"/>
      <c r="E1658" s="254"/>
      <c r="F1658" s="254"/>
      <c r="G1658" s="254"/>
    </row>
    <row r="1659" spans="2:7" x14ac:dyDescent="0.2">
      <c r="B1659" s="254"/>
      <c r="C1659" s="254"/>
      <c r="D1659" s="254"/>
      <c r="E1659" s="254"/>
      <c r="F1659" s="254"/>
      <c r="G1659" s="254"/>
    </row>
    <row r="1660" spans="2:7" x14ac:dyDescent="0.2">
      <c r="B1660" s="254"/>
      <c r="C1660" s="254"/>
      <c r="D1660" s="254"/>
      <c r="E1660" s="254"/>
      <c r="F1660" s="254"/>
      <c r="G1660" s="254"/>
    </row>
    <row r="1661" spans="2:7" x14ac:dyDescent="0.2">
      <c r="B1661" s="254"/>
      <c r="C1661" s="254"/>
      <c r="D1661" s="254"/>
      <c r="E1661" s="254"/>
      <c r="F1661" s="254"/>
      <c r="G1661" s="254"/>
    </row>
    <row r="1662" spans="2:7" x14ac:dyDescent="0.2">
      <c r="B1662" s="254"/>
      <c r="C1662" s="254"/>
      <c r="D1662" s="254"/>
      <c r="E1662" s="254"/>
      <c r="F1662" s="254"/>
      <c r="G1662" s="254"/>
    </row>
    <row r="1663" spans="2:7" x14ac:dyDescent="0.2">
      <c r="B1663" s="254"/>
      <c r="C1663" s="254"/>
      <c r="D1663" s="254"/>
      <c r="E1663" s="254"/>
      <c r="F1663" s="254"/>
      <c r="G1663" s="254"/>
    </row>
    <row r="1664" spans="2:7" x14ac:dyDescent="0.2">
      <c r="B1664" s="254"/>
      <c r="C1664" s="254"/>
      <c r="D1664" s="254"/>
      <c r="E1664" s="254"/>
      <c r="F1664" s="254"/>
      <c r="G1664" s="254"/>
    </row>
    <row r="1665" spans="2:7" x14ac:dyDescent="0.2">
      <c r="B1665" s="254"/>
      <c r="C1665" s="254"/>
      <c r="D1665" s="254"/>
      <c r="E1665" s="254"/>
      <c r="F1665" s="254"/>
      <c r="G1665" s="254"/>
    </row>
    <row r="1666" spans="2:7" x14ac:dyDescent="0.2">
      <c r="B1666" s="254"/>
      <c r="C1666" s="254"/>
      <c r="D1666" s="254"/>
      <c r="E1666" s="254"/>
      <c r="F1666" s="254"/>
      <c r="G1666" s="254"/>
    </row>
    <row r="1667" spans="2:7" x14ac:dyDescent="0.2">
      <c r="B1667" s="254"/>
      <c r="C1667" s="254"/>
      <c r="D1667" s="254"/>
      <c r="E1667" s="254"/>
      <c r="F1667" s="254"/>
      <c r="G1667" s="254"/>
    </row>
    <row r="1668" spans="2:7" x14ac:dyDescent="0.2">
      <c r="B1668" s="254"/>
      <c r="C1668" s="254"/>
      <c r="D1668" s="254"/>
      <c r="E1668" s="254"/>
      <c r="F1668" s="254"/>
      <c r="G1668" s="254"/>
    </row>
    <row r="1669" spans="2:7" x14ac:dyDescent="0.2">
      <c r="B1669" s="254"/>
      <c r="C1669" s="254"/>
      <c r="D1669" s="254"/>
      <c r="E1669" s="254"/>
      <c r="F1669" s="254"/>
      <c r="G1669" s="254"/>
    </row>
    <row r="1670" spans="2:7" x14ac:dyDescent="0.2">
      <c r="B1670" s="254"/>
      <c r="C1670" s="254"/>
      <c r="D1670" s="254"/>
      <c r="E1670" s="254"/>
      <c r="F1670" s="254"/>
      <c r="G1670" s="254"/>
    </row>
    <row r="1671" spans="2:7" x14ac:dyDescent="0.2">
      <c r="B1671" s="254"/>
      <c r="C1671" s="254"/>
      <c r="D1671" s="254"/>
      <c r="E1671" s="254"/>
      <c r="F1671" s="254"/>
      <c r="G1671" s="254"/>
    </row>
    <row r="1672" spans="2:7" x14ac:dyDescent="0.2">
      <c r="B1672" s="254"/>
      <c r="C1672" s="254"/>
      <c r="D1672" s="254"/>
      <c r="E1672" s="254"/>
      <c r="F1672" s="254"/>
      <c r="G1672" s="254"/>
    </row>
    <row r="1673" spans="2:7" x14ac:dyDescent="0.2">
      <c r="B1673" s="254"/>
      <c r="C1673" s="254"/>
      <c r="D1673" s="254"/>
      <c r="E1673" s="254"/>
      <c r="F1673" s="254"/>
      <c r="G1673" s="254"/>
    </row>
    <row r="1674" spans="2:7" x14ac:dyDescent="0.2">
      <c r="B1674" s="254"/>
      <c r="C1674" s="254"/>
      <c r="D1674" s="254"/>
      <c r="E1674" s="254"/>
      <c r="F1674" s="254"/>
      <c r="G1674" s="254"/>
    </row>
    <row r="1675" spans="2:7" x14ac:dyDescent="0.2">
      <c r="B1675" s="254"/>
      <c r="C1675" s="254"/>
      <c r="D1675" s="254"/>
      <c r="E1675" s="254"/>
      <c r="F1675" s="254"/>
      <c r="G1675" s="254"/>
    </row>
    <row r="1676" spans="2:7" x14ac:dyDescent="0.2">
      <c r="B1676" s="254"/>
      <c r="C1676" s="254"/>
      <c r="D1676" s="254"/>
      <c r="E1676" s="254"/>
      <c r="F1676" s="254"/>
      <c r="G1676" s="254"/>
    </row>
    <row r="1677" spans="2:7" x14ac:dyDescent="0.2">
      <c r="B1677" s="254"/>
      <c r="C1677" s="254"/>
      <c r="D1677" s="254"/>
      <c r="E1677" s="254"/>
      <c r="F1677" s="254"/>
      <c r="G1677" s="254"/>
    </row>
    <row r="1678" spans="2:7" x14ac:dyDescent="0.2">
      <c r="B1678" s="254"/>
      <c r="C1678" s="254"/>
      <c r="D1678" s="254"/>
      <c r="E1678" s="254"/>
      <c r="F1678" s="254"/>
      <c r="G1678" s="254"/>
    </row>
    <row r="1679" spans="2:7" x14ac:dyDescent="0.2">
      <c r="B1679" s="254"/>
      <c r="C1679" s="254"/>
      <c r="D1679" s="254"/>
      <c r="E1679" s="254"/>
      <c r="F1679" s="254"/>
      <c r="G1679" s="254"/>
    </row>
    <row r="1680" spans="2:7" x14ac:dyDescent="0.2">
      <c r="B1680" s="254"/>
      <c r="C1680" s="254"/>
      <c r="D1680" s="254"/>
      <c r="E1680" s="254"/>
      <c r="F1680" s="254"/>
      <c r="G1680" s="254"/>
    </row>
    <row r="1681" spans="2:7" x14ac:dyDescent="0.2">
      <c r="B1681" s="254"/>
      <c r="C1681" s="254"/>
      <c r="D1681" s="254"/>
      <c r="E1681" s="254"/>
      <c r="F1681" s="254"/>
      <c r="G1681" s="254"/>
    </row>
    <row r="1682" spans="2:7" x14ac:dyDescent="0.2">
      <c r="B1682" s="254"/>
      <c r="C1682" s="254"/>
      <c r="D1682" s="254"/>
      <c r="E1682" s="254"/>
      <c r="F1682" s="254"/>
      <c r="G1682" s="254"/>
    </row>
    <row r="1683" spans="2:7" x14ac:dyDescent="0.2">
      <c r="B1683" s="254"/>
      <c r="C1683" s="254"/>
      <c r="D1683" s="254"/>
      <c r="E1683" s="254"/>
      <c r="F1683" s="254"/>
      <c r="G1683" s="254"/>
    </row>
    <row r="1684" spans="2:7" x14ac:dyDescent="0.2">
      <c r="B1684" s="254"/>
      <c r="C1684" s="254"/>
      <c r="D1684" s="254"/>
      <c r="E1684" s="254"/>
      <c r="F1684" s="254"/>
      <c r="G1684" s="254"/>
    </row>
    <row r="1685" spans="2:7" x14ac:dyDescent="0.2">
      <c r="B1685" s="254"/>
      <c r="C1685" s="254"/>
      <c r="D1685" s="254"/>
      <c r="E1685" s="254"/>
      <c r="F1685" s="254"/>
      <c r="G1685" s="254"/>
    </row>
    <row r="1686" spans="2:7" x14ac:dyDescent="0.2">
      <c r="B1686" s="254"/>
      <c r="C1686" s="254"/>
      <c r="D1686" s="254"/>
      <c r="E1686" s="254"/>
      <c r="F1686" s="254"/>
      <c r="G1686" s="254"/>
    </row>
    <row r="1687" spans="2:7" x14ac:dyDescent="0.2">
      <c r="B1687" s="254"/>
      <c r="C1687" s="254"/>
      <c r="D1687" s="254"/>
      <c r="E1687" s="254"/>
      <c r="F1687" s="254"/>
      <c r="G1687" s="254"/>
    </row>
    <row r="1688" spans="2:7" x14ac:dyDescent="0.2">
      <c r="B1688" s="254"/>
      <c r="C1688" s="254"/>
      <c r="D1688" s="254"/>
      <c r="E1688" s="254"/>
      <c r="F1688" s="254"/>
      <c r="G1688" s="254"/>
    </row>
    <row r="1689" spans="2:7" x14ac:dyDescent="0.2">
      <c r="B1689" s="254"/>
      <c r="C1689" s="254"/>
      <c r="D1689" s="254"/>
      <c r="E1689" s="254"/>
      <c r="F1689" s="254"/>
      <c r="G1689" s="254"/>
    </row>
    <row r="1690" spans="2:7" x14ac:dyDescent="0.2">
      <c r="B1690" s="254"/>
      <c r="C1690" s="254"/>
      <c r="D1690" s="254"/>
      <c r="E1690" s="254"/>
      <c r="F1690" s="254"/>
      <c r="G1690" s="254"/>
    </row>
    <row r="1691" spans="2:7" x14ac:dyDescent="0.2">
      <c r="B1691" s="254"/>
      <c r="C1691" s="254"/>
      <c r="D1691" s="254"/>
      <c r="E1691" s="254"/>
      <c r="F1691" s="254"/>
      <c r="G1691" s="254"/>
    </row>
    <row r="1692" spans="2:7" x14ac:dyDescent="0.2">
      <c r="B1692" s="254"/>
      <c r="C1692" s="254"/>
      <c r="D1692" s="254"/>
      <c r="E1692" s="254"/>
      <c r="F1692" s="254"/>
      <c r="G1692" s="254"/>
    </row>
    <row r="1693" spans="2:7" x14ac:dyDescent="0.2">
      <c r="B1693" s="254"/>
      <c r="C1693" s="254"/>
      <c r="D1693" s="254"/>
      <c r="E1693" s="254"/>
      <c r="F1693" s="254"/>
      <c r="G1693" s="254"/>
    </row>
    <row r="1694" spans="2:7" x14ac:dyDescent="0.2">
      <c r="B1694" s="254"/>
      <c r="C1694" s="254"/>
      <c r="D1694" s="254"/>
      <c r="E1694" s="254"/>
      <c r="F1694" s="254"/>
      <c r="G1694" s="254"/>
    </row>
    <row r="1695" spans="2:7" x14ac:dyDescent="0.2">
      <c r="B1695" s="254"/>
      <c r="C1695" s="254"/>
      <c r="D1695" s="254"/>
      <c r="E1695" s="254"/>
      <c r="F1695" s="254"/>
      <c r="G1695" s="254"/>
    </row>
    <row r="1696" spans="2:7" x14ac:dyDescent="0.2">
      <c r="B1696" s="254"/>
      <c r="C1696" s="254"/>
      <c r="D1696" s="254"/>
      <c r="E1696" s="254"/>
      <c r="F1696" s="254"/>
      <c r="G1696" s="254"/>
    </row>
    <row r="1697" spans="2:7" x14ac:dyDescent="0.2">
      <c r="B1697" s="254"/>
      <c r="C1697" s="254"/>
      <c r="D1697" s="254"/>
      <c r="E1697" s="254"/>
      <c r="F1697" s="254"/>
      <c r="G1697" s="254"/>
    </row>
    <row r="1698" spans="2:7" x14ac:dyDescent="0.2">
      <c r="B1698" s="254"/>
      <c r="C1698" s="254"/>
      <c r="D1698" s="254"/>
      <c r="E1698" s="254"/>
      <c r="F1698" s="254"/>
      <c r="G1698" s="254"/>
    </row>
    <row r="1699" spans="2:7" x14ac:dyDescent="0.2">
      <c r="B1699" s="254"/>
      <c r="C1699" s="254"/>
      <c r="D1699" s="254"/>
      <c r="E1699" s="254"/>
      <c r="F1699" s="254"/>
      <c r="G1699" s="254"/>
    </row>
    <row r="1700" spans="2:7" x14ac:dyDescent="0.2">
      <c r="B1700" s="254"/>
      <c r="C1700" s="254"/>
      <c r="D1700" s="254"/>
      <c r="E1700" s="254"/>
      <c r="F1700" s="254"/>
      <c r="G1700" s="254"/>
    </row>
    <row r="1701" spans="2:7" x14ac:dyDescent="0.2">
      <c r="B1701" s="254"/>
      <c r="C1701" s="254"/>
      <c r="D1701" s="254"/>
      <c r="E1701" s="254"/>
      <c r="F1701" s="254"/>
      <c r="G1701" s="254"/>
    </row>
    <row r="1702" spans="2:7" x14ac:dyDescent="0.2">
      <c r="B1702" s="254"/>
      <c r="C1702" s="254"/>
      <c r="D1702" s="254"/>
      <c r="E1702" s="254"/>
      <c r="F1702" s="254"/>
      <c r="G1702" s="254"/>
    </row>
    <row r="1703" spans="2:7" x14ac:dyDescent="0.2">
      <c r="B1703" s="254"/>
      <c r="C1703" s="254"/>
      <c r="D1703" s="254"/>
      <c r="E1703" s="254"/>
      <c r="F1703" s="254"/>
      <c r="G1703" s="254"/>
    </row>
    <row r="1704" spans="2:7" x14ac:dyDescent="0.2">
      <c r="B1704" s="254"/>
      <c r="C1704" s="254"/>
      <c r="D1704" s="254"/>
      <c r="E1704" s="254"/>
      <c r="F1704" s="254"/>
      <c r="G1704" s="254"/>
    </row>
    <row r="1705" spans="2:7" x14ac:dyDescent="0.2">
      <c r="B1705" s="254"/>
      <c r="C1705" s="254"/>
      <c r="D1705" s="254"/>
      <c r="E1705" s="254"/>
      <c r="F1705" s="254"/>
      <c r="G1705" s="254"/>
    </row>
    <row r="1706" spans="2:7" x14ac:dyDescent="0.2">
      <c r="B1706" s="254"/>
      <c r="C1706" s="254"/>
      <c r="D1706" s="254"/>
      <c r="E1706" s="254"/>
      <c r="F1706" s="254"/>
      <c r="G1706" s="254"/>
    </row>
    <row r="1707" spans="2:7" x14ac:dyDescent="0.2">
      <c r="B1707" s="254"/>
      <c r="C1707" s="254"/>
      <c r="D1707" s="254"/>
      <c r="E1707" s="254"/>
      <c r="F1707" s="254"/>
      <c r="G1707" s="254"/>
    </row>
    <row r="1708" spans="2:7" x14ac:dyDescent="0.2">
      <c r="B1708" s="254"/>
      <c r="C1708" s="254"/>
      <c r="D1708" s="254"/>
      <c r="E1708" s="254"/>
      <c r="F1708" s="254"/>
      <c r="G1708" s="254"/>
    </row>
    <row r="1709" spans="2:7" x14ac:dyDescent="0.2">
      <c r="B1709" s="254"/>
      <c r="C1709" s="254"/>
      <c r="D1709" s="254"/>
      <c r="E1709" s="254"/>
      <c r="F1709" s="254"/>
      <c r="G1709" s="254"/>
    </row>
    <row r="1710" spans="2:7" x14ac:dyDescent="0.2">
      <c r="B1710" s="254"/>
      <c r="C1710" s="254"/>
      <c r="D1710" s="254"/>
      <c r="E1710" s="254"/>
      <c r="F1710" s="254"/>
      <c r="G1710" s="254"/>
    </row>
    <row r="1711" spans="2:7" x14ac:dyDescent="0.2">
      <c r="B1711" s="254"/>
      <c r="C1711" s="254"/>
      <c r="D1711" s="254"/>
      <c r="E1711" s="254"/>
      <c r="F1711" s="254"/>
      <c r="G1711" s="254"/>
    </row>
    <row r="1712" spans="2:7" x14ac:dyDescent="0.2">
      <c r="B1712" s="254"/>
      <c r="C1712" s="254"/>
      <c r="D1712" s="254"/>
      <c r="E1712" s="254"/>
      <c r="F1712" s="254"/>
      <c r="G1712" s="254"/>
    </row>
    <row r="1713" spans="2:7" x14ac:dyDescent="0.2">
      <c r="B1713" s="254"/>
      <c r="C1713" s="254"/>
      <c r="D1713" s="254"/>
      <c r="E1713" s="254"/>
      <c r="F1713" s="254"/>
      <c r="G1713" s="254"/>
    </row>
    <row r="1714" spans="2:7" x14ac:dyDescent="0.2">
      <c r="B1714" s="254"/>
      <c r="C1714" s="254"/>
      <c r="D1714" s="254"/>
      <c r="E1714" s="254"/>
      <c r="F1714" s="254"/>
      <c r="G1714" s="254"/>
    </row>
    <row r="1715" spans="2:7" x14ac:dyDescent="0.2">
      <c r="B1715" s="254"/>
      <c r="C1715" s="254"/>
      <c r="D1715" s="254"/>
      <c r="E1715" s="254"/>
      <c r="F1715" s="254"/>
      <c r="G1715" s="254"/>
    </row>
    <row r="1716" spans="2:7" x14ac:dyDescent="0.2">
      <c r="B1716" s="254"/>
      <c r="C1716" s="254"/>
      <c r="D1716" s="254"/>
      <c r="E1716" s="254"/>
      <c r="F1716" s="254"/>
      <c r="G1716" s="254"/>
    </row>
    <row r="1717" spans="2:7" x14ac:dyDescent="0.2">
      <c r="B1717" s="254"/>
      <c r="C1717" s="254"/>
      <c r="D1717" s="254"/>
      <c r="E1717" s="254"/>
      <c r="F1717" s="254"/>
      <c r="G1717" s="254"/>
    </row>
    <row r="1718" spans="2:7" x14ac:dyDescent="0.2">
      <c r="B1718" s="254"/>
      <c r="C1718" s="254"/>
      <c r="D1718" s="254"/>
      <c r="E1718" s="254"/>
      <c r="F1718" s="254"/>
      <c r="G1718" s="254"/>
    </row>
    <row r="1719" spans="2:7" x14ac:dyDescent="0.2">
      <c r="B1719" s="254"/>
      <c r="C1719" s="254"/>
      <c r="D1719" s="254"/>
      <c r="E1719" s="254"/>
      <c r="F1719" s="254"/>
      <c r="G1719" s="254"/>
    </row>
    <row r="1720" spans="2:7" x14ac:dyDescent="0.2">
      <c r="B1720" s="254"/>
      <c r="C1720" s="254"/>
      <c r="D1720" s="254"/>
      <c r="E1720" s="254"/>
      <c r="F1720" s="254"/>
      <c r="G1720" s="254"/>
    </row>
    <row r="1721" spans="2:7" x14ac:dyDescent="0.2">
      <c r="B1721" s="254"/>
      <c r="C1721" s="254"/>
      <c r="D1721" s="254"/>
      <c r="E1721" s="254"/>
      <c r="F1721" s="254"/>
      <c r="G1721" s="254"/>
    </row>
    <row r="1722" spans="2:7" x14ac:dyDescent="0.2">
      <c r="B1722" s="254"/>
      <c r="C1722" s="254"/>
      <c r="D1722" s="254"/>
      <c r="E1722" s="254"/>
      <c r="F1722" s="254"/>
      <c r="G1722" s="254"/>
    </row>
    <row r="1723" spans="2:7" x14ac:dyDescent="0.2">
      <c r="B1723" s="254"/>
      <c r="C1723" s="254"/>
      <c r="D1723" s="254"/>
      <c r="E1723" s="254"/>
      <c r="F1723" s="254"/>
      <c r="G1723" s="254"/>
    </row>
    <row r="1724" spans="2:7" x14ac:dyDescent="0.2">
      <c r="B1724" s="254"/>
      <c r="C1724" s="254"/>
      <c r="D1724" s="254"/>
      <c r="E1724" s="254"/>
      <c r="F1724" s="254"/>
      <c r="G1724" s="254"/>
    </row>
    <row r="1725" spans="2:7" x14ac:dyDescent="0.2">
      <c r="B1725" s="254"/>
      <c r="C1725" s="254"/>
      <c r="D1725" s="254"/>
      <c r="E1725" s="254"/>
      <c r="F1725" s="254"/>
      <c r="G1725" s="254"/>
    </row>
    <row r="1726" spans="2:7" x14ac:dyDescent="0.2">
      <c r="B1726" s="254"/>
      <c r="C1726" s="254"/>
      <c r="D1726" s="254"/>
      <c r="E1726" s="254"/>
      <c r="F1726" s="254"/>
      <c r="G1726" s="254"/>
    </row>
    <row r="1727" spans="2:7" x14ac:dyDescent="0.2">
      <c r="B1727" s="254"/>
      <c r="C1727" s="254"/>
      <c r="D1727" s="254"/>
      <c r="E1727" s="254"/>
      <c r="F1727" s="254"/>
      <c r="G1727" s="254"/>
    </row>
    <row r="1728" spans="2:7" x14ac:dyDescent="0.2">
      <c r="B1728" s="254"/>
      <c r="C1728" s="254"/>
      <c r="D1728" s="254"/>
      <c r="E1728" s="254"/>
      <c r="F1728" s="254"/>
      <c r="G1728" s="254"/>
    </row>
    <row r="1729" spans="2:7" x14ac:dyDescent="0.2">
      <c r="B1729" s="254"/>
      <c r="C1729" s="254"/>
      <c r="D1729" s="254"/>
      <c r="E1729" s="254"/>
      <c r="F1729" s="254"/>
      <c r="G1729" s="254"/>
    </row>
    <row r="1730" spans="2:7" x14ac:dyDescent="0.2">
      <c r="B1730" s="254"/>
      <c r="C1730" s="254"/>
      <c r="D1730" s="254"/>
      <c r="E1730" s="254"/>
      <c r="F1730" s="254"/>
      <c r="G1730" s="254"/>
    </row>
    <row r="1731" spans="2:7" x14ac:dyDescent="0.2">
      <c r="B1731" s="254"/>
      <c r="C1731" s="254"/>
      <c r="D1731" s="254"/>
      <c r="E1731" s="254"/>
      <c r="F1731" s="254"/>
      <c r="G1731" s="254"/>
    </row>
    <row r="1732" spans="2:7" x14ac:dyDescent="0.2">
      <c r="B1732" s="254"/>
      <c r="C1732" s="254"/>
      <c r="D1732" s="254"/>
      <c r="E1732" s="254"/>
      <c r="F1732" s="254"/>
      <c r="G1732" s="254"/>
    </row>
    <row r="1733" spans="2:7" x14ac:dyDescent="0.2">
      <c r="B1733" s="254"/>
      <c r="C1733" s="254"/>
      <c r="D1733" s="254"/>
      <c r="E1733" s="254"/>
      <c r="F1733" s="254"/>
      <c r="G1733" s="254"/>
    </row>
    <row r="1734" spans="2:7" x14ac:dyDescent="0.2">
      <c r="B1734" s="254"/>
      <c r="C1734" s="254"/>
      <c r="D1734" s="254"/>
      <c r="E1734" s="254"/>
      <c r="F1734" s="254"/>
      <c r="G1734" s="254"/>
    </row>
    <row r="1735" spans="2:7" x14ac:dyDescent="0.2">
      <c r="B1735" s="254"/>
      <c r="C1735" s="254"/>
      <c r="D1735" s="254"/>
      <c r="E1735" s="254"/>
      <c r="F1735" s="254"/>
      <c r="G1735" s="254"/>
    </row>
    <row r="1736" spans="2:7" x14ac:dyDescent="0.2">
      <c r="B1736" s="254"/>
      <c r="C1736" s="254"/>
      <c r="D1736" s="254"/>
      <c r="E1736" s="254"/>
      <c r="F1736" s="254"/>
      <c r="G1736" s="254"/>
    </row>
    <row r="1737" spans="2:7" x14ac:dyDescent="0.2">
      <c r="B1737" s="254"/>
      <c r="C1737" s="254"/>
      <c r="D1737" s="254"/>
      <c r="E1737" s="254"/>
      <c r="F1737" s="254"/>
      <c r="G1737" s="254"/>
    </row>
    <row r="1738" spans="2:7" x14ac:dyDescent="0.2">
      <c r="B1738" s="254"/>
      <c r="C1738" s="254"/>
      <c r="D1738" s="254"/>
      <c r="E1738" s="254"/>
      <c r="F1738" s="254"/>
      <c r="G1738" s="254"/>
    </row>
    <row r="1739" spans="2:7" x14ac:dyDescent="0.2">
      <c r="B1739" s="254"/>
      <c r="C1739" s="254"/>
      <c r="D1739" s="254"/>
      <c r="E1739" s="254"/>
      <c r="F1739" s="254"/>
      <c r="G1739" s="254"/>
    </row>
    <row r="1740" spans="2:7" x14ac:dyDescent="0.2">
      <c r="B1740" s="254"/>
      <c r="C1740" s="254"/>
      <c r="D1740" s="254"/>
      <c r="E1740" s="254"/>
      <c r="F1740" s="254"/>
      <c r="G1740" s="254"/>
    </row>
    <row r="1741" spans="2:7" x14ac:dyDescent="0.2">
      <c r="B1741" s="254"/>
      <c r="C1741" s="254"/>
      <c r="D1741" s="254"/>
      <c r="E1741" s="254"/>
      <c r="F1741" s="254"/>
      <c r="G1741" s="254"/>
    </row>
    <row r="1742" spans="2:7" x14ac:dyDescent="0.2">
      <c r="B1742" s="254"/>
      <c r="C1742" s="254"/>
      <c r="D1742" s="254"/>
      <c r="E1742" s="254"/>
      <c r="F1742" s="254"/>
      <c r="G1742" s="254"/>
    </row>
    <row r="1743" spans="2:7" x14ac:dyDescent="0.2">
      <c r="B1743" s="254"/>
      <c r="C1743" s="254"/>
      <c r="D1743" s="254"/>
      <c r="E1743" s="254"/>
      <c r="F1743" s="254"/>
      <c r="G1743" s="254"/>
    </row>
    <row r="1744" spans="2:7" x14ac:dyDescent="0.2">
      <c r="B1744" s="254"/>
      <c r="C1744" s="254"/>
      <c r="D1744" s="254"/>
      <c r="E1744" s="254"/>
      <c r="F1744" s="254"/>
      <c r="G1744" s="254"/>
    </row>
    <row r="1745" spans="2:7" x14ac:dyDescent="0.2">
      <c r="B1745" s="254"/>
      <c r="C1745" s="254"/>
      <c r="D1745" s="254"/>
      <c r="E1745" s="254"/>
      <c r="F1745" s="254"/>
      <c r="G1745" s="254"/>
    </row>
    <row r="1746" spans="2:7" x14ac:dyDescent="0.2">
      <c r="B1746" s="254"/>
      <c r="C1746" s="254"/>
      <c r="D1746" s="254"/>
      <c r="E1746" s="254"/>
      <c r="F1746" s="254"/>
      <c r="G1746" s="254"/>
    </row>
    <row r="1747" spans="2:7" x14ac:dyDescent="0.2">
      <c r="B1747" s="254"/>
      <c r="C1747" s="254"/>
      <c r="D1747" s="254"/>
      <c r="E1747" s="254"/>
      <c r="F1747" s="254"/>
      <c r="G1747" s="254"/>
    </row>
    <row r="1748" spans="2:7" x14ac:dyDescent="0.2">
      <c r="B1748" s="254"/>
      <c r="C1748" s="254"/>
      <c r="D1748" s="254"/>
      <c r="E1748" s="254"/>
      <c r="F1748" s="254"/>
      <c r="G1748" s="254"/>
    </row>
    <row r="1749" spans="2:7" x14ac:dyDescent="0.2">
      <c r="B1749" s="254"/>
      <c r="C1749" s="254"/>
      <c r="D1749" s="254"/>
      <c r="E1749" s="254"/>
      <c r="F1749" s="254"/>
      <c r="G1749" s="254"/>
    </row>
    <row r="1750" spans="2:7" x14ac:dyDescent="0.2">
      <c r="B1750" s="254"/>
      <c r="C1750" s="254"/>
      <c r="D1750" s="254"/>
      <c r="E1750" s="254"/>
      <c r="F1750" s="254"/>
      <c r="G1750" s="254"/>
    </row>
    <row r="1751" spans="2:7" x14ac:dyDescent="0.2">
      <c r="B1751" s="254"/>
      <c r="C1751" s="254"/>
      <c r="D1751" s="254"/>
      <c r="E1751" s="254"/>
      <c r="F1751" s="254"/>
      <c r="G1751" s="254"/>
    </row>
    <row r="1752" spans="2:7" x14ac:dyDescent="0.2">
      <c r="B1752" s="254"/>
      <c r="C1752" s="254"/>
      <c r="D1752" s="254"/>
      <c r="E1752" s="254"/>
      <c r="F1752" s="254"/>
      <c r="G1752" s="254"/>
    </row>
    <row r="1753" spans="2:7" x14ac:dyDescent="0.2">
      <c r="B1753" s="254"/>
      <c r="C1753" s="254"/>
      <c r="D1753" s="254"/>
      <c r="E1753" s="254"/>
      <c r="F1753" s="254"/>
      <c r="G1753" s="254"/>
    </row>
    <row r="1754" spans="2:7" x14ac:dyDescent="0.2">
      <c r="B1754" s="254"/>
      <c r="C1754" s="254"/>
      <c r="D1754" s="254"/>
      <c r="E1754" s="254"/>
      <c r="F1754" s="254"/>
      <c r="G1754" s="254"/>
    </row>
    <row r="1755" spans="2:7" x14ac:dyDescent="0.2">
      <c r="B1755" s="254"/>
      <c r="C1755" s="254"/>
      <c r="D1755" s="254"/>
      <c r="E1755" s="254"/>
      <c r="F1755" s="254"/>
      <c r="G1755" s="254"/>
    </row>
    <row r="1756" spans="2:7" x14ac:dyDescent="0.2">
      <c r="B1756" s="254"/>
      <c r="C1756" s="254"/>
      <c r="D1756" s="254"/>
      <c r="E1756" s="254"/>
      <c r="F1756" s="254"/>
      <c r="G1756" s="254"/>
    </row>
    <row r="1757" spans="2:7" x14ac:dyDescent="0.2">
      <c r="B1757" s="254"/>
      <c r="C1757" s="254"/>
      <c r="D1757" s="254"/>
      <c r="E1757" s="254"/>
      <c r="F1757" s="254"/>
      <c r="G1757" s="254"/>
    </row>
    <row r="1758" spans="2:7" x14ac:dyDescent="0.2">
      <c r="B1758" s="254"/>
      <c r="C1758" s="254"/>
      <c r="D1758" s="254"/>
      <c r="E1758" s="254"/>
      <c r="F1758" s="254"/>
      <c r="G1758" s="254"/>
    </row>
    <row r="1759" spans="2:7" x14ac:dyDescent="0.2">
      <c r="B1759" s="254"/>
      <c r="C1759" s="254"/>
      <c r="D1759" s="254"/>
      <c r="E1759" s="254"/>
      <c r="F1759" s="254"/>
      <c r="G1759" s="254"/>
    </row>
    <row r="1760" spans="2:7" x14ac:dyDescent="0.2">
      <c r="B1760" s="254"/>
      <c r="C1760" s="254"/>
      <c r="D1760" s="254"/>
      <c r="E1760" s="254"/>
      <c r="F1760" s="254"/>
      <c r="G1760" s="254"/>
    </row>
    <row r="1761" spans="2:7" x14ac:dyDescent="0.2">
      <c r="B1761" s="254"/>
      <c r="C1761" s="254"/>
      <c r="D1761" s="254"/>
      <c r="E1761" s="254"/>
      <c r="F1761" s="254"/>
      <c r="G1761" s="254"/>
    </row>
    <row r="1762" spans="2:7" x14ac:dyDescent="0.2">
      <c r="B1762" s="254"/>
      <c r="C1762" s="254"/>
      <c r="D1762" s="254"/>
      <c r="E1762" s="254"/>
      <c r="F1762" s="254"/>
      <c r="G1762" s="254"/>
    </row>
    <row r="1763" spans="2:7" x14ac:dyDescent="0.2">
      <c r="B1763" s="254"/>
      <c r="C1763" s="254"/>
      <c r="D1763" s="254"/>
      <c r="E1763" s="254"/>
      <c r="F1763" s="254"/>
      <c r="G1763" s="254"/>
    </row>
    <row r="1764" spans="2:7" x14ac:dyDescent="0.2">
      <c r="B1764" s="254"/>
      <c r="C1764" s="254"/>
      <c r="D1764" s="254"/>
      <c r="E1764" s="254"/>
      <c r="F1764" s="254"/>
      <c r="G1764" s="254"/>
    </row>
    <row r="1765" spans="2:7" x14ac:dyDescent="0.2">
      <c r="B1765" s="254"/>
      <c r="C1765" s="254"/>
      <c r="D1765" s="254"/>
      <c r="E1765" s="254"/>
      <c r="F1765" s="254"/>
      <c r="G1765" s="254"/>
    </row>
    <row r="1766" spans="2:7" x14ac:dyDescent="0.2">
      <c r="B1766" s="254"/>
      <c r="C1766" s="254"/>
      <c r="D1766" s="254"/>
      <c r="E1766" s="254"/>
      <c r="F1766" s="254"/>
      <c r="G1766" s="254"/>
    </row>
    <row r="1767" spans="2:7" x14ac:dyDescent="0.2">
      <c r="B1767" s="254"/>
      <c r="C1767" s="254"/>
      <c r="D1767" s="254"/>
      <c r="E1767" s="254"/>
      <c r="F1767" s="254"/>
      <c r="G1767" s="254"/>
    </row>
    <row r="1768" spans="2:7" x14ac:dyDescent="0.2">
      <c r="B1768" s="254"/>
      <c r="C1768" s="254"/>
      <c r="D1768" s="254"/>
      <c r="E1768" s="254"/>
      <c r="F1768" s="254"/>
      <c r="G1768" s="254"/>
    </row>
    <row r="1769" spans="2:7" x14ac:dyDescent="0.2">
      <c r="B1769" s="254"/>
      <c r="C1769" s="254"/>
      <c r="D1769" s="254"/>
      <c r="E1769" s="254"/>
      <c r="F1769" s="254"/>
      <c r="G1769" s="254"/>
    </row>
    <row r="1770" spans="2:7" x14ac:dyDescent="0.2">
      <c r="B1770" s="254"/>
      <c r="C1770" s="254"/>
      <c r="D1770" s="254"/>
      <c r="E1770" s="254"/>
      <c r="F1770" s="254"/>
      <c r="G1770" s="254"/>
    </row>
    <row r="1771" spans="2:7" x14ac:dyDescent="0.2">
      <c r="B1771" s="254"/>
      <c r="C1771" s="254"/>
      <c r="D1771" s="254"/>
      <c r="E1771" s="254"/>
      <c r="F1771" s="254"/>
      <c r="G1771" s="254"/>
    </row>
    <row r="1772" spans="2:7" x14ac:dyDescent="0.2">
      <c r="B1772" s="254"/>
      <c r="C1772" s="254"/>
      <c r="D1772" s="254"/>
      <c r="E1772" s="254"/>
      <c r="F1772" s="254"/>
      <c r="G1772" s="254"/>
    </row>
    <row r="1773" spans="2:7" x14ac:dyDescent="0.2">
      <c r="B1773" s="254"/>
      <c r="C1773" s="254"/>
      <c r="D1773" s="254"/>
      <c r="E1773" s="254"/>
      <c r="F1773" s="254"/>
      <c r="G1773" s="254"/>
    </row>
    <row r="1774" spans="2:7" x14ac:dyDescent="0.2">
      <c r="B1774" s="254"/>
      <c r="C1774" s="254"/>
      <c r="D1774" s="254"/>
      <c r="E1774" s="254"/>
      <c r="F1774" s="254"/>
      <c r="G1774" s="254"/>
    </row>
    <row r="1775" spans="2:7" x14ac:dyDescent="0.2">
      <c r="B1775" s="254"/>
      <c r="C1775" s="254"/>
      <c r="D1775" s="254"/>
      <c r="E1775" s="254"/>
      <c r="F1775" s="254"/>
      <c r="G1775" s="254"/>
    </row>
    <row r="1776" spans="2:7" x14ac:dyDescent="0.2">
      <c r="B1776" s="254"/>
      <c r="C1776" s="254"/>
      <c r="D1776" s="254"/>
      <c r="E1776" s="254"/>
      <c r="F1776" s="254"/>
      <c r="G1776" s="254"/>
    </row>
    <row r="1777" spans="2:7" x14ac:dyDescent="0.2">
      <c r="B1777" s="254"/>
      <c r="C1777" s="254"/>
      <c r="D1777" s="254"/>
      <c r="E1777" s="254"/>
      <c r="F1777" s="254"/>
      <c r="G1777" s="254"/>
    </row>
    <row r="1778" spans="2:7" x14ac:dyDescent="0.2">
      <c r="B1778" s="254"/>
      <c r="C1778" s="254"/>
      <c r="D1778" s="254"/>
      <c r="E1778" s="254"/>
      <c r="F1778" s="254"/>
      <c r="G1778" s="254"/>
    </row>
    <row r="1779" spans="2:7" x14ac:dyDescent="0.2">
      <c r="B1779" s="254"/>
      <c r="C1779" s="254"/>
      <c r="D1779" s="254"/>
      <c r="E1779" s="254"/>
      <c r="F1779" s="254"/>
      <c r="G1779" s="254"/>
    </row>
    <row r="1780" spans="2:7" x14ac:dyDescent="0.2">
      <c r="B1780" s="254"/>
      <c r="C1780" s="254"/>
      <c r="D1780" s="254"/>
      <c r="E1780" s="254"/>
      <c r="F1780" s="254"/>
      <c r="G1780" s="254"/>
    </row>
    <row r="1781" spans="2:7" x14ac:dyDescent="0.2">
      <c r="B1781" s="254"/>
      <c r="C1781" s="254"/>
      <c r="D1781" s="254"/>
      <c r="E1781" s="254"/>
      <c r="F1781" s="254"/>
      <c r="G1781" s="254"/>
    </row>
    <row r="1782" spans="2:7" x14ac:dyDescent="0.2">
      <c r="B1782" s="254"/>
      <c r="C1782" s="254"/>
      <c r="D1782" s="254"/>
      <c r="E1782" s="254"/>
      <c r="F1782" s="254"/>
      <c r="G1782" s="254"/>
    </row>
    <row r="1783" spans="2:7" x14ac:dyDescent="0.2">
      <c r="B1783" s="254"/>
      <c r="C1783" s="254"/>
      <c r="D1783" s="254"/>
      <c r="E1783" s="254"/>
      <c r="F1783" s="254"/>
      <c r="G1783" s="254"/>
    </row>
    <row r="1784" spans="2:7" x14ac:dyDescent="0.2">
      <c r="B1784" s="254"/>
      <c r="C1784" s="254"/>
      <c r="D1784" s="254"/>
      <c r="E1784" s="254"/>
      <c r="F1784" s="254"/>
      <c r="G1784" s="254"/>
    </row>
    <row r="1785" spans="2:7" x14ac:dyDescent="0.2">
      <c r="B1785" s="254"/>
      <c r="C1785" s="254"/>
      <c r="D1785" s="254"/>
      <c r="E1785" s="254"/>
      <c r="F1785" s="254"/>
      <c r="G1785" s="254"/>
    </row>
    <row r="1786" spans="2:7" x14ac:dyDescent="0.2">
      <c r="B1786" s="254"/>
      <c r="C1786" s="254"/>
      <c r="D1786" s="254"/>
      <c r="E1786" s="254"/>
      <c r="F1786" s="254"/>
      <c r="G1786" s="254"/>
    </row>
    <row r="1787" spans="2:7" x14ac:dyDescent="0.2">
      <c r="B1787" s="254"/>
      <c r="C1787" s="254"/>
      <c r="D1787" s="254"/>
      <c r="E1787" s="254"/>
      <c r="F1787" s="254"/>
      <c r="G1787" s="254"/>
    </row>
    <row r="1788" spans="2:7" x14ac:dyDescent="0.2">
      <c r="B1788" s="254"/>
      <c r="C1788" s="254"/>
      <c r="D1788" s="254"/>
      <c r="E1788" s="254"/>
      <c r="F1788" s="254"/>
      <c r="G1788" s="254"/>
    </row>
    <row r="1789" spans="2:7" x14ac:dyDescent="0.2">
      <c r="B1789" s="254"/>
      <c r="C1789" s="254"/>
      <c r="D1789" s="254"/>
      <c r="E1789" s="254"/>
      <c r="F1789" s="254"/>
      <c r="G1789" s="254"/>
    </row>
    <row r="1790" spans="2:7" x14ac:dyDescent="0.2">
      <c r="B1790" s="254"/>
      <c r="C1790" s="254"/>
      <c r="D1790" s="254"/>
      <c r="E1790" s="254"/>
      <c r="F1790" s="254"/>
      <c r="G1790" s="254"/>
    </row>
    <row r="1791" spans="2:7" x14ac:dyDescent="0.2">
      <c r="B1791" s="254"/>
      <c r="C1791" s="254"/>
      <c r="D1791" s="254"/>
      <c r="E1791" s="254"/>
      <c r="F1791" s="254"/>
      <c r="G1791" s="254"/>
    </row>
    <row r="1792" spans="2:7" x14ac:dyDescent="0.2">
      <c r="B1792" s="254"/>
      <c r="C1792" s="254"/>
      <c r="D1792" s="254"/>
      <c r="E1792" s="254"/>
      <c r="F1792" s="254"/>
      <c r="G1792" s="254"/>
    </row>
    <row r="1793" spans="2:7" x14ac:dyDescent="0.2">
      <c r="B1793" s="254"/>
      <c r="C1793" s="254"/>
      <c r="D1793" s="254"/>
      <c r="E1793" s="254"/>
      <c r="F1793" s="254"/>
      <c r="G1793" s="254"/>
    </row>
    <row r="1794" spans="2:7" x14ac:dyDescent="0.2">
      <c r="B1794" s="254"/>
      <c r="C1794" s="254"/>
      <c r="D1794" s="254"/>
      <c r="E1794" s="254"/>
      <c r="F1794" s="254"/>
      <c r="G1794" s="254"/>
    </row>
    <row r="1795" spans="2:7" x14ac:dyDescent="0.2">
      <c r="B1795" s="254"/>
      <c r="C1795" s="254"/>
      <c r="D1795" s="254"/>
      <c r="E1795" s="254"/>
      <c r="F1795" s="254"/>
      <c r="G1795" s="254"/>
    </row>
    <row r="1796" spans="2:7" x14ac:dyDescent="0.2">
      <c r="B1796" s="254"/>
      <c r="C1796" s="254"/>
      <c r="D1796" s="254"/>
      <c r="E1796" s="254"/>
      <c r="F1796" s="254"/>
      <c r="G1796" s="254"/>
    </row>
    <row r="1797" spans="2:7" x14ac:dyDescent="0.2">
      <c r="B1797" s="254"/>
      <c r="C1797" s="254"/>
      <c r="D1797" s="254"/>
      <c r="E1797" s="254"/>
      <c r="F1797" s="254"/>
      <c r="G1797" s="254"/>
    </row>
    <row r="1798" spans="2:7" x14ac:dyDescent="0.2">
      <c r="B1798" s="254"/>
      <c r="C1798" s="254"/>
      <c r="D1798" s="254"/>
      <c r="E1798" s="254"/>
      <c r="F1798" s="254"/>
      <c r="G1798" s="254"/>
    </row>
    <row r="1799" spans="2:7" x14ac:dyDescent="0.2">
      <c r="B1799" s="254"/>
      <c r="C1799" s="254"/>
      <c r="D1799" s="254"/>
      <c r="E1799" s="254"/>
      <c r="F1799" s="254"/>
      <c r="G1799" s="254"/>
    </row>
    <row r="1800" spans="2:7" x14ac:dyDescent="0.2">
      <c r="B1800" s="254"/>
      <c r="C1800" s="254"/>
      <c r="D1800" s="254"/>
      <c r="E1800" s="254"/>
      <c r="F1800" s="254"/>
      <c r="G1800" s="254"/>
    </row>
    <row r="1801" spans="2:7" x14ac:dyDescent="0.2">
      <c r="B1801" s="254"/>
      <c r="C1801" s="254"/>
      <c r="D1801" s="254"/>
      <c r="E1801" s="254"/>
      <c r="F1801" s="254"/>
      <c r="G1801" s="254"/>
    </row>
    <row r="1802" spans="2:7" x14ac:dyDescent="0.2">
      <c r="B1802" s="254"/>
      <c r="C1802" s="254"/>
      <c r="D1802" s="254"/>
      <c r="E1802" s="254"/>
      <c r="F1802" s="254"/>
      <c r="G1802" s="254"/>
    </row>
    <row r="1803" spans="2:7" x14ac:dyDescent="0.2">
      <c r="B1803" s="254"/>
      <c r="C1803" s="254"/>
      <c r="D1803" s="254"/>
      <c r="E1803" s="254"/>
      <c r="F1803" s="254"/>
      <c r="G1803" s="254"/>
    </row>
    <row r="1804" spans="2:7" x14ac:dyDescent="0.2">
      <c r="B1804" s="254"/>
      <c r="C1804" s="254"/>
      <c r="D1804" s="254"/>
      <c r="E1804" s="254"/>
      <c r="F1804" s="254"/>
      <c r="G1804" s="254"/>
    </row>
    <row r="1805" spans="2:7" x14ac:dyDescent="0.2">
      <c r="B1805" s="254"/>
      <c r="C1805" s="254"/>
      <c r="D1805" s="254"/>
      <c r="E1805" s="254"/>
      <c r="F1805" s="254"/>
      <c r="G1805" s="254"/>
    </row>
    <row r="1806" spans="2:7" x14ac:dyDescent="0.2">
      <c r="B1806" s="254"/>
      <c r="C1806" s="254"/>
      <c r="D1806" s="254"/>
      <c r="E1806" s="254"/>
      <c r="F1806" s="254"/>
      <c r="G1806" s="254"/>
    </row>
    <row r="1807" spans="2:7" x14ac:dyDescent="0.2">
      <c r="B1807" s="254"/>
      <c r="C1807" s="254"/>
      <c r="D1807" s="254"/>
      <c r="E1807" s="254"/>
      <c r="F1807" s="254"/>
      <c r="G1807" s="254"/>
    </row>
    <row r="1808" spans="2:7" x14ac:dyDescent="0.2">
      <c r="B1808" s="254"/>
      <c r="C1808" s="254"/>
      <c r="D1808" s="254"/>
      <c r="E1808" s="254"/>
      <c r="F1808" s="254"/>
      <c r="G1808" s="254"/>
    </row>
    <row r="1809" spans="2:7" x14ac:dyDescent="0.2">
      <c r="B1809" s="254"/>
      <c r="C1809" s="254"/>
      <c r="D1809" s="254"/>
      <c r="E1809" s="254"/>
      <c r="F1809" s="254"/>
      <c r="G1809" s="254"/>
    </row>
    <row r="1810" spans="2:7" x14ac:dyDescent="0.2">
      <c r="B1810" s="254"/>
      <c r="C1810" s="254"/>
      <c r="D1810" s="254"/>
      <c r="E1810" s="254"/>
      <c r="F1810" s="254"/>
      <c r="G1810" s="254"/>
    </row>
    <row r="1811" spans="2:7" x14ac:dyDescent="0.2">
      <c r="B1811" s="254"/>
      <c r="C1811" s="254"/>
      <c r="D1811" s="254"/>
      <c r="E1811" s="254"/>
      <c r="F1811" s="254"/>
      <c r="G1811" s="254"/>
    </row>
    <row r="1812" spans="2:7" x14ac:dyDescent="0.2">
      <c r="B1812" s="254"/>
      <c r="C1812" s="254"/>
      <c r="D1812" s="254"/>
      <c r="E1812" s="254"/>
      <c r="F1812" s="254"/>
      <c r="G1812" s="254"/>
    </row>
    <row r="1813" spans="2:7" x14ac:dyDescent="0.2">
      <c r="B1813" s="254"/>
      <c r="C1813" s="254"/>
      <c r="D1813" s="254"/>
      <c r="E1813" s="254"/>
      <c r="F1813" s="254"/>
      <c r="G1813" s="254"/>
    </row>
    <row r="1814" spans="2:7" x14ac:dyDescent="0.2">
      <c r="B1814" s="254"/>
      <c r="C1814" s="254"/>
      <c r="D1814" s="254"/>
      <c r="E1814" s="254"/>
      <c r="F1814" s="254"/>
      <c r="G1814" s="254"/>
    </row>
    <row r="1815" spans="2:7" x14ac:dyDescent="0.2">
      <c r="B1815" s="254"/>
      <c r="C1815" s="254"/>
      <c r="D1815" s="254"/>
      <c r="E1815" s="254"/>
      <c r="F1815" s="254"/>
      <c r="G1815" s="254"/>
    </row>
    <row r="1816" spans="2:7" x14ac:dyDescent="0.2">
      <c r="B1816" s="254"/>
      <c r="C1816" s="254"/>
      <c r="D1816" s="254"/>
      <c r="E1816" s="254"/>
      <c r="F1816" s="254"/>
      <c r="G1816" s="254"/>
    </row>
    <row r="1817" spans="2:7" x14ac:dyDescent="0.2">
      <c r="B1817" s="254"/>
      <c r="C1817" s="254"/>
      <c r="D1817" s="254"/>
      <c r="E1817" s="254"/>
      <c r="F1817" s="254"/>
      <c r="G1817" s="254"/>
    </row>
    <row r="1818" spans="2:7" x14ac:dyDescent="0.2">
      <c r="B1818" s="254"/>
      <c r="C1818" s="254"/>
      <c r="D1818" s="254"/>
      <c r="E1818" s="254"/>
      <c r="F1818" s="254"/>
      <c r="G1818" s="254"/>
    </row>
    <row r="1819" spans="2:7" x14ac:dyDescent="0.2">
      <c r="B1819" s="254"/>
      <c r="C1819" s="254"/>
      <c r="D1819" s="254"/>
      <c r="E1819" s="254"/>
      <c r="F1819" s="254"/>
      <c r="G1819" s="254"/>
    </row>
    <row r="1820" spans="2:7" x14ac:dyDescent="0.2">
      <c r="B1820" s="254"/>
      <c r="C1820" s="254"/>
      <c r="D1820" s="254"/>
      <c r="E1820" s="254"/>
      <c r="F1820" s="254"/>
      <c r="G1820" s="254"/>
    </row>
    <row r="1821" spans="2:7" x14ac:dyDescent="0.2">
      <c r="B1821" s="254"/>
      <c r="C1821" s="254"/>
      <c r="D1821" s="254"/>
      <c r="E1821" s="254"/>
      <c r="F1821" s="254"/>
      <c r="G1821" s="254"/>
    </row>
    <row r="1822" spans="2:7" x14ac:dyDescent="0.2">
      <c r="B1822" s="254"/>
      <c r="C1822" s="254"/>
      <c r="D1822" s="254"/>
      <c r="E1822" s="254"/>
      <c r="F1822" s="254"/>
      <c r="G1822" s="254"/>
    </row>
    <row r="1823" spans="2:7" x14ac:dyDescent="0.2">
      <c r="B1823" s="254"/>
      <c r="C1823" s="254"/>
      <c r="D1823" s="254"/>
      <c r="E1823" s="254"/>
      <c r="F1823" s="254"/>
      <c r="G1823" s="254"/>
    </row>
    <row r="1824" spans="2:7" x14ac:dyDescent="0.2">
      <c r="B1824" s="254"/>
      <c r="C1824" s="254"/>
      <c r="D1824" s="254"/>
      <c r="E1824" s="254"/>
      <c r="F1824" s="254"/>
      <c r="G1824" s="254"/>
    </row>
    <row r="1825" spans="2:7" x14ac:dyDescent="0.2">
      <c r="B1825" s="254"/>
      <c r="C1825" s="254"/>
      <c r="D1825" s="254"/>
      <c r="E1825" s="254"/>
      <c r="F1825" s="254"/>
      <c r="G1825" s="254"/>
    </row>
    <row r="1826" spans="2:7" x14ac:dyDescent="0.2">
      <c r="B1826" s="254"/>
      <c r="C1826" s="254"/>
      <c r="D1826" s="254"/>
      <c r="E1826" s="254"/>
      <c r="F1826" s="254"/>
      <c r="G1826" s="254"/>
    </row>
    <row r="1827" spans="2:7" x14ac:dyDescent="0.2">
      <c r="B1827" s="254"/>
      <c r="C1827" s="254"/>
      <c r="D1827" s="254"/>
      <c r="E1827" s="254"/>
      <c r="F1827" s="254"/>
      <c r="G1827" s="254"/>
    </row>
    <row r="1828" spans="2:7" x14ac:dyDescent="0.2">
      <c r="B1828" s="254"/>
      <c r="C1828" s="254"/>
      <c r="D1828" s="254"/>
      <c r="E1828" s="254"/>
      <c r="F1828" s="254"/>
      <c r="G1828" s="254"/>
    </row>
    <row r="1829" spans="2:7" x14ac:dyDescent="0.2">
      <c r="B1829" s="254"/>
      <c r="C1829" s="254"/>
      <c r="D1829" s="254"/>
      <c r="E1829" s="254"/>
      <c r="F1829" s="254"/>
      <c r="G1829" s="254"/>
    </row>
    <row r="1830" spans="2:7" x14ac:dyDescent="0.2">
      <c r="B1830" s="254"/>
      <c r="C1830" s="254"/>
      <c r="D1830" s="254"/>
      <c r="E1830" s="254"/>
      <c r="F1830" s="254"/>
      <c r="G1830" s="254"/>
    </row>
    <row r="1831" spans="2:7" x14ac:dyDescent="0.2">
      <c r="B1831" s="254"/>
      <c r="C1831" s="254"/>
      <c r="D1831" s="254"/>
      <c r="E1831" s="254"/>
      <c r="F1831" s="254"/>
      <c r="G1831" s="254"/>
    </row>
    <row r="1832" spans="2:7" x14ac:dyDescent="0.2">
      <c r="B1832" s="254"/>
      <c r="C1832" s="254"/>
      <c r="D1832" s="254"/>
      <c r="E1832" s="254"/>
      <c r="F1832" s="254"/>
      <c r="G1832" s="254"/>
    </row>
    <row r="1833" spans="2:7" x14ac:dyDescent="0.2">
      <c r="B1833" s="254"/>
      <c r="C1833" s="254"/>
      <c r="D1833" s="254"/>
      <c r="E1833" s="254"/>
      <c r="F1833" s="254"/>
      <c r="G1833" s="254"/>
    </row>
    <row r="1834" spans="2:7" x14ac:dyDescent="0.2">
      <c r="B1834" s="254"/>
      <c r="C1834" s="254"/>
      <c r="D1834" s="254"/>
      <c r="E1834" s="254"/>
      <c r="F1834" s="254"/>
      <c r="G1834" s="254"/>
    </row>
    <row r="1835" spans="2:7" x14ac:dyDescent="0.2">
      <c r="B1835" s="254"/>
      <c r="C1835" s="254"/>
      <c r="D1835" s="254"/>
      <c r="E1835" s="254"/>
      <c r="F1835" s="254"/>
      <c r="G1835" s="254"/>
    </row>
    <row r="1836" spans="2:7" x14ac:dyDescent="0.2">
      <c r="B1836" s="254"/>
      <c r="C1836" s="254"/>
      <c r="D1836" s="254"/>
      <c r="E1836" s="254"/>
      <c r="F1836" s="254"/>
      <c r="G1836" s="254"/>
    </row>
    <row r="1837" spans="2:7" x14ac:dyDescent="0.2">
      <c r="B1837" s="254"/>
      <c r="C1837" s="254"/>
      <c r="D1837" s="254"/>
      <c r="E1837" s="254"/>
      <c r="F1837" s="254"/>
      <c r="G1837" s="254"/>
    </row>
    <row r="1838" spans="2:7" x14ac:dyDescent="0.2">
      <c r="B1838" s="254"/>
      <c r="C1838" s="254"/>
      <c r="D1838" s="254"/>
      <c r="E1838" s="254"/>
      <c r="F1838" s="254"/>
      <c r="G1838" s="254"/>
    </row>
    <row r="1839" spans="2:7" x14ac:dyDescent="0.2">
      <c r="B1839" s="254"/>
      <c r="C1839" s="254"/>
      <c r="D1839" s="254"/>
      <c r="E1839" s="254"/>
      <c r="F1839" s="254"/>
      <c r="G1839" s="254"/>
    </row>
    <row r="1840" spans="2:7" x14ac:dyDescent="0.2">
      <c r="B1840" s="254"/>
      <c r="C1840" s="254"/>
      <c r="D1840" s="254"/>
      <c r="E1840" s="254"/>
      <c r="F1840" s="254"/>
      <c r="G1840" s="254"/>
    </row>
    <row r="1841" spans="2:7" x14ac:dyDescent="0.2">
      <c r="B1841" s="254"/>
      <c r="C1841" s="254"/>
      <c r="D1841" s="254"/>
      <c r="E1841" s="254"/>
      <c r="F1841" s="254"/>
      <c r="G1841" s="254"/>
    </row>
    <row r="1842" spans="2:7" x14ac:dyDescent="0.2">
      <c r="B1842" s="254"/>
      <c r="C1842" s="254"/>
      <c r="D1842" s="254"/>
      <c r="E1842" s="254"/>
      <c r="F1842" s="254"/>
      <c r="G1842" s="254"/>
    </row>
    <row r="1843" spans="2:7" x14ac:dyDescent="0.2">
      <c r="B1843" s="254"/>
      <c r="C1843" s="254"/>
      <c r="D1843" s="254"/>
      <c r="E1843" s="254"/>
      <c r="F1843" s="254"/>
      <c r="G1843" s="254"/>
    </row>
    <row r="1844" spans="2:7" x14ac:dyDescent="0.2">
      <c r="B1844" s="254"/>
      <c r="C1844" s="254"/>
      <c r="D1844" s="254"/>
      <c r="E1844" s="254"/>
      <c r="F1844" s="254"/>
      <c r="G1844" s="254"/>
    </row>
    <row r="1845" spans="2:7" x14ac:dyDescent="0.2">
      <c r="B1845" s="254"/>
      <c r="C1845" s="254"/>
      <c r="D1845" s="254"/>
      <c r="E1845" s="254"/>
      <c r="F1845" s="254"/>
      <c r="G1845" s="254"/>
    </row>
    <row r="1846" spans="2:7" x14ac:dyDescent="0.2">
      <c r="B1846" s="254"/>
      <c r="C1846" s="254"/>
      <c r="D1846" s="254"/>
      <c r="E1846" s="254"/>
      <c r="F1846" s="254"/>
      <c r="G1846" s="254"/>
    </row>
    <row r="1847" spans="2:7" x14ac:dyDescent="0.2">
      <c r="B1847" s="254"/>
      <c r="C1847" s="254"/>
      <c r="D1847" s="254"/>
      <c r="E1847" s="254"/>
      <c r="F1847" s="254"/>
      <c r="G1847" s="254"/>
    </row>
    <row r="1848" spans="2:7" x14ac:dyDescent="0.2">
      <c r="B1848" s="254"/>
      <c r="C1848" s="254"/>
      <c r="D1848" s="254"/>
      <c r="E1848" s="254"/>
      <c r="F1848" s="254"/>
      <c r="G1848" s="254"/>
    </row>
    <row r="1849" spans="2:7" x14ac:dyDescent="0.2">
      <c r="B1849" s="254"/>
      <c r="C1849" s="254"/>
      <c r="D1849" s="254"/>
      <c r="E1849" s="254"/>
      <c r="F1849" s="254"/>
      <c r="G1849" s="254"/>
    </row>
    <row r="1850" spans="2:7" x14ac:dyDescent="0.2">
      <c r="B1850" s="254"/>
      <c r="C1850" s="254"/>
      <c r="D1850" s="254"/>
      <c r="E1850" s="254"/>
      <c r="F1850" s="254"/>
      <c r="G1850" s="254"/>
    </row>
    <row r="1851" spans="2:7" x14ac:dyDescent="0.2">
      <c r="B1851" s="254"/>
      <c r="C1851" s="254"/>
      <c r="D1851" s="254"/>
      <c r="E1851" s="254"/>
      <c r="F1851" s="254"/>
      <c r="G1851" s="254"/>
    </row>
    <row r="1852" spans="2:7" x14ac:dyDescent="0.2">
      <c r="B1852" s="254"/>
      <c r="C1852" s="254"/>
      <c r="D1852" s="254"/>
      <c r="E1852" s="254"/>
      <c r="F1852" s="254"/>
      <c r="G1852" s="254"/>
    </row>
    <row r="1853" spans="2:7" x14ac:dyDescent="0.2">
      <c r="B1853" s="254"/>
      <c r="C1853" s="254"/>
      <c r="D1853" s="254"/>
      <c r="E1853" s="254"/>
      <c r="F1853" s="254"/>
      <c r="G1853" s="254"/>
    </row>
    <row r="1854" spans="2:7" x14ac:dyDescent="0.2">
      <c r="B1854" s="254"/>
      <c r="C1854" s="254"/>
      <c r="D1854" s="254"/>
      <c r="E1854" s="254"/>
      <c r="F1854" s="254"/>
      <c r="G1854" s="254"/>
    </row>
    <row r="1855" spans="2:7" x14ac:dyDescent="0.2">
      <c r="B1855" s="254"/>
      <c r="C1855" s="254"/>
      <c r="D1855" s="254"/>
      <c r="E1855" s="254"/>
      <c r="F1855" s="254"/>
      <c r="G1855" s="254"/>
    </row>
    <row r="1856" spans="2:7" x14ac:dyDescent="0.2">
      <c r="B1856" s="254"/>
      <c r="C1856" s="254"/>
      <c r="D1856" s="254"/>
      <c r="E1856" s="254"/>
      <c r="F1856" s="254"/>
      <c r="G1856" s="254"/>
    </row>
    <row r="1857" spans="2:7" x14ac:dyDescent="0.2">
      <c r="B1857" s="254"/>
      <c r="C1857" s="254"/>
      <c r="D1857" s="254"/>
      <c r="E1857" s="254"/>
      <c r="F1857" s="254"/>
      <c r="G1857" s="254"/>
    </row>
    <row r="1858" spans="2:7" x14ac:dyDescent="0.2">
      <c r="B1858" s="254"/>
      <c r="C1858" s="254"/>
      <c r="D1858" s="254"/>
      <c r="E1858" s="254"/>
      <c r="F1858" s="254"/>
      <c r="G1858" s="254"/>
    </row>
    <row r="1859" spans="2:7" x14ac:dyDescent="0.2">
      <c r="B1859" s="254"/>
      <c r="C1859" s="254"/>
      <c r="D1859" s="254"/>
      <c r="E1859" s="254"/>
      <c r="F1859" s="254"/>
      <c r="G1859" s="254"/>
    </row>
    <row r="1860" spans="2:7" x14ac:dyDescent="0.2">
      <c r="B1860" s="254"/>
      <c r="C1860" s="254"/>
      <c r="D1860" s="254"/>
      <c r="E1860" s="254"/>
      <c r="F1860" s="254"/>
      <c r="G1860" s="254"/>
    </row>
    <row r="1861" spans="2:7" x14ac:dyDescent="0.2">
      <c r="B1861" s="254"/>
      <c r="C1861" s="254"/>
      <c r="D1861" s="254"/>
      <c r="E1861" s="254"/>
      <c r="F1861" s="254"/>
      <c r="G1861" s="254"/>
    </row>
    <row r="1862" spans="2:7" x14ac:dyDescent="0.2">
      <c r="B1862" s="254"/>
      <c r="C1862" s="254"/>
      <c r="D1862" s="254"/>
      <c r="E1862" s="254"/>
      <c r="F1862" s="254"/>
      <c r="G1862" s="254"/>
    </row>
    <row r="1863" spans="2:7" x14ac:dyDescent="0.2">
      <c r="B1863" s="254"/>
      <c r="C1863" s="254"/>
      <c r="D1863" s="254"/>
      <c r="E1863" s="254"/>
      <c r="F1863" s="254"/>
      <c r="G1863" s="254"/>
    </row>
    <row r="1864" spans="2:7" x14ac:dyDescent="0.2">
      <c r="B1864" s="254"/>
      <c r="C1864" s="254"/>
      <c r="D1864" s="254"/>
      <c r="E1864" s="254"/>
      <c r="F1864" s="254"/>
      <c r="G1864" s="254"/>
    </row>
    <row r="1865" spans="2:7" x14ac:dyDescent="0.2">
      <c r="B1865" s="254"/>
      <c r="C1865" s="254"/>
      <c r="D1865" s="254"/>
      <c r="E1865" s="254"/>
      <c r="F1865" s="254"/>
      <c r="G1865" s="254"/>
    </row>
    <row r="1866" spans="2:7" x14ac:dyDescent="0.2">
      <c r="B1866" s="254"/>
      <c r="C1866" s="254"/>
      <c r="D1866" s="254"/>
      <c r="E1866" s="254"/>
      <c r="F1866" s="254"/>
      <c r="G1866" s="254"/>
    </row>
    <row r="1867" spans="2:7" x14ac:dyDescent="0.2">
      <c r="B1867" s="254"/>
      <c r="C1867" s="254"/>
      <c r="D1867" s="254"/>
      <c r="E1867" s="254"/>
      <c r="F1867" s="254"/>
      <c r="G1867" s="254"/>
    </row>
    <row r="1868" spans="2:7" x14ac:dyDescent="0.2">
      <c r="B1868" s="254"/>
      <c r="C1868" s="254"/>
      <c r="D1868" s="254"/>
      <c r="E1868" s="254"/>
      <c r="F1868" s="254"/>
      <c r="G1868" s="254"/>
    </row>
    <row r="1869" spans="2:7" x14ac:dyDescent="0.2">
      <c r="B1869" s="254"/>
      <c r="C1869" s="254"/>
      <c r="D1869" s="254"/>
      <c r="E1869" s="254"/>
      <c r="F1869" s="254"/>
      <c r="G1869" s="254"/>
    </row>
    <row r="1870" spans="2:7" x14ac:dyDescent="0.2">
      <c r="B1870" s="254"/>
      <c r="C1870" s="254"/>
      <c r="D1870" s="254"/>
      <c r="E1870" s="254"/>
      <c r="F1870" s="254"/>
      <c r="G1870" s="254"/>
    </row>
    <row r="1871" spans="2:7" x14ac:dyDescent="0.2">
      <c r="B1871" s="254"/>
      <c r="C1871" s="254"/>
      <c r="D1871" s="254"/>
      <c r="E1871" s="254"/>
      <c r="F1871" s="254"/>
      <c r="G1871" s="254"/>
    </row>
    <row r="1872" spans="2:7" x14ac:dyDescent="0.2">
      <c r="B1872" s="254"/>
      <c r="C1872" s="254"/>
      <c r="D1872" s="254"/>
      <c r="E1872" s="254"/>
      <c r="F1872" s="254"/>
      <c r="G1872" s="254"/>
    </row>
    <row r="1873" spans="2:7" x14ac:dyDescent="0.2">
      <c r="B1873" s="254"/>
      <c r="C1873" s="254"/>
      <c r="D1873" s="254"/>
      <c r="E1873" s="254"/>
      <c r="F1873" s="254"/>
      <c r="G1873" s="254"/>
    </row>
    <row r="1874" spans="2:7" x14ac:dyDescent="0.2">
      <c r="B1874" s="254"/>
      <c r="C1874" s="254"/>
      <c r="D1874" s="254"/>
      <c r="E1874" s="254"/>
      <c r="F1874" s="254"/>
      <c r="G1874" s="254"/>
    </row>
    <row r="1875" spans="2:7" x14ac:dyDescent="0.2">
      <c r="B1875" s="254"/>
      <c r="C1875" s="254"/>
      <c r="D1875" s="254"/>
      <c r="E1875" s="254"/>
      <c r="F1875" s="254"/>
      <c r="G1875" s="254"/>
    </row>
    <row r="1876" spans="2:7" x14ac:dyDescent="0.2">
      <c r="B1876" s="254"/>
      <c r="C1876" s="254"/>
      <c r="D1876" s="254"/>
      <c r="E1876" s="254"/>
      <c r="F1876" s="254"/>
      <c r="G1876" s="254"/>
    </row>
    <row r="1877" spans="2:7" x14ac:dyDescent="0.2">
      <c r="B1877" s="254"/>
      <c r="C1877" s="254"/>
      <c r="D1877" s="254"/>
      <c r="E1877" s="254"/>
      <c r="F1877" s="254"/>
      <c r="G1877" s="254"/>
    </row>
    <row r="1878" spans="2:7" x14ac:dyDescent="0.2">
      <c r="B1878" s="254"/>
      <c r="C1878" s="254"/>
      <c r="D1878" s="254"/>
      <c r="E1878" s="254"/>
      <c r="F1878" s="254"/>
      <c r="G1878" s="254"/>
    </row>
    <row r="1879" spans="2:7" x14ac:dyDescent="0.2">
      <c r="B1879" s="254"/>
      <c r="C1879" s="254"/>
      <c r="D1879" s="254"/>
      <c r="E1879" s="254"/>
      <c r="F1879" s="254"/>
      <c r="G1879" s="254"/>
    </row>
    <row r="1880" spans="2:7" x14ac:dyDescent="0.2">
      <c r="B1880" s="254"/>
      <c r="C1880" s="254"/>
      <c r="D1880" s="254"/>
      <c r="E1880" s="254"/>
      <c r="F1880" s="254"/>
      <c r="G1880" s="254"/>
    </row>
    <row r="1881" spans="2:7" x14ac:dyDescent="0.2">
      <c r="B1881" s="254"/>
      <c r="C1881" s="254"/>
      <c r="D1881" s="254"/>
      <c r="E1881" s="254"/>
      <c r="F1881" s="254"/>
      <c r="G1881" s="254"/>
    </row>
    <row r="1882" spans="2:7" x14ac:dyDescent="0.2">
      <c r="B1882" s="254"/>
      <c r="C1882" s="254"/>
      <c r="D1882" s="254"/>
      <c r="E1882" s="254"/>
      <c r="F1882" s="254"/>
      <c r="G1882" s="254"/>
    </row>
    <row r="1883" spans="2:7" x14ac:dyDescent="0.2">
      <c r="B1883" s="254"/>
      <c r="C1883" s="254"/>
      <c r="D1883" s="254"/>
      <c r="E1883" s="254"/>
      <c r="F1883" s="254"/>
      <c r="G1883" s="254"/>
    </row>
    <row r="1884" spans="2:7" x14ac:dyDescent="0.2">
      <c r="B1884" s="254"/>
      <c r="C1884" s="254"/>
      <c r="D1884" s="254"/>
      <c r="E1884" s="254"/>
      <c r="F1884" s="254"/>
      <c r="G1884" s="254"/>
    </row>
    <row r="1885" spans="2:7" x14ac:dyDescent="0.2">
      <c r="B1885" s="254"/>
      <c r="C1885" s="254"/>
      <c r="D1885" s="254"/>
      <c r="E1885" s="254"/>
      <c r="F1885" s="254"/>
      <c r="G1885" s="254"/>
    </row>
    <row r="1886" spans="2:7" x14ac:dyDescent="0.2">
      <c r="B1886" s="254"/>
      <c r="C1886" s="254"/>
      <c r="D1886" s="254"/>
      <c r="E1886" s="254"/>
      <c r="F1886" s="254"/>
      <c r="G1886" s="254"/>
    </row>
    <row r="1887" spans="2:7" x14ac:dyDescent="0.2">
      <c r="B1887" s="254"/>
      <c r="C1887" s="254"/>
      <c r="D1887" s="254"/>
      <c r="E1887" s="254"/>
      <c r="F1887" s="254"/>
      <c r="G1887" s="254"/>
    </row>
    <row r="1888" spans="2:7" x14ac:dyDescent="0.2">
      <c r="B1888" s="254"/>
      <c r="C1888" s="254"/>
      <c r="D1888" s="254"/>
      <c r="E1888" s="254"/>
      <c r="F1888" s="254"/>
      <c r="G1888" s="254"/>
    </row>
    <row r="1889" spans="2:7" x14ac:dyDescent="0.2">
      <c r="B1889" s="254"/>
      <c r="C1889" s="254"/>
      <c r="D1889" s="254"/>
      <c r="E1889" s="254"/>
      <c r="F1889" s="254"/>
      <c r="G1889" s="254"/>
    </row>
    <row r="1890" spans="2:7" x14ac:dyDescent="0.2">
      <c r="B1890" s="254"/>
      <c r="C1890" s="254"/>
      <c r="D1890" s="254"/>
      <c r="E1890" s="254"/>
      <c r="F1890" s="254"/>
      <c r="G1890" s="254"/>
    </row>
    <row r="1891" spans="2:7" x14ac:dyDescent="0.2">
      <c r="B1891" s="254"/>
      <c r="C1891" s="254"/>
      <c r="D1891" s="254"/>
      <c r="E1891" s="254"/>
      <c r="F1891" s="254"/>
      <c r="G1891" s="254"/>
    </row>
    <row r="1892" spans="2:7" x14ac:dyDescent="0.2">
      <c r="B1892" s="254"/>
      <c r="C1892" s="254"/>
      <c r="D1892" s="254"/>
      <c r="E1892" s="254"/>
      <c r="F1892" s="254"/>
      <c r="G1892" s="254"/>
    </row>
    <row r="1893" spans="2:7" x14ac:dyDescent="0.2">
      <c r="B1893" s="254"/>
      <c r="C1893" s="254"/>
      <c r="D1893" s="254"/>
      <c r="E1893" s="254"/>
      <c r="F1893" s="254"/>
      <c r="G1893" s="254"/>
    </row>
    <row r="1894" spans="2:7" x14ac:dyDescent="0.2">
      <c r="B1894" s="254"/>
      <c r="C1894" s="254"/>
      <c r="D1894" s="254"/>
      <c r="E1894" s="254"/>
      <c r="F1894" s="254"/>
      <c r="G1894" s="254"/>
    </row>
    <row r="1895" spans="2:7" x14ac:dyDescent="0.2">
      <c r="B1895" s="254"/>
      <c r="C1895" s="254"/>
      <c r="D1895" s="254"/>
      <c r="E1895" s="254"/>
      <c r="F1895" s="254"/>
      <c r="G1895" s="254"/>
    </row>
    <row r="1896" spans="2:7" x14ac:dyDescent="0.2">
      <c r="B1896" s="254"/>
      <c r="C1896" s="254"/>
      <c r="D1896" s="254"/>
      <c r="E1896" s="254"/>
      <c r="F1896" s="254"/>
      <c r="G1896" s="254"/>
    </row>
    <row r="1897" spans="2:7" x14ac:dyDescent="0.2">
      <c r="B1897" s="254"/>
      <c r="C1897" s="254"/>
      <c r="D1897" s="254"/>
      <c r="E1897" s="254"/>
      <c r="F1897" s="254"/>
      <c r="G1897" s="254"/>
    </row>
    <row r="1898" spans="2:7" x14ac:dyDescent="0.2">
      <c r="B1898" s="254"/>
      <c r="C1898" s="254"/>
      <c r="D1898" s="254"/>
      <c r="E1898" s="254"/>
      <c r="F1898" s="254"/>
      <c r="G1898" s="254"/>
    </row>
    <row r="1899" spans="2:7" x14ac:dyDescent="0.2">
      <c r="B1899" s="254"/>
      <c r="C1899" s="254"/>
      <c r="D1899" s="254"/>
      <c r="E1899" s="254"/>
      <c r="F1899" s="254"/>
      <c r="G1899" s="254"/>
    </row>
    <row r="1900" spans="2:7" x14ac:dyDescent="0.2">
      <c r="B1900" s="254"/>
      <c r="C1900" s="254"/>
      <c r="D1900" s="254"/>
      <c r="E1900" s="254"/>
      <c r="F1900" s="254"/>
      <c r="G1900" s="254"/>
    </row>
    <row r="1901" spans="2:7" x14ac:dyDescent="0.2">
      <c r="B1901" s="254"/>
      <c r="C1901" s="254"/>
      <c r="D1901" s="254"/>
      <c r="E1901" s="254"/>
      <c r="F1901" s="254"/>
      <c r="G1901" s="254"/>
    </row>
    <row r="1902" spans="2:7" x14ac:dyDescent="0.2">
      <c r="B1902" s="254"/>
      <c r="C1902" s="254"/>
      <c r="D1902" s="254"/>
      <c r="E1902" s="254"/>
      <c r="F1902" s="254"/>
      <c r="G1902" s="254"/>
    </row>
    <row r="1903" spans="2:7" x14ac:dyDescent="0.2">
      <c r="B1903" s="254"/>
      <c r="C1903" s="254"/>
      <c r="D1903" s="254"/>
      <c r="E1903" s="254"/>
      <c r="F1903" s="254"/>
      <c r="G1903" s="254"/>
    </row>
    <row r="1904" spans="2:7" x14ac:dyDescent="0.2">
      <c r="B1904" s="254"/>
      <c r="C1904" s="254"/>
      <c r="D1904" s="254"/>
      <c r="E1904" s="254"/>
      <c r="F1904" s="254"/>
      <c r="G1904" s="254"/>
    </row>
    <row r="1905" spans="2:7" x14ac:dyDescent="0.2">
      <c r="B1905" s="254"/>
      <c r="C1905" s="254"/>
      <c r="D1905" s="254"/>
      <c r="E1905" s="254"/>
      <c r="F1905" s="254"/>
      <c r="G1905" s="254"/>
    </row>
    <row r="1906" spans="2:7" x14ac:dyDescent="0.2">
      <c r="B1906" s="254"/>
      <c r="C1906" s="254"/>
      <c r="D1906" s="254"/>
      <c r="E1906" s="254"/>
      <c r="F1906" s="254"/>
      <c r="G1906" s="254"/>
    </row>
    <row r="1907" spans="2:7" x14ac:dyDescent="0.2">
      <c r="B1907" s="254"/>
      <c r="C1907" s="254"/>
      <c r="D1907" s="254"/>
      <c r="E1907" s="254"/>
      <c r="F1907" s="254"/>
      <c r="G1907" s="254"/>
    </row>
    <row r="1908" spans="2:7" x14ac:dyDescent="0.2">
      <c r="B1908" s="254"/>
      <c r="C1908" s="254"/>
      <c r="D1908" s="254"/>
      <c r="E1908" s="254"/>
      <c r="F1908" s="254"/>
      <c r="G1908" s="254"/>
    </row>
    <row r="1909" spans="2:7" x14ac:dyDescent="0.2">
      <c r="B1909" s="254"/>
      <c r="C1909" s="254"/>
      <c r="D1909" s="254"/>
      <c r="E1909" s="254"/>
      <c r="F1909" s="254"/>
      <c r="G1909" s="254"/>
    </row>
    <row r="1910" spans="2:7" x14ac:dyDescent="0.2">
      <c r="B1910" s="254"/>
      <c r="C1910" s="254"/>
      <c r="D1910" s="254"/>
      <c r="E1910" s="254"/>
      <c r="F1910" s="254"/>
      <c r="G1910" s="254"/>
    </row>
    <row r="1911" spans="2:7" x14ac:dyDescent="0.2">
      <c r="B1911" s="254"/>
      <c r="C1911" s="254"/>
      <c r="D1911" s="254"/>
      <c r="E1911" s="254"/>
      <c r="F1911" s="254"/>
      <c r="G1911" s="254"/>
    </row>
    <row r="1912" spans="2:7" x14ac:dyDescent="0.2">
      <c r="B1912" s="254"/>
      <c r="C1912" s="254"/>
      <c r="D1912" s="254"/>
      <c r="E1912" s="254"/>
      <c r="F1912" s="254"/>
      <c r="G1912" s="254"/>
    </row>
    <row r="1913" spans="2:7" x14ac:dyDescent="0.2">
      <c r="B1913" s="254"/>
      <c r="C1913" s="254"/>
      <c r="D1913" s="254"/>
      <c r="E1913" s="254"/>
      <c r="F1913" s="254"/>
      <c r="G1913" s="254"/>
    </row>
    <row r="1914" spans="2:7" x14ac:dyDescent="0.2">
      <c r="B1914" s="254"/>
      <c r="C1914" s="254"/>
      <c r="D1914" s="254"/>
      <c r="E1914" s="254"/>
      <c r="F1914" s="254"/>
      <c r="G1914" s="254"/>
    </row>
    <row r="1915" spans="2:7" x14ac:dyDescent="0.2">
      <c r="B1915" s="254"/>
      <c r="C1915" s="254"/>
      <c r="D1915" s="254"/>
      <c r="E1915" s="254"/>
      <c r="F1915" s="254"/>
      <c r="G1915" s="254"/>
    </row>
    <row r="1916" spans="2:7" x14ac:dyDescent="0.2">
      <c r="B1916" s="254"/>
      <c r="C1916" s="254"/>
      <c r="D1916" s="254"/>
      <c r="E1916" s="254"/>
      <c r="F1916" s="254"/>
      <c r="G1916" s="254"/>
    </row>
    <row r="1917" spans="2:7" x14ac:dyDescent="0.2">
      <c r="B1917" s="254"/>
      <c r="C1917" s="254"/>
      <c r="D1917" s="254"/>
      <c r="E1917" s="254"/>
      <c r="F1917" s="254"/>
      <c r="G1917" s="254"/>
    </row>
    <row r="1918" spans="2:7" x14ac:dyDescent="0.2">
      <c r="B1918" s="254"/>
      <c r="C1918" s="254"/>
      <c r="D1918" s="254"/>
      <c r="E1918" s="254"/>
      <c r="F1918" s="254"/>
      <c r="G1918" s="254"/>
    </row>
    <row r="1919" spans="2:7" x14ac:dyDescent="0.2">
      <c r="B1919" s="254"/>
      <c r="C1919" s="254"/>
      <c r="D1919" s="254"/>
      <c r="E1919" s="254"/>
      <c r="F1919" s="254"/>
      <c r="G1919" s="254"/>
    </row>
    <row r="1920" spans="2:7" x14ac:dyDescent="0.2">
      <c r="B1920" s="254"/>
      <c r="C1920" s="254"/>
      <c r="D1920" s="254"/>
      <c r="E1920" s="254"/>
      <c r="F1920" s="254"/>
      <c r="G1920" s="254"/>
    </row>
    <row r="1921" spans="2:7" x14ac:dyDescent="0.2">
      <c r="B1921" s="254"/>
      <c r="C1921" s="254"/>
      <c r="D1921" s="254"/>
      <c r="E1921" s="254"/>
      <c r="F1921" s="254"/>
      <c r="G1921" s="254"/>
    </row>
    <row r="1922" spans="2:7" x14ac:dyDescent="0.2">
      <c r="B1922" s="254"/>
      <c r="C1922" s="254"/>
      <c r="D1922" s="254"/>
      <c r="E1922" s="254"/>
      <c r="F1922" s="254"/>
      <c r="G1922" s="254"/>
    </row>
    <row r="1923" spans="2:7" x14ac:dyDescent="0.2">
      <c r="B1923" s="254"/>
      <c r="C1923" s="254"/>
      <c r="D1923" s="254"/>
      <c r="E1923" s="254"/>
      <c r="F1923" s="254"/>
      <c r="G1923" s="254"/>
    </row>
    <row r="1924" spans="2:7" x14ac:dyDescent="0.2">
      <c r="B1924" s="254"/>
      <c r="C1924" s="254"/>
      <c r="D1924" s="254"/>
      <c r="E1924" s="254"/>
      <c r="F1924" s="254"/>
      <c r="G1924" s="254"/>
    </row>
    <row r="1925" spans="2:7" x14ac:dyDescent="0.2">
      <c r="B1925" s="254"/>
      <c r="C1925" s="254"/>
      <c r="D1925" s="254"/>
      <c r="E1925" s="254"/>
      <c r="F1925" s="254"/>
      <c r="G1925" s="254"/>
    </row>
    <row r="1926" spans="2:7" x14ac:dyDescent="0.2">
      <c r="B1926" s="254"/>
      <c r="C1926" s="254"/>
      <c r="D1926" s="254"/>
      <c r="E1926" s="254"/>
      <c r="F1926" s="254"/>
      <c r="G1926" s="254"/>
    </row>
    <row r="1927" spans="2:7" x14ac:dyDescent="0.2">
      <c r="B1927" s="254"/>
      <c r="C1927" s="254"/>
      <c r="D1927" s="254"/>
      <c r="E1927" s="254"/>
      <c r="F1927" s="254"/>
      <c r="G1927" s="254"/>
    </row>
    <row r="1928" spans="2:7" x14ac:dyDescent="0.2">
      <c r="B1928" s="254"/>
      <c r="C1928" s="254"/>
      <c r="D1928" s="254"/>
      <c r="E1928" s="254"/>
      <c r="F1928" s="254"/>
      <c r="G1928" s="254"/>
    </row>
    <row r="1929" spans="2:7" x14ac:dyDescent="0.2">
      <c r="B1929" s="254"/>
      <c r="C1929" s="254"/>
      <c r="D1929" s="254"/>
      <c r="E1929" s="254"/>
      <c r="F1929" s="254"/>
      <c r="G1929" s="254"/>
    </row>
    <row r="1930" spans="2:7" x14ac:dyDescent="0.2">
      <c r="B1930" s="254"/>
      <c r="C1930" s="254"/>
      <c r="D1930" s="254"/>
      <c r="E1930" s="254"/>
      <c r="F1930" s="254"/>
      <c r="G1930" s="254"/>
    </row>
    <row r="1931" spans="2:7" x14ac:dyDescent="0.2">
      <c r="B1931" s="254"/>
      <c r="C1931" s="254"/>
      <c r="D1931" s="254"/>
      <c r="E1931" s="254"/>
      <c r="F1931" s="254"/>
      <c r="G1931" s="254"/>
    </row>
    <row r="1932" spans="2:7" x14ac:dyDescent="0.2">
      <c r="B1932" s="254"/>
      <c r="C1932" s="254"/>
      <c r="D1932" s="254"/>
      <c r="E1932" s="254"/>
      <c r="F1932" s="254"/>
      <c r="G1932" s="254"/>
    </row>
    <row r="1933" spans="2:7" x14ac:dyDescent="0.2">
      <c r="B1933" s="254"/>
      <c r="C1933" s="254"/>
      <c r="D1933" s="254"/>
      <c r="E1933" s="254"/>
      <c r="F1933" s="254"/>
      <c r="G1933" s="254"/>
    </row>
    <row r="1934" spans="2:7" x14ac:dyDescent="0.2">
      <c r="B1934" s="254"/>
      <c r="C1934" s="254"/>
      <c r="D1934" s="254"/>
      <c r="E1934" s="254"/>
      <c r="F1934" s="254"/>
      <c r="G1934" s="254"/>
    </row>
    <row r="1935" spans="2:7" x14ac:dyDescent="0.2">
      <c r="B1935" s="254"/>
      <c r="C1935" s="254"/>
      <c r="D1935" s="254"/>
      <c r="E1935" s="254"/>
      <c r="F1935" s="254"/>
      <c r="G1935" s="254"/>
    </row>
    <row r="1936" spans="2:7" x14ac:dyDescent="0.2">
      <c r="B1936" s="254"/>
      <c r="C1936" s="254"/>
      <c r="D1936" s="254"/>
      <c r="E1936" s="254"/>
      <c r="F1936" s="254"/>
      <c r="G1936" s="254"/>
    </row>
    <row r="1937" spans="2:7" x14ac:dyDescent="0.2">
      <c r="B1937" s="254"/>
      <c r="C1937" s="254"/>
      <c r="D1937" s="254"/>
      <c r="E1937" s="254"/>
      <c r="F1937" s="254"/>
      <c r="G1937" s="254"/>
    </row>
    <row r="1938" spans="2:7" x14ac:dyDescent="0.2">
      <c r="B1938" s="254"/>
      <c r="C1938" s="254"/>
      <c r="D1938" s="254"/>
      <c r="E1938" s="254"/>
      <c r="F1938" s="254"/>
      <c r="G1938" s="254"/>
    </row>
    <row r="1939" spans="2:7" x14ac:dyDescent="0.2">
      <c r="B1939" s="254"/>
      <c r="C1939" s="254"/>
      <c r="D1939" s="254"/>
      <c r="E1939" s="254"/>
      <c r="F1939" s="254"/>
      <c r="G1939" s="254"/>
    </row>
    <row r="1940" spans="2:7" x14ac:dyDescent="0.2">
      <c r="B1940" s="254"/>
      <c r="C1940" s="254"/>
      <c r="D1940" s="254"/>
      <c r="E1940" s="254"/>
      <c r="F1940" s="254"/>
      <c r="G1940" s="254"/>
    </row>
    <row r="1941" spans="2:7" x14ac:dyDescent="0.2">
      <c r="B1941" s="254"/>
      <c r="C1941" s="254"/>
      <c r="D1941" s="254"/>
      <c r="E1941" s="254"/>
      <c r="F1941" s="254"/>
      <c r="G1941" s="254"/>
    </row>
    <row r="1942" spans="2:7" x14ac:dyDescent="0.2">
      <c r="B1942" s="254"/>
      <c r="C1942" s="254"/>
      <c r="D1942" s="254"/>
      <c r="E1942" s="254"/>
      <c r="F1942" s="254"/>
      <c r="G1942" s="254"/>
    </row>
    <row r="1943" spans="2:7" x14ac:dyDescent="0.2">
      <c r="B1943" s="254"/>
      <c r="C1943" s="254"/>
      <c r="D1943" s="254"/>
      <c r="E1943" s="254"/>
      <c r="F1943" s="254"/>
      <c r="G1943" s="254"/>
    </row>
    <row r="1944" spans="2:7" x14ac:dyDescent="0.2">
      <c r="B1944" s="254"/>
      <c r="C1944" s="254"/>
      <c r="D1944" s="254"/>
      <c r="E1944" s="254"/>
      <c r="F1944" s="254"/>
      <c r="G1944" s="254"/>
    </row>
    <row r="1945" spans="2:7" x14ac:dyDescent="0.2">
      <c r="B1945" s="254"/>
      <c r="C1945" s="254"/>
      <c r="D1945" s="254"/>
      <c r="E1945" s="254"/>
      <c r="F1945" s="254"/>
      <c r="G1945" s="254"/>
    </row>
    <row r="1946" spans="2:7" x14ac:dyDescent="0.2">
      <c r="B1946" s="254"/>
      <c r="C1946" s="254"/>
      <c r="D1946" s="254"/>
      <c r="E1946" s="254"/>
      <c r="F1946" s="254"/>
      <c r="G1946" s="254"/>
    </row>
    <row r="1947" spans="2:7" x14ac:dyDescent="0.2">
      <c r="B1947" s="254"/>
      <c r="C1947" s="254"/>
      <c r="D1947" s="254"/>
      <c r="E1947" s="254"/>
      <c r="F1947" s="254"/>
      <c r="G1947" s="254"/>
    </row>
    <row r="1948" spans="2:7" x14ac:dyDescent="0.2">
      <c r="B1948" s="254"/>
      <c r="C1948" s="254"/>
      <c r="D1948" s="254"/>
      <c r="E1948" s="254"/>
      <c r="F1948" s="254"/>
      <c r="G1948" s="254"/>
    </row>
    <row r="1949" spans="2:7" x14ac:dyDescent="0.2">
      <c r="B1949" s="254"/>
      <c r="C1949" s="254"/>
      <c r="D1949" s="254"/>
      <c r="E1949" s="254"/>
      <c r="F1949" s="254"/>
      <c r="G1949" s="254"/>
    </row>
    <row r="1950" spans="2:7" x14ac:dyDescent="0.2">
      <c r="B1950" s="254"/>
      <c r="C1950" s="254"/>
      <c r="D1950" s="254"/>
      <c r="E1950" s="254"/>
      <c r="F1950" s="254"/>
      <c r="G1950" s="254"/>
    </row>
    <row r="1951" spans="2:7" x14ac:dyDescent="0.2">
      <c r="B1951" s="254"/>
      <c r="C1951" s="254"/>
      <c r="D1951" s="254"/>
      <c r="E1951" s="254"/>
      <c r="F1951" s="254"/>
      <c r="G1951" s="254"/>
    </row>
    <row r="1952" spans="2:7" x14ac:dyDescent="0.2">
      <c r="B1952" s="254"/>
      <c r="C1952" s="254"/>
      <c r="D1952" s="254"/>
      <c r="E1952" s="254"/>
      <c r="F1952" s="254"/>
      <c r="G1952" s="254"/>
    </row>
    <row r="1953" spans="2:7" x14ac:dyDescent="0.2">
      <c r="B1953" s="254"/>
      <c r="C1953" s="254"/>
      <c r="D1953" s="254"/>
      <c r="E1953" s="254"/>
      <c r="F1953" s="254"/>
      <c r="G1953" s="254"/>
    </row>
    <row r="1954" spans="2:7" x14ac:dyDescent="0.2">
      <c r="B1954" s="254"/>
      <c r="C1954" s="254"/>
      <c r="D1954" s="254"/>
      <c r="E1954" s="254"/>
      <c r="F1954" s="254"/>
      <c r="G1954" s="254"/>
    </row>
    <row r="1955" spans="2:7" x14ac:dyDescent="0.2">
      <c r="B1955" s="254"/>
      <c r="C1955" s="254"/>
      <c r="D1955" s="254"/>
      <c r="E1955" s="254"/>
      <c r="F1955" s="254"/>
      <c r="G1955" s="254"/>
    </row>
    <row r="1956" spans="2:7" x14ac:dyDescent="0.2">
      <c r="B1956" s="254"/>
      <c r="C1956" s="254"/>
      <c r="D1956" s="254"/>
      <c r="E1956" s="254"/>
      <c r="F1956" s="254"/>
      <c r="G1956" s="254"/>
    </row>
    <row r="1957" spans="2:7" x14ac:dyDescent="0.2">
      <c r="B1957" s="254"/>
      <c r="C1957" s="254"/>
      <c r="D1957" s="254"/>
      <c r="E1957" s="254"/>
      <c r="F1957" s="254"/>
      <c r="G1957" s="254"/>
    </row>
    <row r="1958" spans="2:7" x14ac:dyDescent="0.2">
      <c r="B1958" s="254"/>
      <c r="C1958" s="254"/>
      <c r="D1958" s="254"/>
      <c r="E1958" s="254"/>
      <c r="F1958" s="254"/>
      <c r="G1958" s="254"/>
    </row>
    <row r="1959" spans="2:7" x14ac:dyDescent="0.2">
      <c r="B1959" s="254"/>
      <c r="C1959" s="254"/>
      <c r="D1959" s="254"/>
      <c r="E1959" s="254"/>
      <c r="F1959" s="254"/>
      <c r="G1959" s="254"/>
    </row>
    <row r="1960" spans="2:7" x14ac:dyDescent="0.2">
      <c r="B1960" s="254"/>
      <c r="C1960" s="254"/>
      <c r="D1960" s="254"/>
      <c r="E1960" s="254"/>
      <c r="F1960" s="254"/>
      <c r="G1960" s="254"/>
    </row>
    <row r="1961" spans="2:7" x14ac:dyDescent="0.2">
      <c r="B1961" s="254"/>
      <c r="C1961" s="254"/>
      <c r="D1961" s="254"/>
      <c r="E1961" s="254"/>
      <c r="F1961" s="254"/>
      <c r="G1961" s="254"/>
    </row>
    <row r="1962" spans="2:7" x14ac:dyDescent="0.2">
      <c r="B1962" s="254"/>
      <c r="C1962" s="254"/>
      <c r="D1962" s="254"/>
      <c r="E1962" s="254"/>
      <c r="F1962" s="254"/>
      <c r="G1962" s="254"/>
    </row>
    <row r="1963" spans="2:7" x14ac:dyDescent="0.2">
      <c r="B1963" s="254"/>
      <c r="C1963" s="254"/>
      <c r="D1963" s="254"/>
      <c r="E1963" s="254"/>
      <c r="F1963" s="254"/>
      <c r="G1963" s="254"/>
    </row>
    <row r="1964" spans="2:7" x14ac:dyDescent="0.2">
      <c r="B1964" s="254"/>
      <c r="C1964" s="254"/>
      <c r="D1964" s="254"/>
      <c r="E1964" s="254"/>
      <c r="F1964" s="254"/>
      <c r="G1964" s="254"/>
    </row>
    <row r="1965" spans="2:7" x14ac:dyDescent="0.2">
      <c r="B1965" s="254"/>
      <c r="C1965" s="254"/>
      <c r="D1965" s="254"/>
      <c r="E1965" s="254"/>
      <c r="F1965" s="254"/>
      <c r="G1965" s="254"/>
    </row>
    <row r="1966" spans="2:7" x14ac:dyDescent="0.2">
      <c r="B1966" s="254"/>
      <c r="C1966" s="254"/>
      <c r="D1966" s="254"/>
      <c r="E1966" s="254"/>
      <c r="F1966" s="254"/>
      <c r="G1966" s="254"/>
    </row>
    <row r="1967" spans="2:7" x14ac:dyDescent="0.2">
      <c r="B1967" s="254"/>
      <c r="C1967" s="254"/>
      <c r="D1967" s="254"/>
      <c r="E1967" s="254"/>
      <c r="F1967" s="254"/>
      <c r="G1967" s="254"/>
    </row>
    <row r="1968" spans="2:7" x14ac:dyDescent="0.2">
      <c r="B1968" s="254"/>
      <c r="C1968" s="254"/>
      <c r="D1968" s="254"/>
      <c r="E1968" s="254"/>
      <c r="F1968" s="254"/>
      <c r="G1968" s="254"/>
    </row>
    <row r="1969" spans="2:7" x14ac:dyDescent="0.2">
      <c r="B1969" s="254"/>
      <c r="C1969" s="254"/>
      <c r="D1969" s="254"/>
      <c r="E1969" s="254"/>
      <c r="F1969" s="254"/>
      <c r="G1969" s="254"/>
    </row>
    <row r="1970" spans="2:7" x14ac:dyDescent="0.2">
      <c r="B1970" s="254"/>
      <c r="C1970" s="254"/>
      <c r="D1970" s="254"/>
      <c r="E1970" s="254"/>
      <c r="F1970" s="254"/>
      <c r="G1970" s="254"/>
    </row>
    <row r="1971" spans="2:7" x14ac:dyDescent="0.2">
      <c r="B1971" s="254"/>
      <c r="C1971" s="254"/>
      <c r="D1971" s="254"/>
      <c r="E1971" s="254"/>
      <c r="F1971" s="254"/>
      <c r="G1971" s="254"/>
    </row>
    <row r="1972" spans="2:7" x14ac:dyDescent="0.2">
      <c r="B1972" s="254"/>
      <c r="C1972" s="254"/>
      <c r="D1972" s="254"/>
      <c r="E1972" s="254"/>
      <c r="F1972" s="254"/>
      <c r="G1972" s="254"/>
    </row>
    <row r="1973" spans="2:7" x14ac:dyDescent="0.2">
      <c r="B1973" s="254"/>
      <c r="C1973" s="254"/>
      <c r="D1973" s="254"/>
      <c r="E1973" s="254"/>
      <c r="F1973" s="254"/>
      <c r="G1973" s="254"/>
    </row>
    <row r="1974" spans="2:7" x14ac:dyDescent="0.2">
      <c r="B1974" s="254"/>
      <c r="C1974" s="254"/>
      <c r="D1974" s="254"/>
      <c r="E1974" s="254"/>
      <c r="F1974" s="254"/>
      <c r="G1974" s="254"/>
    </row>
    <row r="1975" spans="2:7" x14ac:dyDescent="0.2">
      <c r="B1975" s="254"/>
      <c r="C1975" s="254"/>
      <c r="D1975" s="254"/>
      <c r="E1975" s="254"/>
      <c r="F1975" s="254"/>
      <c r="G1975" s="254"/>
    </row>
    <row r="1976" spans="2:7" x14ac:dyDescent="0.2">
      <c r="B1976" s="254"/>
      <c r="C1976" s="254"/>
      <c r="D1976" s="254"/>
      <c r="E1976" s="254"/>
      <c r="F1976" s="254"/>
      <c r="G1976" s="254"/>
    </row>
    <row r="1977" spans="2:7" x14ac:dyDescent="0.2">
      <c r="B1977" s="254"/>
      <c r="C1977" s="254"/>
      <c r="D1977" s="254"/>
      <c r="E1977" s="254"/>
      <c r="F1977" s="254"/>
      <c r="G1977" s="254"/>
    </row>
    <row r="1978" spans="2:7" x14ac:dyDescent="0.2">
      <c r="B1978" s="254"/>
      <c r="C1978" s="254"/>
      <c r="D1978" s="254"/>
      <c r="E1978" s="254"/>
      <c r="F1978" s="254"/>
      <c r="G1978" s="254"/>
    </row>
    <row r="1979" spans="2:7" x14ac:dyDescent="0.2">
      <c r="B1979" s="254"/>
      <c r="C1979" s="254"/>
      <c r="D1979" s="254"/>
      <c r="E1979" s="254"/>
      <c r="F1979" s="254"/>
      <c r="G1979" s="254"/>
    </row>
    <row r="1980" spans="2:7" x14ac:dyDescent="0.2">
      <c r="B1980" s="254"/>
      <c r="C1980" s="254"/>
      <c r="D1980" s="254"/>
      <c r="E1980" s="254"/>
      <c r="F1980" s="254"/>
      <c r="G1980" s="254"/>
    </row>
    <row r="1981" spans="2:7" x14ac:dyDescent="0.2">
      <c r="B1981" s="254"/>
      <c r="C1981" s="254"/>
      <c r="D1981" s="254"/>
      <c r="E1981" s="254"/>
      <c r="F1981" s="254"/>
      <c r="G1981" s="254"/>
    </row>
    <row r="1982" spans="2:7" x14ac:dyDescent="0.2">
      <c r="B1982" s="254"/>
      <c r="C1982" s="254"/>
      <c r="D1982" s="254"/>
      <c r="E1982" s="254"/>
      <c r="F1982" s="254"/>
      <c r="G1982" s="254"/>
    </row>
    <row r="1983" spans="2:7" x14ac:dyDescent="0.2">
      <c r="B1983" s="254"/>
      <c r="C1983" s="254"/>
      <c r="D1983" s="254"/>
      <c r="E1983" s="254"/>
      <c r="F1983" s="254"/>
      <c r="G1983" s="254"/>
    </row>
    <row r="1984" spans="2:7" x14ac:dyDescent="0.2">
      <c r="B1984" s="254"/>
      <c r="C1984" s="254"/>
      <c r="D1984" s="254"/>
      <c r="E1984" s="254"/>
      <c r="F1984" s="254"/>
      <c r="G1984" s="254"/>
    </row>
    <row r="1985" spans="2:7" x14ac:dyDescent="0.2">
      <c r="B1985" s="254"/>
      <c r="C1985" s="254"/>
      <c r="D1985" s="254"/>
      <c r="E1985" s="254"/>
      <c r="F1985" s="254"/>
      <c r="G1985" s="254"/>
    </row>
    <row r="1986" spans="2:7" x14ac:dyDescent="0.2">
      <c r="B1986" s="254"/>
      <c r="C1986" s="254"/>
      <c r="D1986" s="254"/>
      <c r="E1986" s="254"/>
      <c r="F1986" s="254"/>
      <c r="G1986" s="254"/>
    </row>
    <row r="1987" spans="2:7" x14ac:dyDescent="0.2">
      <c r="B1987" s="254"/>
      <c r="C1987" s="254"/>
      <c r="D1987" s="254"/>
      <c r="E1987" s="254"/>
      <c r="F1987" s="254"/>
      <c r="G1987" s="254"/>
    </row>
    <row r="1988" spans="2:7" x14ac:dyDescent="0.2">
      <c r="B1988" s="254"/>
      <c r="C1988" s="254"/>
      <c r="D1988" s="254"/>
      <c r="E1988" s="254"/>
      <c r="F1988" s="254"/>
      <c r="G1988" s="254"/>
    </row>
    <row r="1989" spans="2:7" x14ac:dyDescent="0.2">
      <c r="B1989" s="254"/>
      <c r="C1989" s="254"/>
      <c r="D1989" s="254"/>
      <c r="E1989" s="254"/>
      <c r="F1989" s="254"/>
      <c r="G1989" s="254"/>
    </row>
    <row r="1990" spans="2:7" x14ac:dyDescent="0.2">
      <c r="B1990" s="254"/>
      <c r="C1990" s="254"/>
      <c r="D1990" s="254"/>
      <c r="E1990" s="254"/>
      <c r="F1990" s="254"/>
      <c r="G1990" s="254"/>
    </row>
    <row r="1991" spans="2:7" x14ac:dyDescent="0.2">
      <c r="B1991" s="254"/>
      <c r="C1991" s="254"/>
      <c r="D1991" s="254"/>
      <c r="E1991" s="254"/>
      <c r="F1991" s="254"/>
      <c r="G1991" s="254"/>
    </row>
    <row r="1992" spans="2:7" x14ac:dyDescent="0.2">
      <c r="B1992" s="254"/>
      <c r="C1992" s="254"/>
      <c r="D1992" s="254"/>
      <c r="E1992" s="254"/>
      <c r="F1992" s="254"/>
      <c r="G1992" s="254"/>
    </row>
    <row r="1993" spans="2:7" x14ac:dyDescent="0.2">
      <c r="B1993" s="254"/>
      <c r="C1993" s="254"/>
      <c r="D1993" s="254"/>
      <c r="E1993" s="254"/>
      <c r="F1993" s="254"/>
      <c r="G1993" s="254"/>
    </row>
    <row r="1994" spans="2:7" x14ac:dyDescent="0.2">
      <c r="B1994" s="254"/>
      <c r="C1994" s="254"/>
      <c r="D1994" s="254"/>
      <c r="E1994" s="254"/>
      <c r="F1994" s="254"/>
      <c r="G1994" s="254"/>
    </row>
    <row r="1995" spans="2:7" x14ac:dyDescent="0.2">
      <c r="B1995" s="254"/>
      <c r="C1995" s="254"/>
      <c r="D1995" s="254"/>
      <c r="E1995" s="254"/>
      <c r="F1995" s="254"/>
      <c r="G1995" s="254"/>
    </row>
    <row r="1996" spans="2:7" x14ac:dyDescent="0.2">
      <c r="B1996" s="254"/>
      <c r="C1996" s="254"/>
      <c r="D1996" s="254"/>
      <c r="E1996" s="254"/>
      <c r="F1996" s="254"/>
      <c r="G1996" s="254"/>
    </row>
    <row r="1997" spans="2:7" x14ac:dyDescent="0.2">
      <c r="B1997" s="254"/>
      <c r="C1997" s="254"/>
      <c r="D1997" s="254"/>
      <c r="E1997" s="254"/>
      <c r="F1997" s="254"/>
      <c r="G1997" s="254"/>
    </row>
  </sheetData>
  <autoFilter ref="B3:R3" xr:uid="{3CB10457-D57B-C342-84BB-EBF806DC9C32}"/>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47D2-EDD5-8D49-99CD-8F4CE3948A59}">
  <sheetPr codeName="Sheet9"/>
  <dimension ref="A1:K20"/>
  <sheetViews>
    <sheetView workbookViewId="0">
      <selection activeCell="A21" sqref="A21:XFD21"/>
    </sheetView>
  </sheetViews>
  <sheetFormatPr baseColWidth="10" defaultRowHeight="16" x14ac:dyDescent="0.2"/>
  <cols>
    <col min="1" max="1" width="4.83203125" style="29" customWidth="1"/>
    <col min="2" max="2" width="35.83203125" style="193" customWidth="1"/>
    <col min="3" max="5" width="24.83203125" style="193" customWidth="1"/>
    <col min="6" max="6" width="20.83203125" style="193" customWidth="1"/>
    <col min="7" max="7" width="45.83203125" style="193" customWidth="1"/>
    <col min="8" max="8" width="80.83203125" style="193" customWidth="1"/>
    <col min="9" max="9" width="8.83203125" style="193" customWidth="1"/>
    <col min="10" max="10" width="27.83203125" style="29" customWidth="1"/>
    <col min="11" max="11" width="20.83203125" style="29" customWidth="1"/>
    <col min="12" max="16384" width="10.83203125" style="29"/>
  </cols>
  <sheetData>
    <row r="1" spans="1:11" s="36" customFormat="1" ht="21" x14ac:dyDescent="0.25">
      <c r="A1" s="46" t="s">
        <v>102</v>
      </c>
      <c r="B1" s="20" t="s">
        <v>84</v>
      </c>
      <c r="C1" s="193"/>
      <c r="D1" s="193"/>
      <c r="E1" s="193"/>
      <c r="F1" s="193"/>
      <c r="G1" s="193"/>
      <c r="H1" s="193"/>
      <c r="I1" s="193"/>
      <c r="J1" s="193"/>
      <c r="K1" s="193"/>
    </row>
    <row r="2" spans="1:11" s="27" customFormat="1" ht="60" x14ac:dyDescent="0.2">
      <c r="B2" s="21" t="s">
        <v>793</v>
      </c>
      <c r="C2" s="21" t="s">
        <v>2840</v>
      </c>
      <c r="D2" s="21" t="s">
        <v>2839</v>
      </c>
      <c r="E2" s="21" t="s">
        <v>2834</v>
      </c>
      <c r="F2" s="21" t="s">
        <v>1038</v>
      </c>
      <c r="G2" s="21" t="s">
        <v>1100</v>
      </c>
      <c r="H2" s="21" t="s">
        <v>45</v>
      </c>
      <c r="I2" s="193"/>
      <c r="J2" s="21" t="s">
        <v>59</v>
      </c>
      <c r="K2" s="21" t="s">
        <v>71</v>
      </c>
    </row>
    <row r="3" spans="1:11" s="27" customFormat="1" ht="20" x14ac:dyDescent="0.2">
      <c r="B3" s="217"/>
      <c r="C3" s="18"/>
      <c r="D3" s="18"/>
      <c r="E3" s="18" t="s">
        <v>30</v>
      </c>
      <c r="F3" s="18" t="s">
        <v>30</v>
      </c>
      <c r="G3" s="18"/>
      <c r="H3" s="18"/>
      <c r="I3" s="193"/>
      <c r="J3" s="18" t="s">
        <v>60</v>
      </c>
      <c r="K3" s="18" t="s">
        <v>70</v>
      </c>
    </row>
    <row r="4" spans="1:11" s="27" customFormat="1" ht="40" x14ac:dyDescent="0.2">
      <c r="B4" s="19" t="s">
        <v>2829</v>
      </c>
      <c r="C4" s="243"/>
      <c r="D4" s="243"/>
      <c r="E4" s="243">
        <v>0.94</v>
      </c>
      <c r="F4" s="246" t="s">
        <v>2823</v>
      </c>
      <c r="G4" s="244"/>
      <c r="H4" s="217" t="s">
        <v>2828</v>
      </c>
      <c r="I4" s="193"/>
      <c r="J4" s="110">
        <v>14</v>
      </c>
      <c r="K4" s="148">
        <v>7</v>
      </c>
    </row>
    <row r="5" spans="1:11" s="36" customFormat="1" ht="40" x14ac:dyDescent="0.2">
      <c r="B5" s="19" t="s">
        <v>2830</v>
      </c>
      <c r="C5" s="243"/>
      <c r="D5" s="243"/>
      <c r="E5" s="243">
        <v>0.94</v>
      </c>
      <c r="F5" s="246" t="s">
        <v>2823</v>
      </c>
      <c r="G5" s="244"/>
      <c r="H5" s="217" t="s">
        <v>2831</v>
      </c>
      <c r="I5" s="193"/>
    </row>
    <row r="6" spans="1:11" s="36" customFormat="1" ht="20" x14ac:dyDescent="0.2">
      <c r="A6" s="193"/>
      <c r="B6" s="19" t="s">
        <v>151</v>
      </c>
      <c r="C6" s="243"/>
      <c r="D6" s="243"/>
      <c r="E6" s="243">
        <v>0.95</v>
      </c>
      <c r="F6" s="246" t="s">
        <v>2823</v>
      </c>
      <c r="G6" s="244"/>
      <c r="H6" s="217" t="s">
        <v>2833</v>
      </c>
      <c r="I6" s="193"/>
    </row>
    <row r="7" spans="1:11" s="193" customFormat="1" ht="20" x14ac:dyDescent="0.2">
      <c r="B7" s="19" t="s">
        <v>1048</v>
      </c>
      <c r="C7" s="243"/>
      <c r="D7" s="243"/>
      <c r="E7" s="243">
        <v>0.97</v>
      </c>
      <c r="F7" s="246" t="s">
        <v>2823</v>
      </c>
      <c r="G7" s="244"/>
      <c r="H7" s="217" t="s">
        <v>2833</v>
      </c>
    </row>
    <row r="8" spans="1:11" s="193" customFormat="1" ht="20" x14ac:dyDescent="0.2">
      <c r="B8" s="19" t="s">
        <v>2832</v>
      </c>
      <c r="C8" s="243"/>
      <c r="D8" s="243"/>
      <c r="E8" s="243">
        <v>1</v>
      </c>
      <c r="F8" s="246" t="s">
        <v>2823</v>
      </c>
      <c r="G8" s="244"/>
      <c r="H8" s="217" t="s">
        <v>2833</v>
      </c>
    </row>
    <row r="9" spans="1:11" s="193" customFormat="1" ht="120" x14ac:dyDescent="0.2">
      <c r="B9" s="19" t="s">
        <v>1019</v>
      </c>
      <c r="C9" s="243">
        <v>0.6</v>
      </c>
      <c r="D9" s="243">
        <v>0.53700000000000003</v>
      </c>
      <c r="E9" s="243">
        <f>C9*D9</f>
        <v>0.32219999999999999</v>
      </c>
      <c r="F9" s="246" t="s">
        <v>2823</v>
      </c>
      <c r="G9" s="245" t="s">
        <v>2836</v>
      </c>
      <c r="H9" s="217" t="s">
        <v>2838</v>
      </c>
    </row>
    <row r="10" spans="1:11" s="14" customFormat="1" ht="20" x14ac:dyDescent="0.25">
      <c r="A10" s="193"/>
      <c r="B10" s="19" t="s">
        <v>1034</v>
      </c>
      <c r="C10" s="243"/>
      <c r="D10" s="243"/>
      <c r="E10" s="243">
        <v>1</v>
      </c>
      <c r="F10" s="246" t="s">
        <v>2823</v>
      </c>
      <c r="G10" s="244"/>
      <c r="H10" s="217" t="s">
        <v>2835</v>
      </c>
      <c r="I10" s="193"/>
      <c r="J10" s="193"/>
    </row>
    <row r="11" spans="1:11" s="192" customFormat="1" ht="20" x14ac:dyDescent="0.25">
      <c r="A11" s="193"/>
      <c r="B11" s="19" t="s">
        <v>977</v>
      </c>
      <c r="C11" s="243"/>
      <c r="D11" s="243"/>
      <c r="E11" s="243">
        <v>1</v>
      </c>
      <c r="F11" s="246" t="s">
        <v>2823</v>
      </c>
      <c r="G11" s="244"/>
      <c r="H11" s="217" t="s">
        <v>2835</v>
      </c>
      <c r="I11" s="193"/>
      <c r="J11" s="193"/>
    </row>
    <row r="12" spans="1:11" s="7" customFormat="1" ht="20" x14ac:dyDescent="0.25">
      <c r="A12" s="193"/>
      <c r="B12" s="19" t="s">
        <v>2824</v>
      </c>
      <c r="C12" s="243"/>
      <c r="D12" s="243"/>
      <c r="E12" s="243">
        <v>0.26</v>
      </c>
      <c r="F12" s="246" t="s">
        <v>2823</v>
      </c>
      <c r="G12" s="244"/>
      <c r="H12" s="217" t="s">
        <v>2835</v>
      </c>
      <c r="I12" s="193"/>
      <c r="J12" s="193"/>
    </row>
    <row r="13" spans="1:11" s="7" customFormat="1" ht="20" x14ac:dyDescent="0.25">
      <c r="A13" s="193"/>
      <c r="B13" s="19" t="s">
        <v>2825</v>
      </c>
      <c r="C13" s="243"/>
      <c r="D13" s="243"/>
      <c r="E13" s="243">
        <v>0.24</v>
      </c>
      <c r="F13" s="246" t="s">
        <v>2823</v>
      </c>
      <c r="G13" s="244"/>
      <c r="H13" s="217" t="s">
        <v>2835</v>
      </c>
      <c r="I13" s="193"/>
    </row>
    <row r="14" spans="1:11" s="13" customFormat="1" x14ac:dyDescent="0.2">
      <c r="A14" s="193"/>
      <c r="B14" s="193"/>
      <c r="C14" s="193"/>
      <c r="D14" s="193"/>
      <c r="E14" s="193"/>
      <c r="F14" s="193"/>
      <c r="G14" s="193"/>
      <c r="H14" s="193"/>
      <c r="I14" s="193"/>
    </row>
    <row r="15" spans="1:11" s="191" customFormat="1" x14ac:dyDescent="0.2">
      <c r="A15" s="193"/>
      <c r="B15" s="193"/>
      <c r="C15" s="193"/>
      <c r="D15" s="193"/>
      <c r="E15" s="193"/>
      <c r="F15" s="193"/>
      <c r="G15" s="193"/>
      <c r="H15" s="193"/>
      <c r="I15" s="193"/>
    </row>
    <row r="16" spans="1:11" ht="19" x14ac:dyDescent="0.2">
      <c r="A16" s="47" t="s">
        <v>1042</v>
      </c>
    </row>
    <row r="17" spans="1:1" ht="19" x14ac:dyDescent="0.25">
      <c r="A17" s="57" t="s">
        <v>678</v>
      </c>
    </row>
    <row r="18" spans="1:1" ht="19" x14ac:dyDescent="0.25">
      <c r="A18" s="7" t="s">
        <v>2826</v>
      </c>
    </row>
    <row r="19" spans="1:1" ht="19" x14ac:dyDescent="0.25">
      <c r="A19" s="7" t="s">
        <v>2827</v>
      </c>
    </row>
    <row r="20" spans="1:1" s="90" customFormat="1" ht="19" x14ac:dyDescent="0.25">
      <c r="A20" s="5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EAB8D-DA10-BC4D-8873-B66F9103B008}">
  <sheetPr codeName="Sheet10"/>
  <dimension ref="A1:W9"/>
  <sheetViews>
    <sheetView topLeftCell="B1" workbookViewId="0">
      <selection activeCell="N3" sqref="N3"/>
    </sheetView>
  </sheetViews>
  <sheetFormatPr baseColWidth="10" defaultRowHeight="16" x14ac:dyDescent="0.2"/>
  <cols>
    <col min="1" max="1" width="4.83203125" style="98" customWidth="1"/>
    <col min="2" max="2" width="49.83203125" style="98" customWidth="1"/>
    <col min="3" max="13" width="10.83203125" style="98"/>
    <col min="14" max="14" width="10.83203125" style="165"/>
    <col min="15" max="16384" width="10.83203125" style="98"/>
  </cols>
  <sheetData>
    <row r="1" spans="1:23" s="81" customFormat="1" ht="20" customHeight="1" x14ac:dyDescent="0.25">
      <c r="A1" s="89" t="s">
        <v>102</v>
      </c>
      <c r="B1" s="147" t="s">
        <v>964</v>
      </c>
      <c r="C1" s="18" t="s">
        <v>958</v>
      </c>
      <c r="D1" s="18">
        <v>2009</v>
      </c>
      <c r="E1" s="18">
        <v>2010</v>
      </c>
      <c r="F1" s="18">
        <v>2011</v>
      </c>
      <c r="G1" s="18">
        <v>2012</v>
      </c>
      <c r="H1" s="18">
        <v>2013</v>
      </c>
      <c r="I1" s="18">
        <v>2014</v>
      </c>
      <c r="J1" s="18">
        <v>2015</v>
      </c>
      <c r="K1" s="18">
        <v>2016</v>
      </c>
      <c r="L1" s="18">
        <v>2017</v>
      </c>
      <c r="M1" s="18">
        <v>2018</v>
      </c>
      <c r="N1" s="18" t="s">
        <v>1101</v>
      </c>
    </row>
    <row r="2" spans="1:23" ht="20" x14ac:dyDescent="0.2">
      <c r="B2" s="141" t="s">
        <v>965</v>
      </c>
      <c r="C2" s="142" t="s">
        <v>966</v>
      </c>
      <c r="D2" s="99"/>
      <c r="E2" s="48"/>
      <c r="F2" s="48"/>
      <c r="G2" s="48"/>
      <c r="H2" s="112">
        <v>56267</v>
      </c>
      <c r="I2" s="112">
        <v>57261</v>
      </c>
      <c r="J2" s="112">
        <v>56663</v>
      </c>
      <c r="K2" s="112">
        <v>56998</v>
      </c>
      <c r="L2" s="112">
        <v>56533</v>
      </c>
      <c r="M2" s="112">
        <v>57330</v>
      </c>
      <c r="N2" s="33"/>
    </row>
    <row r="3" spans="1:23" ht="20" x14ac:dyDescent="0.2">
      <c r="B3" s="141" t="s">
        <v>967</v>
      </c>
      <c r="C3" s="142" t="s">
        <v>966</v>
      </c>
      <c r="D3" s="99"/>
      <c r="E3" s="99"/>
      <c r="F3" s="99"/>
      <c r="G3" s="99"/>
      <c r="H3" s="99">
        <f t="shared" ref="H3:M3" si="0">H2-G2</f>
        <v>56267</v>
      </c>
      <c r="I3" s="99">
        <f t="shared" si="0"/>
        <v>994</v>
      </c>
      <c r="J3" s="99">
        <f t="shared" si="0"/>
        <v>-598</v>
      </c>
      <c r="K3" s="99">
        <f t="shared" si="0"/>
        <v>335</v>
      </c>
      <c r="L3" s="99">
        <f t="shared" si="0"/>
        <v>-465</v>
      </c>
      <c r="M3" s="99">
        <f t="shared" si="0"/>
        <v>797</v>
      </c>
      <c r="N3" s="33" t="s">
        <v>2904</v>
      </c>
    </row>
    <row r="4" spans="1:23" ht="20" x14ac:dyDescent="0.2">
      <c r="B4" s="141" t="s">
        <v>968</v>
      </c>
      <c r="C4" s="142" t="s">
        <v>963</v>
      </c>
      <c r="D4" s="143"/>
      <c r="E4" s="143"/>
      <c r="F4" s="143"/>
      <c r="G4" s="143"/>
      <c r="H4" s="143"/>
      <c r="I4" s="143">
        <f t="shared" ref="I4:M4" si="1">I3/H2</f>
        <v>1.7665772122203067E-2</v>
      </c>
      <c r="J4" s="143">
        <f t="shared" si="1"/>
        <v>-1.0443408253436022E-2</v>
      </c>
      <c r="K4" s="143">
        <f t="shared" si="1"/>
        <v>5.9121472565871911E-3</v>
      </c>
      <c r="L4" s="143">
        <f t="shared" si="1"/>
        <v>-8.1581809888066244E-3</v>
      </c>
      <c r="M4" s="143">
        <f t="shared" si="1"/>
        <v>1.4097960483257566E-2</v>
      </c>
      <c r="N4" s="84">
        <f>(M2/H2)^(1/(6-1))-1</f>
        <v>3.7501802492865277E-3</v>
      </c>
    </row>
    <row r="5" spans="1:23" ht="19" x14ac:dyDescent="0.25">
      <c r="C5" s="83"/>
      <c r="D5" s="144"/>
      <c r="E5" s="144"/>
      <c r="F5" s="144"/>
      <c r="G5" s="144"/>
      <c r="H5" s="144"/>
      <c r="I5" s="144"/>
      <c r="J5" s="144"/>
      <c r="K5" s="144"/>
      <c r="L5" s="144"/>
      <c r="M5" s="144"/>
      <c r="N5" s="7"/>
      <c r="O5" s="7"/>
      <c r="P5" s="7"/>
      <c r="Q5" s="7"/>
      <c r="R5" s="7"/>
      <c r="S5" s="7"/>
      <c r="T5" s="7"/>
      <c r="U5" s="7"/>
      <c r="V5" s="7"/>
      <c r="W5" s="7"/>
    </row>
    <row r="6" spans="1:23" ht="19" x14ac:dyDescent="0.2">
      <c r="A6" s="47" t="s">
        <v>54</v>
      </c>
      <c r="B6" s="83"/>
    </row>
    <row r="7" spans="1:23" s="7" customFormat="1" ht="19" x14ac:dyDescent="0.25">
      <c r="B7" s="98"/>
      <c r="C7" s="98"/>
      <c r="D7" s="98"/>
      <c r="E7" s="98"/>
      <c r="F7" s="98"/>
      <c r="G7" s="98"/>
      <c r="H7" s="98"/>
      <c r="I7" s="98"/>
      <c r="J7" s="98"/>
      <c r="K7" s="98"/>
      <c r="L7" s="98"/>
      <c r="M7" s="98"/>
    </row>
    <row r="8" spans="1:23" s="7" customFormat="1" ht="19" x14ac:dyDescent="0.25">
      <c r="C8" s="98"/>
      <c r="D8" s="98"/>
      <c r="E8" s="98"/>
      <c r="F8" s="98"/>
      <c r="G8" s="98"/>
      <c r="H8" s="98"/>
      <c r="I8" s="98"/>
      <c r="J8" s="98"/>
      <c r="K8" s="98"/>
      <c r="L8" s="98"/>
      <c r="M8" s="98"/>
    </row>
    <row r="9" spans="1:23" ht="19" x14ac:dyDescent="0.25">
      <c r="B9" s="7"/>
      <c r="C9" s="7"/>
      <c r="D9" s="7"/>
      <c r="E9" s="7"/>
      <c r="F9" s="7"/>
      <c r="G9" s="7"/>
      <c r="H9" s="7"/>
      <c r="I9" s="7"/>
      <c r="J9" s="7"/>
      <c r="K9" s="7"/>
      <c r="L9" s="7"/>
      <c r="M9" s="7"/>
      <c r="N9" s="7"/>
      <c r="O9" s="7"/>
      <c r="P9" s="7"/>
      <c r="Q9" s="7"/>
      <c r="R9" s="7"/>
      <c r="S9" s="7"/>
      <c r="T9" s="7"/>
      <c r="U9" s="7"/>
      <c r="V9" s="7"/>
      <c r="W9" s="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1EA4-3E77-F44C-BA2D-F07C2F9DA7AA}">
  <sheetPr codeName="Sheet11"/>
  <dimension ref="A1:X8"/>
  <sheetViews>
    <sheetView workbookViewId="0">
      <selection activeCell="A7" sqref="A7"/>
    </sheetView>
  </sheetViews>
  <sheetFormatPr baseColWidth="10" defaultRowHeight="16" x14ac:dyDescent="0.2"/>
  <cols>
    <col min="1" max="1" width="4.83203125" style="98" customWidth="1"/>
    <col min="2" max="2" width="49.83203125" style="98" customWidth="1"/>
    <col min="3" max="16384" width="10.83203125" style="98"/>
  </cols>
  <sheetData>
    <row r="1" spans="1:24" s="81" customFormat="1" ht="21" x14ac:dyDescent="0.25">
      <c r="A1" s="89" t="s">
        <v>102</v>
      </c>
      <c r="B1" s="146" t="s">
        <v>86</v>
      </c>
      <c r="C1" s="18" t="s">
        <v>958</v>
      </c>
      <c r="D1" s="18">
        <v>2009</v>
      </c>
      <c r="E1" s="18">
        <v>2010</v>
      </c>
      <c r="F1" s="18">
        <v>2011</v>
      </c>
      <c r="G1" s="18">
        <v>2012</v>
      </c>
      <c r="H1" s="18">
        <v>2013</v>
      </c>
      <c r="I1" s="18">
        <v>2014</v>
      </c>
      <c r="J1" s="18">
        <v>2015</v>
      </c>
      <c r="K1" s="18">
        <v>2016</v>
      </c>
      <c r="L1" s="18">
        <v>2017</v>
      </c>
      <c r="M1" s="18">
        <v>2018</v>
      </c>
    </row>
    <row r="2" spans="1:24" ht="20" x14ac:dyDescent="0.2">
      <c r="B2" s="141" t="s">
        <v>959</v>
      </c>
      <c r="C2" s="142" t="s">
        <v>960</v>
      </c>
      <c r="D2" s="99"/>
      <c r="E2" s="48"/>
      <c r="F2" s="48"/>
      <c r="G2" s="48"/>
      <c r="H2" s="48"/>
      <c r="I2" s="48"/>
      <c r="J2" s="48"/>
      <c r="K2" s="48"/>
      <c r="L2" s="48"/>
      <c r="M2" s="48"/>
    </row>
    <row r="3" spans="1:24" ht="20" x14ac:dyDescent="0.2">
      <c r="B3" s="141" t="s">
        <v>961</v>
      </c>
      <c r="C3" s="142" t="s">
        <v>960</v>
      </c>
      <c r="D3" s="99"/>
      <c r="E3" s="99"/>
      <c r="F3" s="99">
        <f t="shared" ref="F3:M3" si="0">F2-E2</f>
        <v>0</v>
      </c>
      <c r="G3" s="99">
        <f t="shared" si="0"/>
        <v>0</v>
      </c>
      <c r="H3" s="99">
        <f t="shared" si="0"/>
        <v>0</v>
      </c>
      <c r="I3" s="99">
        <f t="shared" si="0"/>
        <v>0</v>
      </c>
      <c r="J3" s="99">
        <f t="shared" si="0"/>
        <v>0</v>
      </c>
      <c r="K3" s="99">
        <f t="shared" si="0"/>
        <v>0</v>
      </c>
      <c r="L3" s="99">
        <f t="shared" si="0"/>
        <v>0</v>
      </c>
      <c r="M3" s="99">
        <f t="shared" si="0"/>
        <v>0</v>
      </c>
    </row>
    <row r="4" spans="1:24" ht="20" x14ac:dyDescent="0.2">
      <c r="B4" s="141" t="s">
        <v>962</v>
      </c>
      <c r="C4" s="142" t="s">
        <v>963</v>
      </c>
      <c r="D4" s="143"/>
      <c r="E4" s="143"/>
      <c r="F4" s="143" t="e">
        <f t="shared" ref="F4:M4" si="1">F3/E2</f>
        <v>#DIV/0!</v>
      </c>
      <c r="G4" s="143" t="e">
        <f t="shared" si="1"/>
        <v>#DIV/0!</v>
      </c>
      <c r="H4" s="143" t="e">
        <f t="shared" si="1"/>
        <v>#DIV/0!</v>
      </c>
      <c r="I4" s="143" t="e">
        <f t="shared" si="1"/>
        <v>#DIV/0!</v>
      </c>
      <c r="J4" s="143" t="e">
        <f t="shared" si="1"/>
        <v>#DIV/0!</v>
      </c>
      <c r="K4" s="143" t="e">
        <f t="shared" si="1"/>
        <v>#DIV/0!</v>
      </c>
      <c r="L4" s="143" t="e">
        <f t="shared" si="1"/>
        <v>#DIV/0!</v>
      </c>
      <c r="M4" s="143" t="e">
        <f t="shared" si="1"/>
        <v>#DIV/0!</v>
      </c>
    </row>
    <row r="5" spans="1:24" ht="19" x14ac:dyDescent="0.25">
      <c r="C5" s="83"/>
      <c r="D5" s="144"/>
      <c r="E5" s="144"/>
      <c r="F5" s="144"/>
      <c r="G5" s="144"/>
      <c r="H5" s="144"/>
      <c r="I5" s="144"/>
      <c r="J5" s="144"/>
      <c r="K5" s="144"/>
      <c r="L5" s="144"/>
      <c r="M5" s="144"/>
      <c r="N5" s="7"/>
      <c r="O5" s="7"/>
      <c r="P5" s="7"/>
      <c r="Q5" s="7"/>
      <c r="R5" s="7"/>
      <c r="S5" s="7"/>
      <c r="T5" s="7"/>
      <c r="U5" s="7"/>
      <c r="V5" s="7"/>
      <c r="W5" s="7"/>
      <c r="X5" s="7"/>
    </row>
    <row r="6" spans="1:24" ht="19" x14ac:dyDescent="0.2">
      <c r="A6" s="47" t="s">
        <v>54</v>
      </c>
      <c r="B6" s="83"/>
    </row>
    <row r="7" spans="1:24" s="7" customFormat="1" ht="19" x14ac:dyDescent="0.25">
      <c r="B7" s="98"/>
      <c r="C7" s="98"/>
      <c r="D7" s="98"/>
      <c r="E7" s="98"/>
      <c r="F7" s="98"/>
      <c r="G7" s="98"/>
      <c r="H7" s="98"/>
      <c r="I7" s="98"/>
      <c r="J7" s="98"/>
      <c r="K7" s="98"/>
      <c r="L7" s="98"/>
      <c r="M7" s="98"/>
    </row>
    <row r="8" spans="1:24" s="7" customFormat="1" ht="19" x14ac:dyDescent="0.25">
      <c r="C8" s="98"/>
      <c r="D8" s="98"/>
      <c r="E8" s="98"/>
      <c r="F8" s="98"/>
      <c r="G8" s="98"/>
      <c r="H8" s="98"/>
      <c r="I8" s="98"/>
      <c r="J8" s="98"/>
      <c r="K8" s="98"/>
      <c r="L8" s="98"/>
      <c r="M8" s="9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58376-5B9E-9E4C-962D-05739243A181}">
  <sheetPr codeName="Sheet12"/>
  <dimension ref="A1:AA47"/>
  <sheetViews>
    <sheetView zoomScaleNormal="100" workbookViewId="0">
      <pane xSplit="3" ySplit="1" topLeftCell="P2" activePane="bottomRight" state="frozen"/>
      <selection pane="topRight" activeCell="D1" sqref="D1"/>
      <selection pane="bottomLeft" activeCell="A2" sqref="A2"/>
      <selection pane="bottomRight" activeCell="Q5" sqref="Q5"/>
    </sheetView>
  </sheetViews>
  <sheetFormatPr baseColWidth="10" defaultRowHeight="16" x14ac:dyDescent="0.2"/>
  <cols>
    <col min="1" max="1" width="4.83203125" style="82" customWidth="1"/>
    <col min="2" max="2" width="78.83203125" style="82" customWidth="1"/>
    <col min="3" max="3" width="22.83203125" style="83" customWidth="1"/>
    <col min="4" max="4" width="10.6640625" style="83" customWidth="1"/>
    <col min="5" max="5" width="9.83203125" style="83" customWidth="1"/>
    <col min="6" max="6" width="10.83203125" style="82"/>
    <col min="7" max="7" width="11.6640625" style="82" bestFit="1" customWidth="1"/>
    <col min="8" max="24" width="10.83203125" style="82"/>
    <col min="25" max="26" width="19.1640625" style="82" customWidth="1"/>
    <col min="27" max="27" width="57.5" style="82" customWidth="1"/>
    <col min="28" max="16384" width="10.83203125" style="82"/>
  </cols>
  <sheetData>
    <row r="1" spans="1:27" s="81" customFormat="1" ht="21" x14ac:dyDescent="0.2">
      <c r="A1" s="78" t="s">
        <v>102</v>
      </c>
      <c r="B1" s="145" t="s">
        <v>2908</v>
      </c>
      <c r="C1" s="18" t="s">
        <v>679</v>
      </c>
      <c r="D1" s="18" t="s">
        <v>680</v>
      </c>
      <c r="E1" s="18" t="s">
        <v>681</v>
      </c>
      <c r="F1" s="18" t="s">
        <v>682</v>
      </c>
      <c r="G1" s="18" t="s">
        <v>683</v>
      </c>
      <c r="H1" s="18" t="s">
        <v>684</v>
      </c>
      <c r="I1" s="18" t="s">
        <v>685</v>
      </c>
      <c r="J1" s="18" t="s">
        <v>686</v>
      </c>
      <c r="K1" s="18" t="s">
        <v>687</v>
      </c>
      <c r="L1" s="18" t="s">
        <v>688</v>
      </c>
      <c r="M1" s="18" t="s">
        <v>689</v>
      </c>
      <c r="N1" s="18" t="s">
        <v>690</v>
      </c>
      <c r="O1" s="18" t="s">
        <v>691</v>
      </c>
      <c r="P1" s="18" t="s">
        <v>692</v>
      </c>
      <c r="Q1" s="18" t="s">
        <v>693</v>
      </c>
      <c r="R1" s="18" t="s">
        <v>694</v>
      </c>
      <c r="S1" s="18" t="s">
        <v>695</v>
      </c>
      <c r="T1" s="18" t="s">
        <v>696</v>
      </c>
      <c r="U1" s="18" t="s">
        <v>697</v>
      </c>
      <c r="V1" s="18" t="s">
        <v>770</v>
      </c>
      <c r="W1" s="18" t="s">
        <v>771</v>
      </c>
      <c r="X1" s="18" t="s">
        <v>772</v>
      </c>
      <c r="Y1" s="18" t="s">
        <v>802</v>
      </c>
      <c r="Z1" s="18" t="s">
        <v>998</v>
      </c>
      <c r="AA1" s="18" t="s">
        <v>45</v>
      </c>
    </row>
    <row r="2" spans="1:27" ht="20" x14ac:dyDescent="0.2">
      <c r="B2" s="111" t="s">
        <v>698</v>
      </c>
      <c r="C2" s="33"/>
      <c r="D2" s="99"/>
      <c r="E2" s="99"/>
      <c r="F2" s="99"/>
      <c r="G2" s="99"/>
      <c r="H2" s="99"/>
      <c r="I2" s="99"/>
      <c r="J2" s="99"/>
      <c r="K2" s="99"/>
      <c r="L2" s="99"/>
      <c r="M2" s="99"/>
      <c r="N2" s="99"/>
      <c r="O2" s="99"/>
      <c r="P2" s="99"/>
      <c r="Q2" s="99"/>
      <c r="R2" s="99"/>
      <c r="S2" s="99"/>
      <c r="T2" s="99"/>
      <c r="U2" s="99"/>
      <c r="V2" s="99"/>
      <c r="W2" s="99"/>
      <c r="X2" s="99"/>
      <c r="Y2" s="99"/>
      <c r="Z2" s="99"/>
      <c r="AA2" s="19"/>
    </row>
    <row r="3" spans="1:27" ht="20" x14ac:dyDescent="0.2">
      <c r="B3" s="111" t="s">
        <v>699</v>
      </c>
      <c r="C3" s="33" t="s">
        <v>700</v>
      </c>
      <c r="D3" s="110">
        <v>46014</v>
      </c>
      <c r="E3" s="110">
        <v>48491</v>
      </c>
      <c r="F3" s="112">
        <v>46916</v>
      </c>
      <c r="G3" s="112">
        <v>46916</v>
      </c>
      <c r="H3" s="112">
        <v>46916</v>
      </c>
      <c r="I3" s="112">
        <v>47282</v>
      </c>
      <c r="J3" s="112">
        <v>50808</v>
      </c>
      <c r="K3" s="112">
        <v>52202</v>
      </c>
      <c r="L3" s="112">
        <v>52202</v>
      </c>
      <c r="M3" s="112">
        <v>52202</v>
      </c>
      <c r="N3" s="112">
        <v>52202</v>
      </c>
      <c r="O3" s="112">
        <v>52202</v>
      </c>
      <c r="P3" s="112">
        <v>52202</v>
      </c>
      <c r="Q3" s="112">
        <v>52202</v>
      </c>
      <c r="R3" s="112">
        <v>52202</v>
      </c>
      <c r="S3" s="112">
        <v>52202</v>
      </c>
      <c r="T3" s="112">
        <v>52202</v>
      </c>
      <c r="U3" s="112">
        <v>52202</v>
      </c>
      <c r="V3" s="112">
        <v>52202</v>
      </c>
      <c r="W3" s="112">
        <v>52202</v>
      </c>
      <c r="X3" s="112">
        <v>52202</v>
      </c>
      <c r="Y3" s="99"/>
      <c r="Z3" s="99"/>
      <c r="AA3" s="19"/>
    </row>
    <row r="4" spans="1:27" ht="20" x14ac:dyDescent="0.2">
      <c r="B4" s="111" t="s">
        <v>701</v>
      </c>
      <c r="C4" s="33" t="s">
        <v>702</v>
      </c>
      <c r="D4" s="110">
        <v>14337</v>
      </c>
      <c r="E4" s="110">
        <v>14364</v>
      </c>
      <c r="F4" s="112">
        <v>16359</v>
      </c>
      <c r="G4" s="112">
        <v>16227</v>
      </c>
      <c r="H4" s="112">
        <v>14193</v>
      </c>
      <c r="I4" s="112">
        <v>13783</v>
      </c>
      <c r="J4" s="112">
        <v>13505</v>
      </c>
      <c r="K4" s="112">
        <v>13224</v>
      </c>
      <c r="L4" s="112">
        <v>13115</v>
      </c>
      <c r="M4" s="112">
        <v>13008</v>
      </c>
      <c r="N4" s="112">
        <v>12542</v>
      </c>
      <c r="O4" s="112">
        <v>11770</v>
      </c>
      <c r="P4" s="112">
        <v>11228</v>
      </c>
      <c r="Q4" s="112">
        <v>10880</v>
      </c>
      <c r="R4" s="112">
        <v>10671</v>
      </c>
      <c r="S4" s="112">
        <v>10366</v>
      </c>
      <c r="T4" s="112">
        <v>9664</v>
      </c>
      <c r="U4" s="112">
        <v>8136</v>
      </c>
      <c r="V4" s="112">
        <v>7684</v>
      </c>
      <c r="W4" s="112">
        <v>7511</v>
      </c>
      <c r="X4" s="112">
        <v>7180</v>
      </c>
      <c r="Y4" s="99"/>
      <c r="Z4" s="99"/>
      <c r="AA4" s="19"/>
    </row>
    <row r="5" spans="1:27" ht="20" x14ac:dyDescent="0.2">
      <c r="B5" s="111" t="s">
        <v>703</v>
      </c>
      <c r="C5" s="33"/>
      <c r="D5" s="110"/>
      <c r="E5" s="110"/>
      <c r="F5" s="112"/>
      <c r="G5" s="112"/>
      <c r="H5" s="112"/>
      <c r="I5" s="112"/>
      <c r="J5" s="112"/>
      <c r="K5" s="112"/>
      <c r="L5" s="112"/>
      <c r="M5" s="112"/>
      <c r="N5" s="112"/>
      <c r="O5" s="112"/>
      <c r="P5" s="112"/>
      <c r="Q5" s="112"/>
      <c r="R5" s="112"/>
      <c r="S5" s="112"/>
      <c r="T5" s="112"/>
      <c r="U5" s="112"/>
      <c r="V5" s="112"/>
      <c r="W5" s="112"/>
      <c r="X5" s="112"/>
      <c r="Y5" s="99"/>
      <c r="Z5" s="99"/>
      <c r="AA5" s="19"/>
    </row>
    <row r="6" spans="1:27" ht="20" x14ac:dyDescent="0.2">
      <c r="B6" s="111" t="s">
        <v>704</v>
      </c>
      <c r="C6" s="33"/>
      <c r="D6" s="110">
        <v>571</v>
      </c>
      <c r="E6" s="110">
        <v>647</v>
      </c>
      <c r="F6" s="112">
        <v>1058</v>
      </c>
      <c r="G6" s="112">
        <v>1280</v>
      </c>
      <c r="H6" s="112">
        <v>3270</v>
      </c>
      <c r="I6" s="112">
        <v>3628</v>
      </c>
      <c r="J6" s="112">
        <v>3845</v>
      </c>
      <c r="K6" s="112">
        <v>4124</v>
      </c>
      <c r="L6" s="112">
        <v>4208</v>
      </c>
      <c r="M6" s="112">
        <v>4291</v>
      </c>
      <c r="N6" s="112">
        <v>4660</v>
      </c>
      <c r="O6" s="112">
        <v>5154</v>
      </c>
      <c r="P6" s="112">
        <v>5624</v>
      </c>
      <c r="Q6" s="112">
        <v>5826</v>
      </c>
      <c r="R6" s="112">
        <v>5951</v>
      </c>
      <c r="S6" s="112">
        <v>6188</v>
      </c>
      <c r="T6" s="112">
        <v>6832</v>
      </c>
      <c r="U6" s="112">
        <v>8123</v>
      </c>
      <c r="V6" s="112">
        <v>8550</v>
      </c>
      <c r="W6" s="112">
        <v>8723</v>
      </c>
      <c r="X6" s="112">
        <v>9048</v>
      </c>
      <c r="Y6" s="99"/>
      <c r="Z6" s="99"/>
      <c r="AA6" s="19"/>
    </row>
    <row r="7" spans="1:27" ht="20" x14ac:dyDescent="0.2">
      <c r="B7" s="111" t="s">
        <v>773</v>
      </c>
      <c r="C7" s="33"/>
      <c r="D7" s="110">
        <v>291</v>
      </c>
      <c r="E7" s="110">
        <v>419</v>
      </c>
      <c r="F7" s="112">
        <v>27</v>
      </c>
      <c r="G7" s="112">
        <v>182</v>
      </c>
      <c r="H7" s="112">
        <v>226</v>
      </c>
      <c r="I7" s="112">
        <v>226</v>
      </c>
      <c r="J7" s="112">
        <v>226</v>
      </c>
      <c r="K7" s="112">
        <v>226</v>
      </c>
      <c r="L7" s="112">
        <v>226</v>
      </c>
      <c r="M7" s="112">
        <v>226</v>
      </c>
      <c r="N7" s="112">
        <v>226</v>
      </c>
      <c r="O7" s="112">
        <v>226</v>
      </c>
      <c r="P7" s="112">
        <v>226</v>
      </c>
      <c r="Q7" s="112">
        <v>226</v>
      </c>
      <c r="R7" s="112">
        <v>226</v>
      </c>
      <c r="S7" s="112">
        <v>226</v>
      </c>
      <c r="T7" s="112">
        <v>226</v>
      </c>
      <c r="U7" s="112">
        <v>226</v>
      </c>
      <c r="V7" s="112">
        <v>226</v>
      </c>
      <c r="W7" s="112">
        <v>226</v>
      </c>
      <c r="X7" s="112">
        <v>226</v>
      </c>
      <c r="Y7" s="99"/>
      <c r="Z7" s="99"/>
      <c r="AA7" s="19"/>
    </row>
    <row r="8" spans="1:27" ht="20" x14ac:dyDescent="0.2">
      <c r="B8" s="111" t="s">
        <v>413</v>
      </c>
      <c r="C8" s="33"/>
      <c r="D8" s="110"/>
      <c r="E8" s="110"/>
      <c r="F8" s="112"/>
      <c r="G8" s="112"/>
      <c r="H8" s="112"/>
      <c r="I8" s="112"/>
      <c r="J8" s="112"/>
      <c r="K8" s="112"/>
      <c r="L8" s="112"/>
      <c r="M8" s="112"/>
      <c r="N8" s="112"/>
      <c r="O8" s="112"/>
      <c r="P8" s="112"/>
      <c r="Q8" s="112"/>
      <c r="R8" s="112"/>
      <c r="S8" s="112"/>
      <c r="T8" s="112"/>
      <c r="U8" s="112">
        <v>11</v>
      </c>
      <c r="V8" s="112">
        <v>26</v>
      </c>
      <c r="W8" s="112">
        <v>26</v>
      </c>
      <c r="X8" s="112">
        <v>26</v>
      </c>
      <c r="Y8" s="99"/>
      <c r="Z8" s="99"/>
      <c r="AA8" s="19"/>
    </row>
    <row r="9" spans="1:27" ht="20" x14ac:dyDescent="0.2">
      <c r="B9" s="111" t="s">
        <v>705</v>
      </c>
      <c r="C9" s="33" t="s">
        <v>706</v>
      </c>
      <c r="D9" s="110">
        <v>862</v>
      </c>
      <c r="E9" s="110">
        <v>1066</v>
      </c>
      <c r="F9" s="112">
        <f>SUM(F6:F8)</f>
        <v>1085</v>
      </c>
      <c r="G9" s="112">
        <f t="shared" ref="G9:X9" si="0">SUM(G6:G8)</f>
        <v>1462</v>
      </c>
      <c r="H9" s="112">
        <f t="shared" si="0"/>
        <v>3496</v>
      </c>
      <c r="I9" s="112">
        <f t="shared" si="0"/>
        <v>3854</v>
      </c>
      <c r="J9" s="112">
        <f t="shared" si="0"/>
        <v>4071</v>
      </c>
      <c r="K9" s="112">
        <f t="shared" si="0"/>
        <v>4350</v>
      </c>
      <c r="L9" s="112">
        <f t="shared" si="0"/>
        <v>4434</v>
      </c>
      <c r="M9" s="112">
        <f t="shared" si="0"/>
        <v>4517</v>
      </c>
      <c r="N9" s="112">
        <f t="shared" si="0"/>
        <v>4886</v>
      </c>
      <c r="O9" s="112">
        <f t="shared" si="0"/>
        <v>5380</v>
      </c>
      <c r="P9" s="112">
        <f t="shared" si="0"/>
        <v>5850</v>
      </c>
      <c r="Q9" s="112">
        <f t="shared" si="0"/>
        <v>6052</v>
      </c>
      <c r="R9" s="112">
        <f t="shared" si="0"/>
        <v>6177</v>
      </c>
      <c r="S9" s="112">
        <f t="shared" si="0"/>
        <v>6414</v>
      </c>
      <c r="T9" s="112">
        <f t="shared" si="0"/>
        <v>7058</v>
      </c>
      <c r="U9" s="112">
        <f t="shared" si="0"/>
        <v>8360</v>
      </c>
      <c r="V9" s="112">
        <f t="shared" si="0"/>
        <v>8802</v>
      </c>
      <c r="W9" s="112">
        <f t="shared" si="0"/>
        <v>8975</v>
      </c>
      <c r="X9" s="112">
        <f t="shared" si="0"/>
        <v>9300</v>
      </c>
      <c r="Y9" s="99"/>
      <c r="Z9" s="99"/>
      <c r="AA9" s="19"/>
    </row>
    <row r="10" spans="1:27" s="85" customFormat="1" ht="20" x14ac:dyDescent="0.2">
      <c r="B10" s="111" t="s">
        <v>791</v>
      </c>
      <c r="C10" s="33" t="s">
        <v>707</v>
      </c>
      <c r="D10" s="110">
        <f t="shared" ref="D10:E10" si="1">SUM(D3:D7)</f>
        <v>61213</v>
      </c>
      <c r="E10" s="110">
        <f t="shared" si="1"/>
        <v>63921</v>
      </c>
      <c r="F10" s="112">
        <f>SUM(F3:F7)</f>
        <v>64360</v>
      </c>
      <c r="G10" s="112">
        <f t="shared" ref="G10:X10" si="2">SUM(G3:G7)</f>
        <v>64605</v>
      </c>
      <c r="H10" s="112">
        <f t="shared" si="2"/>
        <v>64605</v>
      </c>
      <c r="I10" s="112">
        <f t="shared" si="2"/>
        <v>64919</v>
      </c>
      <c r="J10" s="112">
        <f t="shared" si="2"/>
        <v>68384</v>
      </c>
      <c r="K10" s="112">
        <f t="shared" si="2"/>
        <v>69776</v>
      </c>
      <c r="L10" s="112">
        <f t="shared" si="2"/>
        <v>69751</v>
      </c>
      <c r="M10" s="112">
        <f t="shared" si="2"/>
        <v>69727</v>
      </c>
      <c r="N10" s="112">
        <f t="shared" si="2"/>
        <v>69630</v>
      </c>
      <c r="O10" s="112">
        <f t="shared" si="2"/>
        <v>69352</v>
      </c>
      <c r="P10" s="112">
        <f t="shared" si="2"/>
        <v>69280</v>
      </c>
      <c r="Q10" s="112">
        <f t="shared" si="2"/>
        <v>69134</v>
      </c>
      <c r="R10" s="112">
        <f t="shared" si="2"/>
        <v>69050</v>
      </c>
      <c r="S10" s="112">
        <f t="shared" si="2"/>
        <v>68982</v>
      </c>
      <c r="T10" s="112">
        <f t="shared" si="2"/>
        <v>68924</v>
      </c>
      <c r="U10" s="112">
        <f t="shared" si="2"/>
        <v>68687</v>
      </c>
      <c r="V10" s="112">
        <f t="shared" si="2"/>
        <v>68662</v>
      </c>
      <c r="W10" s="112">
        <f t="shared" si="2"/>
        <v>68662</v>
      </c>
      <c r="X10" s="112">
        <f t="shared" si="2"/>
        <v>68656</v>
      </c>
      <c r="Y10" s="99"/>
      <c r="Z10" s="99"/>
      <c r="AA10" s="19"/>
    </row>
    <row r="11" spans="1:27" s="108" customFormat="1" ht="19" x14ac:dyDescent="0.2">
      <c r="B11" s="111"/>
      <c r="C11" s="33"/>
      <c r="D11" s="110"/>
      <c r="E11" s="110"/>
      <c r="F11" s="112"/>
      <c r="G11" s="112"/>
      <c r="H11" s="112"/>
      <c r="I11" s="112"/>
      <c r="J11" s="112"/>
      <c r="K11" s="112"/>
      <c r="L11" s="112"/>
      <c r="M11" s="112"/>
      <c r="N11" s="112"/>
      <c r="O11" s="112"/>
      <c r="P11" s="112"/>
      <c r="Q11" s="112"/>
      <c r="R11" s="112"/>
      <c r="S11" s="112"/>
      <c r="T11" s="112"/>
      <c r="U11" s="112"/>
      <c r="V11" s="112"/>
      <c r="W11" s="112"/>
      <c r="X11" s="112"/>
      <c r="Y11" s="99"/>
      <c r="Z11" s="99"/>
      <c r="AA11" s="19"/>
    </row>
    <row r="12" spans="1:27" ht="20" x14ac:dyDescent="0.2">
      <c r="B12" s="111" t="s">
        <v>708</v>
      </c>
      <c r="C12" s="33"/>
      <c r="D12" s="110"/>
      <c r="E12" s="110"/>
      <c r="F12" s="112"/>
      <c r="G12" s="112"/>
      <c r="H12" s="112"/>
      <c r="I12" s="112"/>
      <c r="J12" s="112"/>
      <c r="K12" s="112"/>
      <c r="L12" s="112"/>
      <c r="M12" s="112"/>
      <c r="N12" s="112"/>
      <c r="O12" s="112"/>
      <c r="P12" s="112"/>
      <c r="Q12" s="112"/>
      <c r="R12" s="112"/>
      <c r="S12" s="112"/>
      <c r="T12" s="112"/>
      <c r="U12" s="112"/>
      <c r="V12" s="112"/>
      <c r="W12" s="112"/>
      <c r="X12" s="112"/>
      <c r="Y12" s="99"/>
      <c r="Z12" s="99"/>
      <c r="AA12" s="19"/>
    </row>
    <row r="13" spans="1:27" ht="20" x14ac:dyDescent="0.2">
      <c r="B13" s="111" t="s">
        <v>774</v>
      </c>
      <c r="C13" s="33" t="s">
        <v>709</v>
      </c>
      <c r="D13" s="110">
        <v>-60561</v>
      </c>
      <c r="E13" s="110">
        <v>-61624</v>
      </c>
      <c r="F13" s="112">
        <v>-60738</v>
      </c>
      <c r="G13" s="112">
        <v>-60688</v>
      </c>
      <c r="H13" s="112">
        <v>-61759</v>
      </c>
      <c r="I13" s="112">
        <v>-63383</v>
      </c>
      <c r="J13" s="112">
        <v>-64993</v>
      </c>
      <c r="K13" s="112">
        <v>-66144</v>
      </c>
      <c r="L13" s="112">
        <v>-67358</v>
      </c>
      <c r="M13" s="112">
        <v>-68011</v>
      </c>
      <c r="N13" s="112">
        <v>-68741</v>
      </c>
      <c r="O13" s="112">
        <v>-69291</v>
      </c>
      <c r="P13" s="112">
        <v>-69913</v>
      </c>
      <c r="Q13" s="112">
        <v>-70537</v>
      </c>
      <c r="R13" s="112">
        <v>-71244</v>
      </c>
      <c r="S13" s="112">
        <v>-71932</v>
      </c>
      <c r="T13" s="112">
        <v>-72645</v>
      </c>
      <c r="U13" s="112">
        <v>-73350</v>
      </c>
      <c r="V13" s="112">
        <v>-74097</v>
      </c>
      <c r="W13" s="112">
        <v>-74827</v>
      </c>
      <c r="X13" s="112">
        <v>-75551</v>
      </c>
      <c r="Y13" s="99"/>
      <c r="Z13" s="99"/>
      <c r="AA13" s="19"/>
    </row>
    <row r="14" spans="1:27" s="85" customFormat="1" ht="19" x14ac:dyDescent="0.2">
      <c r="B14" s="111"/>
      <c r="C14" s="33"/>
      <c r="D14" s="110"/>
      <c r="E14" s="110"/>
      <c r="F14" s="112"/>
      <c r="G14" s="112"/>
      <c r="H14" s="112"/>
      <c r="I14" s="112"/>
      <c r="J14" s="112"/>
      <c r="K14" s="112"/>
      <c r="L14" s="112"/>
      <c r="M14" s="112"/>
      <c r="N14" s="112"/>
      <c r="O14" s="112"/>
      <c r="P14" s="112"/>
      <c r="Q14" s="112"/>
      <c r="R14" s="112"/>
      <c r="S14" s="112"/>
      <c r="T14" s="112"/>
      <c r="U14" s="112"/>
      <c r="V14" s="112"/>
      <c r="W14" s="112"/>
      <c r="X14" s="112"/>
      <c r="Y14" s="99"/>
      <c r="Z14" s="99"/>
      <c r="AA14" s="19"/>
    </row>
    <row r="15" spans="1:27" ht="20" x14ac:dyDescent="0.2">
      <c r="B15" s="111" t="s">
        <v>710</v>
      </c>
      <c r="C15" s="33"/>
      <c r="D15" s="110"/>
      <c r="E15" s="110"/>
      <c r="F15" s="112"/>
      <c r="G15" s="112"/>
      <c r="H15" s="112"/>
      <c r="I15" s="112"/>
      <c r="J15" s="112"/>
      <c r="K15" s="112"/>
      <c r="L15" s="112"/>
      <c r="M15" s="112"/>
      <c r="N15" s="112"/>
      <c r="O15" s="112"/>
      <c r="P15" s="112"/>
      <c r="Q15" s="112"/>
      <c r="R15" s="112"/>
      <c r="S15" s="112"/>
      <c r="T15" s="112"/>
      <c r="U15" s="112"/>
      <c r="V15" s="112"/>
      <c r="W15" s="112"/>
      <c r="X15" s="112"/>
      <c r="Y15" s="99"/>
      <c r="Z15" s="99"/>
      <c r="AA15" s="19"/>
    </row>
    <row r="16" spans="1:27" ht="20" x14ac:dyDescent="0.2">
      <c r="B16" s="111" t="s">
        <v>775</v>
      </c>
      <c r="C16" s="33"/>
      <c r="D16" s="110">
        <v>171</v>
      </c>
      <c r="E16" s="110">
        <v>188</v>
      </c>
      <c r="F16" s="112">
        <v>695</v>
      </c>
      <c r="G16" s="112">
        <v>686</v>
      </c>
      <c r="H16" s="112">
        <v>679</v>
      </c>
      <c r="I16" s="112">
        <v>676</v>
      </c>
      <c r="J16" s="112">
        <v>665</v>
      </c>
      <c r="K16" s="112">
        <v>657</v>
      </c>
      <c r="L16" s="112">
        <v>654</v>
      </c>
      <c r="M16" s="112">
        <v>650</v>
      </c>
      <c r="N16" s="112">
        <v>638</v>
      </c>
      <c r="O16" s="112">
        <v>622</v>
      </c>
      <c r="P16" s="112">
        <v>613</v>
      </c>
      <c r="Q16" s="112">
        <v>593</v>
      </c>
      <c r="R16" s="112">
        <v>572</v>
      </c>
      <c r="S16" s="112">
        <v>505</v>
      </c>
      <c r="T16" s="112">
        <v>434</v>
      </c>
      <c r="U16" s="112">
        <v>420</v>
      </c>
      <c r="V16" s="112">
        <v>411</v>
      </c>
      <c r="W16" s="112">
        <v>406</v>
      </c>
      <c r="X16" s="112">
        <v>401</v>
      </c>
      <c r="Y16" s="99"/>
      <c r="Z16" s="99"/>
      <c r="AA16" s="19"/>
    </row>
    <row r="17" spans="2:27" ht="20" x14ac:dyDescent="0.2">
      <c r="B17" s="111" t="s">
        <v>776</v>
      </c>
      <c r="C17" s="33"/>
      <c r="D17" s="110">
        <v>939</v>
      </c>
      <c r="E17" s="110">
        <v>940</v>
      </c>
      <c r="F17" s="112">
        <v>615</v>
      </c>
      <c r="G17" s="112">
        <v>964</v>
      </c>
      <c r="H17" s="112">
        <v>1235</v>
      </c>
      <c r="I17" s="112">
        <v>1482</v>
      </c>
      <c r="J17" s="112">
        <v>1713</v>
      </c>
      <c r="K17" s="112">
        <v>1920</v>
      </c>
      <c r="L17" s="112">
        <v>2108</v>
      </c>
      <c r="M17" s="112">
        <v>2271</v>
      </c>
      <c r="N17" s="112">
        <v>2427</v>
      </c>
      <c r="O17" s="112">
        <v>2584</v>
      </c>
      <c r="P17" s="112">
        <v>2726</v>
      </c>
      <c r="Q17" s="112">
        <v>2856</v>
      </c>
      <c r="R17" s="112">
        <v>2982</v>
      </c>
      <c r="S17" s="112">
        <v>3110</v>
      </c>
      <c r="T17" s="112">
        <v>3239</v>
      </c>
      <c r="U17" s="112">
        <v>3367</v>
      </c>
      <c r="V17" s="112">
        <v>3494</v>
      </c>
      <c r="W17" s="112">
        <v>3622</v>
      </c>
      <c r="X17" s="112">
        <v>3750</v>
      </c>
      <c r="Y17" s="99"/>
      <c r="Z17" s="99"/>
      <c r="AA17" s="19"/>
    </row>
    <row r="18" spans="2:27" ht="20" x14ac:dyDescent="0.2">
      <c r="B18" s="111" t="s">
        <v>711</v>
      </c>
      <c r="C18" s="33"/>
      <c r="D18" s="110"/>
      <c r="E18" s="110"/>
      <c r="F18" s="112"/>
      <c r="G18" s="112"/>
      <c r="H18" s="112"/>
      <c r="I18" s="112"/>
      <c r="J18" s="112"/>
      <c r="K18" s="112"/>
      <c r="L18" s="112"/>
      <c r="M18" s="112"/>
      <c r="N18" s="112"/>
      <c r="O18" s="112"/>
      <c r="P18" s="112"/>
      <c r="Q18" s="112"/>
      <c r="R18" s="112"/>
      <c r="S18" s="112"/>
      <c r="T18" s="112"/>
      <c r="U18" s="112"/>
      <c r="V18" s="112"/>
      <c r="W18" s="112"/>
      <c r="X18" s="112"/>
      <c r="Y18" s="99"/>
      <c r="Z18" s="99"/>
      <c r="AA18" s="19"/>
    </row>
    <row r="19" spans="2:27" ht="20" x14ac:dyDescent="0.2">
      <c r="B19" s="111" t="s">
        <v>777</v>
      </c>
      <c r="C19" s="33"/>
      <c r="D19" s="110">
        <v>1679</v>
      </c>
      <c r="E19" s="110">
        <v>1896</v>
      </c>
      <c r="F19" s="112">
        <v>381</v>
      </c>
      <c r="G19" s="112">
        <v>569</v>
      </c>
      <c r="H19" s="112">
        <v>698</v>
      </c>
      <c r="I19" s="112">
        <v>832</v>
      </c>
      <c r="J19" s="112">
        <v>954</v>
      </c>
      <c r="K19" s="112">
        <v>1070</v>
      </c>
      <c r="L19" s="112">
        <v>1188</v>
      </c>
      <c r="M19" s="112">
        <v>1298</v>
      </c>
      <c r="N19" s="112">
        <v>1398</v>
      </c>
      <c r="O19" s="112">
        <v>1493</v>
      </c>
      <c r="P19" s="112">
        <v>1512</v>
      </c>
      <c r="Q19" s="112">
        <v>1517</v>
      </c>
      <c r="R19" s="112">
        <v>1562</v>
      </c>
      <c r="S19" s="112">
        <v>1592</v>
      </c>
      <c r="T19" s="112">
        <v>1619</v>
      </c>
      <c r="U19" s="112">
        <v>1631</v>
      </c>
      <c r="V19" s="112">
        <v>1630</v>
      </c>
      <c r="W19" s="112">
        <v>1624</v>
      </c>
      <c r="X19" s="112">
        <v>1615</v>
      </c>
      <c r="Y19" s="99"/>
      <c r="Z19" s="99"/>
      <c r="AA19" s="19"/>
    </row>
    <row r="20" spans="2:27" ht="20" x14ac:dyDescent="0.2">
      <c r="B20" s="111" t="s">
        <v>778</v>
      </c>
      <c r="C20" s="33"/>
      <c r="D20" s="110">
        <v>0</v>
      </c>
      <c r="E20" s="110">
        <v>292</v>
      </c>
      <c r="F20" s="112">
        <v>128</v>
      </c>
      <c r="G20" s="112">
        <v>144</v>
      </c>
      <c r="H20" s="112">
        <v>149</v>
      </c>
      <c r="I20" s="112">
        <v>145</v>
      </c>
      <c r="J20" s="112">
        <v>142</v>
      </c>
      <c r="K20" s="112">
        <v>140</v>
      </c>
      <c r="L20" s="112">
        <v>139</v>
      </c>
      <c r="M20" s="112">
        <v>138</v>
      </c>
      <c r="N20" s="112">
        <v>137</v>
      </c>
      <c r="O20" s="112">
        <v>137</v>
      </c>
      <c r="P20" s="112">
        <v>137</v>
      </c>
      <c r="Q20" s="112">
        <v>137</v>
      </c>
      <c r="R20" s="112">
        <v>136</v>
      </c>
      <c r="S20" s="112">
        <v>136</v>
      </c>
      <c r="T20" s="112">
        <v>136</v>
      </c>
      <c r="U20" s="112">
        <v>136</v>
      </c>
      <c r="V20" s="112">
        <v>135</v>
      </c>
      <c r="W20" s="112">
        <v>135</v>
      </c>
      <c r="X20" s="112">
        <v>135</v>
      </c>
      <c r="Y20" s="99"/>
      <c r="Z20" s="99"/>
      <c r="AA20" s="19"/>
    </row>
    <row r="21" spans="2:27" s="85" customFormat="1" ht="20" x14ac:dyDescent="0.2">
      <c r="B21" s="111" t="s">
        <v>789</v>
      </c>
      <c r="C21" s="33" t="s">
        <v>712</v>
      </c>
      <c r="D21" s="110">
        <f>SUM(D16:D20)</f>
        <v>2789</v>
      </c>
      <c r="E21" s="110">
        <f>SUM(E16:E20)</f>
        <v>3316</v>
      </c>
      <c r="F21" s="112">
        <f t="shared" ref="F21:X21" si="3">SUM(F16:F20)</f>
        <v>1819</v>
      </c>
      <c r="G21" s="112">
        <f t="shared" si="3"/>
        <v>2363</v>
      </c>
      <c r="H21" s="112">
        <f t="shared" si="3"/>
        <v>2761</v>
      </c>
      <c r="I21" s="112">
        <f t="shared" si="3"/>
        <v>3135</v>
      </c>
      <c r="J21" s="112">
        <f t="shared" si="3"/>
        <v>3474</v>
      </c>
      <c r="K21" s="112">
        <f t="shared" si="3"/>
        <v>3787</v>
      </c>
      <c r="L21" s="112">
        <f t="shared" si="3"/>
        <v>4089</v>
      </c>
      <c r="M21" s="112">
        <f t="shared" si="3"/>
        <v>4357</v>
      </c>
      <c r="N21" s="112">
        <f t="shared" si="3"/>
        <v>4600</v>
      </c>
      <c r="O21" s="112">
        <f t="shared" si="3"/>
        <v>4836</v>
      </c>
      <c r="P21" s="112">
        <f t="shared" si="3"/>
        <v>4988</v>
      </c>
      <c r="Q21" s="112">
        <f t="shared" si="3"/>
        <v>5103</v>
      </c>
      <c r="R21" s="112">
        <f t="shared" si="3"/>
        <v>5252</v>
      </c>
      <c r="S21" s="112">
        <f t="shared" si="3"/>
        <v>5343</v>
      </c>
      <c r="T21" s="112">
        <f t="shared" si="3"/>
        <v>5428</v>
      </c>
      <c r="U21" s="112">
        <f t="shared" si="3"/>
        <v>5554</v>
      </c>
      <c r="V21" s="112">
        <f t="shared" si="3"/>
        <v>5670</v>
      </c>
      <c r="W21" s="112">
        <f t="shared" si="3"/>
        <v>5787</v>
      </c>
      <c r="X21" s="112">
        <f t="shared" si="3"/>
        <v>5901</v>
      </c>
      <c r="Y21" s="99"/>
      <c r="Z21" s="99"/>
      <c r="AA21" s="19"/>
    </row>
    <row r="22" spans="2:27" s="85" customFormat="1" ht="19" x14ac:dyDescent="0.2">
      <c r="B22" s="111"/>
      <c r="C22" s="33"/>
      <c r="D22" s="110"/>
      <c r="E22" s="110"/>
      <c r="F22" s="112"/>
      <c r="G22" s="112"/>
      <c r="H22" s="112"/>
      <c r="I22" s="112"/>
      <c r="J22" s="112"/>
      <c r="K22" s="112"/>
      <c r="L22" s="112"/>
      <c r="M22" s="112"/>
      <c r="N22" s="112"/>
      <c r="O22" s="112"/>
      <c r="P22" s="112"/>
      <c r="Q22" s="112"/>
      <c r="R22" s="112"/>
      <c r="S22" s="112"/>
      <c r="T22" s="112"/>
      <c r="U22" s="112"/>
      <c r="V22" s="112"/>
      <c r="W22" s="112"/>
      <c r="X22" s="112"/>
      <c r="Y22" s="99"/>
      <c r="Z22" s="99"/>
      <c r="AA22" s="19"/>
    </row>
    <row r="23" spans="2:27" ht="20" x14ac:dyDescent="0.2">
      <c r="B23" s="111" t="s">
        <v>779</v>
      </c>
      <c r="C23" s="33" t="s">
        <v>713</v>
      </c>
      <c r="D23" s="110">
        <f t="shared" ref="D23:E23" si="4">D10+D13+D21</f>
        <v>3441</v>
      </c>
      <c r="E23" s="110">
        <f t="shared" si="4"/>
        <v>5613</v>
      </c>
      <c r="F23" s="112">
        <f>F10+F13+F21</f>
        <v>5441</v>
      </c>
      <c r="G23" s="112">
        <f t="shared" ref="G23:X23" si="5">G10+G13+G21</f>
        <v>6280</v>
      </c>
      <c r="H23" s="112">
        <f t="shared" si="5"/>
        <v>5607</v>
      </c>
      <c r="I23" s="112">
        <f t="shared" si="5"/>
        <v>4671</v>
      </c>
      <c r="J23" s="112">
        <f t="shared" si="5"/>
        <v>6865</v>
      </c>
      <c r="K23" s="112">
        <f t="shared" si="5"/>
        <v>7419</v>
      </c>
      <c r="L23" s="112">
        <f t="shared" si="5"/>
        <v>6482</v>
      </c>
      <c r="M23" s="112">
        <f t="shared" si="5"/>
        <v>6073</v>
      </c>
      <c r="N23" s="112">
        <f t="shared" si="5"/>
        <v>5489</v>
      </c>
      <c r="O23" s="112">
        <f t="shared" si="5"/>
        <v>4897</v>
      </c>
      <c r="P23" s="112">
        <f t="shared" si="5"/>
        <v>4355</v>
      </c>
      <c r="Q23" s="112">
        <f t="shared" si="5"/>
        <v>3700</v>
      </c>
      <c r="R23" s="112">
        <f t="shared" si="5"/>
        <v>3058</v>
      </c>
      <c r="S23" s="112">
        <f t="shared" si="5"/>
        <v>2393</v>
      </c>
      <c r="T23" s="112">
        <f t="shared" si="5"/>
        <v>1707</v>
      </c>
      <c r="U23" s="112">
        <f t="shared" si="5"/>
        <v>891</v>
      </c>
      <c r="V23" s="112">
        <f t="shared" si="5"/>
        <v>235</v>
      </c>
      <c r="W23" s="112">
        <f t="shared" si="5"/>
        <v>-378</v>
      </c>
      <c r="X23" s="112">
        <f t="shared" si="5"/>
        <v>-994</v>
      </c>
      <c r="Y23" s="99"/>
      <c r="Z23" s="99"/>
      <c r="AA23" s="19"/>
    </row>
    <row r="24" spans="2:27" ht="20" x14ac:dyDescent="0.25">
      <c r="B24" s="111" t="s">
        <v>780</v>
      </c>
      <c r="C24" s="33"/>
      <c r="D24" s="109">
        <f t="shared" ref="D24:E24" si="6">-D10/(D13+D21)</f>
        <v>1.0595617254033096</v>
      </c>
      <c r="E24" s="109">
        <f t="shared" si="6"/>
        <v>1.0962646635110105</v>
      </c>
      <c r="F24" s="113">
        <f>-F10/(F13+F21)</f>
        <v>1.0923471206232285</v>
      </c>
      <c r="G24" s="113">
        <f t="shared" ref="G24:X24" si="7">-G10/(G13+G21)</f>
        <v>1.1076725246463781</v>
      </c>
      <c r="H24" s="113">
        <f t="shared" si="7"/>
        <v>1.0950371199023696</v>
      </c>
      <c r="I24" s="113">
        <f t="shared" si="7"/>
        <v>1.0775295445491966</v>
      </c>
      <c r="J24" s="113">
        <f t="shared" si="7"/>
        <v>1.1115915408247858</v>
      </c>
      <c r="K24" s="113">
        <f t="shared" si="7"/>
        <v>1.1189762175858364</v>
      </c>
      <c r="L24" s="113">
        <f t="shared" si="7"/>
        <v>1.102451437512842</v>
      </c>
      <c r="M24" s="113">
        <f t="shared" si="7"/>
        <v>1.0954064159361547</v>
      </c>
      <c r="N24" s="113">
        <f t="shared" si="7"/>
        <v>1.0855770879780484</v>
      </c>
      <c r="O24" s="113">
        <f t="shared" si="7"/>
        <v>1.0759754867737181</v>
      </c>
      <c r="P24" s="113">
        <f t="shared" si="7"/>
        <v>1.0670773969965344</v>
      </c>
      <c r="Q24" s="113">
        <f t="shared" si="7"/>
        <v>1.0565455267903536</v>
      </c>
      <c r="R24" s="113">
        <f t="shared" si="7"/>
        <v>1.0463389501757789</v>
      </c>
      <c r="S24" s="113">
        <f t="shared" si="7"/>
        <v>1.0359368664494135</v>
      </c>
      <c r="T24" s="113">
        <f t="shared" si="7"/>
        <v>1.0253953612925302</v>
      </c>
      <c r="U24" s="113">
        <f t="shared" si="7"/>
        <v>1.0131423682813145</v>
      </c>
      <c r="V24" s="113">
        <f t="shared" si="7"/>
        <v>1.0034343168632265</v>
      </c>
      <c r="W24" s="113">
        <f t="shared" si="7"/>
        <v>0.9945249130938586</v>
      </c>
      <c r="X24" s="113">
        <f t="shared" si="7"/>
        <v>0.98572864321608045</v>
      </c>
      <c r="Y24" s="99"/>
      <c r="Z24" s="99"/>
      <c r="AA24" s="19"/>
    </row>
    <row r="25" spans="2:27" ht="19" x14ac:dyDescent="0.2">
      <c r="B25" s="111"/>
      <c r="C25" s="33"/>
      <c r="D25" s="110"/>
      <c r="E25" s="110"/>
      <c r="F25" s="112"/>
      <c r="G25" s="112"/>
      <c r="H25" s="112"/>
      <c r="I25" s="112"/>
      <c r="J25" s="112"/>
      <c r="K25" s="112"/>
      <c r="L25" s="112"/>
      <c r="M25" s="112"/>
      <c r="N25" s="112"/>
      <c r="O25" s="112"/>
      <c r="P25" s="112"/>
      <c r="Q25" s="112"/>
      <c r="R25" s="112"/>
      <c r="S25" s="112"/>
      <c r="T25" s="112"/>
      <c r="U25" s="112"/>
      <c r="V25" s="112"/>
      <c r="W25" s="112"/>
      <c r="X25" s="112"/>
      <c r="Y25" s="99"/>
      <c r="Z25" s="99"/>
      <c r="AA25" s="19"/>
    </row>
    <row r="26" spans="2:27" ht="20" x14ac:dyDescent="0.2">
      <c r="B26" s="111" t="s">
        <v>781</v>
      </c>
      <c r="C26" s="33" t="s">
        <v>716</v>
      </c>
      <c r="D26" s="110">
        <v>6536</v>
      </c>
      <c r="E26" s="110">
        <v>9087</v>
      </c>
      <c r="F26" s="112">
        <v>7272</v>
      </c>
      <c r="G26" s="112">
        <v>8448</v>
      </c>
      <c r="H26" s="112">
        <v>8224</v>
      </c>
      <c r="I26" s="112">
        <v>7746</v>
      </c>
      <c r="J26" s="112">
        <v>10128</v>
      </c>
      <c r="K26" s="112">
        <v>10864</v>
      </c>
      <c r="L26" s="112">
        <v>10345</v>
      </c>
      <c r="M26" s="112">
        <v>10156</v>
      </c>
      <c r="N26" s="112">
        <v>10240</v>
      </c>
      <c r="O26" s="112">
        <v>10070</v>
      </c>
      <c r="P26" s="112">
        <v>9760</v>
      </c>
      <c r="Q26" s="112">
        <v>9275</v>
      </c>
      <c r="R26" s="112">
        <v>8737</v>
      </c>
      <c r="S26" s="112">
        <v>8188</v>
      </c>
      <c r="T26" s="112">
        <v>7640</v>
      </c>
      <c r="U26" s="112">
        <v>6871</v>
      </c>
      <c r="V26" s="112">
        <v>6248</v>
      </c>
      <c r="W26" s="112">
        <v>5671</v>
      </c>
      <c r="X26" s="112">
        <v>5029</v>
      </c>
      <c r="Y26" s="99"/>
      <c r="Z26" s="99"/>
      <c r="AA26" s="19"/>
    </row>
    <row r="27" spans="2:27" ht="20" x14ac:dyDescent="0.2">
      <c r="B27" s="111" t="s">
        <v>782</v>
      </c>
      <c r="C27" s="33" t="s">
        <v>798</v>
      </c>
      <c r="D27" s="110">
        <v>-70</v>
      </c>
      <c r="E27" s="110">
        <v>1293</v>
      </c>
      <c r="F27" s="112">
        <v>3215</v>
      </c>
      <c r="G27" s="112">
        <v>3580</v>
      </c>
      <c r="H27" s="112">
        <v>2332</v>
      </c>
      <c r="I27" s="112">
        <v>848</v>
      </c>
      <c r="J27" s="112">
        <v>2789</v>
      </c>
      <c r="K27" s="112">
        <v>3094</v>
      </c>
      <c r="L27" s="112">
        <v>1685</v>
      </c>
      <c r="M27" s="112">
        <v>990</v>
      </c>
      <c r="N27" s="112">
        <v>-347</v>
      </c>
      <c r="O27" s="112">
        <v>-1432</v>
      </c>
      <c r="P27" s="112">
        <v>-2226</v>
      </c>
      <c r="Q27" s="112">
        <v>-3129</v>
      </c>
      <c r="R27" s="112">
        <v>-3880</v>
      </c>
      <c r="S27" s="112">
        <v>-4708</v>
      </c>
      <c r="T27" s="112">
        <v>-5538</v>
      </c>
      <c r="U27" s="112">
        <v>-6412</v>
      </c>
      <c r="V27" s="112">
        <v>-7114</v>
      </c>
      <c r="W27" s="112">
        <v>-7754</v>
      </c>
      <c r="X27" s="112">
        <v>-8412</v>
      </c>
      <c r="Y27" s="99"/>
      <c r="Z27" s="99"/>
      <c r="AA27" s="19"/>
    </row>
    <row r="28" spans="2:27" ht="19" x14ac:dyDescent="0.2">
      <c r="B28" s="111"/>
      <c r="C28" s="33"/>
      <c r="D28" s="48"/>
      <c r="E28" s="48"/>
      <c r="F28" s="48"/>
      <c r="G28" s="48"/>
      <c r="H28" s="48"/>
      <c r="I28" s="48"/>
      <c r="J28" s="48"/>
      <c r="K28" s="48"/>
      <c r="L28" s="48"/>
      <c r="M28" s="48"/>
      <c r="N28" s="48"/>
      <c r="O28" s="48"/>
      <c r="P28" s="48"/>
      <c r="Q28" s="48"/>
      <c r="R28" s="48"/>
      <c r="S28" s="48"/>
      <c r="T28" s="48"/>
      <c r="U28" s="48"/>
      <c r="V28" s="48"/>
      <c r="W28" s="48"/>
      <c r="X28" s="48"/>
      <c r="Y28" s="99"/>
      <c r="Z28" s="99"/>
      <c r="AA28" s="19"/>
    </row>
    <row r="29" spans="2:27" ht="19" x14ac:dyDescent="0.2">
      <c r="B29" s="111"/>
      <c r="C29" s="33"/>
      <c r="D29" s="48"/>
      <c r="E29" s="48"/>
      <c r="F29" s="48"/>
      <c r="G29" s="48"/>
      <c r="H29" s="48"/>
      <c r="I29" s="48"/>
      <c r="J29" s="48"/>
      <c r="K29" s="48"/>
      <c r="L29" s="48"/>
      <c r="M29" s="48"/>
      <c r="N29" s="48"/>
      <c r="O29" s="48"/>
      <c r="P29" s="48"/>
      <c r="Q29" s="48"/>
      <c r="R29" s="48"/>
      <c r="S29" s="48"/>
      <c r="T29" s="48"/>
      <c r="U29" s="48"/>
      <c r="V29" s="48"/>
      <c r="W29" s="48"/>
      <c r="X29" s="48"/>
      <c r="Y29" s="99"/>
      <c r="Z29" s="99"/>
      <c r="AA29" s="19"/>
    </row>
    <row r="30" spans="2:27" ht="20" x14ac:dyDescent="0.2">
      <c r="B30" s="111" t="s">
        <v>774</v>
      </c>
      <c r="C30" s="33" t="s">
        <v>709</v>
      </c>
      <c r="D30" s="110">
        <f t="shared" ref="D30:X30" si="8">-D13</f>
        <v>60561</v>
      </c>
      <c r="E30" s="110">
        <f t="shared" si="8"/>
        <v>61624</v>
      </c>
      <c r="F30" s="112">
        <f t="shared" si="8"/>
        <v>60738</v>
      </c>
      <c r="G30" s="112">
        <f t="shared" si="8"/>
        <v>60688</v>
      </c>
      <c r="H30" s="112">
        <f t="shared" si="8"/>
        <v>61759</v>
      </c>
      <c r="I30" s="112">
        <f t="shared" si="8"/>
        <v>63383</v>
      </c>
      <c r="J30" s="112">
        <f t="shared" si="8"/>
        <v>64993</v>
      </c>
      <c r="K30" s="112">
        <f t="shared" si="8"/>
        <v>66144</v>
      </c>
      <c r="L30" s="112">
        <f t="shared" si="8"/>
        <v>67358</v>
      </c>
      <c r="M30" s="112">
        <f t="shared" si="8"/>
        <v>68011</v>
      </c>
      <c r="N30" s="112">
        <f t="shared" si="8"/>
        <v>68741</v>
      </c>
      <c r="O30" s="112">
        <f t="shared" si="8"/>
        <v>69291</v>
      </c>
      <c r="P30" s="112">
        <f t="shared" si="8"/>
        <v>69913</v>
      </c>
      <c r="Q30" s="112">
        <f t="shared" si="8"/>
        <v>70537</v>
      </c>
      <c r="R30" s="112">
        <f t="shared" si="8"/>
        <v>71244</v>
      </c>
      <c r="S30" s="112">
        <f t="shared" si="8"/>
        <v>71932</v>
      </c>
      <c r="T30" s="112">
        <f t="shared" si="8"/>
        <v>72645</v>
      </c>
      <c r="U30" s="112">
        <f t="shared" si="8"/>
        <v>73350</v>
      </c>
      <c r="V30" s="112">
        <f t="shared" si="8"/>
        <v>74097</v>
      </c>
      <c r="W30" s="112">
        <f t="shared" si="8"/>
        <v>74827</v>
      </c>
      <c r="X30" s="112">
        <f t="shared" si="8"/>
        <v>75551</v>
      </c>
      <c r="Y30" s="51" t="s">
        <v>785</v>
      </c>
      <c r="Z30" s="51" t="s">
        <v>786</v>
      </c>
      <c r="AA30" s="97"/>
    </row>
    <row r="31" spans="2:27" ht="20" x14ac:dyDescent="0.2">
      <c r="B31" s="111" t="s">
        <v>790</v>
      </c>
      <c r="C31" s="33"/>
      <c r="D31" s="48"/>
      <c r="E31" s="114"/>
      <c r="F31" s="114">
        <f t="shared" ref="F31" si="9">(F30-E30)/E30</f>
        <v>-1.4377515253797222E-2</v>
      </c>
      <c r="G31" s="114">
        <f t="shared" ref="G31" si="10">(G30-F30)/F30</f>
        <v>-8.2320787645296192E-4</v>
      </c>
      <c r="H31" s="114">
        <f t="shared" ref="H31" si="11">(H30-G30)/G30</f>
        <v>1.7647640390192461E-2</v>
      </c>
      <c r="I31" s="114">
        <f t="shared" ref="I31" si="12">(I30-H30)/H30</f>
        <v>2.6295762560922295E-2</v>
      </c>
      <c r="J31" s="114">
        <f t="shared" ref="J31" si="13">(J30-I30)/I30</f>
        <v>2.540113279586009E-2</v>
      </c>
      <c r="K31" s="114">
        <f t="shared" ref="K31" si="14">(K30-J30)/J30</f>
        <v>1.7709599495330266E-2</v>
      </c>
      <c r="L31" s="114">
        <f t="shared" ref="L31" si="15">(L30-K30)/K30</f>
        <v>1.8353894533139816E-2</v>
      </c>
      <c r="M31" s="114">
        <f t="shared" ref="M31" si="16">(M30-L30)/L30</f>
        <v>9.6944683630749134E-3</v>
      </c>
      <c r="N31" s="114">
        <f t="shared" ref="N31" si="17">(N30-M30)/M30</f>
        <v>1.0733557806825366E-2</v>
      </c>
      <c r="O31" s="114">
        <f t="shared" ref="O31" si="18">(O30-N30)/N30</f>
        <v>8.0010474098427438E-3</v>
      </c>
      <c r="P31" s="114">
        <f t="shared" ref="P31" si="19">(P30-O30)/O30</f>
        <v>8.9766347721926369E-3</v>
      </c>
      <c r="Q31" s="114">
        <f t="shared" ref="Q31" si="20">(Q30-P30)/P30</f>
        <v>8.9253786849369937E-3</v>
      </c>
      <c r="R31" s="114">
        <f t="shared" ref="R31" si="21">(R30-Q30)/Q30</f>
        <v>1.0023108439542367E-2</v>
      </c>
      <c r="S31" s="114">
        <f t="shared" ref="S31" si="22">(S30-R30)/R30</f>
        <v>9.6569535680197625E-3</v>
      </c>
      <c r="T31" s="114">
        <f t="shared" ref="T31" si="23">(T30-S30)/S30</f>
        <v>9.9121392426180285E-3</v>
      </c>
      <c r="U31" s="114">
        <f t="shared" ref="U31" si="24">(U30-T30)/T30</f>
        <v>9.7047284740863094E-3</v>
      </c>
      <c r="V31" s="114">
        <f t="shared" ref="V31" si="25">(V30-U30)/U30</f>
        <v>1.0184049079754601E-2</v>
      </c>
      <c r="W31" s="114">
        <f t="shared" ref="W31" si="26">(W30-V30)/V30</f>
        <v>9.8519508212208326E-3</v>
      </c>
      <c r="X31" s="114">
        <f t="shared" ref="X31" si="27">(X30-W30)/W30</f>
        <v>9.6756518369037915E-3</v>
      </c>
      <c r="Y31" s="114">
        <f>(O30/D30)^(1/(11-1))-1</f>
        <v>1.3557470828381657E-2</v>
      </c>
      <c r="Z31" s="114">
        <f>(X30/D30)^(1/(20-1))-1</f>
        <v>1.1707838202293708E-2</v>
      </c>
      <c r="AA31" s="97"/>
    </row>
    <row r="32" spans="2:27" ht="20" x14ac:dyDescent="0.2">
      <c r="B32" s="111" t="s">
        <v>783</v>
      </c>
      <c r="C32" s="33"/>
      <c r="D32" s="110">
        <f t="shared" ref="D32:X32" si="28">-(D13)-D21</f>
        <v>57772</v>
      </c>
      <c r="E32" s="110">
        <f t="shared" si="28"/>
        <v>58308</v>
      </c>
      <c r="F32" s="48">
        <f t="shared" si="28"/>
        <v>58919</v>
      </c>
      <c r="G32" s="48">
        <f t="shared" si="28"/>
        <v>58325</v>
      </c>
      <c r="H32" s="48">
        <f t="shared" si="28"/>
        <v>58998</v>
      </c>
      <c r="I32" s="48">
        <f t="shared" si="28"/>
        <v>60248</v>
      </c>
      <c r="J32" s="48">
        <f t="shared" si="28"/>
        <v>61519</v>
      </c>
      <c r="K32" s="48">
        <f t="shared" si="28"/>
        <v>62357</v>
      </c>
      <c r="L32" s="48">
        <f t="shared" si="28"/>
        <v>63269</v>
      </c>
      <c r="M32" s="48">
        <f t="shared" si="28"/>
        <v>63654</v>
      </c>
      <c r="N32" s="48">
        <f t="shared" si="28"/>
        <v>64141</v>
      </c>
      <c r="O32" s="48">
        <f t="shared" si="28"/>
        <v>64455</v>
      </c>
      <c r="P32" s="48">
        <f t="shared" si="28"/>
        <v>64925</v>
      </c>
      <c r="Q32" s="48">
        <f t="shared" si="28"/>
        <v>65434</v>
      </c>
      <c r="R32" s="48">
        <f t="shared" si="28"/>
        <v>65992</v>
      </c>
      <c r="S32" s="48">
        <f t="shared" si="28"/>
        <v>66589</v>
      </c>
      <c r="T32" s="48">
        <f t="shared" si="28"/>
        <v>67217</v>
      </c>
      <c r="U32" s="48">
        <f t="shared" si="28"/>
        <v>67796</v>
      </c>
      <c r="V32" s="48">
        <f t="shared" si="28"/>
        <v>68427</v>
      </c>
      <c r="W32" s="48">
        <f t="shared" si="28"/>
        <v>69040</v>
      </c>
      <c r="X32" s="48">
        <f t="shared" si="28"/>
        <v>69650</v>
      </c>
      <c r="Y32" s="51" t="s">
        <v>785</v>
      </c>
      <c r="Z32" s="51" t="s">
        <v>3878</v>
      </c>
      <c r="AA32" s="19" t="s">
        <v>3877</v>
      </c>
    </row>
    <row r="33" spans="1:27" ht="20" x14ac:dyDescent="0.2">
      <c r="B33" s="111" t="s">
        <v>784</v>
      </c>
      <c r="C33" s="33"/>
      <c r="D33" s="48"/>
      <c r="E33" s="114"/>
      <c r="F33" s="114"/>
      <c r="G33" s="114">
        <f t="shared" ref="G33:X33" si="29">(G32-F32)/F32</f>
        <v>-1.0081637502333712E-2</v>
      </c>
      <c r="H33" s="114">
        <f t="shared" si="29"/>
        <v>1.15387912558937E-2</v>
      </c>
      <c r="I33" s="114">
        <f t="shared" si="29"/>
        <v>2.1187158886741924E-2</v>
      </c>
      <c r="J33" s="114">
        <f t="shared" si="29"/>
        <v>2.1096135971318548E-2</v>
      </c>
      <c r="K33" s="114">
        <f t="shared" si="29"/>
        <v>1.3621807896747346E-2</v>
      </c>
      <c r="L33" s="114">
        <f t="shared" si="29"/>
        <v>1.4625463059480091E-2</v>
      </c>
      <c r="M33" s="114">
        <f t="shared" si="29"/>
        <v>6.0851285779765759E-3</v>
      </c>
      <c r="N33" s="114">
        <f t="shared" si="29"/>
        <v>7.650736795802306E-3</v>
      </c>
      <c r="O33" s="114">
        <f t="shared" si="29"/>
        <v>4.895464679378245E-3</v>
      </c>
      <c r="P33" s="114">
        <f t="shared" si="29"/>
        <v>7.2919090838569544E-3</v>
      </c>
      <c r="Q33" s="114">
        <f t="shared" si="29"/>
        <v>7.8398151713515597E-3</v>
      </c>
      <c r="R33" s="114">
        <f t="shared" si="29"/>
        <v>8.5276767429776565E-3</v>
      </c>
      <c r="S33" s="114">
        <f t="shared" si="29"/>
        <v>9.04655109710268E-3</v>
      </c>
      <c r="T33" s="114">
        <f t="shared" si="29"/>
        <v>9.4309870999714669E-3</v>
      </c>
      <c r="U33" s="114">
        <f t="shared" si="29"/>
        <v>8.6138923189074193E-3</v>
      </c>
      <c r="V33" s="114">
        <f t="shared" si="29"/>
        <v>9.3073337660038932E-3</v>
      </c>
      <c r="W33" s="114">
        <f t="shared" si="29"/>
        <v>8.9584520730121159E-3</v>
      </c>
      <c r="X33" s="114">
        <f t="shared" si="29"/>
        <v>8.8354577056778683E-3</v>
      </c>
      <c r="Y33" s="310">
        <f>(O32/D32)^(1/(11-1))-1</f>
        <v>1.1006437691676974E-2</v>
      </c>
      <c r="Z33" s="310">
        <f>(X32/D32)^(1/(20-1))-1</f>
        <v>9.8895537563159497E-3</v>
      </c>
      <c r="AA33" s="311" t="s">
        <v>2905</v>
      </c>
    </row>
    <row r="34" spans="1:27" s="98" customFormat="1" ht="20" x14ac:dyDescent="0.2">
      <c r="B34" s="111"/>
      <c r="C34" s="33"/>
      <c r="D34" s="48"/>
      <c r="E34" s="114"/>
      <c r="F34" s="114"/>
      <c r="G34" s="114"/>
      <c r="H34" s="114"/>
      <c r="I34" s="114"/>
      <c r="J34" s="114"/>
      <c r="K34" s="114"/>
      <c r="L34" s="114"/>
      <c r="M34" s="114"/>
      <c r="N34" s="114"/>
      <c r="O34" s="114"/>
      <c r="P34" s="131"/>
      <c r="Q34" s="114"/>
      <c r="R34" s="114"/>
      <c r="S34" s="114"/>
      <c r="T34" s="114"/>
      <c r="U34" s="114"/>
      <c r="V34" s="114"/>
      <c r="W34" s="114"/>
      <c r="X34" s="114"/>
      <c r="Y34" s="272">
        <f>Y33-Y31</f>
        <v>-2.5510331367046835E-3</v>
      </c>
      <c r="Z34" s="272">
        <f>Z33-Z31</f>
        <v>-1.8182844459777581E-3</v>
      </c>
      <c r="AA34" s="97" t="s">
        <v>1018</v>
      </c>
    </row>
    <row r="35" spans="1:27" s="98" customFormat="1" ht="19" x14ac:dyDescent="0.2">
      <c r="B35" s="111"/>
      <c r="C35" s="33"/>
      <c r="D35" s="48"/>
      <c r="E35" s="114"/>
      <c r="F35" s="114"/>
      <c r="G35" s="114"/>
      <c r="H35" s="114"/>
      <c r="I35" s="114"/>
      <c r="J35" s="114"/>
      <c r="K35" s="114"/>
      <c r="L35" s="114"/>
      <c r="M35" s="114"/>
      <c r="N35" s="114"/>
      <c r="O35" s="114"/>
      <c r="P35" s="114"/>
      <c r="Q35" s="114"/>
      <c r="R35" s="114"/>
      <c r="S35" s="114"/>
      <c r="T35" s="114"/>
      <c r="U35" s="114"/>
      <c r="V35" s="114"/>
      <c r="W35" s="114"/>
      <c r="X35" s="114"/>
      <c r="Y35" s="272"/>
      <c r="Z35" s="272"/>
      <c r="AA35" s="97"/>
    </row>
    <row r="36" spans="1:27" s="98" customFormat="1" ht="20" x14ac:dyDescent="0.2">
      <c r="B36" s="111" t="s">
        <v>797</v>
      </c>
      <c r="C36" s="33" t="s">
        <v>799</v>
      </c>
      <c r="D36" s="48"/>
      <c r="E36" s="48"/>
      <c r="F36" s="48">
        <f>-(F13+F26-F23)</f>
        <v>58907</v>
      </c>
      <c r="G36" s="48">
        <f>-(G13+G26-G23)</f>
        <v>58520</v>
      </c>
      <c r="H36" s="48">
        <f t="shared" ref="H36:X36" si="30">-(H13+H26-H23)</f>
        <v>59142</v>
      </c>
      <c r="I36" s="48">
        <f t="shared" si="30"/>
        <v>60308</v>
      </c>
      <c r="J36" s="48">
        <f t="shared" si="30"/>
        <v>61730</v>
      </c>
      <c r="K36" s="48">
        <f t="shared" si="30"/>
        <v>62699</v>
      </c>
      <c r="L36" s="48">
        <f t="shared" si="30"/>
        <v>63495</v>
      </c>
      <c r="M36" s="48">
        <f t="shared" si="30"/>
        <v>63928</v>
      </c>
      <c r="N36" s="48">
        <f t="shared" si="30"/>
        <v>63990</v>
      </c>
      <c r="O36" s="48">
        <f t="shared" si="30"/>
        <v>64118</v>
      </c>
      <c r="P36" s="48">
        <f t="shared" si="30"/>
        <v>64508</v>
      </c>
      <c r="Q36" s="48">
        <f t="shared" si="30"/>
        <v>64962</v>
      </c>
      <c r="R36" s="48">
        <f t="shared" si="30"/>
        <v>65565</v>
      </c>
      <c r="S36" s="48">
        <f t="shared" si="30"/>
        <v>66137</v>
      </c>
      <c r="T36" s="48">
        <f t="shared" si="30"/>
        <v>66712</v>
      </c>
      <c r="U36" s="48">
        <f t="shared" si="30"/>
        <v>67370</v>
      </c>
      <c r="V36" s="48">
        <f t="shared" si="30"/>
        <v>68084</v>
      </c>
      <c r="W36" s="48">
        <f t="shared" si="30"/>
        <v>68778</v>
      </c>
      <c r="X36" s="48">
        <f t="shared" si="30"/>
        <v>69528</v>
      </c>
      <c r="Y36" s="51" t="s">
        <v>785</v>
      </c>
      <c r="Z36" s="51" t="s">
        <v>3878</v>
      </c>
      <c r="AA36" s="19" t="s">
        <v>3877</v>
      </c>
    </row>
    <row r="37" spans="1:27" s="98" customFormat="1" ht="20" x14ac:dyDescent="0.2">
      <c r="B37" s="111" t="s">
        <v>784</v>
      </c>
      <c r="C37" s="33"/>
      <c r="D37" s="48"/>
      <c r="E37" s="114"/>
      <c r="F37" s="114"/>
      <c r="G37" s="114">
        <f t="shared" ref="G37" si="31">(G36-F36)/F36</f>
        <v>-6.5696776274466531E-3</v>
      </c>
      <c r="H37" s="114">
        <f t="shared" ref="H37" si="32">(H36-G36)/G36</f>
        <v>1.0628844839371154E-2</v>
      </c>
      <c r="I37" s="114">
        <f t="shared" ref="I37" si="33">(I36-H36)/H36</f>
        <v>1.9715261573839234E-2</v>
      </c>
      <c r="J37" s="114">
        <f t="shared" ref="J37" si="34">(J36-I36)/I36</f>
        <v>2.3578961331829941E-2</v>
      </c>
      <c r="K37" s="114">
        <f t="shared" ref="K37" si="35">(K36-J36)/J36</f>
        <v>1.5697391867811435E-2</v>
      </c>
      <c r="L37" s="114">
        <f t="shared" ref="L37" si="36">(L36-K36)/K36</f>
        <v>1.2695577281934321E-2</v>
      </c>
      <c r="M37" s="114">
        <f t="shared" ref="M37" si="37">(M36-L36)/L36</f>
        <v>6.8194346011496969E-3</v>
      </c>
      <c r="N37" s="114">
        <f t="shared" ref="N37" si="38">(N36-M36)/M36</f>
        <v>9.6984107120510576E-4</v>
      </c>
      <c r="O37" s="114">
        <f t="shared" ref="O37" si="39">(O36-N36)/N36</f>
        <v>2.0003125488357557E-3</v>
      </c>
      <c r="P37" s="114">
        <f t="shared" ref="P37" si="40">(P36-O36)/O36</f>
        <v>6.0825353254936208E-3</v>
      </c>
      <c r="Q37" s="114">
        <f t="shared" ref="Q37" si="41">(Q36-P36)/P36</f>
        <v>7.0378867737334906E-3</v>
      </c>
      <c r="R37" s="114">
        <f t="shared" ref="R37" si="42">(R36-Q36)/Q36</f>
        <v>9.2823496813521748E-3</v>
      </c>
      <c r="S37" s="114">
        <f t="shared" ref="S37" si="43">(S36-R36)/R36</f>
        <v>8.7241668573171654E-3</v>
      </c>
      <c r="T37" s="114">
        <f t="shared" ref="T37" si="44">(T36-S36)/S36</f>
        <v>8.6940744212770458E-3</v>
      </c>
      <c r="U37" s="114">
        <f t="shared" ref="U37" si="45">(U36-T36)/T36</f>
        <v>9.8632929607866647E-3</v>
      </c>
      <c r="V37" s="114">
        <f t="shared" ref="V37" si="46">(V36-U36)/U36</f>
        <v>1.0598189104942852E-2</v>
      </c>
      <c r="W37" s="114">
        <f t="shared" ref="W37" si="47">(W36-V36)/V36</f>
        <v>1.0193290640972916E-2</v>
      </c>
      <c r="X37" s="114">
        <f t="shared" ref="X37" si="48">(X36-W36)/W36</f>
        <v>1.0904649742650267E-2</v>
      </c>
      <c r="Y37" s="312">
        <f>(O36/D32)^(1/(11-1))-1</f>
        <v>1.0476589803921632E-2</v>
      </c>
      <c r="Z37" s="312">
        <f>(X36/D32)^(1/(20-1))-1</f>
        <v>9.7963744251248208E-3</v>
      </c>
      <c r="AA37" s="313" t="s">
        <v>1016</v>
      </c>
    </row>
    <row r="38" spans="1:27" s="98" customFormat="1" ht="19" x14ac:dyDescent="0.2">
      <c r="B38" s="111"/>
      <c r="C38" s="33"/>
      <c r="D38" s="48"/>
      <c r="E38" s="114"/>
      <c r="F38" s="114"/>
      <c r="G38" s="114"/>
      <c r="H38" s="114"/>
      <c r="I38" s="114"/>
      <c r="J38" s="114"/>
      <c r="K38" s="114"/>
      <c r="L38" s="114"/>
      <c r="M38" s="114"/>
      <c r="N38" s="114"/>
      <c r="O38" s="114"/>
      <c r="P38" s="114"/>
      <c r="Q38" s="114"/>
      <c r="R38" s="114"/>
      <c r="S38" s="114"/>
      <c r="T38" s="114"/>
      <c r="U38" s="114"/>
      <c r="V38" s="114"/>
      <c r="W38" s="114"/>
      <c r="X38" s="114"/>
      <c r="Y38" s="114"/>
      <c r="Z38" s="114"/>
      <c r="AA38" s="97"/>
    </row>
    <row r="39" spans="1:27" s="98" customFormat="1" ht="20" x14ac:dyDescent="0.2">
      <c r="B39" s="111" t="s">
        <v>800</v>
      </c>
      <c r="C39" s="33" t="s">
        <v>801</v>
      </c>
      <c r="D39" s="48"/>
      <c r="E39" s="48"/>
      <c r="F39" s="48">
        <f>-(F13+F27-F23)</f>
        <v>62964</v>
      </c>
      <c r="G39" s="48">
        <f t="shared" ref="G39:X39" si="49">-(G13+G27-G23)</f>
        <v>63388</v>
      </c>
      <c r="H39" s="48">
        <f t="shared" si="49"/>
        <v>65034</v>
      </c>
      <c r="I39" s="48">
        <f t="shared" si="49"/>
        <v>67206</v>
      </c>
      <c r="J39" s="48">
        <f t="shared" si="49"/>
        <v>69069</v>
      </c>
      <c r="K39" s="48">
        <f t="shared" si="49"/>
        <v>70469</v>
      </c>
      <c r="L39" s="48">
        <f t="shared" si="49"/>
        <v>72155</v>
      </c>
      <c r="M39" s="48">
        <f t="shared" si="49"/>
        <v>73094</v>
      </c>
      <c r="N39" s="48">
        <f t="shared" si="49"/>
        <v>74577</v>
      </c>
      <c r="O39" s="48">
        <f t="shared" si="49"/>
        <v>75620</v>
      </c>
      <c r="P39" s="48">
        <f t="shared" si="49"/>
        <v>76494</v>
      </c>
      <c r="Q39" s="48">
        <f t="shared" si="49"/>
        <v>77366</v>
      </c>
      <c r="R39" s="48">
        <f t="shared" si="49"/>
        <v>78182</v>
      </c>
      <c r="S39" s="48">
        <f t="shared" si="49"/>
        <v>79033</v>
      </c>
      <c r="T39" s="48">
        <f t="shared" si="49"/>
        <v>79890</v>
      </c>
      <c r="U39" s="48">
        <f t="shared" si="49"/>
        <v>80653</v>
      </c>
      <c r="V39" s="48">
        <f t="shared" si="49"/>
        <v>81446</v>
      </c>
      <c r="W39" s="48">
        <f t="shared" si="49"/>
        <v>82203</v>
      </c>
      <c r="X39" s="48">
        <f t="shared" si="49"/>
        <v>82969</v>
      </c>
      <c r="Y39" s="51" t="s">
        <v>785</v>
      </c>
      <c r="Z39" s="51" t="s">
        <v>3878</v>
      </c>
      <c r="AA39" s="19" t="s">
        <v>3877</v>
      </c>
    </row>
    <row r="40" spans="1:27" s="98" customFormat="1" ht="20" x14ac:dyDescent="0.2">
      <c r="B40" s="111" t="s">
        <v>784</v>
      </c>
      <c r="C40" s="33"/>
      <c r="D40" s="48"/>
      <c r="E40" s="114"/>
      <c r="F40" s="114"/>
      <c r="G40" s="114">
        <f t="shared" ref="G40" si="50">(G39-F39)/F39</f>
        <v>6.7340067340067337E-3</v>
      </c>
      <c r="H40" s="114">
        <f t="shared" ref="H40" si="51">(H39-G39)/G39</f>
        <v>2.5967060011358616E-2</v>
      </c>
      <c r="I40" s="114">
        <f t="shared" ref="I40" si="52">(I39-H39)/H39</f>
        <v>3.3397914936802289E-2</v>
      </c>
      <c r="J40" s="114">
        <f t="shared" ref="J40" si="53">(J39-I39)/I39</f>
        <v>2.7720739219712527E-2</v>
      </c>
      <c r="K40" s="114">
        <f t="shared" ref="K40" si="54">(K39-J39)/J39</f>
        <v>2.0269585486976792E-2</v>
      </c>
      <c r="L40" s="114">
        <f t="shared" ref="L40" si="55">(L39-K39)/K39</f>
        <v>2.392541401183499E-2</v>
      </c>
      <c r="M40" s="114">
        <f t="shared" ref="M40" si="56">(M39-L39)/L39</f>
        <v>1.3013651167625252E-2</v>
      </c>
      <c r="N40" s="114">
        <f t="shared" ref="N40" si="57">(N39-M39)/M39</f>
        <v>2.0288943004897801E-2</v>
      </c>
      <c r="O40" s="114">
        <f t="shared" ref="O40" si="58">(O39-N39)/N39</f>
        <v>1.3985545141263392E-2</v>
      </c>
      <c r="P40" s="114">
        <f t="shared" ref="P40" si="59">(P39-O39)/O39</f>
        <v>1.1557788944723618E-2</v>
      </c>
      <c r="Q40" s="114">
        <f t="shared" ref="Q40" si="60">(Q39-P39)/P39</f>
        <v>1.1399586895704238E-2</v>
      </c>
      <c r="R40" s="114">
        <f t="shared" ref="R40" si="61">(R39-Q39)/Q39</f>
        <v>1.0547268826099319E-2</v>
      </c>
      <c r="S40" s="114">
        <f t="shared" ref="S40" si="62">(S39-R39)/R39</f>
        <v>1.088485840730603E-2</v>
      </c>
      <c r="T40" s="114">
        <f t="shared" ref="T40" si="63">(T39-S39)/S39</f>
        <v>1.0843571672592461E-2</v>
      </c>
      <c r="U40" s="114">
        <f t="shared" ref="U40" si="64">(U39-T39)/T39</f>
        <v>9.5506321191638505E-3</v>
      </c>
      <c r="V40" s="114">
        <f t="shared" ref="V40" si="65">(V39-U39)/U39</f>
        <v>9.8322443058534714E-3</v>
      </c>
      <c r="W40" s="114">
        <f t="shared" ref="W40" si="66">(W39-V39)/V39</f>
        <v>9.294501878545294E-3</v>
      </c>
      <c r="X40" s="114">
        <f t="shared" ref="X40" si="67">(X39-W39)/W39</f>
        <v>9.318394705789327E-3</v>
      </c>
      <c r="Y40" s="310">
        <f>(O39/D32)^(1/(11-1))-1</f>
        <v>2.728731876070345E-2</v>
      </c>
      <c r="Z40" s="310">
        <f>(X39/D32)^(1/(20-1))-1</f>
        <v>1.9233296409745915E-2</v>
      </c>
      <c r="AA40" s="311" t="s">
        <v>2906</v>
      </c>
    </row>
    <row r="41" spans="1:27" s="98" customFormat="1" ht="19" x14ac:dyDescent="0.2">
      <c r="B41" s="111"/>
      <c r="C41" s="33"/>
      <c r="D41" s="48"/>
      <c r="E41" s="114"/>
      <c r="F41" s="114"/>
      <c r="G41" s="114"/>
      <c r="H41" s="114"/>
      <c r="I41" s="114"/>
      <c r="J41" s="114"/>
      <c r="K41" s="114"/>
      <c r="L41" s="114"/>
      <c r="M41" s="114"/>
      <c r="N41" s="114"/>
      <c r="O41" s="114"/>
      <c r="P41" s="114"/>
      <c r="Q41" s="114"/>
      <c r="R41" s="114"/>
      <c r="S41" s="114"/>
      <c r="T41" s="114"/>
      <c r="U41" s="114"/>
      <c r="V41" s="114"/>
      <c r="W41" s="114"/>
      <c r="X41" s="114"/>
      <c r="Y41" s="114"/>
      <c r="Z41" s="114"/>
      <c r="AA41" s="19"/>
    </row>
    <row r="43" spans="1:27" x14ac:dyDescent="0.2">
      <c r="D43" s="87"/>
      <c r="E43" s="87"/>
    </row>
    <row r="44" spans="1:27" ht="19" x14ac:dyDescent="0.2">
      <c r="A44" s="47" t="s">
        <v>54</v>
      </c>
      <c r="B44" s="83"/>
      <c r="C44" s="82"/>
    </row>
    <row r="45" spans="1:27" s="86" customFormat="1" ht="19" x14ac:dyDescent="0.25">
      <c r="A45" s="7" t="s">
        <v>795</v>
      </c>
      <c r="C45" s="87"/>
      <c r="D45" s="83"/>
      <c r="E45" s="83"/>
    </row>
    <row r="46" spans="1:27" ht="19" x14ac:dyDescent="0.25">
      <c r="A46" s="7" t="s">
        <v>796</v>
      </c>
      <c r="B46" s="83"/>
      <c r="C46" s="82"/>
      <c r="D46" s="82"/>
      <c r="E46" s="82"/>
    </row>
    <row r="47" spans="1:27" s="98" customFormat="1" ht="19" x14ac:dyDescent="0.25">
      <c r="A47" s="7"/>
      <c r="B47" s="83"/>
    </row>
  </sheetData>
  <pageMargins left="0.7" right="0.7" top="0.75" bottom="0.75" header="0.3" footer="0.3"/>
  <ignoredErrors>
    <ignoredError sqref="G32:X32"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5CB81-DA9D-FB4E-A8A3-4FCFEFB2FD94}">
  <sheetPr codeName="Sheet13"/>
  <dimension ref="B1:AA46"/>
  <sheetViews>
    <sheetView topLeftCell="S20" workbookViewId="0">
      <selection activeCell="Y40" sqref="Y40:AA40"/>
    </sheetView>
  </sheetViews>
  <sheetFormatPr baseColWidth="10" defaultRowHeight="16" x14ac:dyDescent="0.2"/>
  <cols>
    <col min="1" max="1" width="4.83203125" customWidth="1"/>
    <col min="2" max="2" width="85.5" style="98" customWidth="1"/>
    <col min="3" max="3" width="16.83203125" style="83" customWidth="1"/>
    <col min="4" max="24" width="10.83203125" style="98"/>
    <col min="25" max="26" width="22.1640625" style="98" customWidth="1"/>
    <col min="27" max="27" width="57.5" style="98" customWidth="1"/>
  </cols>
  <sheetData>
    <row r="1" spans="2:27" ht="21" x14ac:dyDescent="0.2">
      <c r="B1" s="145" t="s">
        <v>2907</v>
      </c>
      <c r="C1" s="18" t="s">
        <v>17</v>
      </c>
      <c r="D1" s="18" t="s">
        <v>680</v>
      </c>
      <c r="E1" s="18" t="s">
        <v>681</v>
      </c>
      <c r="F1" s="18" t="s">
        <v>682</v>
      </c>
      <c r="G1" s="18" t="s">
        <v>683</v>
      </c>
      <c r="H1" s="18" t="s">
        <v>684</v>
      </c>
      <c r="I1" s="18" t="s">
        <v>685</v>
      </c>
      <c r="J1" s="18" t="s">
        <v>686</v>
      </c>
      <c r="K1" s="18" t="s">
        <v>687</v>
      </c>
      <c r="L1" s="18" t="s">
        <v>688</v>
      </c>
      <c r="M1" s="18" t="s">
        <v>689</v>
      </c>
      <c r="N1" s="18" t="s">
        <v>690</v>
      </c>
      <c r="O1" s="18" t="s">
        <v>691</v>
      </c>
      <c r="P1" s="18" t="s">
        <v>692</v>
      </c>
      <c r="Q1" s="18" t="s">
        <v>693</v>
      </c>
      <c r="R1" s="18" t="s">
        <v>694</v>
      </c>
      <c r="S1" s="18" t="s">
        <v>695</v>
      </c>
      <c r="T1" s="18" t="s">
        <v>696</v>
      </c>
      <c r="U1" s="18" t="s">
        <v>697</v>
      </c>
      <c r="V1" s="18" t="s">
        <v>770</v>
      </c>
      <c r="W1" s="18" t="s">
        <v>771</v>
      </c>
      <c r="X1" s="18" t="s">
        <v>772</v>
      </c>
      <c r="Y1" s="18" t="s">
        <v>802</v>
      </c>
      <c r="Z1" s="18" t="s">
        <v>803</v>
      </c>
      <c r="AA1" s="18" t="s">
        <v>45</v>
      </c>
    </row>
    <row r="2" spans="2:27" ht="20" x14ac:dyDescent="0.2">
      <c r="B2" s="111" t="s">
        <v>698</v>
      </c>
      <c r="C2" s="33"/>
      <c r="D2" s="110"/>
      <c r="E2" s="110"/>
      <c r="F2" s="99"/>
      <c r="G2" s="99"/>
      <c r="H2" s="99"/>
      <c r="I2" s="99"/>
      <c r="J2" s="99"/>
      <c r="K2" s="99"/>
      <c r="L2" s="99"/>
      <c r="M2" s="99"/>
      <c r="N2" s="99"/>
      <c r="O2" s="99"/>
      <c r="P2" s="99"/>
      <c r="Q2" s="99"/>
      <c r="R2" s="99"/>
      <c r="S2" s="99"/>
      <c r="T2" s="99"/>
      <c r="U2" s="99"/>
      <c r="V2" s="99"/>
      <c r="W2" s="99"/>
      <c r="X2" s="99"/>
      <c r="Y2" s="99"/>
      <c r="Z2" s="99"/>
      <c r="AA2" s="19"/>
    </row>
    <row r="3" spans="2:27" ht="20" x14ac:dyDescent="0.2">
      <c r="B3" s="111" t="s">
        <v>714</v>
      </c>
      <c r="C3" s="33" t="s">
        <v>700</v>
      </c>
      <c r="D3" s="110">
        <v>11416</v>
      </c>
      <c r="E3" s="110">
        <v>11416</v>
      </c>
      <c r="F3" s="99">
        <v>11588</v>
      </c>
      <c r="G3" s="99">
        <v>11588</v>
      </c>
      <c r="H3" s="99">
        <v>11528</v>
      </c>
      <c r="I3" s="99">
        <v>11588</v>
      </c>
      <c r="J3" s="99">
        <v>12319</v>
      </c>
      <c r="K3" s="99">
        <v>12319</v>
      </c>
      <c r="L3" s="99">
        <v>12676</v>
      </c>
      <c r="M3" s="99">
        <v>12676</v>
      </c>
      <c r="N3" s="99">
        <v>12676</v>
      </c>
      <c r="O3" s="99">
        <v>12676</v>
      </c>
      <c r="P3" s="99">
        <v>12676</v>
      </c>
      <c r="Q3" s="99">
        <v>12262</v>
      </c>
      <c r="R3" s="99">
        <v>12262</v>
      </c>
      <c r="S3" s="99">
        <v>12733</v>
      </c>
      <c r="T3" s="99">
        <v>12733</v>
      </c>
      <c r="U3" s="99">
        <v>12733</v>
      </c>
      <c r="V3" s="99">
        <v>12733</v>
      </c>
      <c r="W3" s="99">
        <v>12733</v>
      </c>
      <c r="X3" s="99">
        <v>12733</v>
      </c>
      <c r="Y3" s="99"/>
      <c r="Z3" s="99"/>
      <c r="AA3" s="19"/>
    </row>
    <row r="4" spans="2:27" ht="20" x14ac:dyDescent="0.2">
      <c r="B4" s="111" t="s">
        <v>701</v>
      </c>
      <c r="C4" s="33" t="s">
        <v>702</v>
      </c>
      <c r="D4" s="110">
        <v>1621</v>
      </c>
      <c r="E4" s="110">
        <v>1572</v>
      </c>
      <c r="F4" s="99">
        <v>1458</v>
      </c>
      <c r="G4" s="99">
        <v>1486</v>
      </c>
      <c r="H4" s="99">
        <v>1211</v>
      </c>
      <c r="I4" s="99">
        <v>1200</v>
      </c>
      <c r="J4" s="99">
        <v>1138</v>
      </c>
      <c r="K4" s="99">
        <v>1106</v>
      </c>
      <c r="L4" s="99">
        <v>1106</v>
      </c>
      <c r="M4" s="99">
        <v>1093</v>
      </c>
      <c r="N4" s="99">
        <v>1056</v>
      </c>
      <c r="O4" s="99">
        <v>924</v>
      </c>
      <c r="P4" s="99">
        <v>888</v>
      </c>
      <c r="Q4" s="99">
        <v>884</v>
      </c>
      <c r="R4" s="99">
        <v>861</v>
      </c>
      <c r="S4" s="99">
        <v>810</v>
      </c>
      <c r="T4" s="99">
        <v>566</v>
      </c>
      <c r="U4" s="99">
        <v>493</v>
      </c>
      <c r="V4" s="99">
        <v>458</v>
      </c>
      <c r="W4" s="99">
        <v>424</v>
      </c>
      <c r="X4" s="99">
        <v>423</v>
      </c>
      <c r="Y4" s="99"/>
      <c r="Z4" s="99"/>
      <c r="AA4" s="19"/>
    </row>
    <row r="5" spans="2:27" ht="20" x14ac:dyDescent="0.2">
      <c r="B5" s="111" t="s">
        <v>703</v>
      </c>
      <c r="C5" s="33"/>
      <c r="D5" s="110"/>
      <c r="E5" s="110"/>
      <c r="F5" s="99"/>
      <c r="G5" s="99"/>
      <c r="H5" s="99"/>
      <c r="I5" s="99"/>
      <c r="J5" s="99"/>
      <c r="K5" s="99"/>
      <c r="L5" s="99"/>
      <c r="M5" s="99"/>
      <c r="N5" s="99"/>
      <c r="O5" s="99"/>
      <c r="P5" s="99"/>
      <c r="Q5" s="99"/>
      <c r="R5" s="99"/>
      <c r="S5" s="99"/>
      <c r="T5" s="99"/>
      <c r="U5" s="99"/>
      <c r="V5" s="99"/>
      <c r="W5" s="99"/>
      <c r="X5" s="99"/>
      <c r="Y5" s="99"/>
      <c r="Z5" s="99"/>
      <c r="AA5" s="19"/>
    </row>
    <row r="6" spans="2:27" ht="20" x14ac:dyDescent="0.2">
      <c r="B6" s="111" t="s">
        <v>704</v>
      </c>
      <c r="C6" s="33"/>
      <c r="D6" s="110">
        <v>55</v>
      </c>
      <c r="E6" s="110">
        <v>79</v>
      </c>
      <c r="F6" s="99">
        <v>117</v>
      </c>
      <c r="G6" s="99">
        <v>132</v>
      </c>
      <c r="H6" s="99">
        <v>407</v>
      </c>
      <c r="I6" s="99">
        <v>416</v>
      </c>
      <c r="J6" s="99">
        <v>425</v>
      </c>
      <c r="K6" s="99">
        <v>454</v>
      </c>
      <c r="L6" s="99">
        <v>454</v>
      </c>
      <c r="M6" s="99">
        <v>465</v>
      </c>
      <c r="N6" s="99">
        <v>488</v>
      </c>
      <c r="O6" s="99">
        <v>621</v>
      </c>
      <c r="P6" s="99">
        <v>639</v>
      </c>
      <c r="Q6" s="99">
        <v>642</v>
      </c>
      <c r="R6" s="99">
        <v>656</v>
      </c>
      <c r="S6" s="99">
        <v>693</v>
      </c>
      <c r="T6" s="99">
        <v>938</v>
      </c>
      <c r="U6" s="99">
        <v>979</v>
      </c>
      <c r="V6" s="99">
        <v>1014</v>
      </c>
      <c r="W6" s="99">
        <v>1048</v>
      </c>
      <c r="X6" s="99">
        <v>1048</v>
      </c>
      <c r="Y6" s="99"/>
      <c r="Z6" s="99"/>
      <c r="AA6" s="19"/>
    </row>
    <row r="7" spans="2:27" ht="20" x14ac:dyDescent="0.2">
      <c r="B7" s="111" t="s">
        <v>773</v>
      </c>
      <c r="C7" s="33"/>
      <c r="D7" s="110">
        <v>24</v>
      </c>
      <c r="E7" s="110">
        <v>31</v>
      </c>
      <c r="F7" s="99">
        <v>3</v>
      </c>
      <c r="G7" s="99">
        <v>17</v>
      </c>
      <c r="H7" s="99">
        <v>19</v>
      </c>
      <c r="I7" s="99">
        <v>19</v>
      </c>
      <c r="J7" s="99">
        <v>19</v>
      </c>
      <c r="K7" s="99">
        <v>19</v>
      </c>
      <c r="L7" s="99">
        <v>19</v>
      </c>
      <c r="M7" s="99">
        <v>19</v>
      </c>
      <c r="N7" s="99">
        <v>19</v>
      </c>
      <c r="O7" s="99">
        <v>19</v>
      </c>
      <c r="P7" s="99">
        <v>19</v>
      </c>
      <c r="Q7" s="99">
        <v>19</v>
      </c>
      <c r="R7" s="99">
        <v>19</v>
      </c>
      <c r="S7" s="99">
        <v>19</v>
      </c>
      <c r="T7" s="99">
        <v>19</v>
      </c>
      <c r="U7" s="99">
        <v>19</v>
      </c>
      <c r="V7" s="99">
        <v>19</v>
      </c>
      <c r="W7" s="99">
        <v>19</v>
      </c>
      <c r="X7" s="99">
        <v>19</v>
      </c>
      <c r="Y7" s="99"/>
      <c r="Z7" s="99"/>
      <c r="AA7" s="19"/>
    </row>
    <row r="8" spans="2:27" ht="20" x14ac:dyDescent="0.2">
      <c r="B8" s="111" t="s">
        <v>413</v>
      </c>
      <c r="C8" s="33"/>
      <c r="D8" s="110"/>
      <c r="E8" s="110"/>
      <c r="F8" s="99"/>
      <c r="G8" s="99"/>
      <c r="H8" s="99"/>
      <c r="I8" s="99"/>
      <c r="J8" s="99"/>
      <c r="K8" s="99"/>
      <c r="L8" s="99"/>
      <c r="M8" s="99"/>
      <c r="N8" s="99"/>
      <c r="O8" s="99"/>
      <c r="P8" s="99"/>
      <c r="Q8" s="99"/>
      <c r="R8" s="99"/>
      <c r="S8" s="99"/>
      <c r="T8" s="99"/>
      <c r="U8" s="99">
        <v>488</v>
      </c>
      <c r="V8" s="99">
        <v>488</v>
      </c>
      <c r="W8" s="99">
        <v>488</v>
      </c>
      <c r="X8" s="99">
        <v>488</v>
      </c>
      <c r="Y8" s="99"/>
      <c r="Z8" s="99"/>
      <c r="AA8" s="19"/>
    </row>
    <row r="9" spans="2:27" ht="20" x14ac:dyDescent="0.2">
      <c r="B9" s="111" t="s">
        <v>705</v>
      </c>
      <c r="C9" s="33" t="s">
        <v>706</v>
      </c>
      <c r="D9" s="110">
        <v>78</v>
      </c>
      <c r="E9" s="110">
        <v>110</v>
      </c>
      <c r="F9" s="99">
        <f>SUM(F6:F8)</f>
        <v>120</v>
      </c>
      <c r="G9" s="99">
        <f t="shared" ref="G9:X9" si="0">SUM(G6:G8)</f>
        <v>149</v>
      </c>
      <c r="H9" s="99">
        <f t="shared" si="0"/>
        <v>426</v>
      </c>
      <c r="I9" s="99">
        <f t="shared" si="0"/>
        <v>435</v>
      </c>
      <c r="J9" s="99">
        <f t="shared" si="0"/>
        <v>444</v>
      </c>
      <c r="K9" s="99">
        <f t="shared" si="0"/>
        <v>473</v>
      </c>
      <c r="L9" s="99">
        <f t="shared" si="0"/>
        <v>473</v>
      </c>
      <c r="M9" s="99">
        <f t="shared" si="0"/>
        <v>484</v>
      </c>
      <c r="N9" s="99">
        <f t="shared" si="0"/>
        <v>507</v>
      </c>
      <c r="O9" s="99">
        <f t="shared" si="0"/>
        <v>640</v>
      </c>
      <c r="P9" s="99">
        <f t="shared" si="0"/>
        <v>658</v>
      </c>
      <c r="Q9" s="99">
        <f t="shared" si="0"/>
        <v>661</v>
      </c>
      <c r="R9" s="99">
        <f t="shared" si="0"/>
        <v>675</v>
      </c>
      <c r="S9" s="99">
        <f t="shared" si="0"/>
        <v>712</v>
      </c>
      <c r="T9" s="99">
        <f t="shared" si="0"/>
        <v>957</v>
      </c>
      <c r="U9" s="99">
        <f t="shared" si="0"/>
        <v>1486</v>
      </c>
      <c r="V9" s="99">
        <f t="shared" si="0"/>
        <v>1521</v>
      </c>
      <c r="W9" s="99">
        <f t="shared" si="0"/>
        <v>1555</v>
      </c>
      <c r="X9" s="99">
        <f t="shared" si="0"/>
        <v>1555</v>
      </c>
      <c r="Y9" s="99"/>
      <c r="Z9" s="99"/>
      <c r="AA9" s="19"/>
    </row>
    <row r="10" spans="2:27" ht="20" x14ac:dyDescent="0.2">
      <c r="B10" s="111" t="s">
        <v>792</v>
      </c>
      <c r="C10" s="33" t="s">
        <v>969</v>
      </c>
      <c r="D10" s="110">
        <v>-1808</v>
      </c>
      <c r="E10" s="110">
        <v>-1805</v>
      </c>
      <c r="F10" s="99">
        <v>-1813</v>
      </c>
      <c r="G10" s="99">
        <v>-1813</v>
      </c>
      <c r="H10" s="99">
        <v>-1805</v>
      </c>
      <c r="I10" s="99">
        <v>-1813</v>
      </c>
      <c r="J10" s="99">
        <v>-1915</v>
      </c>
      <c r="K10" s="99">
        <v>-1915</v>
      </c>
      <c r="L10" s="99">
        <v>-1965</v>
      </c>
      <c r="M10" s="99">
        <v>-1965</v>
      </c>
      <c r="N10" s="99">
        <v>-1963</v>
      </c>
      <c r="O10" s="99">
        <v>-1963</v>
      </c>
      <c r="P10" s="99">
        <v>-1960</v>
      </c>
      <c r="Q10" s="99">
        <v>-1902</v>
      </c>
      <c r="R10" s="99">
        <v>-1901</v>
      </c>
      <c r="S10" s="99">
        <v>-1965</v>
      </c>
      <c r="T10" s="99">
        <v>-1965</v>
      </c>
      <c r="U10" s="99">
        <v>-2029</v>
      </c>
      <c r="V10" s="99">
        <v>-2029</v>
      </c>
      <c r="W10" s="99">
        <v>-2029</v>
      </c>
      <c r="X10" s="99">
        <v>-2029</v>
      </c>
      <c r="Y10" s="99"/>
      <c r="Z10" s="99"/>
      <c r="AA10" s="19"/>
    </row>
    <row r="11" spans="2:27" ht="20" x14ac:dyDescent="0.2">
      <c r="B11" s="111" t="s">
        <v>715</v>
      </c>
      <c r="C11" s="33" t="s">
        <v>970</v>
      </c>
      <c r="D11" s="110">
        <f t="shared" ref="D11:E11" si="1">D3+D4+D9+D10</f>
        <v>11307</v>
      </c>
      <c r="E11" s="110">
        <f t="shared" si="1"/>
        <v>11293</v>
      </c>
      <c r="F11" s="99">
        <f>F3+F4+F9+F10</f>
        <v>11353</v>
      </c>
      <c r="G11" s="99">
        <f t="shared" ref="G11:X11" si="2">G3+G4+G9+G10</f>
        <v>11410</v>
      </c>
      <c r="H11" s="99">
        <f t="shared" si="2"/>
        <v>11360</v>
      </c>
      <c r="I11" s="99">
        <f t="shared" si="2"/>
        <v>11410</v>
      </c>
      <c r="J11" s="99">
        <f t="shared" si="2"/>
        <v>11986</v>
      </c>
      <c r="K11" s="99">
        <f t="shared" si="2"/>
        <v>11983</v>
      </c>
      <c r="L11" s="99">
        <f t="shared" si="2"/>
        <v>12290</v>
      </c>
      <c r="M11" s="99">
        <f t="shared" si="2"/>
        <v>12288</v>
      </c>
      <c r="N11" s="99">
        <f t="shared" si="2"/>
        <v>12276</v>
      </c>
      <c r="O11" s="99">
        <f t="shared" si="2"/>
        <v>12277</v>
      </c>
      <c r="P11" s="99">
        <f t="shared" si="2"/>
        <v>12262</v>
      </c>
      <c r="Q11" s="99">
        <f t="shared" si="2"/>
        <v>11905</v>
      </c>
      <c r="R11" s="99">
        <f t="shared" si="2"/>
        <v>11897</v>
      </c>
      <c r="S11" s="99">
        <f t="shared" si="2"/>
        <v>12290</v>
      </c>
      <c r="T11" s="99">
        <f t="shared" si="2"/>
        <v>12291</v>
      </c>
      <c r="U11" s="99">
        <f t="shared" si="2"/>
        <v>12683</v>
      </c>
      <c r="V11" s="99">
        <f t="shared" si="2"/>
        <v>12683</v>
      </c>
      <c r="W11" s="99">
        <f t="shared" si="2"/>
        <v>12683</v>
      </c>
      <c r="X11" s="99">
        <f t="shared" si="2"/>
        <v>12682</v>
      </c>
      <c r="Y11" s="99"/>
      <c r="Z11" s="99"/>
      <c r="AA11" s="19"/>
    </row>
    <row r="12" spans="2:27" ht="19" x14ac:dyDescent="0.2">
      <c r="B12" s="111"/>
      <c r="C12" s="33"/>
      <c r="D12" s="48"/>
      <c r="E12" s="48"/>
      <c r="F12" s="99"/>
      <c r="G12" s="99"/>
      <c r="H12" s="99"/>
      <c r="I12" s="99"/>
      <c r="J12" s="99"/>
      <c r="K12" s="99"/>
      <c r="L12" s="99"/>
      <c r="M12" s="99"/>
      <c r="N12" s="99"/>
      <c r="O12" s="99"/>
      <c r="P12" s="99"/>
      <c r="Q12" s="99"/>
      <c r="R12" s="99"/>
      <c r="S12" s="99"/>
      <c r="T12" s="99"/>
      <c r="U12" s="99"/>
      <c r="V12" s="99"/>
      <c r="W12" s="99"/>
      <c r="X12" s="99"/>
      <c r="Y12" s="99"/>
      <c r="Z12" s="99"/>
      <c r="AA12" s="19"/>
    </row>
    <row r="13" spans="2:27" ht="20" x14ac:dyDescent="0.2">
      <c r="B13" s="111" t="s">
        <v>708</v>
      </c>
      <c r="C13" s="33"/>
      <c r="D13" s="48"/>
      <c r="E13" s="48"/>
      <c r="F13" s="99"/>
      <c r="G13" s="99"/>
      <c r="H13" s="99"/>
      <c r="I13" s="99"/>
      <c r="J13" s="99"/>
      <c r="K13" s="99"/>
      <c r="L13" s="99"/>
      <c r="M13" s="99"/>
      <c r="N13" s="99"/>
      <c r="O13" s="99"/>
      <c r="P13" s="99"/>
      <c r="Q13" s="99"/>
      <c r="R13" s="99"/>
      <c r="S13" s="99"/>
      <c r="T13" s="99"/>
      <c r="U13" s="99"/>
      <c r="V13" s="99"/>
      <c r="W13" s="99"/>
      <c r="X13" s="99"/>
      <c r="Y13" s="99"/>
      <c r="Z13" s="99"/>
      <c r="AA13" s="19"/>
    </row>
    <row r="14" spans="2:27" ht="20" x14ac:dyDescent="0.2">
      <c r="B14" s="111" t="s">
        <v>774</v>
      </c>
      <c r="C14" s="33" t="s">
        <v>712</v>
      </c>
      <c r="D14" s="110">
        <v>-11209</v>
      </c>
      <c r="E14" s="110">
        <v>-11374</v>
      </c>
      <c r="F14" s="99">
        <v>-10870</v>
      </c>
      <c r="G14" s="99">
        <v>-10887</v>
      </c>
      <c r="H14" s="99">
        <v>-11054</v>
      </c>
      <c r="I14" s="99">
        <v>-11264</v>
      </c>
      <c r="J14" s="99">
        <v>-11463</v>
      </c>
      <c r="K14" s="99">
        <v>-11579</v>
      </c>
      <c r="L14" s="99">
        <v>-11768</v>
      </c>
      <c r="M14" s="99">
        <v>-11906</v>
      </c>
      <c r="N14" s="99">
        <v>-12059</v>
      </c>
      <c r="O14" s="99">
        <v>-12189</v>
      </c>
      <c r="P14" s="99">
        <v>-12343</v>
      </c>
      <c r="Q14" s="99">
        <v>-12508</v>
      </c>
      <c r="R14" s="99">
        <v>-12689</v>
      </c>
      <c r="S14" s="99">
        <v>-12881</v>
      </c>
      <c r="T14" s="99">
        <v>-13085</v>
      </c>
      <c r="U14" s="99">
        <v>-13296</v>
      </c>
      <c r="V14" s="99">
        <v>-13517</v>
      </c>
      <c r="W14" s="99">
        <v>-13743</v>
      </c>
      <c r="X14" s="99">
        <v>-13974</v>
      </c>
      <c r="Y14" s="99"/>
      <c r="Z14" s="99"/>
      <c r="AA14" s="19"/>
    </row>
    <row r="15" spans="2:27" ht="20" x14ac:dyDescent="0.2">
      <c r="B15" s="111" t="s">
        <v>710</v>
      </c>
      <c r="C15" s="33"/>
      <c r="D15" s="110"/>
      <c r="E15" s="110"/>
      <c r="F15" s="99"/>
      <c r="G15" s="99"/>
      <c r="H15" s="99"/>
      <c r="I15" s="99"/>
      <c r="J15" s="99"/>
      <c r="K15" s="99"/>
      <c r="L15" s="99"/>
      <c r="M15" s="99"/>
      <c r="N15" s="99"/>
      <c r="O15" s="99"/>
      <c r="P15" s="99"/>
      <c r="Q15" s="99"/>
      <c r="R15" s="99"/>
      <c r="S15" s="99"/>
      <c r="T15" s="99"/>
      <c r="U15" s="99"/>
      <c r="V15" s="99"/>
      <c r="W15" s="99"/>
      <c r="X15" s="99"/>
      <c r="Y15" s="99"/>
      <c r="Z15" s="99"/>
      <c r="AA15" s="19"/>
    </row>
    <row r="16" spans="2:27" ht="20" x14ac:dyDescent="0.2">
      <c r="B16" s="111" t="s">
        <v>775</v>
      </c>
      <c r="C16" s="33"/>
      <c r="D16" s="110">
        <f>210+11</f>
        <v>221</v>
      </c>
      <c r="E16" s="110">
        <f>211+11</f>
        <v>222</v>
      </c>
      <c r="F16" s="99">
        <v>128</v>
      </c>
      <c r="G16" s="99">
        <v>126</v>
      </c>
      <c r="H16" s="99">
        <v>124</v>
      </c>
      <c r="I16" s="99">
        <v>123</v>
      </c>
      <c r="J16" s="99">
        <v>120</v>
      </c>
      <c r="K16" s="99">
        <v>117</v>
      </c>
      <c r="L16" s="99">
        <v>116</v>
      </c>
      <c r="M16" s="99">
        <v>114</v>
      </c>
      <c r="N16" s="99">
        <v>111</v>
      </c>
      <c r="O16" s="99">
        <v>108</v>
      </c>
      <c r="P16" s="99">
        <v>106</v>
      </c>
      <c r="Q16" s="99">
        <v>103</v>
      </c>
      <c r="R16" s="99">
        <v>99</v>
      </c>
      <c r="S16" s="99">
        <v>92</v>
      </c>
      <c r="T16" s="99">
        <v>84</v>
      </c>
      <c r="U16" s="99">
        <v>82</v>
      </c>
      <c r="V16" s="99">
        <v>80</v>
      </c>
      <c r="W16" s="99">
        <v>80</v>
      </c>
      <c r="X16" s="99">
        <v>78</v>
      </c>
      <c r="Y16" s="99"/>
      <c r="Z16" s="99"/>
      <c r="AA16" s="19"/>
    </row>
    <row r="17" spans="2:27" ht="20" x14ac:dyDescent="0.2">
      <c r="B17" s="111" t="s">
        <v>776</v>
      </c>
      <c r="C17" s="33"/>
      <c r="D17" s="110">
        <v>0</v>
      </c>
      <c r="E17" s="110">
        <v>0</v>
      </c>
      <c r="F17" s="99">
        <v>129</v>
      </c>
      <c r="G17" s="99">
        <v>198</v>
      </c>
      <c r="H17" s="99">
        <v>246</v>
      </c>
      <c r="I17" s="99">
        <v>289</v>
      </c>
      <c r="J17" s="99">
        <v>327</v>
      </c>
      <c r="K17" s="99">
        <v>361</v>
      </c>
      <c r="L17" s="99">
        <v>391</v>
      </c>
      <c r="M17" s="99">
        <v>417</v>
      </c>
      <c r="N17" s="99">
        <v>441</v>
      </c>
      <c r="O17" s="99">
        <v>465</v>
      </c>
      <c r="P17" s="99">
        <v>486</v>
      </c>
      <c r="Q17" s="99">
        <v>505</v>
      </c>
      <c r="R17" s="99">
        <v>523</v>
      </c>
      <c r="S17" s="99">
        <v>546</v>
      </c>
      <c r="T17" s="99">
        <v>569</v>
      </c>
      <c r="U17" s="99">
        <v>592</v>
      </c>
      <c r="V17" s="99">
        <v>615</v>
      </c>
      <c r="W17" s="99">
        <v>638</v>
      </c>
      <c r="X17" s="99">
        <v>662</v>
      </c>
      <c r="Y17" s="99"/>
      <c r="Z17" s="99"/>
      <c r="AA17" s="19"/>
    </row>
    <row r="18" spans="2:27" ht="20" x14ac:dyDescent="0.2">
      <c r="B18" s="111" t="s">
        <v>711</v>
      </c>
      <c r="C18" s="33"/>
      <c r="D18" s="110"/>
      <c r="E18" s="110"/>
      <c r="F18" s="99"/>
      <c r="G18" s="99"/>
      <c r="H18" s="99"/>
      <c r="I18" s="99"/>
      <c r="J18" s="99"/>
      <c r="K18" s="99"/>
      <c r="L18" s="99"/>
      <c r="M18" s="99"/>
      <c r="N18" s="99"/>
      <c r="O18" s="99"/>
      <c r="P18" s="99"/>
      <c r="Q18" s="99"/>
      <c r="R18" s="99"/>
      <c r="S18" s="99"/>
      <c r="T18" s="99"/>
      <c r="U18" s="99"/>
      <c r="V18" s="99"/>
      <c r="W18" s="99"/>
      <c r="X18" s="99"/>
      <c r="Y18" s="99"/>
      <c r="Z18" s="99"/>
      <c r="AA18" s="19"/>
    </row>
    <row r="19" spans="2:27" ht="20" x14ac:dyDescent="0.2">
      <c r="B19" s="111" t="s">
        <v>777</v>
      </c>
      <c r="C19" s="33"/>
      <c r="D19" s="110">
        <v>272</v>
      </c>
      <c r="E19" s="110">
        <v>310</v>
      </c>
      <c r="F19" s="99">
        <v>57</v>
      </c>
      <c r="G19" s="99">
        <v>87</v>
      </c>
      <c r="H19" s="99">
        <v>108</v>
      </c>
      <c r="I19" s="99">
        <v>129</v>
      </c>
      <c r="J19" s="99">
        <v>148</v>
      </c>
      <c r="K19" s="99">
        <v>166</v>
      </c>
      <c r="L19" s="99">
        <v>183</v>
      </c>
      <c r="M19" s="99">
        <v>199</v>
      </c>
      <c r="N19" s="99">
        <v>213</v>
      </c>
      <c r="O19" s="99">
        <v>226</v>
      </c>
      <c r="P19" s="99">
        <v>230</v>
      </c>
      <c r="Q19" s="99">
        <v>232</v>
      </c>
      <c r="R19" s="99">
        <v>238</v>
      </c>
      <c r="S19" s="99">
        <v>244</v>
      </c>
      <c r="T19" s="99">
        <v>250</v>
      </c>
      <c r="U19" s="99">
        <v>254</v>
      </c>
      <c r="V19" s="99">
        <v>256</v>
      </c>
      <c r="W19" s="99">
        <v>257</v>
      </c>
      <c r="X19" s="99">
        <v>257</v>
      </c>
      <c r="Y19" s="99"/>
      <c r="Z19" s="99"/>
      <c r="AA19" s="19"/>
    </row>
    <row r="20" spans="2:27" ht="20" x14ac:dyDescent="0.2">
      <c r="B20" s="111" t="s">
        <v>778</v>
      </c>
      <c r="C20" s="33"/>
      <c r="D20" s="110">
        <v>0</v>
      </c>
      <c r="E20" s="110">
        <v>47</v>
      </c>
      <c r="F20" s="99">
        <v>15</v>
      </c>
      <c r="G20" s="99">
        <v>17</v>
      </c>
      <c r="H20" s="99">
        <v>17</v>
      </c>
      <c r="I20" s="99">
        <v>17</v>
      </c>
      <c r="J20" s="99">
        <v>16</v>
      </c>
      <c r="K20" s="99">
        <v>16</v>
      </c>
      <c r="L20" s="99">
        <v>15</v>
      </c>
      <c r="M20" s="99">
        <v>15</v>
      </c>
      <c r="N20" s="99">
        <v>15</v>
      </c>
      <c r="O20" s="99">
        <v>15</v>
      </c>
      <c r="P20" s="99">
        <v>15</v>
      </c>
      <c r="Q20" s="99">
        <v>14</v>
      </c>
      <c r="R20" s="99">
        <v>14</v>
      </c>
      <c r="S20" s="99">
        <v>14</v>
      </c>
      <c r="T20" s="99">
        <v>14</v>
      </c>
      <c r="U20" s="99">
        <v>14</v>
      </c>
      <c r="V20" s="99">
        <v>14</v>
      </c>
      <c r="W20" s="99">
        <v>14</v>
      </c>
      <c r="X20" s="99">
        <v>14</v>
      </c>
      <c r="Y20" s="99"/>
      <c r="Z20" s="99"/>
      <c r="AA20" s="19"/>
    </row>
    <row r="21" spans="2:27" ht="20" x14ac:dyDescent="0.2">
      <c r="B21" s="111" t="s">
        <v>789</v>
      </c>
      <c r="C21" s="33" t="s">
        <v>971</v>
      </c>
      <c r="D21" s="110">
        <f t="shared" ref="D21:E21" si="3">SUM(D16:D20)</f>
        <v>493</v>
      </c>
      <c r="E21" s="110">
        <f t="shared" si="3"/>
        <v>579</v>
      </c>
      <c r="F21" s="99">
        <f>SUM(F16:F20)</f>
        <v>329</v>
      </c>
      <c r="G21" s="99">
        <f t="shared" ref="G21:X21" si="4">SUM(G16:G20)</f>
        <v>428</v>
      </c>
      <c r="H21" s="99">
        <f t="shared" si="4"/>
        <v>495</v>
      </c>
      <c r="I21" s="99">
        <f t="shared" si="4"/>
        <v>558</v>
      </c>
      <c r="J21" s="99">
        <f t="shared" si="4"/>
        <v>611</v>
      </c>
      <c r="K21" s="99">
        <f t="shared" si="4"/>
        <v>660</v>
      </c>
      <c r="L21" s="99">
        <f t="shared" si="4"/>
        <v>705</v>
      </c>
      <c r="M21" s="99">
        <f t="shared" si="4"/>
        <v>745</v>
      </c>
      <c r="N21" s="99">
        <f t="shared" si="4"/>
        <v>780</v>
      </c>
      <c r="O21" s="99">
        <f t="shared" si="4"/>
        <v>814</v>
      </c>
      <c r="P21" s="99">
        <f t="shared" si="4"/>
        <v>837</v>
      </c>
      <c r="Q21" s="99">
        <f t="shared" si="4"/>
        <v>854</v>
      </c>
      <c r="R21" s="99">
        <f t="shared" si="4"/>
        <v>874</v>
      </c>
      <c r="S21" s="99">
        <f t="shared" si="4"/>
        <v>896</v>
      </c>
      <c r="T21" s="99">
        <f t="shared" si="4"/>
        <v>917</v>
      </c>
      <c r="U21" s="99">
        <f t="shared" si="4"/>
        <v>942</v>
      </c>
      <c r="V21" s="99">
        <f t="shared" si="4"/>
        <v>965</v>
      </c>
      <c r="W21" s="99">
        <f t="shared" si="4"/>
        <v>989</v>
      </c>
      <c r="X21" s="99">
        <f t="shared" si="4"/>
        <v>1011</v>
      </c>
      <c r="Y21" s="99"/>
      <c r="Z21" s="99"/>
      <c r="AA21" s="19"/>
    </row>
    <row r="22" spans="2:27" ht="19" x14ac:dyDescent="0.2">
      <c r="B22" s="111"/>
      <c r="C22" s="33"/>
      <c r="D22" s="110"/>
      <c r="E22" s="110"/>
      <c r="F22" s="99"/>
      <c r="G22" s="99"/>
      <c r="H22" s="99"/>
      <c r="I22" s="99"/>
      <c r="J22" s="99"/>
      <c r="K22" s="99"/>
      <c r="L22" s="99"/>
      <c r="M22" s="99"/>
      <c r="N22" s="99"/>
      <c r="O22" s="99"/>
      <c r="P22" s="99"/>
      <c r="Q22" s="99"/>
      <c r="R22" s="99"/>
      <c r="S22" s="99"/>
      <c r="T22" s="99"/>
      <c r="U22" s="99"/>
      <c r="V22" s="99"/>
      <c r="W22" s="99"/>
      <c r="X22" s="99"/>
      <c r="Y22" s="99"/>
      <c r="Z22" s="99"/>
      <c r="AA22" s="19"/>
    </row>
    <row r="23" spans="2:27" ht="20" x14ac:dyDescent="0.2">
      <c r="B23" s="111" t="s">
        <v>779</v>
      </c>
      <c r="C23" s="33" t="s">
        <v>972</v>
      </c>
      <c r="D23" s="110">
        <f t="shared" ref="D23:E23" si="5">D11+D14+D21</f>
        <v>591</v>
      </c>
      <c r="E23" s="110">
        <f t="shared" si="5"/>
        <v>498</v>
      </c>
      <c r="F23" s="99">
        <f>F11+F14+F21</f>
        <v>812</v>
      </c>
      <c r="G23" s="99">
        <f t="shared" ref="G23:X23" si="6">G11+G14+G21</f>
        <v>951</v>
      </c>
      <c r="H23" s="99">
        <f t="shared" si="6"/>
        <v>801</v>
      </c>
      <c r="I23" s="99">
        <f t="shared" si="6"/>
        <v>704</v>
      </c>
      <c r="J23" s="99">
        <f t="shared" si="6"/>
        <v>1134</v>
      </c>
      <c r="K23" s="99">
        <f t="shared" si="6"/>
        <v>1064</v>
      </c>
      <c r="L23" s="99">
        <f t="shared" si="6"/>
        <v>1227</v>
      </c>
      <c r="M23" s="99">
        <f t="shared" si="6"/>
        <v>1127</v>
      </c>
      <c r="N23" s="99">
        <f t="shared" si="6"/>
        <v>997</v>
      </c>
      <c r="O23" s="99">
        <f t="shared" si="6"/>
        <v>902</v>
      </c>
      <c r="P23" s="99">
        <f t="shared" si="6"/>
        <v>756</v>
      </c>
      <c r="Q23" s="99">
        <f t="shared" si="6"/>
        <v>251</v>
      </c>
      <c r="R23" s="99">
        <f t="shared" si="6"/>
        <v>82</v>
      </c>
      <c r="S23" s="99">
        <f t="shared" si="6"/>
        <v>305</v>
      </c>
      <c r="T23" s="99">
        <f t="shared" si="6"/>
        <v>123</v>
      </c>
      <c r="U23" s="99">
        <f t="shared" si="6"/>
        <v>329</v>
      </c>
      <c r="V23" s="99">
        <f t="shared" si="6"/>
        <v>131</v>
      </c>
      <c r="W23" s="99">
        <f t="shared" si="6"/>
        <v>-71</v>
      </c>
      <c r="X23" s="99">
        <f t="shared" si="6"/>
        <v>-281</v>
      </c>
      <c r="Y23" s="99"/>
      <c r="Z23" s="99"/>
      <c r="AA23" s="19"/>
    </row>
    <row r="24" spans="2:27" ht="20" x14ac:dyDescent="0.2">
      <c r="B24" s="111" t="s">
        <v>780</v>
      </c>
      <c r="C24" s="33"/>
      <c r="D24" s="5">
        <f>-D11/(D14+D21)</f>
        <v>1.0551511758118701</v>
      </c>
      <c r="E24" s="5">
        <f>-E11/(E14+E21)</f>
        <v>1.0461324687355258</v>
      </c>
      <c r="F24" s="5">
        <f t="shared" ref="F24:X24" si="7">-F11/(F14+F21)</f>
        <v>1.077032539607248</v>
      </c>
      <c r="G24" s="5">
        <f t="shared" si="7"/>
        <v>1.0909264748063869</v>
      </c>
      <c r="H24" s="5">
        <f t="shared" si="7"/>
        <v>1.0758594563879156</v>
      </c>
      <c r="I24" s="5">
        <f t="shared" si="7"/>
        <v>1.0657575191481412</v>
      </c>
      <c r="J24" s="5">
        <f t="shared" si="7"/>
        <v>1.1044968669369701</v>
      </c>
      <c r="K24" s="5">
        <f t="shared" si="7"/>
        <v>1.0974448209542997</v>
      </c>
      <c r="L24" s="5">
        <f t="shared" si="7"/>
        <v>1.110910241345024</v>
      </c>
      <c r="M24" s="5">
        <f t="shared" si="7"/>
        <v>1.100976614998656</v>
      </c>
      <c r="N24" s="5">
        <f t="shared" si="7"/>
        <v>1.0883943612022342</v>
      </c>
      <c r="O24" s="5">
        <f t="shared" si="7"/>
        <v>1.0792967032967034</v>
      </c>
      <c r="P24" s="5">
        <f t="shared" si="7"/>
        <v>1.0657048496436641</v>
      </c>
      <c r="Q24" s="5">
        <f t="shared" si="7"/>
        <v>1.02153766946971</v>
      </c>
      <c r="R24" s="5">
        <f t="shared" si="7"/>
        <v>1.0069403300888702</v>
      </c>
      <c r="S24" s="5">
        <f t="shared" si="7"/>
        <v>1.0254484772632457</v>
      </c>
      <c r="T24" s="5">
        <f t="shared" si="7"/>
        <v>1.0101084812623273</v>
      </c>
      <c r="U24" s="5">
        <f t="shared" si="7"/>
        <v>1.0266310506718472</v>
      </c>
      <c r="V24" s="5">
        <f t="shared" si="7"/>
        <v>1.0104365838113447</v>
      </c>
      <c r="W24" s="5">
        <f t="shared" si="7"/>
        <v>0.99443311902148346</v>
      </c>
      <c r="X24" s="5">
        <f t="shared" si="7"/>
        <v>0.97832291907737412</v>
      </c>
      <c r="Y24" s="99"/>
      <c r="Z24" s="99"/>
      <c r="AA24" s="19"/>
    </row>
    <row r="25" spans="2:27" ht="19" x14ac:dyDescent="0.2">
      <c r="B25" s="111"/>
      <c r="C25" s="33"/>
      <c r="D25" s="110"/>
      <c r="E25" s="110"/>
      <c r="F25" s="99"/>
      <c r="G25" s="99"/>
      <c r="H25" s="99"/>
      <c r="I25" s="99"/>
      <c r="J25" s="99"/>
      <c r="K25" s="99"/>
      <c r="L25" s="99"/>
      <c r="M25" s="99"/>
      <c r="N25" s="99"/>
      <c r="O25" s="99"/>
      <c r="P25" s="99"/>
      <c r="Q25" s="99"/>
      <c r="R25" s="99"/>
      <c r="S25" s="99"/>
      <c r="T25" s="99"/>
      <c r="U25" s="99"/>
      <c r="V25" s="99"/>
      <c r="W25" s="99"/>
      <c r="X25" s="99"/>
      <c r="Y25" s="99"/>
      <c r="Z25" s="99"/>
      <c r="AA25" s="19"/>
    </row>
    <row r="26" spans="2:27" ht="20" x14ac:dyDescent="0.2">
      <c r="B26" s="111" t="s">
        <v>781</v>
      </c>
      <c r="C26" s="33" t="s">
        <v>798</v>
      </c>
      <c r="D26" s="110">
        <v>1121</v>
      </c>
      <c r="E26" s="110">
        <v>1041</v>
      </c>
      <c r="F26" s="99">
        <v>1229</v>
      </c>
      <c r="G26" s="99">
        <v>1370</v>
      </c>
      <c r="H26" s="99">
        <v>1312</v>
      </c>
      <c r="I26" s="99">
        <v>1314</v>
      </c>
      <c r="J26" s="99">
        <v>1814</v>
      </c>
      <c r="K26" s="99">
        <v>1786</v>
      </c>
      <c r="L26" s="99">
        <v>2044</v>
      </c>
      <c r="M26" s="99">
        <v>2015</v>
      </c>
      <c r="N26" s="99">
        <v>2042</v>
      </c>
      <c r="O26" s="99">
        <v>2064</v>
      </c>
      <c r="P26" s="99">
        <v>2013</v>
      </c>
      <c r="Q26" s="99">
        <v>1602</v>
      </c>
      <c r="R26" s="99">
        <v>1524</v>
      </c>
      <c r="S26" s="99">
        <v>1848</v>
      </c>
      <c r="T26" s="99">
        <v>1776</v>
      </c>
      <c r="U26" s="99">
        <v>2083</v>
      </c>
      <c r="V26" s="99">
        <v>1989</v>
      </c>
      <c r="W26" s="99">
        <v>1900</v>
      </c>
      <c r="X26" s="99">
        <v>1798</v>
      </c>
      <c r="Y26" s="99"/>
      <c r="Z26" s="99"/>
      <c r="AA26" s="19"/>
    </row>
    <row r="27" spans="2:27" ht="20" x14ac:dyDescent="0.2">
      <c r="B27" s="111" t="s">
        <v>782</v>
      </c>
      <c r="C27" s="33" t="s">
        <v>973</v>
      </c>
      <c r="D27" s="110">
        <v>-105</v>
      </c>
      <c r="E27" s="110">
        <v>-403</v>
      </c>
      <c r="F27" s="99">
        <v>499</v>
      </c>
      <c r="G27" s="99">
        <v>483</v>
      </c>
      <c r="H27" s="99">
        <v>233</v>
      </c>
      <c r="I27" s="99">
        <v>45</v>
      </c>
      <c r="J27" s="99">
        <v>436</v>
      </c>
      <c r="K27" s="99">
        <v>295</v>
      </c>
      <c r="L27" s="99">
        <v>341</v>
      </c>
      <c r="M27" s="99">
        <v>157</v>
      </c>
      <c r="N27" s="99">
        <v>-144</v>
      </c>
      <c r="O27" s="99">
        <v>-378</v>
      </c>
      <c r="P27" s="99">
        <v>-621</v>
      </c>
      <c r="Q27" s="99">
        <v>-1223</v>
      </c>
      <c r="R27" s="99">
        <v>-1465</v>
      </c>
      <c r="S27" s="99">
        <v>-1327</v>
      </c>
      <c r="T27" s="99">
        <v>-1594</v>
      </c>
      <c r="U27" s="99">
        <v>-1459</v>
      </c>
      <c r="V27" s="99">
        <v>-1724</v>
      </c>
      <c r="W27" s="99">
        <v>-1984</v>
      </c>
      <c r="X27" s="99">
        <v>-2251</v>
      </c>
      <c r="Y27" s="99"/>
      <c r="Z27" s="99"/>
      <c r="AA27" s="19"/>
    </row>
    <row r="28" spans="2:27" ht="19" x14ac:dyDescent="0.2">
      <c r="B28" s="99"/>
      <c r="C28" s="99"/>
      <c r="D28" s="99"/>
      <c r="E28" s="99"/>
      <c r="F28" s="99"/>
      <c r="G28" s="99"/>
      <c r="H28" s="99"/>
      <c r="I28" s="99"/>
      <c r="J28" s="99"/>
      <c r="K28" s="99"/>
      <c r="L28" s="99"/>
      <c r="M28" s="99"/>
      <c r="N28" s="99"/>
      <c r="O28" s="99"/>
      <c r="P28" s="99"/>
      <c r="Q28" s="99"/>
      <c r="R28" s="99"/>
      <c r="S28" s="99"/>
      <c r="T28" s="99"/>
      <c r="U28" s="99"/>
      <c r="V28" s="99"/>
      <c r="W28" s="99"/>
      <c r="X28" s="99"/>
      <c r="Y28" s="99"/>
      <c r="Z28" s="99"/>
      <c r="AA28" s="19"/>
    </row>
    <row r="29" spans="2:27" ht="19" x14ac:dyDescent="0.2">
      <c r="B29" s="99"/>
      <c r="C29" s="99"/>
      <c r="D29" s="99"/>
      <c r="E29" s="99"/>
      <c r="F29" s="99"/>
      <c r="G29" s="99"/>
      <c r="H29" s="99"/>
      <c r="I29" s="99"/>
      <c r="J29" s="99"/>
      <c r="K29" s="99"/>
      <c r="L29" s="99"/>
      <c r="M29" s="99"/>
      <c r="N29" s="99"/>
      <c r="O29" s="99"/>
      <c r="P29" s="99"/>
      <c r="Q29" s="99"/>
      <c r="R29" s="99"/>
      <c r="S29" s="99"/>
      <c r="T29" s="99"/>
      <c r="U29" s="99"/>
      <c r="V29" s="99"/>
      <c r="W29" s="99"/>
      <c r="X29" s="99"/>
      <c r="Y29" s="99"/>
      <c r="Z29" s="99"/>
      <c r="AA29" s="19"/>
    </row>
    <row r="30" spans="2:27" ht="20" x14ac:dyDescent="0.2">
      <c r="B30" s="111" t="s">
        <v>774</v>
      </c>
      <c r="C30" s="33" t="s">
        <v>712</v>
      </c>
      <c r="D30" s="110">
        <f>-D14</f>
        <v>11209</v>
      </c>
      <c r="E30" s="110">
        <f t="shared" ref="E30:X30" si="8">-E14</f>
        <v>11374</v>
      </c>
      <c r="F30" s="110">
        <f t="shared" si="8"/>
        <v>10870</v>
      </c>
      <c r="G30" s="110">
        <f t="shared" si="8"/>
        <v>10887</v>
      </c>
      <c r="H30" s="110">
        <f t="shared" si="8"/>
        <v>11054</v>
      </c>
      <c r="I30" s="110">
        <f t="shared" si="8"/>
        <v>11264</v>
      </c>
      <c r="J30" s="110">
        <f t="shared" si="8"/>
        <v>11463</v>
      </c>
      <c r="K30" s="110">
        <f t="shared" si="8"/>
        <v>11579</v>
      </c>
      <c r="L30" s="110">
        <f t="shared" si="8"/>
        <v>11768</v>
      </c>
      <c r="M30" s="110">
        <f t="shared" si="8"/>
        <v>11906</v>
      </c>
      <c r="N30" s="110">
        <f t="shared" si="8"/>
        <v>12059</v>
      </c>
      <c r="O30" s="110">
        <f t="shared" si="8"/>
        <v>12189</v>
      </c>
      <c r="P30" s="110">
        <f t="shared" si="8"/>
        <v>12343</v>
      </c>
      <c r="Q30" s="110">
        <f t="shared" si="8"/>
        <v>12508</v>
      </c>
      <c r="R30" s="110">
        <f t="shared" si="8"/>
        <v>12689</v>
      </c>
      <c r="S30" s="110">
        <f t="shared" si="8"/>
        <v>12881</v>
      </c>
      <c r="T30" s="110">
        <f t="shared" si="8"/>
        <v>13085</v>
      </c>
      <c r="U30" s="110">
        <f t="shared" si="8"/>
        <v>13296</v>
      </c>
      <c r="V30" s="110">
        <f t="shared" si="8"/>
        <v>13517</v>
      </c>
      <c r="W30" s="110">
        <f t="shared" si="8"/>
        <v>13743</v>
      </c>
      <c r="X30" s="110">
        <f t="shared" si="8"/>
        <v>13974</v>
      </c>
      <c r="Y30" s="51" t="s">
        <v>787</v>
      </c>
      <c r="Z30" s="51" t="s">
        <v>788</v>
      </c>
      <c r="AA30" s="97"/>
    </row>
    <row r="31" spans="2:27" ht="20" x14ac:dyDescent="0.2">
      <c r="B31" s="111" t="s">
        <v>790</v>
      </c>
      <c r="C31" s="33"/>
      <c r="D31" s="48"/>
      <c r="E31" s="114"/>
      <c r="F31" s="114">
        <f t="shared" ref="F31:X31" si="9">(F30-E30)/E30</f>
        <v>-4.4311587831897307E-2</v>
      </c>
      <c r="G31" s="114">
        <f t="shared" si="9"/>
        <v>1.5639374425022998E-3</v>
      </c>
      <c r="H31" s="114">
        <f t="shared" si="9"/>
        <v>1.5339395609442454E-2</v>
      </c>
      <c r="I31" s="114">
        <f t="shared" si="9"/>
        <v>1.8997647910258729E-2</v>
      </c>
      <c r="J31" s="114">
        <f t="shared" si="9"/>
        <v>1.7666903409090908E-2</v>
      </c>
      <c r="K31" s="114">
        <f t="shared" si="9"/>
        <v>1.0119514961179446E-2</v>
      </c>
      <c r="L31" s="114">
        <f t="shared" si="9"/>
        <v>1.6322653078849642E-2</v>
      </c>
      <c r="M31" s="114">
        <f t="shared" si="9"/>
        <v>1.1726716519374574E-2</v>
      </c>
      <c r="N31" s="114">
        <f t="shared" si="9"/>
        <v>1.2850663530992778E-2</v>
      </c>
      <c r="O31" s="114">
        <f t="shared" si="9"/>
        <v>1.0780330043950577E-2</v>
      </c>
      <c r="P31" s="114">
        <f t="shared" si="9"/>
        <v>1.2634342439904833E-2</v>
      </c>
      <c r="Q31" s="114">
        <f t="shared" si="9"/>
        <v>1.3367900834481082E-2</v>
      </c>
      <c r="R31" s="114">
        <f t="shared" si="9"/>
        <v>1.4470738727214582E-2</v>
      </c>
      <c r="S31" s="114">
        <f t="shared" si="9"/>
        <v>1.5131216013870281E-2</v>
      </c>
      <c r="T31" s="114">
        <f t="shared" si="9"/>
        <v>1.5837279714307897E-2</v>
      </c>
      <c r="U31" s="114">
        <f t="shared" si="9"/>
        <v>1.6125334352311806E-2</v>
      </c>
      <c r="V31" s="114">
        <f t="shared" si="9"/>
        <v>1.6621540312876052E-2</v>
      </c>
      <c r="W31" s="114">
        <f t="shared" si="9"/>
        <v>1.6719686320929201E-2</v>
      </c>
      <c r="X31" s="114">
        <f t="shared" si="9"/>
        <v>1.68085570836062E-2</v>
      </c>
      <c r="Y31" s="114">
        <f>(O30/F30)^(1/(11-1))-1</f>
        <v>1.1518553941086918E-2</v>
      </c>
      <c r="Z31" s="114">
        <f>(X30/F30)^(1/(20-1))-1</f>
        <v>1.3308397679967721E-2</v>
      </c>
      <c r="AA31" s="97" t="s">
        <v>1017</v>
      </c>
    </row>
    <row r="32" spans="2:27" ht="20" x14ac:dyDescent="0.2">
      <c r="B32" s="111" t="s">
        <v>783</v>
      </c>
      <c r="C32" s="33"/>
      <c r="D32" s="48"/>
      <c r="E32" s="48"/>
      <c r="F32" s="48">
        <f t="shared" ref="F32:X32" si="10">-(F14)-F21</f>
        <v>10541</v>
      </c>
      <c r="G32" s="48">
        <f t="shared" si="10"/>
        <v>10459</v>
      </c>
      <c r="H32" s="48">
        <f t="shared" si="10"/>
        <v>10559</v>
      </c>
      <c r="I32" s="48">
        <f t="shared" si="10"/>
        <v>10706</v>
      </c>
      <c r="J32" s="48">
        <f t="shared" si="10"/>
        <v>10852</v>
      </c>
      <c r="K32" s="48">
        <f t="shared" si="10"/>
        <v>10919</v>
      </c>
      <c r="L32" s="48">
        <f t="shared" si="10"/>
        <v>11063</v>
      </c>
      <c r="M32" s="48">
        <f t="shared" si="10"/>
        <v>11161</v>
      </c>
      <c r="N32" s="48">
        <f t="shared" si="10"/>
        <v>11279</v>
      </c>
      <c r="O32" s="48">
        <f t="shared" si="10"/>
        <v>11375</v>
      </c>
      <c r="P32" s="48">
        <f t="shared" si="10"/>
        <v>11506</v>
      </c>
      <c r="Q32" s="48">
        <f t="shared" si="10"/>
        <v>11654</v>
      </c>
      <c r="R32" s="48">
        <f t="shared" si="10"/>
        <v>11815</v>
      </c>
      <c r="S32" s="48">
        <f t="shared" si="10"/>
        <v>11985</v>
      </c>
      <c r="T32" s="48">
        <f t="shared" si="10"/>
        <v>12168</v>
      </c>
      <c r="U32" s="48">
        <f t="shared" si="10"/>
        <v>12354</v>
      </c>
      <c r="V32" s="48">
        <f t="shared" si="10"/>
        <v>12552</v>
      </c>
      <c r="W32" s="48">
        <f t="shared" si="10"/>
        <v>12754</v>
      </c>
      <c r="X32" s="48">
        <f t="shared" si="10"/>
        <v>12963</v>
      </c>
      <c r="Y32" s="51" t="s">
        <v>785</v>
      </c>
      <c r="Z32" s="51" t="s">
        <v>3878</v>
      </c>
      <c r="AA32" s="19" t="s">
        <v>3877</v>
      </c>
    </row>
    <row r="33" spans="2:27" ht="20" x14ac:dyDescent="0.2">
      <c r="B33" s="111" t="s">
        <v>784</v>
      </c>
      <c r="C33" s="33"/>
      <c r="D33" s="48"/>
      <c r="E33" s="114"/>
      <c r="F33" s="114"/>
      <c r="G33" s="114">
        <f t="shared" ref="G33:X33" si="11">(G32-F32)/F32</f>
        <v>-7.779148088416659E-3</v>
      </c>
      <c r="H33" s="114">
        <f t="shared" si="11"/>
        <v>9.5611435127641274E-3</v>
      </c>
      <c r="I33" s="114">
        <f t="shared" si="11"/>
        <v>1.3921772895160526E-2</v>
      </c>
      <c r="J33" s="114">
        <f t="shared" si="11"/>
        <v>1.3637212777881562E-2</v>
      </c>
      <c r="K33" s="114">
        <f t="shared" si="11"/>
        <v>6.1739771470696644E-3</v>
      </c>
      <c r="L33" s="114">
        <f t="shared" si="11"/>
        <v>1.3188020881033062E-2</v>
      </c>
      <c r="M33" s="114">
        <f t="shared" si="11"/>
        <v>8.8583566844436402E-3</v>
      </c>
      <c r="N33" s="114">
        <f t="shared" si="11"/>
        <v>1.0572529343248812E-2</v>
      </c>
      <c r="O33" s="114">
        <f t="shared" si="11"/>
        <v>8.5113928539764169E-3</v>
      </c>
      <c r="P33" s="114">
        <f t="shared" si="11"/>
        <v>1.1516483516483517E-2</v>
      </c>
      <c r="Q33" s="114">
        <f t="shared" si="11"/>
        <v>1.2862854163045367E-2</v>
      </c>
      <c r="R33" s="114">
        <f t="shared" si="11"/>
        <v>1.381499914192552E-2</v>
      </c>
      <c r="S33" s="114">
        <f t="shared" si="11"/>
        <v>1.4388489208633094E-2</v>
      </c>
      <c r="T33" s="114">
        <f t="shared" si="11"/>
        <v>1.5269086357947435E-2</v>
      </c>
      <c r="U33" s="114">
        <f t="shared" si="11"/>
        <v>1.5285996055226824E-2</v>
      </c>
      <c r="V33" s="114">
        <f t="shared" si="11"/>
        <v>1.6027197668771247E-2</v>
      </c>
      <c r="W33" s="114">
        <f t="shared" si="11"/>
        <v>1.6093052899936264E-2</v>
      </c>
      <c r="X33" s="114">
        <f t="shared" si="11"/>
        <v>1.6387015838168418E-2</v>
      </c>
      <c r="Y33" s="310">
        <f>(O32/F32)^(1/(11-1))-1</f>
        <v>7.6436194040980787E-3</v>
      </c>
      <c r="Z33" s="310">
        <f>(X32/F32)^(1/(20-1))-1</f>
        <v>1.0945081290745895E-2</v>
      </c>
      <c r="AA33" s="311" t="s">
        <v>2905</v>
      </c>
    </row>
    <row r="34" spans="2:27" ht="20" x14ac:dyDescent="0.2">
      <c r="B34" s="111"/>
      <c r="C34" s="33"/>
      <c r="D34" s="48"/>
      <c r="E34" s="114"/>
      <c r="F34" s="114"/>
      <c r="G34" s="114"/>
      <c r="H34" s="114"/>
      <c r="I34" s="114"/>
      <c r="J34" s="114"/>
      <c r="K34" s="114"/>
      <c r="L34" s="114"/>
      <c r="M34" s="114"/>
      <c r="N34" s="114"/>
      <c r="O34" s="114"/>
      <c r="P34" s="114"/>
      <c r="Q34" s="114"/>
      <c r="R34" s="114"/>
      <c r="S34" s="114"/>
      <c r="T34" s="114"/>
      <c r="U34" s="114"/>
      <c r="V34" s="114"/>
      <c r="W34" s="114"/>
      <c r="X34" s="114"/>
      <c r="Y34" s="272">
        <f>Y33-Y31</f>
        <v>-3.8749345369888388E-3</v>
      </c>
      <c r="Z34" s="272">
        <f>Z33-Z31</f>
        <v>-2.3633163892218256E-3</v>
      </c>
      <c r="AA34" s="97" t="s">
        <v>1018</v>
      </c>
    </row>
    <row r="35" spans="2:27" s="98" customFormat="1" ht="19" x14ac:dyDescent="0.2">
      <c r="B35" s="111"/>
      <c r="C35" s="33"/>
      <c r="D35" s="48"/>
      <c r="E35" s="114"/>
      <c r="F35" s="114"/>
      <c r="G35" s="114"/>
      <c r="H35" s="114"/>
      <c r="I35" s="114"/>
      <c r="J35" s="114"/>
      <c r="K35" s="114"/>
      <c r="L35" s="114"/>
      <c r="M35" s="114"/>
      <c r="N35" s="114"/>
      <c r="O35" s="114"/>
      <c r="P35" s="114"/>
      <c r="Q35" s="114"/>
      <c r="R35" s="114"/>
      <c r="S35" s="114"/>
      <c r="T35" s="114"/>
      <c r="U35" s="114"/>
      <c r="V35" s="114"/>
      <c r="W35" s="114"/>
      <c r="X35" s="114"/>
      <c r="Y35" s="114"/>
      <c r="Z35" s="114"/>
      <c r="AA35" s="97"/>
    </row>
    <row r="36" spans="2:27" ht="20" x14ac:dyDescent="0.2">
      <c r="B36" s="111" t="s">
        <v>797</v>
      </c>
      <c r="C36" s="33" t="s">
        <v>974</v>
      </c>
      <c r="D36" s="48"/>
      <c r="E36" s="48"/>
      <c r="F36" s="48">
        <f>-(F14+F26-F23)</f>
        <v>10453</v>
      </c>
      <c r="G36" s="48">
        <f>-(G14+G26-G23)</f>
        <v>10468</v>
      </c>
      <c r="H36" s="48">
        <f t="shared" ref="H36:X36" si="12">-(H14+H26-H23)</f>
        <v>10543</v>
      </c>
      <c r="I36" s="48">
        <f t="shared" si="12"/>
        <v>10654</v>
      </c>
      <c r="J36" s="48">
        <f t="shared" si="12"/>
        <v>10783</v>
      </c>
      <c r="K36" s="48">
        <f t="shared" si="12"/>
        <v>10857</v>
      </c>
      <c r="L36" s="48">
        <f t="shared" si="12"/>
        <v>10951</v>
      </c>
      <c r="M36" s="48">
        <f t="shared" si="12"/>
        <v>11018</v>
      </c>
      <c r="N36" s="48">
        <f t="shared" si="12"/>
        <v>11014</v>
      </c>
      <c r="O36" s="48">
        <f t="shared" si="12"/>
        <v>11027</v>
      </c>
      <c r="P36" s="48">
        <f t="shared" si="12"/>
        <v>11086</v>
      </c>
      <c r="Q36" s="48">
        <f t="shared" si="12"/>
        <v>11157</v>
      </c>
      <c r="R36" s="48">
        <f t="shared" si="12"/>
        <v>11247</v>
      </c>
      <c r="S36" s="48">
        <f t="shared" si="12"/>
        <v>11338</v>
      </c>
      <c r="T36" s="48">
        <f t="shared" si="12"/>
        <v>11432</v>
      </c>
      <c r="U36" s="48">
        <f t="shared" si="12"/>
        <v>11542</v>
      </c>
      <c r="V36" s="48">
        <f t="shared" si="12"/>
        <v>11659</v>
      </c>
      <c r="W36" s="48">
        <f t="shared" si="12"/>
        <v>11772</v>
      </c>
      <c r="X36" s="48">
        <f t="shared" si="12"/>
        <v>11895</v>
      </c>
      <c r="Y36" s="51" t="s">
        <v>785</v>
      </c>
      <c r="Z36" s="51" t="s">
        <v>3878</v>
      </c>
      <c r="AA36" s="19" t="s">
        <v>3877</v>
      </c>
    </row>
    <row r="37" spans="2:27" ht="20" x14ac:dyDescent="0.2">
      <c r="B37" s="111" t="s">
        <v>784</v>
      </c>
      <c r="C37" s="33"/>
      <c r="D37" s="48"/>
      <c r="E37" s="114"/>
      <c r="F37" s="114"/>
      <c r="G37" s="114">
        <f t="shared" ref="G37:X37" si="13">(G36-F36)/F36</f>
        <v>1.434994738352626E-3</v>
      </c>
      <c r="H37" s="114">
        <f t="shared" si="13"/>
        <v>7.1646923958731375E-3</v>
      </c>
      <c r="I37" s="114">
        <f t="shared" si="13"/>
        <v>1.0528312624490183E-2</v>
      </c>
      <c r="J37" s="114">
        <f t="shared" si="13"/>
        <v>1.2108128402477943E-2</v>
      </c>
      <c r="K37" s="114">
        <f t="shared" si="13"/>
        <v>6.8626541778725771E-3</v>
      </c>
      <c r="L37" s="114">
        <f t="shared" si="13"/>
        <v>8.658008658008658E-3</v>
      </c>
      <c r="M37" s="114">
        <f t="shared" si="13"/>
        <v>6.1181627248653092E-3</v>
      </c>
      <c r="N37" s="114">
        <f t="shared" si="13"/>
        <v>-3.6304229442730079E-4</v>
      </c>
      <c r="O37" s="114">
        <f t="shared" si="13"/>
        <v>1.180315961503541E-3</v>
      </c>
      <c r="P37" s="114">
        <f t="shared" si="13"/>
        <v>5.3505033100571323E-3</v>
      </c>
      <c r="Q37" s="114">
        <f t="shared" si="13"/>
        <v>6.4044741114919722E-3</v>
      </c>
      <c r="R37" s="114">
        <f t="shared" si="13"/>
        <v>8.0666845926324286E-3</v>
      </c>
      <c r="S37" s="114">
        <f t="shared" si="13"/>
        <v>8.0910465012892334E-3</v>
      </c>
      <c r="T37" s="114">
        <f t="shared" si="13"/>
        <v>8.2907038278355969E-3</v>
      </c>
      <c r="U37" s="114">
        <f t="shared" si="13"/>
        <v>9.6221133659902033E-3</v>
      </c>
      <c r="V37" s="114">
        <f t="shared" si="13"/>
        <v>1.0136891353318316E-2</v>
      </c>
      <c r="W37" s="114">
        <f t="shared" si="13"/>
        <v>9.6920833690711042E-3</v>
      </c>
      <c r="X37" s="114">
        <f t="shared" si="13"/>
        <v>1.0448521916411825E-2</v>
      </c>
      <c r="Y37" s="310">
        <f>(O36/F36)^(1/(11-1))-1</f>
        <v>5.3600933957818064E-3</v>
      </c>
      <c r="Z37" s="310">
        <f>(X36/F36)^(1/(20-1))-1</f>
        <v>6.8247158604972658E-3</v>
      </c>
      <c r="AA37" s="311" t="s">
        <v>3879</v>
      </c>
    </row>
    <row r="38" spans="2:27" ht="19" x14ac:dyDescent="0.2">
      <c r="B38" s="111"/>
      <c r="C38" s="33"/>
      <c r="D38" s="48"/>
      <c r="E38" s="114"/>
      <c r="F38" s="114"/>
      <c r="G38" s="114"/>
      <c r="H38" s="114"/>
      <c r="I38" s="114"/>
      <c r="J38" s="114"/>
      <c r="K38" s="114"/>
      <c r="L38" s="114"/>
      <c r="M38" s="114"/>
      <c r="N38" s="114"/>
      <c r="O38" s="114"/>
      <c r="P38" s="114"/>
      <c r="Q38" s="114"/>
      <c r="R38" s="114"/>
      <c r="S38" s="114"/>
      <c r="T38" s="114"/>
      <c r="U38" s="114"/>
      <c r="V38" s="114"/>
      <c r="W38" s="114"/>
      <c r="X38" s="114"/>
      <c r="Y38" s="114"/>
      <c r="Z38" s="114"/>
      <c r="AA38" s="97"/>
    </row>
    <row r="39" spans="2:27" ht="20" x14ac:dyDescent="0.2">
      <c r="B39" s="111" t="s">
        <v>800</v>
      </c>
      <c r="C39" s="33" t="s">
        <v>975</v>
      </c>
      <c r="D39" s="48"/>
      <c r="E39" s="48"/>
      <c r="F39" s="48">
        <f>-(F14+F27-F23)</f>
        <v>11183</v>
      </c>
      <c r="G39" s="48">
        <f t="shared" ref="G39:W39" si="14">-(G14+G27-G23)</f>
        <v>11355</v>
      </c>
      <c r="H39" s="48">
        <f t="shared" si="14"/>
        <v>11622</v>
      </c>
      <c r="I39" s="48">
        <f t="shared" si="14"/>
        <v>11923</v>
      </c>
      <c r="J39" s="48">
        <f t="shared" si="14"/>
        <v>12161</v>
      </c>
      <c r="K39" s="48">
        <f t="shared" si="14"/>
        <v>12348</v>
      </c>
      <c r="L39" s="48">
        <f t="shared" si="14"/>
        <v>12654</v>
      </c>
      <c r="M39" s="48">
        <f t="shared" si="14"/>
        <v>12876</v>
      </c>
      <c r="N39" s="48">
        <f t="shared" si="14"/>
        <v>13200</v>
      </c>
      <c r="O39" s="48">
        <f t="shared" si="14"/>
        <v>13469</v>
      </c>
      <c r="P39" s="48">
        <f t="shared" si="14"/>
        <v>13720</v>
      </c>
      <c r="Q39" s="48">
        <f t="shared" si="14"/>
        <v>13982</v>
      </c>
      <c r="R39" s="48">
        <f t="shared" si="14"/>
        <v>14236</v>
      </c>
      <c r="S39" s="48">
        <f t="shared" si="14"/>
        <v>14513</v>
      </c>
      <c r="T39" s="48">
        <f t="shared" si="14"/>
        <v>14802</v>
      </c>
      <c r="U39" s="48">
        <f t="shared" si="14"/>
        <v>15084</v>
      </c>
      <c r="V39" s="48">
        <f t="shared" si="14"/>
        <v>15372</v>
      </c>
      <c r="W39" s="48">
        <f t="shared" si="14"/>
        <v>15656</v>
      </c>
      <c r="X39" s="48">
        <f>-(X14+X27-X23)</f>
        <v>15944</v>
      </c>
      <c r="Y39" s="51" t="s">
        <v>785</v>
      </c>
      <c r="Z39" s="51" t="s">
        <v>3878</v>
      </c>
      <c r="AA39" s="19" t="s">
        <v>3877</v>
      </c>
    </row>
    <row r="40" spans="2:27" ht="20" x14ac:dyDescent="0.2">
      <c r="B40" s="111" t="s">
        <v>784</v>
      </c>
      <c r="C40" s="33"/>
      <c r="D40" s="48"/>
      <c r="E40" s="114"/>
      <c r="F40" s="114"/>
      <c r="G40" s="114">
        <f t="shared" ref="G40:X40" si="15">(G39-F39)/F39</f>
        <v>1.5380488241080211E-2</v>
      </c>
      <c r="H40" s="114">
        <f t="shared" si="15"/>
        <v>2.3513870541611626E-2</v>
      </c>
      <c r="I40" s="114">
        <f t="shared" si="15"/>
        <v>2.5899156771639995E-2</v>
      </c>
      <c r="J40" s="114">
        <f t="shared" si="15"/>
        <v>1.9961419105929714E-2</v>
      </c>
      <c r="K40" s="114">
        <f t="shared" si="15"/>
        <v>1.5377024915714169E-2</v>
      </c>
      <c r="L40" s="114">
        <f t="shared" si="15"/>
        <v>2.478134110787172E-2</v>
      </c>
      <c r="M40" s="114">
        <f t="shared" si="15"/>
        <v>1.7543859649122806E-2</v>
      </c>
      <c r="N40" s="114">
        <f t="shared" si="15"/>
        <v>2.5163094128611369E-2</v>
      </c>
      <c r="O40" s="114">
        <f t="shared" si="15"/>
        <v>2.0378787878787878E-2</v>
      </c>
      <c r="P40" s="114">
        <f t="shared" si="15"/>
        <v>1.8635384958051823E-2</v>
      </c>
      <c r="Q40" s="114">
        <f t="shared" si="15"/>
        <v>1.9096209912536442E-2</v>
      </c>
      <c r="R40" s="114">
        <f t="shared" si="15"/>
        <v>1.8166213703332858E-2</v>
      </c>
      <c r="S40" s="114">
        <f t="shared" si="15"/>
        <v>1.9457712840685586E-2</v>
      </c>
      <c r="T40" s="114">
        <f t="shared" si="15"/>
        <v>1.9913181285743816E-2</v>
      </c>
      <c r="U40" s="114">
        <f t="shared" si="15"/>
        <v>1.9051479529793271E-2</v>
      </c>
      <c r="V40" s="114">
        <f t="shared" si="15"/>
        <v>1.9093078758949882E-2</v>
      </c>
      <c r="W40" s="114">
        <f t="shared" si="15"/>
        <v>1.8475149622690607E-2</v>
      </c>
      <c r="X40" s="114">
        <f t="shared" si="15"/>
        <v>1.8395503321410323E-2</v>
      </c>
      <c r="Y40" s="310">
        <f>(O39/F39)^(1/(11-1))-1</f>
        <v>1.8773647992667897E-2</v>
      </c>
      <c r="Z40" s="310">
        <f>(X39/F39)^(1/(20-1))-1</f>
        <v>1.8843112052095545E-2</v>
      </c>
      <c r="AA40" s="311" t="s">
        <v>2906</v>
      </c>
    </row>
    <row r="41" spans="2:27" ht="19" x14ac:dyDescent="0.2">
      <c r="B41" s="111"/>
      <c r="C41" s="33"/>
      <c r="D41" s="48"/>
      <c r="E41" s="114"/>
      <c r="F41" s="114"/>
      <c r="G41" s="114"/>
      <c r="H41" s="114"/>
      <c r="I41" s="114"/>
      <c r="J41" s="114"/>
      <c r="K41" s="114"/>
      <c r="L41" s="114"/>
      <c r="M41" s="114"/>
      <c r="N41" s="114"/>
      <c r="O41" s="114"/>
      <c r="P41" s="114"/>
      <c r="Q41" s="114"/>
      <c r="R41" s="114"/>
      <c r="S41" s="114"/>
      <c r="T41" s="114"/>
      <c r="U41" s="114"/>
      <c r="V41" s="114"/>
      <c r="W41" s="114"/>
      <c r="X41" s="114"/>
      <c r="Y41" s="114"/>
      <c r="Z41" s="114"/>
      <c r="AA41" s="19"/>
    </row>
    <row r="42" spans="2:27" x14ac:dyDescent="0.2">
      <c r="D42" s="87"/>
      <c r="E42" s="87"/>
    </row>
    <row r="43" spans="2:27" x14ac:dyDescent="0.2">
      <c r="C43" s="98"/>
    </row>
    <row r="44" spans="2:27" x14ac:dyDescent="0.2">
      <c r="C44" s="98"/>
    </row>
    <row r="45" spans="2:27" x14ac:dyDescent="0.2">
      <c r="C45" s="98"/>
      <c r="AA45" s="86"/>
    </row>
    <row r="46" spans="2:27" ht="19" x14ac:dyDescent="0.25">
      <c r="B46" s="7"/>
      <c r="C46" s="7"/>
      <c r="F46" s="10"/>
      <c r="G46" s="14"/>
      <c r="H46" s="7"/>
      <c r="I46" s="14"/>
      <c r="J46" s="14"/>
      <c r="K46" s="91"/>
      <c r="L46" s="7"/>
      <c r="M46" s="7"/>
      <c r="N46" s="7"/>
      <c r="O46" s="7"/>
      <c r="P46" s="7"/>
      <c r="Q46" s="7"/>
      <c r="R46" s="7"/>
      <c r="S46" s="14"/>
      <c r="T46" s="7"/>
      <c r="U46" s="7"/>
      <c r="V46" s="7"/>
      <c r="W46" s="7"/>
      <c r="X46" s="7"/>
      <c r="Y46" s="7"/>
      <c r="Z46" s="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979E4-2141-8144-A3A4-9E0590ED53CD}">
  <sheetPr codeName="Sheet14"/>
  <dimension ref="A1:B4"/>
  <sheetViews>
    <sheetView workbookViewId="0"/>
  </sheetViews>
  <sheetFormatPr baseColWidth="10" defaultRowHeight="16" x14ac:dyDescent="0.2"/>
  <cols>
    <col min="1" max="1" width="4.83203125" customWidth="1"/>
  </cols>
  <sheetData>
    <row r="1" spans="1:2" ht="21" x14ac:dyDescent="0.2">
      <c r="A1" s="20" t="s">
        <v>102</v>
      </c>
      <c r="B1" s="4" t="s">
        <v>1009</v>
      </c>
    </row>
    <row r="3" spans="1:2" ht="19" x14ac:dyDescent="0.25">
      <c r="B3" s="7" t="s">
        <v>1012</v>
      </c>
    </row>
    <row r="4" spans="1:2" ht="19" x14ac:dyDescent="0.25">
      <c r="B4" s="7" t="s">
        <v>2849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FA798-B192-6B42-9C76-6CCB663B7213}">
  <dimension ref="A1:AH107"/>
  <sheetViews>
    <sheetView topLeftCell="R1" workbookViewId="0">
      <selection activeCell="R31" sqref="R31"/>
    </sheetView>
  </sheetViews>
  <sheetFormatPr baseColWidth="10" defaultRowHeight="19" x14ac:dyDescent="0.2"/>
  <cols>
    <col min="1" max="1" width="4.83203125" style="254" customWidth="1"/>
    <col min="2" max="4" width="12.83203125" style="254" customWidth="1"/>
    <col min="5" max="5" width="4.83203125" style="254" customWidth="1"/>
    <col min="6" max="7" width="10.83203125" style="254"/>
    <col min="8" max="11" width="12.83203125" style="254" customWidth="1"/>
    <col min="12" max="12" width="4.83203125" style="254" customWidth="1"/>
    <col min="13" max="20" width="12.83203125" style="254" customWidth="1"/>
    <col min="21" max="21" width="33.83203125" style="254" customWidth="1"/>
    <col min="22" max="22" width="4.83203125" style="254" customWidth="1"/>
    <col min="23" max="23" width="18.83203125" style="254" customWidth="1"/>
    <col min="24" max="24" width="18.33203125" style="254" customWidth="1"/>
    <col min="25" max="25" width="10.83203125" style="254"/>
    <col min="26" max="26" width="4.83203125" style="254" customWidth="1"/>
    <col min="27" max="27" width="10.83203125" style="44"/>
    <col min="28" max="30" width="10.83203125" style="42"/>
    <col min="31" max="16384" width="10.83203125" style="254"/>
  </cols>
  <sheetData>
    <row r="1" spans="1:34" ht="21" x14ac:dyDescent="0.2">
      <c r="A1" s="20" t="s">
        <v>102</v>
      </c>
      <c r="B1" s="20" t="s">
        <v>2911</v>
      </c>
    </row>
    <row r="2" spans="1:34" ht="21" x14ac:dyDescent="0.2">
      <c r="A2" s="20"/>
    </row>
    <row r="3" spans="1:34" ht="21" x14ac:dyDescent="0.2">
      <c r="B3" s="20" t="s">
        <v>2879</v>
      </c>
      <c r="E3" s="20"/>
      <c r="F3" s="20" t="s">
        <v>2859</v>
      </c>
      <c r="M3" s="20" t="s">
        <v>2894</v>
      </c>
      <c r="N3" s="47"/>
      <c r="O3" s="47"/>
      <c r="P3" s="47"/>
      <c r="Q3" s="47"/>
      <c r="W3" s="20" t="s">
        <v>2895</v>
      </c>
      <c r="X3" s="20"/>
      <c r="AA3" s="20" t="s">
        <v>2880</v>
      </c>
    </row>
    <row r="4" spans="1:34" ht="60" x14ac:dyDescent="0.2">
      <c r="B4" s="18" t="s">
        <v>40</v>
      </c>
      <c r="C4" s="18" t="s">
        <v>40</v>
      </c>
      <c r="D4" s="18" t="s">
        <v>1973</v>
      </c>
      <c r="F4" s="18" t="s">
        <v>40</v>
      </c>
      <c r="G4" s="18" t="s">
        <v>40</v>
      </c>
      <c r="H4" s="18" t="s">
        <v>2862</v>
      </c>
      <c r="I4" s="18" t="s">
        <v>2863</v>
      </c>
      <c r="J4" s="18" t="s">
        <v>2864</v>
      </c>
      <c r="K4" s="18" t="s">
        <v>2865</v>
      </c>
      <c r="M4" s="21" t="s">
        <v>40</v>
      </c>
      <c r="N4" s="21" t="s">
        <v>1126</v>
      </c>
      <c r="O4" s="21" t="s">
        <v>1127</v>
      </c>
      <c r="P4" s="21" t="s">
        <v>1972</v>
      </c>
      <c r="Q4" s="21" t="s">
        <v>1971</v>
      </c>
      <c r="R4" s="21" t="s">
        <v>2896</v>
      </c>
      <c r="S4" s="21" t="s">
        <v>2029</v>
      </c>
      <c r="T4" s="21" t="s">
        <v>2028</v>
      </c>
      <c r="U4" s="21" t="s">
        <v>45</v>
      </c>
      <c r="W4" s="21" t="s">
        <v>2897</v>
      </c>
      <c r="X4" s="21" t="s">
        <v>2898</v>
      </c>
      <c r="Y4" s="21" t="s">
        <v>1131</v>
      </c>
      <c r="AA4" s="21" t="s">
        <v>1976</v>
      </c>
      <c r="AB4" s="21" t="s">
        <v>2899</v>
      </c>
      <c r="AC4" s="21" t="s">
        <v>1976</v>
      </c>
      <c r="AD4" s="21" t="s">
        <v>2899</v>
      </c>
      <c r="AE4" s="21" t="s">
        <v>1976</v>
      </c>
      <c r="AF4" s="21" t="s">
        <v>2899</v>
      </c>
      <c r="AG4" s="21" t="s">
        <v>1976</v>
      </c>
      <c r="AH4" s="21" t="s">
        <v>2899</v>
      </c>
    </row>
    <row r="5" spans="1:34" ht="20" x14ac:dyDescent="0.2">
      <c r="B5" s="18" t="s">
        <v>2861</v>
      </c>
      <c r="C5" s="18" t="s">
        <v>64</v>
      </c>
      <c r="D5" s="18" t="s">
        <v>2881</v>
      </c>
      <c r="F5" s="18" t="s">
        <v>2861</v>
      </c>
      <c r="G5" s="18" t="s">
        <v>64</v>
      </c>
      <c r="H5" s="18" t="s">
        <v>2860</v>
      </c>
      <c r="I5" s="18" t="s">
        <v>2860</v>
      </c>
      <c r="J5" s="18" t="s">
        <v>17</v>
      </c>
      <c r="K5" s="18" t="s">
        <v>17</v>
      </c>
      <c r="M5" s="18" t="s">
        <v>64</v>
      </c>
      <c r="N5" s="18" t="s">
        <v>65</v>
      </c>
      <c r="O5" s="18" t="s">
        <v>65</v>
      </c>
      <c r="P5" s="18" t="s">
        <v>2030</v>
      </c>
      <c r="Q5" s="18" t="s">
        <v>2030</v>
      </c>
      <c r="R5" s="18" t="s">
        <v>2030</v>
      </c>
      <c r="S5" s="18" t="s">
        <v>17</v>
      </c>
      <c r="T5" s="18" t="s">
        <v>17</v>
      </c>
      <c r="U5" s="18"/>
      <c r="W5" s="18"/>
      <c r="X5" s="18"/>
      <c r="Y5" s="18"/>
    </row>
    <row r="6" spans="1:34" ht="20" x14ac:dyDescent="0.2">
      <c r="B6" s="256">
        <v>63000</v>
      </c>
      <c r="C6" s="256">
        <f t="shared" ref="C6:C23" si="0">B6/1000</f>
        <v>63</v>
      </c>
      <c r="D6" s="258">
        <v>0.38</v>
      </c>
      <c r="F6" s="256">
        <v>63000</v>
      </c>
      <c r="G6" s="256">
        <f t="shared" ref="G6:G23" si="1">F6/1000</f>
        <v>63</v>
      </c>
      <c r="H6" s="259">
        <v>400</v>
      </c>
      <c r="I6" s="259">
        <v>366</v>
      </c>
      <c r="J6" s="259">
        <f>$F6*$F6/H6/10^6</f>
        <v>9.9224999999999994</v>
      </c>
      <c r="K6" s="259">
        <f>$F6*$F6/I6/10^6</f>
        <v>10.844262295081968</v>
      </c>
      <c r="M6" s="268">
        <v>69</v>
      </c>
      <c r="N6" s="256">
        <v>500</v>
      </c>
      <c r="O6" s="256">
        <f>N6*$W$6</f>
        <v>650</v>
      </c>
      <c r="P6" s="256">
        <f t="shared" ref="P6:P17" si="2">(SQRT(3)*N6*M6)/1000</f>
        <v>59.755752861126261</v>
      </c>
      <c r="Q6" s="256">
        <f t="shared" ref="Q6:Q17" si="3">(SQRT(3)*O6*$M6)/1000</f>
        <v>77.682478719464143</v>
      </c>
      <c r="R6" s="269"/>
      <c r="S6" s="256">
        <f>P6*$Y$6</f>
        <v>53.780177575013639</v>
      </c>
      <c r="T6" s="256">
        <f>Q6*$Y$6</f>
        <v>69.914230847517729</v>
      </c>
      <c r="U6" s="19" t="s">
        <v>2900</v>
      </c>
      <c r="W6" s="69">
        <v>1.3</v>
      </c>
      <c r="X6" s="69">
        <v>1.2</v>
      </c>
      <c r="Y6" s="69">
        <v>0.9</v>
      </c>
      <c r="AA6" s="18">
        <v>1980</v>
      </c>
      <c r="AB6" s="270">
        <v>44.033333333333331</v>
      </c>
      <c r="AC6" s="18">
        <v>1990</v>
      </c>
      <c r="AD6" s="270">
        <v>78.358333333333334</v>
      </c>
      <c r="AE6" s="18">
        <v>2000</v>
      </c>
      <c r="AF6" s="270">
        <v>95.375</v>
      </c>
      <c r="AG6" s="18">
        <v>2010</v>
      </c>
      <c r="AH6" s="270">
        <v>116.46666666666668</v>
      </c>
    </row>
    <row r="7" spans="1:34" x14ac:dyDescent="0.2">
      <c r="B7" s="256">
        <v>66000</v>
      </c>
      <c r="C7" s="256">
        <f t="shared" si="0"/>
        <v>66</v>
      </c>
      <c r="D7" s="258">
        <f>(D$14-D$6)*(C7-C$6)/(C$14-C$6)+D$6</f>
        <v>0.38214285714285717</v>
      </c>
      <c r="F7" s="256">
        <v>66000</v>
      </c>
      <c r="G7" s="256">
        <f t="shared" si="1"/>
        <v>66</v>
      </c>
      <c r="H7" s="259">
        <v>400</v>
      </c>
      <c r="I7" s="259">
        <v>366</v>
      </c>
      <c r="J7" s="259">
        <f>$F7*$F7/H7/10^6</f>
        <v>10.89</v>
      </c>
      <c r="K7" s="259">
        <f>$F7*$F7/I7/10^6</f>
        <v>11.901639344262295</v>
      </c>
      <c r="M7" s="256">
        <v>115</v>
      </c>
      <c r="N7" s="256">
        <v>600</v>
      </c>
      <c r="O7" s="256">
        <f t="shared" ref="O7:O17" si="4">N7*$W$6</f>
        <v>780</v>
      </c>
      <c r="P7" s="256">
        <f t="shared" si="2"/>
        <v>119.51150572225254</v>
      </c>
      <c r="Q7" s="256">
        <f t="shared" si="3"/>
        <v>155.36495743892829</v>
      </c>
      <c r="R7" s="269">
        <v>125</v>
      </c>
      <c r="S7" s="256">
        <f t="shared" ref="S7:T17" si="5">P7*$Y$6</f>
        <v>107.56035515002729</v>
      </c>
      <c r="T7" s="256">
        <f t="shared" si="5"/>
        <v>139.82846169503546</v>
      </c>
      <c r="U7" s="19"/>
      <c r="AA7" s="18">
        <v>1981</v>
      </c>
      <c r="AB7" s="270">
        <v>49.524999999999999</v>
      </c>
      <c r="AC7" s="18">
        <v>1991</v>
      </c>
      <c r="AD7" s="270">
        <v>82.766666666666666</v>
      </c>
      <c r="AE7" s="18">
        <v>2001</v>
      </c>
      <c r="AF7" s="270">
        <v>97.783333333333346</v>
      </c>
      <c r="AG7" s="18">
        <v>2011</v>
      </c>
      <c r="AH7" s="270">
        <v>119.85833333333333</v>
      </c>
    </row>
    <row r="8" spans="1:34" x14ac:dyDescent="0.2">
      <c r="B8" s="256">
        <v>69000</v>
      </c>
      <c r="C8" s="256">
        <f t="shared" si="0"/>
        <v>69</v>
      </c>
      <c r="D8" s="258">
        <f t="shared" ref="D8:D13" si="6">(D$14-D$6)*(C8-C$6)/(C$14-C$6)+D$6</f>
        <v>0.38428571428571429</v>
      </c>
      <c r="F8" s="260">
        <v>69000</v>
      </c>
      <c r="G8" s="260">
        <f t="shared" si="1"/>
        <v>69</v>
      </c>
      <c r="H8" s="260">
        <v>400</v>
      </c>
      <c r="I8" s="260">
        <v>366</v>
      </c>
      <c r="J8" s="260">
        <v>12</v>
      </c>
      <c r="K8" s="260">
        <v>13</v>
      </c>
      <c r="M8" s="256">
        <v>120</v>
      </c>
      <c r="N8" s="256">
        <v>610</v>
      </c>
      <c r="O8" s="256">
        <f t="shared" si="4"/>
        <v>793</v>
      </c>
      <c r="P8" s="256">
        <f t="shared" si="2"/>
        <v>126.78611911404181</v>
      </c>
      <c r="Q8" s="256">
        <f t="shared" si="3"/>
        <v>164.82195484825436</v>
      </c>
      <c r="R8" s="269"/>
      <c r="S8" s="256">
        <f t="shared" si="5"/>
        <v>114.10750720263763</v>
      </c>
      <c r="T8" s="256">
        <f t="shared" si="5"/>
        <v>148.33975936342893</v>
      </c>
      <c r="U8" s="19"/>
      <c r="AA8" s="18">
        <v>1982</v>
      </c>
      <c r="AB8" s="270">
        <v>54.858333333333341</v>
      </c>
      <c r="AC8" s="18">
        <v>1992</v>
      </c>
      <c r="AD8" s="270">
        <v>84.000000000000014</v>
      </c>
      <c r="AE8" s="18">
        <v>2002</v>
      </c>
      <c r="AF8" s="270">
        <v>99.991666666666674</v>
      </c>
      <c r="AG8" s="18">
        <v>2012</v>
      </c>
      <c r="AH8" s="270">
        <v>121.67500000000001</v>
      </c>
    </row>
    <row r="9" spans="1:34" x14ac:dyDescent="0.2">
      <c r="B9" s="256">
        <v>72000</v>
      </c>
      <c r="C9" s="256">
        <f t="shared" si="0"/>
        <v>72</v>
      </c>
      <c r="D9" s="258">
        <f t="shared" si="6"/>
        <v>0.38642857142857145</v>
      </c>
      <c r="F9" s="256">
        <v>72000</v>
      </c>
      <c r="G9" s="256">
        <f t="shared" si="1"/>
        <v>72</v>
      </c>
      <c r="H9" s="259">
        <v>400</v>
      </c>
      <c r="I9" s="259">
        <v>366</v>
      </c>
      <c r="J9" s="259">
        <f t="shared" ref="J9:K11" si="7">$F9*$F9/H9/10^6</f>
        <v>12.96</v>
      </c>
      <c r="K9" s="259">
        <f t="shared" si="7"/>
        <v>14.163934426229508</v>
      </c>
      <c r="M9" s="256">
        <v>138</v>
      </c>
      <c r="N9" s="256">
        <v>650</v>
      </c>
      <c r="O9" s="256">
        <f t="shared" si="4"/>
        <v>845</v>
      </c>
      <c r="P9" s="256">
        <f t="shared" si="2"/>
        <v>155.36495743892829</v>
      </c>
      <c r="Q9" s="256">
        <f t="shared" si="3"/>
        <v>201.97444467060674</v>
      </c>
      <c r="R9" s="269">
        <v>150</v>
      </c>
      <c r="S9" s="256">
        <f t="shared" si="5"/>
        <v>139.82846169503546</v>
      </c>
      <c r="T9" s="256">
        <f t="shared" si="5"/>
        <v>181.77700020354607</v>
      </c>
      <c r="U9" s="19"/>
      <c r="AA9" s="18">
        <v>1983</v>
      </c>
      <c r="AB9" s="270">
        <v>58.07500000000001</v>
      </c>
      <c r="AC9" s="18">
        <v>1993</v>
      </c>
      <c r="AD9" s="270">
        <v>85.566666666666663</v>
      </c>
      <c r="AE9" s="18">
        <v>2003</v>
      </c>
      <c r="AF9" s="270">
        <v>102.75</v>
      </c>
      <c r="AG9" s="18">
        <v>2013</v>
      </c>
      <c r="AH9" s="270">
        <v>122.81666666666666</v>
      </c>
    </row>
    <row r="10" spans="1:34" x14ac:dyDescent="0.2">
      <c r="B10" s="256">
        <v>115000</v>
      </c>
      <c r="C10" s="256">
        <f t="shared" si="0"/>
        <v>115</v>
      </c>
      <c r="D10" s="258">
        <f t="shared" si="6"/>
        <v>0.41714285714285715</v>
      </c>
      <c r="F10" s="256">
        <v>115000</v>
      </c>
      <c r="G10" s="256">
        <f t="shared" si="1"/>
        <v>115</v>
      </c>
      <c r="H10" s="259">
        <v>403</v>
      </c>
      <c r="I10" s="259">
        <v>366</v>
      </c>
      <c r="J10" s="259">
        <f t="shared" si="7"/>
        <v>32.816377171215883</v>
      </c>
      <c r="K10" s="259">
        <f t="shared" si="7"/>
        <v>36.133879781420767</v>
      </c>
      <c r="M10" s="256">
        <v>161</v>
      </c>
      <c r="N10" s="256">
        <v>700</v>
      </c>
      <c r="O10" s="256">
        <f t="shared" si="4"/>
        <v>910</v>
      </c>
      <c r="P10" s="256">
        <f t="shared" si="2"/>
        <v>195.20212601301245</v>
      </c>
      <c r="Q10" s="256">
        <f t="shared" si="3"/>
        <v>253.76276381691622</v>
      </c>
      <c r="R10" s="269"/>
      <c r="S10" s="256">
        <f t="shared" si="5"/>
        <v>175.68191341171121</v>
      </c>
      <c r="T10" s="256">
        <f t="shared" si="5"/>
        <v>228.38648743522461</v>
      </c>
      <c r="U10" s="19"/>
      <c r="AA10" s="18">
        <v>1984</v>
      </c>
      <c r="AB10" s="270">
        <v>60.574999999999996</v>
      </c>
      <c r="AC10" s="18">
        <v>1994</v>
      </c>
      <c r="AD10" s="270">
        <v>85.708333333333329</v>
      </c>
      <c r="AE10" s="18">
        <v>2004</v>
      </c>
      <c r="AF10" s="270">
        <v>104.65833333333335</v>
      </c>
      <c r="AG10" s="18">
        <v>2014</v>
      </c>
      <c r="AH10" s="270">
        <v>125.15833333333336</v>
      </c>
    </row>
    <row r="11" spans="1:34" x14ac:dyDescent="0.2">
      <c r="B11" s="256">
        <v>120000</v>
      </c>
      <c r="C11" s="256">
        <f t="shared" si="0"/>
        <v>120</v>
      </c>
      <c r="D11" s="258">
        <f t="shared" si="6"/>
        <v>0.42071428571428571</v>
      </c>
      <c r="F11" s="256">
        <v>120000</v>
      </c>
      <c r="G11" s="256">
        <f t="shared" si="1"/>
        <v>120</v>
      </c>
      <c r="H11" s="259">
        <v>403</v>
      </c>
      <c r="I11" s="259">
        <v>366</v>
      </c>
      <c r="J11" s="259">
        <f t="shared" si="7"/>
        <v>35.732009925558316</v>
      </c>
      <c r="K11" s="259">
        <f t="shared" si="7"/>
        <v>39.344262295081968</v>
      </c>
      <c r="M11" s="256">
        <v>230</v>
      </c>
      <c r="N11" s="256">
        <v>1000</v>
      </c>
      <c r="O11" s="256">
        <f t="shared" si="4"/>
        <v>1300</v>
      </c>
      <c r="P11" s="256">
        <f t="shared" si="2"/>
        <v>398.37168574084171</v>
      </c>
      <c r="Q11" s="256">
        <f t="shared" si="3"/>
        <v>517.88319146309425</v>
      </c>
      <c r="R11" s="269">
        <v>400</v>
      </c>
      <c r="S11" s="256">
        <f t="shared" si="5"/>
        <v>358.53451716675755</v>
      </c>
      <c r="T11" s="256">
        <f t="shared" si="5"/>
        <v>466.09487231678486</v>
      </c>
      <c r="U11" s="19"/>
      <c r="AA11" s="18">
        <v>1985</v>
      </c>
      <c r="AB11" s="270">
        <v>62.975000000000001</v>
      </c>
      <c r="AC11" s="18">
        <v>1995</v>
      </c>
      <c r="AD11" s="270">
        <v>87.550000000000011</v>
      </c>
      <c r="AE11" s="18">
        <v>2005</v>
      </c>
      <c r="AF11" s="270">
        <v>106.97500000000001</v>
      </c>
      <c r="AG11" s="18">
        <v>2015</v>
      </c>
      <c r="AH11" s="270">
        <v>126.6</v>
      </c>
    </row>
    <row r="12" spans="1:34" x14ac:dyDescent="0.2">
      <c r="B12" s="256">
        <v>138000</v>
      </c>
      <c r="C12" s="256">
        <f t="shared" si="0"/>
        <v>138</v>
      </c>
      <c r="D12" s="258">
        <f t="shared" si="6"/>
        <v>0.43357142857142861</v>
      </c>
      <c r="F12" s="260">
        <v>138000</v>
      </c>
      <c r="G12" s="260">
        <f t="shared" si="1"/>
        <v>138</v>
      </c>
      <c r="H12" s="260">
        <v>405</v>
      </c>
      <c r="I12" s="260">
        <v>366</v>
      </c>
      <c r="J12" s="260">
        <v>47</v>
      </c>
      <c r="K12" s="260">
        <v>52</v>
      </c>
      <c r="M12" s="256">
        <v>240</v>
      </c>
      <c r="N12" s="256">
        <v>1025</v>
      </c>
      <c r="O12" s="256">
        <f t="shared" si="4"/>
        <v>1332.5</v>
      </c>
      <c r="P12" s="256">
        <f t="shared" si="2"/>
        <v>426.08449866194377</v>
      </c>
      <c r="Q12" s="256">
        <f t="shared" si="3"/>
        <v>553.90984826052693</v>
      </c>
      <c r="R12" s="269"/>
      <c r="S12" s="256">
        <f t="shared" si="5"/>
        <v>383.47604879574942</v>
      </c>
      <c r="T12" s="256">
        <f t="shared" si="5"/>
        <v>498.51886343447427</v>
      </c>
      <c r="U12" s="19"/>
      <c r="AA12" s="18">
        <v>1986</v>
      </c>
      <c r="AB12" s="270">
        <v>65.61666666666666</v>
      </c>
      <c r="AC12" s="18">
        <v>1996</v>
      </c>
      <c r="AD12" s="270">
        <v>88.924999999999997</v>
      </c>
      <c r="AE12" s="18">
        <v>2006</v>
      </c>
      <c r="AF12" s="270">
        <v>109.11666666666667</v>
      </c>
      <c r="AG12" s="18">
        <v>2016</v>
      </c>
      <c r="AH12" s="270">
        <v>128.37499999999997</v>
      </c>
    </row>
    <row r="13" spans="1:34" x14ac:dyDescent="0.2">
      <c r="B13" s="256">
        <v>144000</v>
      </c>
      <c r="C13" s="256">
        <f t="shared" si="0"/>
        <v>144</v>
      </c>
      <c r="D13" s="258">
        <f t="shared" si="6"/>
        <v>0.43785714285714289</v>
      </c>
      <c r="F13" s="256">
        <v>144000</v>
      </c>
      <c r="G13" s="256">
        <f t="shared" si="1"/>
        <v>144</v>
      </c>
      <c r="H13" s="259">
        <v>405</v>
      </c>
      <c r="I13" s="259">
        <v>366</v>
      </c>
      <c r="J13" s="259">
        <f>$F13*$F13/H13/10^6</f>
        <v>51.2</v>
      </c>
      <c r="K13" s="259">
        <f>$F13*$F13/I13/10^6</f>
        <v>56.655737704918032</v>
      </c>
      <c r="M13" s="256">
        <v>315</v>
      </c>
      <c r="N13" s="256">
        <v>1150</v>
      </c>
      <c r="O13" s="256">
        <f t="shared" si="4"/>
        <v>1495</v>
      </c>
      <c r="P13" s="256">
        <f t="shared" si="2"/>
        <v>627.43540504182567</v>
      </c>
      <c r="Q13" s="256">
        <f t="shared" si="3"/>
        <v>815.6660265543735</v>
      </c>
      <c r="R13" s="269"/>
      <c r="S13" s="256">
        <f t="shared" si="5"/>
        <v>564.69186453764314</v>
      </c>
      <c r="T13" s="256">
        <f t="shared" si="5"/>
        <v>734.09942389893615</v>
      </c>
      <c r="U13" s="19"/>
      <c r="AA13" s="18">
        <v>1987</v>
      </c>
      <c r="AB13" s="270">
        <v>68.475000000000009</v>
      </c>
      <c r="AC13" s="18">
        <v>1997</v>
      </c>
      <c r="AD13" s="270">
        <v>90.366666666666674</v>
      </c>
      <c r="AE13" s="18">
        <v>2007</v>
      </c>
      <c r="AF13" s="270">
        <v>111.45</v>
      </c>
      <c r="AG13" s="18">
        <v>2017</v>
      </c>
      <c r="AH13" s="270">
        <v>130.42499999999998</v>
      </c>
    </row>
    <row r="14" spans="1:34" x14ac:dyDescent="0.2">
      <c r="B14" s="256">
        <v>161000</v>
      </c>
      <c r="C14" s="256">
        <f t="shared" si="0"/>
        <v>161</v>
      </c>
      <c r="D14" s="258">
        <v>0.45</v>
      </c>
      <c r="F14" s="256">
        <v>161000</v>
      </c>
      <c r="G14" s="256">
        <f t="shared" si="1"/>
        <v>161</v>
      </c>
      <c r="H14" s="259">
        <v>403</v>
      </c>
      <c r="I14" s="259">
        <v>366</v>
      </c>
      <c r="J14" s="259">
        <f>$F14*$F14/H14/10^6</f>
        <v>64.320099255583131</v>
      </c>
      <c r="K14" s="259">
        <f>$F14*$F14/I14/10^6</f>
        <v>70.822404371584696</v>
      </c>
      <c r="M14" s="256">
        <v>345</v>
      </c>
      <c r="N14" s="256">
        <v>1300</v>
      </c>
      <c r="O14" s="256">
        <f t="shared" si="4"/>
        <v>1690</v>
      </c>
      <c r="P14" s="256">
        <f t="shared" si="2"/>
        <v>776.82478719464143</v>
      </c>
      <c r="Q14" s="256">
        <f t="shared" si="3"/>
        <v>1009.8722233530337</v>
      </c>
      <c r="R14" s="269">
        <v>800</v>
      </c>
      <c r="S14" s="256">
        <f t="shared" si="5"/>
        <v>699.14230847517729</v>
      </c>
      <c r="T14" s="256">
        <f t="shared" si="5"/>
        <v>908.88500101773036</v>
      </c>
      <c r="U14" s="19"/>
      <c r="AA14" s="18">
        <v>1988</v>
      </c>
      <c r="AB14" s="270">
        <v>71.233333333333334</v>
      </c>
      <c r="AC14" s="18">
        <v>1998</v>
      </c>
      <c r="AD14" s="270">
        <v>91.266666666666666</v>
      </c>
      <c r="AE14" s="18">
        <v>2008</v>
      </c>
      <c r="AF14" s="270">
        <v>114.09166666666665</v>
      </c>
      <c r="AG14" s="18">
        <v>2018</v>
      </c>
      <c r="AH14" s="270">
        <v>133.38333333333335</v>
      </c>
    </row>
    <row r="15" spans="1:34" x14ac:dyDescent="0.2">
      <c r="B15" s="256">
        <v>230000</v>
      </c>
      <c r="C15" s="256">
        <f t="shared" si="0"/>
        <v>230</v>
      </c>
      <c r="D15" s="258">
        <v>0.48</v>
      </c>
      <c r="F15" s="260">
        <v>230000</v>
      </c>
      <c r="G15" s="260">
        <f t="shared" si="1"/>
        <v>230</v>
      </c>
      <c r="H15" s="260">
        <v>395</v>
      </c>
      <c r="I15" s="260">
        <v>365</v>
      </c>
      <c r="J15" s="260">
        <v>134</v>
      </c>
      <c r="K15" s="260">
        <v>145</v>
      </c>
      <c r="M15" s="256">
        <v>500</v>
      </c>
      <c r="N15" s="256">
        <v>1800</v>
      </c>
      <c r="O15" s="256">
        <f t="shared" si="4"/>
        <v>2340</v>
      </c>
      <c r="P15" s="256">
        <f t="shared" si="2"/>
        <v>1558.8457268119894</v>
      </c>
      <c r="Q15" s="256">
        <f t="shared" si="3"/>
        <v>2026.4994448555863</v>
      </c>
      <c r="R15" s="269">
        <v>1600</v>
      </c>
      <c r="S15" s="256">
        <f t="shared" si="5"/>
        <v>1402.9611541307904</v>
      </c>
      <c r="T15" s="256">
        <f t="shared" si="5"/>
        <v>1823.8495003700277</v>
      </c>
      <c r="U15" s="19"/>
      <c r="AA15" s="18">
        <v>1989</v>
      </c>
      <c r="AB15" s="270">
        <v>74.783333333333331</v>
      </c>
      <c r="AC15" s="18">
        <v>1999</v>
      </c>
      <c r="AD15" s="270">
        <v>92.850000000000009</v>
      </c>
      <c r="AE15" s="18">
        <v>2009</v>
      </c>
      <c r="AF15" s="270">
        <v>114.43333333333334</v>
      </c>
      <c r="AG15" s="18">
        <v>2019</v>
      </c>
      <c r="AH15" s="270">
        <v>136</v>
      </c>
    </row>
    <row r="16" spans="1:34" x14ac:dyDescent="0.2">
      <c r="B16" s="256">
        <v>240000</v>
      </c>
      <c r="C16" s="256">
        <f t="shared" si="0"/>
        <v>240</v>
      </c>
      <c r="D16" s="258">
        <f>(D$21-D$15)*(C16-C$15)/(C$21-C$15)+D$15</f>
        <v>0.47685185185185186</v>
      </c>
      <c r="F16" s="256">
        <v>240000</v>
      </c>
      <c r="G16" s="256">
        <f t="shared" si="1"/>
        <v>240</v>
      </c>
      <c r="H16" s="259">
        <v>394</v>
      </c>
      <c r="I16" s="259">
        <v>363</v>
      </c>
      <c r="J16" s="259">
        <f t="shared" ref="J16:K18" si="8">$F16*$F16/H16/10^6</f>
        <v>146.19289340101523</v>
      </c>
      <c r="K16" s="259">
        <f t="shared" si="8"/>
        <v>158.67768595041323</v>
      </c>
      <c r="M16" s="256">
        <v>735</v>
      </c>
      <c r="N16" s="256">
        <v>2500</v>
      </c>
      <c r="O16" s="256">
        <f t="shared" si="4"/>
        <v>3250</v>
      </c>
      <c r="P16" s="256">
        <f t="shared" si="2"/>
        <v>3182.6433589078119</v>
      </c>
      <c r="Q16" s="256">
        <f t="shared" si="3"/>
        <v>4137.4363665801557</v>
      </c>
      <c r="R16" s="269">
        <v>3200</v>
      </c>
      <c r="S16" s="256">
        <f t="shared" si="5"/>
        <v>2864.3790230170307</v>
      </c>
      <c r="T16" s="256">
        <f t="shared" si="5"/>
        <v>3723.6927299221402</v>
      </c>
      <c r="U16" s="19"/>
    </row>
    <row r="17" spans="1:30" x14ac:dyDescent="0.2">
      <c r="B17" s="256">
        <v>287000</v>
      </c>
      <c r="C17" s="256">
        <f t="shared" si="0"/>
        <v>287</v>
      </c>
      <c r="D17" s="258">
        <f t="shared" ref="D17:D20" si="9">(D$21-D$15)*(C17-C$15)/(C$21-C$15)+D$15</f>
        <v>0.46205555555555555</v>
      </c>
      <c r="F17" s="256">
        <v>287000</v>
      </c>
      <c r="G17" s="256">
        <f t="shared" si="1"/>
        <v>287</v>
      </c>
      <c r="H17" s="259">
        <v>385</v>
      </c>
      <c r="I17" s="259">
        <v>340</v>
      </c>
      <c r="J17" s="259">
        <f t="shared" si="8"/>
        <v>213.94545454545454</v>
      </c>
      <c r="K17" s="259">
        <f t="shared" si="8"/>
        <v>242.26176470588234</v>
      </c>
      <c r="M17" s="256">
        <v>765</v>
      </c>
      <c r="N17" s="256">
        <v>2600</v>
      </c>
      <c r="O17" s="256">
        <f t="shared" si="4"/>
        <v>3380</v>
      </c>
      <c r="P17" s="256">
        <f t="shared" si="2"/>
        <v>3445.0490562544969</v>
      </c>
      <c r="Q17" s="256">
        <f t="shared" si="3"/>
        <v>4478.5637731308452</v>
      </c>
      <c r="R17" s="269"/>
      <c r="S17" s="256">
        <f t="shared" si="5"/>
        <v>3100.5441506290472</v>
      </c>
      <c r="T17" s="256">
        <f t="shared" si="5"/>
        <v>4030.7073958177607</v>
      </c>
      <c r="U17" s="19"/>
      <c r="AA17" s="47" t="s">
        <v>54</v>
      </c>
    </row>
    <row r="18" spans="1:30" x14ac:dyDescent="0.25">
      <c r="B18" s="256">
        <v>315000</v>
      </c>
      <c r="C18" s="256">
        <f t="shared" si="0"/>
        <v>315</v>
      </c>
      <c r="D18" s="258">
        <f t="shared" si="9"/>
        <v>0.45324074074074072</v>
      </c>
      <c r="F18" s="256">
        <v>315000</v>
      </c>
      <c r="G18" s="256">
        <f t="shared" si="1"/>
        <v>315</v>
      </c>
      <c r="H18" s="259">
        <v>375</v>
      </c>
      <c r="I18" s="259">
        <v>310</v>
      </c>
      <c r="J18" s="259">
        <f t="shared" si="8"/>
        <v>264.60000000000002</v>
      </c>
      <c r="K18" s="259">
        <f t="shared" si="8"/>
        <v>320.08064516129036</v>
      </c>
      <c r="M18" s="191"/>
      <c r="N18" s="191"/>
      <c r="O18" s="191"/>
      <c r="P18" s="191"/>
      <c r="Q18" s="191"/>
      <c r="R18" s="191"/>
      <c r="S18" s="191"/>
      <c r="T18" s="191"/>
      <c r="U18" s="191"/>
      <c r="X18" s="191"/>
      <c r="AA18" s="7" t="s">
        <v>2901</v>
      </c>
    </row>
    <row r="19" spans="1:30" x14ac:dyDescent="0.2">
      <c r="B19" s="256">
        <v>345000</v>
      </c>
      <c r="C19" s="256">
        <f t="shared" si="0"/>
        <v>345</v>
      </c>
      <c r="D19" s="258">
        <f t="shared" si="9"/>
        <v>0.4437962962962963</v>
      </c>
      <c r="F19" s="260">
        <v>345000</v>
      </c>
      <c r="G19" s="260">
        <f t="shared" si="1"/>
        <v>345</v>
      </c>
      <c r="H19" s="260">
        <v>366</v>
      </c>
      <c r="I19" s="260">
        <v>280</v>
      </c>
      <c r="J19" s="260">
        <v>325</v>
      </c>
      <c r="K19" s="260">
        <v>425</v>
      </c>
      <c r="M19" s="47" t="s">
        <v>1042</v>
      </c>
      <c r="N19" s="191"/>
      <c r="O19" s="191"/>
      <c r="P19" s="191"/>
      <c r="Q19" s="191"/>
      <c r="R19" s="191"/>
      <c r="S19" s="191"/>
      <c r="T19" s="191"/>
      <c r="U19" s="191"/>
      <c r="X19" s="191"/>
    </row>
    <row r="20" spans="1:30" x14ac:dyDescent="0.25">
      <c r="B20" s="256">
        <v>360000</v>
      </c>
      <c r="C20" s="256">
        <f t="shared" si="0"/>
        <v>360</v>
      </c>
      <c r="D20" s="258">
        <f t="shared" si="9"/>
        <v>0.43907407407407406</v>
      </c>
      <c r="F20" s="256">
        <v>360000</v>
      </c>
      <c r="G20" s="256">
        <f t="shared" si="1"/>
        <v>360</v>
      </c>
      <c r="H20" s="259">
        <v>360</v>
      </c>
      <c r="I20" s="259">
        <v>275</v>
      </c>
      <c r="J20" s="259">
        <f>$F20*$F20/H20/10^6</f>
        <v>360</v>
      </c>
      <c r="K20" s="259">
        <f>$F20*$F20/I20/10^6</f>
        <v>471.27272727272725</v>
      </c>
      <c r="M20" s="7" t="s">
        <v>2902</v>
      </c>
    </row>
    <row r="21" spans="1:30" x14ac:dyDescent="0.25">
      <c r="B21" s="256">
        <v>500000</v>
      </c>
      <c r="C21" s="256">
        <f t="shared" si="0"/>
        <v>500</v>
      </c>
      <c r="D21" s="258">
        <v>0.39500000000000002</v>
      </c>
      <c r="F21" s="260">
        <v>500000</v>
      </c>
      <c r="G21" s="260">
        <f t="shared" si="1"/>
        <v>500</v>
      </c>
      <c r="H21" s="260">
        <v>294</v>
      </c>
      <c r="I21" s="260">
        <v>233</v>
      </c>
      <c r="J21" s="260">
        <v>850</v>
      </c>
      <c r="K21" s="260">
        <v>1075</v>
      </c>
      <c r="M21" s="7" t="s">
        <v>2903</v>
      </c>
    </row>
    <row r="22" spans="1:30" x14ac:dyDescent="0.2">
      <c r="B22" s="256">
        <v>735000</v>
      </c>
      <c r="C22" s="256">
        <f t="shared" si="0"/>
        <v>735</v>
      </c>
      <c r="D22" s="258">
        <v>0.38</v>
      </c>
      <c r="F22" s="256">
        <v>735000</v>
      </c>
      <c r="G22" s="256">
        <f t="shared" si="1"/>
        <v>735</v>
      </c>
      <c r="H22" s="259">
        <v>270</v>
      </c>
      <c r="I22" s="259">
        <v>250</v>
      </c>
      <c r="J22" s="259">
        <f>$F22*$F22/H22/10^6</f>
        <v>2000.8333333333333</v>
      </c>
      <c r="K22" s="259">
        <f>$F22*$F22/I22/10^6</f>
        <v>2160.9</v>
      </c>
    </row>
    <row r="23" spans="1:30" x14ac:dyDescent="0.2">
      <c r="B23" s="256">
        <v>765000</v>
      </c>
      <c r="C23" s="256">
        <f t="shared" si="0"/>
        <v>765</v>
      </c>
      <c r="D23" s="258">
        <f>((C$23-C$21)/(C$22-C$21))*(D$22-D$21)+D$21</f>
        <v>0.37808510638297871</v>
      </c>
      <c r="F23" s="260">
        <v>765000</v>
      </c>
      <c r="G23" s="260">
        <f t="shared" si="1"/>
        <v>765</v>
      </c>
      <c r="H23" s="260">
        <v>266</v>
      </c>
      <c r="I23" s="260">
        <v>254</v>
      </c>
      <c r="J23" s="260">
        <v>2200</v>
      </c>
      <c r="K23" s="260">
        <v>2300</v>
      </c>
    </row>
    <row r="25" spans="1:30" x14ac:dyDescent="0.2">
      <c r="A25" s="47" t="s">
        <v>54</v>
      </c>
      <c r="AA25" s="42"/>
      <c r="AB25" s="254"/>
      <c r="AC25" s="254"/>
      <c r="AD25" s="254"/>
    </row>
    <row r="26" spans="1:30" x14ac:dyDescent="0.25">
      <c r="A26" s="7" t="s">
        <v>2867</v>
      </c>
      <c r="AA26" s="42"/>
      <c r="AB26" s="254"/>
      <c r="AC26" s="254"/>
      <c r="AD26" s="254"/>
    </row>
    <row r="27" spans="1:30" x14ac:dyDescent="0.25">
      <c r="A27" s="7" t="s">
        <v>2871</v>
      </c>
    </row>
    <row r="28" spans="1:30" x14ac:dyDescent="0.25">
      <c r="A28" s="7" t="s">
        <v>2868</v>
      </c>
    </row>
    <row r="29" spans="1:30" x14ac:dyDescent="0.25">
      <c r="A29" s="7" t="s">
        <v>2869</v>
      </c>
    </row>
    <row r="30" spans="1:30" x14ac:dyDescent="0.25">
      <c r="A30" s="7" t="s">
        <v>2870</v>
      </c>
    </row>
    <row r="32" spans="1:30" x14ac:dyDescent="0.25">
      <c r="B32" s="7"/>
      <c r="C32" s="7"/>
      <c r="F32" s="7"/>
    </row>
    <row r="46" spans="27:30" x14ac:dyDescent="0.25">
      <c r="AA46" s="7"/>
      <c r="AB46" s="7"/>
      <c r="AC46" s="7"/>
      <c r="AD46" s="7"/>
    </row>
    <row r="102" spans="1:31" x14ac:dyDescent="0.2">
      <c r="A102" s="43"/>
      <c r="AE102" s="43"/>
    </row>
    <row r="103" spans="1:31" x14ac:dyDescent="0.2">
      <c r="A103" s="43"/>
      <c r="AE103" s="43"/>
    </row>
    <row r="104" spans="1:31" x14ac:dyDescent="0.25">
      <c r="Z104" s="7"/>
    </row>
    <row r="105" spans="1:31" x14ac:dyDescent="0.25">
      <c r="Z105" s="7"/>
    </row>
    <row r="106" spans="1:31" s="7" customFormat="1" x14ac:dyDescent="0.25">
      <c r="B106" s="254"/>
      <c r="C106" s="254"/>
      <c r="D106" s="254"/>
      <c r="E106" s="254"/>
      <c r="F106" s="254"/>
      <c r="G106" s="254"/>
      <c r="H106" s="254"/>
      <c r="I106" s="254"/>
      <c r="J106" s="254"/>
      <c r="K106" s="254"/>
      <c r="L106" s="254"/>
      <c r="M106" s="254"/>
      <c r="N106" s="254"/>
      <c r="O106" s="254"/>
      <c r="P106" s="254"/>
      <c r="Q106" s="254"/>
      <c r="R106" s="254"/>
      <c r="S106" s="254"/>
      <c r="T106" s="254"/>
      <c r="U106" s="254"/>
      <c r="W106" s="254"/>
      <c r="X106" s="254"/>
      <c r="Y106" s="254"/>
      <c r="Z106" s="254"/>
      <c r="AA106" s="44"/>
      <c r="AB106" s="42"/>
      <c r="AC106" s="42"/>
      <c r="AD106" s="42"/>
    </row>
    <row r="107" spans="1:31" s="7" customFormat="1" x14ac:dyDescent="0.25">
      <c r="B107" s="254"/>
      <c r="C107" s="254"/>
      <c r="D107" s="254"/>
      <c r="E107" s="254"/>
      <c r="F107" s="254"/>
      <c r="G107" s="254"/>
      <c r="H107" s="254"/>
      <c r="I107" s="254"/>
      <c r="J107" s="254"/>
      <c r="K107" s="254"/>
      <c r="L107" s="254"/>
      <c r="M107" s="254"/>
      <c r="N107" s="254"/>
      <c r="O107" s="254"/>
      <c r="P107" s="254"/>
      <c r="Q107" s="254"/>
      <c r="R107" s="254"/>
      <c r="S107" s="254"/>
      <c r="T107" s="254"/>
      <c r="U107" s="254"/>
      <c r="W107" s="254"/>
      <c r="X107" s="254"/>
      <c r="Y107" s="254"/>
      <c r="Z107" s="254"/>
      <c r="AA107" s="44"/>
      <c r="AB107" s="42"/>
      <c r="AC107" s="42"/>
      <c r="AD107" s="42"/>
    </row>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B4D22-C068-7044-87F7-35C55EBDB777}">
  <dimension ref="A1:AK36"/>
  <sheetViews>
    <sheetView tabSelected="1" zoomScaleNormal="100" workbookViewId="0">
      <pane xSplit="3" ySplit="3" topLeftCell="D4" activePane="bottomRight" state="frozen"/>
      <selection pane="topRight" activeCell="C1" sqref="C1"/>
      <selection pane="bottomLeft" activeCell="A2" sqref="A2"/>
      <selection pane="bottomRight" activeCell="A7" sqref="A7"/>
    </sheetView>
  </sheetViews>
  <sheetFormatPr baseColWidth="10" defaultRowHeight="19" x14ac:dyDescent="0.25"/>
  <cols>
    <col min="1" max="1" width="4.83203125" style="7" customWidth="1"/>
    <col min="2" max="2" width="63.5" style="7" customWidth="1"/>
    <col min="3" max="3" width="13.5" style="198" customWidth="1"/>
    <col min="4" max="4" width="150.6640625" style="199" customWidth="1"/>
    <col min="5" max="5" width="210.83203125" style="200" customWidth="1"/>
    <col min="6" max="7" width="57.6640625" style="200" customWidth="1"/>
    <col min="8" max="8" width="114" style="200" customWidth="1"/>
    <col min="9" max="16384" width="10.83203125" style="7"/>
  </cols>
  <sheetData>
    <row r="1" spans="1:8" s="20" customFormat="1" ht="21" x14ac:dyDescent="0.2">
      <c r="A1" s="20" t="s">
        <v>102</v>
      </c>
      <c r="B1" s="20" t="s">
        <v>1974</v>
      </c>
    </row>
    <row r="2" spans="1:8" s="193" customFormat="1" ht="16" x14ac:dyDescent="0.2"/>
    <row r="3" spans="1:8" s="201" customFormat="1" ht="21" x14ac:dyDescent="0.25">
      <c r="B3" s="18" t="s">
        <v>1975</v>
      </c>
      <c r="C3" s="18" t="s">
        <v>1976</v>
      </c>
      <c r="D3" s="18" t="s">
        <v>1967</v>
      </c>
      <c r="E3" s="18" t="s">
        <v>1977</v>
      </c>
      <c r="F3" s="18" t="s">
        <v>1978</v>
      </c>
      <c r="G3" s="18" t="s">
        <v>1979</v>
      </c>
      <c r="H3" s="18" t="s">
        <v>45</v>
      </c>
    </row>
    <row r="4" spans="1:8" ht="20" x14ac:dyDescent="0.25">
      <c r="B4" s="215" t="s">
        <v>106</v>
      </c>
      <c r="C4" s="33">
        <v>2013</v>
      </c>
      <c r="D4" s="19" t="s">
        <v>2354</v>
      </c>
      <c r="E4" s="19" t="s">
        <v>2355</v>
      </c>
      <c r="F4" s="19"/>
      <c r="G4" s="19" t="s">
        <v>2876</v>
      </c>
      <c r="H4" s="19"/>
    </row>
    <row r="5" spans="1:8" ht="20" x14ac:dyDescent="0.25">
      <c r="B5" s="102" t="s">
        <v>106</v>
      </c>
      <c r="C5" s="33">
        <v>2008</v>
      </c>
      <c r="D5" s="19" t="s">
        <v>2356</v>
      </c>
      <c r="E5" s="19" t="s">
        <v>2357</v>
      </c>
      <c r="F5" s="19"/>
      <c r="G5" s="19" t="s">
        <v>2876</v>
      </c>
      <c r="H5" s="19"/>
    </row>
    <row r="6" spans="1:8" ht="40" x14ac:dyDescent="0.25">
      <c r="B6" s="149" t="s">
        <v>106</v>
      </c>
      <c r="C6" s="33">
        <v>2013</v>
      </c>
      <c r="D6" s="217" t="s">
        <v>2358</v>
      </c>
      <c r="E6" s="217" t="s">
        <v>2359</v>
      </c>
      <c r="F6" s="217"/>
      <c r="G6" s="19" t="s">
        <v>2876</v>
      </c>
      <c r="H6" s="217"/>
    </row>
    <row r="7" spans="1:8" s="202" customFormat="1" ht="20" x14ac:dyDescent="0.2">
      <c r="A7" s="314"/>
      <c r="B7" s="218" t="s">
        <v>106</v>
      </c>
      <c r="C7" s="33">
        <v>2019</v>
      </c>
      <c r="D7" s="19" t="s">
        <v>2360</v>
      </c>
      <c r="E7" s="19" t="s">
        <v>2361</v>
      </c>
      <c r="F7" s="19"/>
      <c r="G7" s="19" t="s">
        <v>2876</v>
      </c>
      <c r="H7" s="19"/>
    </row>
    <row r="8" spans="1:8" s="202" customFormat="1" ht="20" x14ac:dyDescent="0.2">
      <c r="B8" s="221" t="s">
        <v>1983</v>
      </c>
      <c r="C8" s="33">
        <v>2019</v>
      </c>
      <c r="D8" s="19" t="s">
        <v>1984</v>
      </c>
      <c r="E8" s="19" t="s">
        <v>1985</v>
      </c>
      <c r="F8" s="19"/>
      <c r="G8" s="19"/>
      <c r="H8" s="19"/>
    </row>
    <row r="9" spans="1:8" ht="20" x14ac:dyDescent="0.25">
      <c r="B9" s="222" t="s">
        <v>1986</v>
      </c>
      <c r="C9" s="33">
        <v>2020</v>
      </c>
      <c r="D9" s="19"/>
      <c r="E9" s="19"/>
      <c r="F9" s="19"/>
      <c r="G9" s="19"/>
      <c r="H9" s="19"/>
    </row>
    <row r="10" spans="1:8" ht="20" x14ac:dyDescent="0.25">
      <c r="B10" s="223" t="s">
        <v>1987</v>
      </c>
      <c r="C10" s="33"/>
      <c r="D10" s="19"/>
      <c r="E10" s="19"/>
      <c r="F10" s="19"/>
      <c r="G10" s="19"/>
      <c r="H10" s="19"/>
    </row>
    <row r="11" spans="1:8" s="202" customFormat="1" ht="20" x14ac:dyDescent="0.2">
      <c r="B11" s="219" t="s">
        <v>106</v>
      </c>
      <c r="C11" s="33">
        <v>2020</v>
      </c>
      <c r="D11" s="19" t="s">
        <v>2349</v>
      </c>
      <c r="E11" s="19" t="s">
        <v>2350</v>
      </c>
      <c r="F11" s="19"/>
      <c r="G11" s="19" t="s">
        <v>2876</v>
      </c>
      <c r="H11" s="19"/>
    </row>
    <row r="12" spans="1:8" s="202" customFormat="1" ht="20" x14ac:dyDescent="0.2">
      <c r="B12" s="224" t="s">
        <v>106</v>
      </c>
      <c r="C12" s="33">
        <v>2017</v>
      </c>
      <c r="D12" s="19" t="s">
        <v>2017</v>
      </c>
      <c r="E12" s="19" t="s">
        <v>2018</v>
      </c>
      <c r="F12" s="19"/>
      <c r="G12" s="19" t="s">
        <v>2876</v>
      </c>
      <c r="H12" s="19"/>
    </row>
    <row r="13" spans="1:8" s="202" customFormat="1" ht="20" x14ac:dyDescent="0.2">
      <c r="B13" s="227" t="s">
        <v>2937</v>
      </c>
      <c r="C13" s="33">
        <v>2016</v>
      </c>
      <c r="D13" s="19" t="s">
        <v>2351</v>
      </c>
      <c r="E13" s="210" t="s">
        <v>2621</v>
      </c>
      <c r="F13" s="19"/>
      <c r="G13" s="19"/>
      <c r="H13" s="19"/>
    </row>
    <row r="14" spans="1:8" ht="20" x14ac:dyDescent="0.25">
      <c r="B14" s="238" t="s">
        <v>173</v>
      </c>
      <c r="C14" s="216">
        <v>2011</v>
      </c>
      <c r="D14" s="217" t="s">
        <v>2352</v>
      </c>
      <c r="E14" s="217" t="s">
        <v>2353</v>
      </c>
      <c r="F14" s="217"/>
      <c r="G14" s="19" t="s">
        <v>2876</v>
      </c>
      <c r="H14" s="217"/>
    </row>
    <row r="15" spans="1:8" ht="20" x14ac:dyDescent="0.25">
      <c r="B15" s="220" t="s">
        <v>106</v>
      </c>
      <c r="C15" s="33">
        <v>2020</v>
      </c>
      <c r="D15" s="19" t="s">
        <v>2619</v>
      </c>
      <c r="E15" s="217" t="s">
        <v>2620</v>
      </c>
      <c r="F15" s="217"/>
      <c r="G15" s="19" t="s">
        <v>2876</v>
      </c>
      <c r="H15" s="217"/>
    </row>
    <row r="16" spans="1:8" s="202" customFormat="1" ht="40" x14ac:dyDescent="0.2">
      <c r="B16" s="239" t="s">
        <v>173</v>
      </c>
      <c r="C16" s="33">
        <v>2013</v>
      </c>
      <c r="D16" s="19" t="s">
        <v>2821</v>
      </c>
      <c r="E16" s="19" t="s">
        <v>2822</v>
      </c>
      <c r="F16" s="19"/>
      <c r="G16" s="19" t="s">
        <v>2876</v>
      </c>
      <c r="H16" s="19"/>
    </row>
    <row r="17" spans="2:19" s="202" customFormat="1" ht="20" x14ac:dyDescent="0.2">
      <c r="B17" s="240" t="s">
        <v>106</v>
      </c>
      <c r="C17" s="33">
        <v>2013</v>
      </c>
      <c r="D17" s="19" t="s">
        <v>2837</v>
      </c>
      <c r="E17" s="19" t="s">
        <v>2355</v>
      </c>
      <c r="F17" s="19"/>
      <c r="G17" s="19" t="s">
        <v>2876</v>
      </c>
      <c r="H17" s="19"/>
    </row>
    <row r="18" spans="2:19" s="202" customFormat="1" ht="20" x14ac:dyDescent="0.2">
      <c r="B18" s="203" t="s">
        <v>1991</v>
      </c>
      <c r="C18" s="33">
        <v>2019</v>
      </c>
      <c r="D18" s="19" t="s">
        <v>2938</v>
      </c>
      <c r="E18" s="19" t="s">
        <v>1992</v>
      </c>
      <c r="F18" s="19"/>
      <c r="G18" s="19" t="s">
        <v>2877</v>
      </c>
      <c r="H18" s="19" t="s">
        <v>1993</v>
      </c>
    </row>
    <row r="19" spans="2:19" s="202" customFormat="1" ht="20" x14ac:dyDescent="0.2">
      <c r="B19" s="204" t="s">
        <v>106</v>
      </c>
      <c r="C19" s="33">
        <v>2019</v>
      </c>
      <c r="D19" s="19" t="s">
        <v>1994</v>
      </c>
      <c r="E19" s="19" t="s">
        <v>1995</v>
      </c>
      <c r="F19" s="19"/>
      <c r="G19" s="19" t="s">
        <v>2876</v>
      </c>
      <c r="H19" s="19"/>
    </row>
    <row r="20" spans="2:19" ht="20" x14ac:dyDescent="0.25">
      <c r="B20" s="205" t="s">
        <v>1980</v>
      </c>
      <c r="C20" s="33">
        <v>2019</v>
      </c>
      <c r="D20" s="19" t="s">
        <v>1981</v>
      </c>
      <c r="E20" s="19" t="s">
        <v>1982</v>
      </c>
      <c r="F20" s="19"/>
      <c r="G20" s="19" t="s">
        <v>2878</v>
      </c>
      <c r="H20" s="19"/>
    </row>
    <row r="21" spans="2:19" s="202" customFormat="1" ht="20" x14ac:dyDescent="0.2">
      <c r="B21" s="53" t="s">
        <v>1991</v>
      </c>
      <c r="C21" s="33">
        <v>2019</v>
      </c>
      <c r="D21" s="19" t="s">
        <v>2939</v>
      </c>
      <c r="E21" s="19" t="s">
        <v>1996</v>
      </c>
      <c r="F21" s="19"/>
      <c r="G21" s="19" t="s">
        <v>2877</v>
      </c>
      <c r="H21" s="19" t="s">
        <v>1997</v>
      </c>
    </row>
    <row r="22" spans="2:19" s="202" customFormat="1" ht="20" x14ac:dyDescent="0.2">
      <c r="B22" s="206" t="s">
        <v>106</v>
      </c>
      <c r="C22" s="33">
        <v>2020</v>
      </c>
      <c r="D22" s="19" t="s">
        <v>1998</v>
      </c>
      <c r="E22" s="19" t="s">
        <v>1999</v>
      </c>
      <c r="F22" s="19"/>
      <c r="G22" s="19" t="s">
        <v>2876</v>
      </c>
      <c r="H22" s="19"/>
    </row>
    <row r="23" spans="2:19" s="202" customFormat="1" ht="20" x14ac:dyDescent="0.25">
      <c r="B23" s="207" t="s">
        <v>173</v>
      </c>
      <c r="C23" s="33">
        <v>2019</v>
      </c>
      <c r="D23" s="19" t="s">
        <v>2000</v>
      </c>
      <c r="E23" s="19" t="s">
        <v>2001</v>
      </c>
      <c r="F23" s="19"/>
      <c r="G23" s="19" t="s">
        <v>2876</v>
      </c>
      <c r="H23" s="19"/>
    </row>
    <row r="24" spans="2:19" s="185" customFormat="1" ht="20" x14ac:dyDescent="0.25">
      <c r="B24" s="94" t="s">
        <v>106</v>
      </c>
      <c r="C24" s="33">
        <v>2019</v>
      </c>
      <c r="D24" s="19" t="s">
        <v>2002</v>
      </c>
      <c r="E24" s="19" t="s">
        <v>2003</v>
      </c>
      <c r="F24" s="19"/>
      <c r="G24" s="19" t="s">
        <v>2876</v>
      </c>
      <c r="H24" s="19"/>
      <c r="K24" s="7"/>
      <c r="L24" s="7"/>
      <c r="M24" s="7"/>
      <c r="N24" s="7"/>
      <c r="O24" s="7"/>
      <c r="P24" s="7"/>
      <c r="Q24" s="7"/>
      <c r="R24" s="7"/>
      <c r="S24" s="25"/>
    </row>
    <row r="25" spans="2:19" s="202" customFormat="1" ht="20" x14ac:dyDescent="0.2">
      <c r="B25" s="208" t="s">
        <v>106</v>
      </c>
      <c r="C25" s="33">
        <v>2013</v>
      </c>
      <c r="D25" s="19" t="s">
        <v>2004</v>
      </c>
      <c r="E25" s="19" t="s">
        <v>2005</v>
      </c>
      <c r="F25" s="19"/>
      <c r="G25" s="19" t="s">
        <v>2876</v>
      </c>
      <c r="H25" s="19"/>
    </row>
    <row r="26" spans="2:19" ht="20" x14ac:dyDescent="0.25">
      <c r="B26" s="209" t="s">
        <v>106</v>
      </c>
      <c r="C26" s="33">
        <v>2016</v>
      </c>
      <c r="D26" s="19" t="s">
        <v>2006</v>
      </c>
      <c r="E26" s="210" t="s">
        <v>2007</v>
      </c>
      <c r="F26" s="19"/>
      <c r="G26" s="19" t="s">
        <v>2876</v>
      </c>
      <c r="H26" s="19"/>
    </row>
    <row r="27" spans="2:19" ht="20" x14ac:dyDescent="0.25">
      <c r="B27" s="211" t="s">
        <v>106</v>
      </c>
      <c r="C27" s="33">
        <v>2020</v>
      </c>
      <c r="D27" s="19" t="s">
        <v>2008</v>
      </c>
      <c r="E27" s="19" t="s">
        <v>2009</v>
      </c>
      <c r="F27" s="19"/>
      <c r="G27" s="19" t="s">
        <v>2876</v>
      </c>
      <c r="H27" s="19"/>
    </row>
    <row r="28" spans="2:19" ht="20" x14ac:dyDescent="0.25">
      <c r="B28" s="212" t="s">
        <v>2010</v>
      </c>
      <c r="C28" s="33">
        <v>2019</v>
      </c>
      <c r="D28" s="19" t="s">
        <v>2011</v>
      </c>
      <c r="E28" s="19" t="s">
        <v>2012</v>
      </c>
      <c r="F28" s="19"/>
      <c r="G28" s="19" t="s">
        <v>2876</v>
      </c>
      <c r="H28" s="19" t="s">
        <v>2013</v>
      </c>
    </row>
    <row r="29" spans="2:19" ht="20" x14ac:dyDescent="0.25">
      <c r="B29" s="213" t="s">
        <v>2873</v>
      </c>
      <c r="C29" s="33">
        <v>1979</v>
      </c>
      <c r="D29" s="19" t="s">
        <v>2874</v>
      </c>
      <c r="E29" s="19" t="s">
        <v>2875</v>
      </c>
      <c r="F29" s="19"/>
      <c r="G29" s="19"/>
      <c r="H29" s="19"/>
    </row>
    <row r="30" spans="2:19" ht="20" x14ac:dyDescent="0.25">
      <c r="B30" s="214" t="s">
        <v>2015</v>
      </c>
      <c r="C30" s="33">
        <v>2017</v>
      </c>
      <c r="D30" s="19" t="s">
        <v>2016</v>
      </c>
      <c r="E30" s="19" t="s">
        <v>2019</v>
      </c>
      <c r="F30" s="19"/>
      <c r="G30" s="19" t="s">
        <v>2876</v>
      </c>
      <c r="H30" s="19"/>
    </row>
    <row r="31" spans="2:19" ht="20" x14ac:dyDescent="0.25">
      <c r="B31" s="261" t="s">
        <v>2882</v>
      </c>
      <c r="C31" s="33">
        <v>2017</v>
      </c>
      <c r="D31" s="19" t="s">
        <v>2883</v>
      </c>
      <c r="E31" s="19"/>
      <c r="F31" s="19"/>
      <c r="G31" s="19"/>
      <c r="H31" s="19"/>
    </row>
    <row r="32" spans="2:19" ht="20" x14ac:dyDescent="0.25">
      <c r="B32" s="262" t="s">
        <v>2884</v>
      </c>
      <c r="C32" s="33">
        <v>2017</v>
      </c>
      <c r="D32" s="19" t="s">
        <v>2885</v>
      </c>
      <c r="E32" s="19" t="s">
        <v>2886</v>
      </c>
      <c r="F32" s="19"/>
      <c r="G32" s="19"/>
      <c r="H32" s="19"/>
    </row>
    <row r="33" spans="2:37" ht="20" x14ac:dyDescent="0.25">
      <c r="B33" s="263" t="s">
        <v>2873</v>
      </c>
      <c r="C33" s="33">
        <v>1979</v>
      </c>
      <c r="D33" s="19" t="s">
        <v>2874</v>
      </c>
      <c r="E33" s="19" t="s">
        <v>2875</v>
      </c>
      <c r="F33" s="19"/>
      <c r="G33" s="19"/>
      <c r="H33" s="19"/>
    </row>
    <row r="34" spans="2:37" ht="20" x14ac:dyDescent="0.25">
      <c r="B34" s="264" t="s">
        <v>143</v>
      </c>
      <c r="C34" s="33">
        <v>2021</v>
      </c>
      <c r="D34" s="19" t="s">
        <v>3730</v>
      </c>
      <c r="E34" s="19" t="s">
        <v>2014</v>
      </c>
      <c r="F34" s="19"/>
      <c r="G34" s="19"/>
      <c r="H34" s="19"/>
    </row>
    <row r="35" spans="2:37" x14ac:dyDescent="0.25">
      <c r="B35" s="306"/>
      <c r="C35" s="33"/>
      <c r="D35" s="19"/>
      <c r="E35" s="19"/>
      <c r="F35" s="19"/>
      <c r="G35" s="19"/>
      <c r="H35" s="19"/>
      <c r="J35" s="254"/>
      <c r="K35" s="31"/>
      <c r="L35" s="26"/>
      <c r="M35" s="31"/>
      <c r="N35" s="31"/>
      <c r="O35" s="31"/>
      <c r="P35" s="31"/>
      <c r="Q35" s="26"/>
      <c r="R35" s="31"/>
      <c r="S35" s="31"/>
      <c r="T35" s="25"/>
      <c r="U35" s="25"/>
      <c r="V35" s="253"/>
      <c r="W35" s="253"/>
      <c r="Y35" s="17"/>
      <c r="AF35" s="10"/>
      <c r="AJ35" s="254"/>
      <c r="AK35" s="254"/>
    </row>
    <row r="36" spans="2:37" ht="20" x14ac:dyDescent="0.25">
      <c r="B36" s="265" t="s">
        <v>3872</v>
      </c>
      <c r="C36" s="33">
        <v>2021</v>
      </c>
      <c r="D36" s="19" t="s">
        <v>3873</v>
      </c>
      <c r="E36" s="19" t="s">
        <v>3874</v>
      </c>
      <c r="F36" s="19"/>
      <c r="G36" s="19" t="s">
        <v>2878</v>
      </c>
      <c r="H36" s="19"/>
    </row>
  </sheetData>
  <autoFilter ref="B3:H3" xr:uid="{4394770A-2345-D74B-BD81-DB7567B27015}">
    <sortState xmlns:xlrd2="http://schemas.microsoft.com/office/spreadsheetml/2017/richdata2" ref="B4:H206">
      <sortCondition ref="G3:G206"/>
    </sortState>
  </autoFilter>
  <conditionalFormatting sqref="D18">
    <cfRule type="duplicateValues" dxfId="5"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28BD1-49B7-834E-827D-AB14EFDDD931}">
  <sheetPr codeName="Sheet3"/>
  <dimension ref="A1:CJ419"/>
  <sheetViews>
    <sheetView zoomScaleNormal="100" workbookViewId="0">
      <pane xSplit="2" ySplit="3" topLeftCell="J16" activePane="bottomRight" state="frozen"/>
      <selection pane="topRight" activeCell="C1" sqref="C1"/>
      <selection pane="bottomLeft" activeCell="A5" sqref="A5"/>
      <selection pane="bottomRight" activeCell="P4" sqref="P4"/>
    </sheetView>
  </sheetViews>
  <sheetFormatPr baseColWidth="10" defaultRowHeight="19" x14ac:dyDescent="0.25"/>
  <cols>
    <col min="1" max="1" width="4.83203125" style="7" customWidth="1"/>
    <col min="2" max="2" width="62.6640625" style="7" customWidth="1"/>
    <col min="3" max="3" width="20.83203125" style="138" customWidth="1"/>
    <col min="4" max="4" width="60.83203125" style="7" customWidth="1"/>
    <col min="5" max="7" width="24.83203125" style="10" customWidth="1"/>
    <col min="8" max="8" width="18.83203125" style="138" customWidth="1"/>
    <col min="9" max="9" width="32.33203125" style="90" customWidth="1"/>
    <col min="10" max="10" width="50.83203125" style="193" customWidth="1"/>
    <col min="11" max="11" width="24.83203125" style="193" customWidth="1"/>
    <col min="12" max="12" width="16.6640625" style="193" customWidth="1"/>
    <col min="13" max="14" width="12.83203125" style="10" customWidth="1"/>
    <col min="15" max="15" width="5" style="36" customWidth="1"/>
    <col min="16" max="16" width="20.83203125" style="10" customWidth="1"/>
    <col min="17" max="17" width="20.83203125" style="138" customWidth="1"/>
    <col min="18" max="18" width="10.83203125" style="7"/>
    <col min="19" max="19" width="17.83203125" style="55" customWidth="1"/>
    <col min="20" max="20" width="13.83203125" style="7" customWidth="1"/>
    <col min="21" max="21" width="16.83203125" style="55" customWidth="1"/>
    <col min="22" max="22" width="16.83203125" style="7" customWidth="1"/>
    <col min="23" max="23" width="10.6640625" style="55" customWidth="1"/>
    <col min="24" max="24" width="4.83203125" style="7" customWidth="1"/>
    <col min="25" max="25" width="10.83203125" style="7" customWidth="1"/>
    <col min="26" max="26" width="10.83203125" style="10"/>
    <col min="27" max="28" width="10.83203125" style="7"/>
    <col min="29" max="29" width="10.83203125" style="36"/>
    <col min="30" max="31" width="16.83203125" style="7" customWidth="1"/>
    <col min="32" max="32" width="14.83203125" style="7" customWidth="1"/>
    <col min="33" max="33" width="19.33203125" style="7" customWidth="1"/>
    <col min="34" max="34" width="10.83203125" style="7"/>
    <col min="35" max="35" width="10.83203125" style="36"/>
    <col min="36" max="36" width="10.83203125" style="7"/>
    <col min="37" max="37" width="17.5" style="7" customWidth="1"/>
    <col min="38" max="38" width="17.33203125" style="36" customWidth="1"/>
    <col min="39" max="39" width="4.83203125" style="7" customWidth="1"/>
    <col min="40" max="40" width="12.83203125" style="7" customWidth="1"/>
    <col min="41" max="41" width="10.83203125" style="7"/>
    <col min="42" max="42" width="12.83203125" style="7" customWidth="1"/>
    <col min="43" max="43" width="13.5" style="7" customWidth="1"/>
    <col min="44" max="44" width="10.83203125" style="7"/>
    <col min="45" max="45" width="4.83203125" style="55" customWidth="1"/>
    <col min="46" max="46" width="60.83203125" style="55" customWidth="1"/>
    <col min="47" max="47" width="65.83203125" style="7" customWidth="1"/>
    <col min="48" max="16384" width="10.83203125" style="7"/>
  </cols>
  <sheetData>
    <row r="1" spans="1:47" ht="21" x14ac:dyDescent="0.25">
      <c r="A1" s="46" t="s">
        <v>102</v>
      </c>
      <c r="B1" s="20" t="s">
        <v>82</v>
      </c>
      <c r="C1" s="282"/>
      <c r="D1" s="22"/>
      <c r="I1" s="55"/>
      <c r="J1" s="7"/>
      <c r="K1" s="7"/>
      <c r="L1" s="7"/>
      <c r="P1" s="47" t="s">
        <v>38</v>
      </c>
      <c r="Q1" s="172"/>
      <c r="R1" s="24"/>
      <c r="S1" s="229"/>
      <c r="T1" s="24"/>
      <c r="Y1" s="122" t="s">
        <v>39</v>
      </c>
      <c r="AC1" s="34"/>
      <c r="AG1" s="24"/>
      <c r="AI1" s="34"/>
      <c r="AN1" s="47" t="s">
        <v>49</v>
      </c>
      <c r="AS1" s="251"/>
      <c r="AT1" s="251"/>
    </row>
    <row r="2" spans="1:47" s="12" customFormat="1" ht="80" x14ac:dyDescent="0.2">
      <c r="A2" s="8"/>
      <c r="B2" s="21" t="s">
        <v>16</v>
      </c>
      <c r="C2" s="283" t="s">
        <v>2928</v>
      </c>
      <c r="D2" s="21" t="s">
        <v>13</v>
      </c>
      <c r="E2" s="21" t="s">
        <v>19</v>
      </c>
      <c r="F2" s="21" t="s">
        <v>763</v>
      </c>
      <c r="G2" s="21" t="s">
        <v>762</v>
      </c>
      <c r="H2" s="21" t="s">
        <v>2842</v>
      </c>
      <c r="I2" s="21" t="s">
        <v>2945</v>
      </c>
      <c r="J2" s="21" t="s">
        <v>2843</v>
      </c>
      <c r="K2" s="21" t="s">
        <v>2844</v>
      </c>
      <c r="L2" s="21" t="s">
        <v>2623</v>
      </c>
      <c r="M2" s="21" t="s">
        <v>15</v>
      </c>
      <c r="N2" s="21" t="s">
        <v>74</v>
      </c>
      <c r="O2" s="18"/>
      <c r="P2" s="21" t="s">
        <v>996</v>
      </c>
      <c r="Q2" s="21" t="s">
        <v>2845</v>
      </c>
      <c r="R2" s="21" t="s">
        <v>14</v>
      </c>
      <c r="S2" s="21" t="s">
        <v>2369</v>
      </c>
      <c r="T2" s="21" t="s">
        <v>2850</v>
      </c>
      <c r="U2" s="21" t="s">
        <v>1038</v>
      </c>
      <c r="V2" s="21" t="s">
        <v>1030</v>
      </c>
      <c r="W2" s="21" t="s">
        <v>995</v>
      </c>
      <c r="X2" s="18"/>
      <c r="Y2" s="21" t="s">
        <v>50</v>
      </c>
      <c r="Z2" s="21" t="s">
        <v>79</v>
      </c>
      <c r="AA2" s="21" t="s">
        <v>80</v>
      </c>
      <c r="AB2" s="21" t="s">
        <v>24</v>
      </c>
      <c r="AC2" s="21" t="s">
        <v>25</v>
      </c>
      <c r="AD2" s="62" t="s">
        <v>67</v>
      </c>
      <c r="AE2" s="62" t="s">
        <v>68</v>
      </c>
      <c r="AF2" s="62" t="s">
        <v>34</v>
      </c>
      <c r="AG2" s="62" t="s">
        <v>27</v>
      </c>
      <c r="AH2" s="21" t="s">
        <v>42</v>
      </c>
      <c r="AI2" s="62" t="s">
        <v>31</v>
      </c>
      <c r="AJ2" s="21" t="s">
        <v>43</v>
      </c>
      <c r="AK2" s="21" t="s">
        <v>52</v>
      </c>
      <c r="AL2" s="62" t="s">
        <v>2923</v>
      </c>
      <c r="AM2" s="18"/>
      <c r="AN2" s="62" t="s">
        <v>35</v>
      </c>
      <c r="AO2" s="62" t="s">
        <v>2020</v>
      </c>
      <c r="AP2" s="62" t="s">
        <v>26</v>
      </c>
      <c r="AQ2" s="62" t="s">
        <v>22</v>
      </c>
      <c r="AR2" s="62" t="s">
        <v>23</v>
      </c>
      <c r="AS2" s="50"/>
      <c r="AT2" s="21" t="s">
        <v>1100</v>
      </c>
      <c r="AU2" s="21" t="s">
        <v>45</v>
      </c>
    </row>
    <row r="3" spans="1:47" s="8" customFormat="1" ht="40" x14ac:dyDescent="0.2">
      <c r="B3" s="18"/>
      <c r="C3" s="284"/>
      <c r="D3" s="18"/>
      <c r="E3" s="18"/>
      <c r="F3" s="18"/>
      <c r="G3" s="18"/>
      <c r="H3" s="50"/>
      <c r="I3" s="50"/>
      <c r="J3" s="6"/>
      <c r="K3" s="6"/>
      <c r="L3" s="18" t="s">
        <v>64</v>
      </c>
      <c r="M3" s="18"/>
      <c r="N3" s="18"/>
      <c r="O3" s="36"/>
      <c r="P3" s="18"/>
      <c r="Q3" s="50"/>
      <c r="R3" s="18" t="s">
        <v>17</v>
      </c>
      <c r="S3" s="50"/>
      <c r="T3" s="18" t="s">
        <v>17</v>
      </c>
      <c r="U3" s="50" t="s">
        <v>30</v>
      </c>
      <c r="V3" s="18" t="s">
        <v>18</v>
      </c>
      <c r="W3" s="50"/>
      <c r="X3" s="36"/>
      <c r="Y3" s="18" t="s">
        <v>51</v>
      </c>
      <c r="Z3" s="18" t="s">
        <v>17</v>
      </c>
      <c r="AA3" s="18" t="s">
        <v>17</v>
      </c>
      <c r="AB3" s="18" t="s">
        <v>29</v>
      </c>
      <c r="AC3" s="18" t="s">
        <v>29</v>
      </c>
      <c r="AD3" s="18" t="s">
        <v>28</v>
      </c>
      <c r="AE3" s="18" t="s">
        <v>28</v>
      </c>
      <c r="AF3" s="18" t="s">
        <v>36</v>
      </c>
      <c r="AG3" s="18" t="s">
        <v>36</v>
      </c>
      <c r="AH3" s="18" t="s">
        <v>44</v>
      </c>
      <c r="AI3" s="49" t="s">
        <v>30</v>
      </c>
      <c r="AJ3" s="18" t="s">
        <v>29</v>
      </c>
      <c r="AK3" s="18" t="s">
        <v>30</v>
      </c>
      <c r="AL3" s="18" t="s">
        <v>101</v>
      </c>
      <c r="AM3" s="36"/>
      <c r="AN3" s="18" t="s">
        <v>37</v>
      </c>
      <c r="AO3" s="18" t="s">
        <v>21</v>
      </c>
      <c r="AP3" s="18" t="s">
        <v>37</v>
      </c>
      <c r="AQ3" s="101" t="s">
        <v>760</v>
      </c>
      <c r="AR3" s="18" t="s">
        <v>21</v>
      </c>
      <c r="AS3" s="50"/>
      <c r="AT3" s="50"/>
      <c r="AU3" s="18"/>
    </row>
    <row r="4" spans="1:47" s="17" customFormat="1" ht="20" x14ac:dyDescent="0.2">
      <c r="A4" s="118"/>
      <c r="B4" s="206" t="s">
        <v>150</v>
      </c>
      <c r="C4" s="280" t="s">
        <v>3760</v>
      </c>
      <c r="D4" s="206" t="s">
        <v>149</v>
      </c>
      <c r="E4" s="206" t="s">
        <v>150</v>
      </c>
      <c r="F4" s="119">
        <v>50.787311799999998</v>
      </c>
      <c r="G4" s="119">
        <v>-121.3196719</v>
      </c>
      <c r="H4" s="139" t="s">
        <v>1066</v>
      </c>
      <c r="I4" s="33" t="s">
        <v>2876</v>
      </c>
      <c r="J4" s="150" t="s">
        <v>1568</v>
      </c>
      <c r="K4" s="33" t="s">
        <v>3184</v>
      </c>
      <c r="L4" s="175">
        <v>69</v>
      </c>
      <c r="M4" s="54">
        <v>2014</v>
      </c>
      <c r="N4" s="100">
        <v>2100</v>
      </c>
      <c r="O4" s="33"/>
      <c r="P4" s="63" t="s">
        <v>151</v>
      </c>
      <c r="Q4" s="51" t="s">
        <v>2944</v>
      </c>
      <c r="R4" s="65">
        <v>4.8</v>
      </c>
      <c r="S4" s="248">
        <f>System!$E$6</f>
        <v>0.95</v>
      </c>
      <c r="T4" s="247">
        <f t="shared" ref="T4:T67" si="0">R4*S4</f>
        <v>4.5599999999999996</v>
      </c>
      <c r="U4" s="114">
        <f t="shared" ref="U4:U67" si="1">V4*1000/(24*365*R4)</f>
        <v>0.84641362252663621</v>
      </c>
      <c r="V4" s="105">
        <v>35.590000000000003</v>
      </c>
      <c r="W4" s="99">
        <v>1</v>
      </c>
      <c r="Y4" s="127">
        <v>12.12</v>
      </c>
      <c r="Z4" s="60">
        <v>1.44</v>
      </c>
      <c r="AA4" s="60">
        <v>4.8</v>
      </c>
      <c r="AB4" s="107">
        <v>8</v>
      </c>
      <c r="AC4" s="107">
        <v>8</v>
      </c>
      <c r="AD4" s="69"/>
      <c r="AE4" s="69"/>
      <c r="AF4" s="69"/>
      <c r="AG4" s="69"/>
      <c r="AH4" s="54" t="b">
        <v>1</v>
      </c>
      <c r="AI4" s="69"/>
      <c r="AJ4" s="107">
        <v>38</v>
      </c>
      <c r="AK4" s="65">
        <v>3.09</v>
      </c>
      <c r="AL4" s="132">
        <v>11</v>
      </c>
      <c r="AM4" s="156"/>
      <c r="AN4" s="127">
        <v>5.3005000000000004</v>
      </c>
      <c r="AO4" s="139"/>
      <c r="AP4" s="69"/>
      <c r="AQ4" s="69"/>
      <c r="AR4" s="133">
        <v>1.9081800000000002</v>
      </c>
      <c r="AS4" s="139"/>
      <c r="AT4" s="19"/>
      <c r="AU4" s="19"/>
    </row>
    <row r="5" spans="1:47" s="17" customFormat="1" ht="20" x14ac:dyDescent="0.2">
      <c r="A5" s="118"/>
      <c r="B5" s="206" t="s">
        <v>2795</v>
      </c>
      <c r="C5" s="280" t="s">
        <v>3766</v>
      </c>
      <c r="D5" s="206" t="s">
        <v>160</v>
      </c>
      <c r="E5" s="206" t="s">
        <v>161</v>
      </c>
      <c r="F5" s="119">
        <v>49.118385699999997</v>
      </c>
      <c r="G5" s="119">
        <v>-123.8964223</v>
      </c>
      <c r="H5" s="139" t="s">
        <v>1066</v>
      </c>
      <c r="I5" s="33" t="s">
        <v>2876</v>
      </c>
      <c r="J5" s="150" t="s">
        <v>1738</v>
      </c>
      <c r="K5" s="51" t="s">
        <v>3187</v>
      </c>
      <c r="L5" s="175">
        <v>138</v>
      </c>
      <c r="M5" s="54">
        <v>2009</v>
      </c>
      <c r="N5" s="100">
        <v>2100</v>
      </c>
      <c r="O5" s="33"/>
      <c r="P5" s="63" t="s">
        <v>151</v>
      </c>
      <c r="Q5" s="51" t="s">
        <v>2944</v>
      </c>
      <c r="R5" s="65">
        <v>1.26</v>
      </c>
      <c r="S5" s="248">
        <f>System!$E$6</f>
        <v>0.95</v>
      </c>
      <c r="T5" s="247">
        <f t="shared" si="0"/>
        <v>1.1969999999999998</v>
      </c>
      <c r="U5" s="114">
        <f t="shared" si="1"/>
        <v>0.95491773573965355</v>
      </c>
      <c r="V5" s="105">
        <v>10.54</v>
      </c>
      <c r="W5" s="99">
        <v>1</v>
      </c>
      <c r="Y5" s="127">
        <v>12.12</v>
      </c>
      <c r="Z5" s="60">
        <v>0.378</v>
      </c>
      <c r="AA5" s="60">
        <v>1.26</v>
      </c>
      <c r="AB5" s="107">
        <v>8</v>
      </c>
      <c r="AC5" s="107">
        <v>8</v>
      </c>
      <c r="AD5" s="69"/>
      <c r="AE5" s="69"/>
      <c r="AF5" s="69"/>
      <c r="AG5" s="69"/>
      <c r="AH5" s="54" t="b">
        <v>1</v>
      </c>
      <c r="AI5" s="69"/>
      <c r="AJ5" s="107">
        <v>38</v>
      </c>
      <c r="AK5" s="65">
        <v>3.09</v>
      </c>
      <c r="AL5" s="132">
        <v>11</v>
      </c>
      <c r="AM5" s="156"/>
      <c r="AN5" s="127">
        <v>5.3005000000000004</v>
      </c>
      <c r="AO5" s="139"/>
      <c r="AP5" s="69"/>
      <c r="AQ5" s="69"/>
      <c r="AR5" s="133">
        <v>1.9081800000000002</v>
      </c>
      <c r="AS5" s="139"/>
      <c r="AT5" s="19"/>
      <c r="AU5" s="19"/>
    </row>
    <row r="6" spans="1:47" s="17" customFormat="1" ht="20" x14ac:dyDescent="0.2">
      <c r="A6" s="118"/>
      <c r="B6" s="206" t="s">
        <v>210</v>
      </c>
      <c r="C6" s="280" t="s">
        <v>3785</v>
      </c>
      <c r="D6" s="206" t="s">
        <v>211</v>
      </c>
      <c r="E6" s="206" t="s">
        <v>212</v>
      </c>
      <c r="F6" s="119">
        <v>49.159671099999997</v>
      </c>
      <c r="G6" s="119">
        <v>-123.0378043</v>
      </c>
      <c r="H6" s="139" t="s">
        <v>1066</v>
      </c>
      <c r="I6" s="33" t="s">
        <v>2876</v>
      </c>
      <c r="J6" s="150" t="s">
        <v>1750</v>
      </c>
      <c r="K6" s="51" t="s">
        <v>3280</v>
      </c>
      <c r="L6" s="175">
        <v>69</v>
      </c>
      <c r="M6" s="54">
        <v>2013</v>
      </c>
      <c r="N6" s="100">
        <v>2100</v>
      </c>
      <c r="O6" s="33"/>
      <c r="P6" s="63" t="s">
        <v>151</v>
      </c>
      <c r="Q6" s="51" t="s">
        <v>2944</v>
      </c>
      <c r="R6" s="65">
        <v>1.03</v>
      </c>
      <c r="S6" s="248">
        <f>System!$E$6</f>
        <v>0.95</v>
      </c>
      <c r="T6" s="247">
        <f t="shared" si="0"/>
        <v>0.97849999999999993</v>
      </c>
      <c r="U6" s="114">
        <f t="shared" si="1"/>
        <v>0.88664272731302907</v>
      </c>
      <c r="V6" s="105">
        <v>8</v>
      </c>
      <c r="W6" s="99">
        <v>1</v>
      </c>
      <c r="Y6" s="127">
        <v>12.12</v>
      </c>
      <c r="Z6" s="60">
        <v>0.309</v>
      </c>
      <c r="AA6" s="60">
        <v>1.03</v>
      </c>
      <c r="AB6" s="107">
        <v>8</v>
      </c>
      <c r="AC6" s="107">
        <v>8</v>
      </c>
      <c r="AD6" s="69"/>
      <c r="AE6" s="69"/>
      <c r="AF6" s="69"/>
      <c r="AG6" s="69"/>
      <c r="AH6" s="54" t="b">
        <v>1</v>
      </c>
      <c r="AI6" s="69"/>
      <c r="AJ6" s="107">
        <v>38</v>
      </c>
      <c r="AK6" s="65">
        <v>3.09</v>
      </c>
      <c r="AL6" s="132">
        <v>11</v>
      </c>
      <c r="AN6" s="127">
        <v>5.3005000000000004</v>
      </c>
      <c r="AO6" s="139"/>
      <c r="AP6" s="69"/>
      <c r="AQ6" s="69"/>
      <c r="AR6" s="133">
        <v>1.9081800000000002</v>
      </c>
      <c r="AS6" s="139"/>
      <c r="AT6" s="19"/>
      <c r="AU6" s="19"/>
    </row>
    <row r="7" spans="1:47" s="17" customFormat="1" ht="20" x14ac:dyDescent="0.2">
      <c r="A7" s="118"/>
      <c r="B7" s="206" t="s">
        <v>2772</v>
      </c>
      <c r="C7" s="280" t="s">
        <v>3791</v>
      </c>
      <c r="D7" s="206" t="s">
        <v>220</v>
      </c>
      <c r="E7" s="206" t="s">
        <v>221</v>
      </c>
      <c r="F7" s="119">
        <v>48.539164399999997</v>
      </c>
      <c r="G7" s="119">
        <v>-123.46241190000001</v>
      </c>
      <c r="H7" s="139" t="s">
        <v>1066</v>
      </c>
      <c r="I7" s="33" t="s">
        <v>2876</v>
      </c>
      <c r="J7" s="150" t="s">
        <v>2300</v>
      </c>
      <c r="K7" s="51" t="s">
        <v>3105</v>
      </c>
      <c r="L7" s="175">
        <v>138</v>
      </c>
      <c r="M7" s="54">
        <v>2004</v>
      </c>
      <c r="N7" s="100">
        <v>2100</v>
      </c>
      <c r="O7" s="33"/>
      <c r="P7" s="63" t="s">
        <v>151</v>
      </c>
      <c r="Q7" s="51" t="s">
        <v>2944</v>
      </c>
      <c r="R7" s="65">
        <v>1.8</v>
      </c>
      <c r="S7" s="248">
        <f>System!$E$6</f>
        <v>0.95</v>
      </c>
      <c r="T7" s="247">
        <f t="shared" si="0"/>
        <v>1.71</v>
      </c>
      <c r="U7" s="114">
        <f t="shared" si="1"/>
        <v>0.91958396752917304</v>
      </c>
      <c r="V7" s="64">
        <v>14.5</v>
      </c>
      <c r="W7" s="99">
        <v>1</v>
      </c>
      <c r="Y7" s="127">
        <v>12.12</v>
      </c>
      <c r="Z7" s="60">
        <v>0.81</v>
      </c>
      <c r="AA7" s="60">
        <v>1.8</v>
      </c>
      <c r="AB7" s="107">
        <v>8</v>
      </c>
      <c r="AC7" s="107">
        <v>8</v>
      </c>
      <c r="AD7" s="69"/>
      <c r="AE7" s="69"/>
      <c r="AF7" s="69"/>
      <c r="AG7" s="69"/>
      <c r="AH7" s="54" t="b">
        <v>1</v>
      </c>
      <c r="AI7" s="69"/>
      <c r="AJ7" s="107">
        <v>38</v>
      </c>
      <c r="AK7" s="65">
        <v>3.09</v>
      </c>
      <c r="AL7" s="132">
        <v>11</v>
      </c>
      <c r="AM7" s="156"/>
      <c r="AN7" s="127">
        <v>5.3005000000000004</v>
      </c>
      <c r="AO7" s="139"/>
      <c r="AP7" s="69"/>
      <c r="AQ7" s="69"/>
      <c r="AR7" s="133">
        <v>1.9081800000000002</v>
      </c>
      <c r="AS7" s="139"/>
      <c r="AT7" s="19"/>
      <c r="AU7" s="19"/>
    </row>
    <row r="8" spans="1:47" s="17" customFormat="1" ht="20" x14ac:dyDescent="0.2">
      <c r="A8" s="118"/>
      <c r="B8" s="206" t="s">
        <v>2764</v>
      </c>
      <c r="C8" s="280" t="s">
        <v>3793</v>
      </c>
      <c r="D8" s="206" t="s">
        <v>224</v>
      </c>
      <c r="E8" s="206" t="s">
        <v>225</v>
      </c>
      <c r="F8" s="119">
        <v>49.054333</v>
      </c>
      <c r="G8" s="119">
        <v>-123.044867</v>
      </c>
      <c r="H8" s="139" t="s">
        <v>1066</v>
      </c>
      <c r="I8" s="33" t="s">
        <v>2876</v>
      </c>
      <c r="J8" s="150" t="s">
        <v>1572</v>
      </c>
      <c r="K8" s="51" t="s">
        <v>3194</v>
      </c>
      <c r="L8" s="175">
        <v>138</v>
      </c>
      <c r="M8" s="54">
        <v>2014</v>
      </c>
      <c r="N8" s="100">
        <v>2100</v>
      </c>
      <c r="O8" s="33"/>
      <c r="P8" s="63" t="s">
        <v>151</v>
      </c>
      <c r="Q8" s="51" t="s">
        <v>2944</v>
      </c>
      <c r="R8" s="64">
        <v>8.8000000000000007</v>
      </c>
      <c r="S8" s="248">
        <f>System!$E$6</f>
        <v>0.95</v>
      </c>
      <c r="T8" s="247">
        <f t="shared" si="0"/>
        <v>8.36</v>
      </c>
      <c r="U8" s="114">
        <f t="shared" si="1"/>
        <v>0.83904109589041109</v>
      </c>
      <c r="V8" s="64">
        <v>64.680000000000007</v>
      </c>
      <c r="W8" s="99">
        <v>1</v>
      </c>
      <c r="Y8" s="134">
        <v>12.12</v>
      </c>
      <c r="Z8" s="131">
        <v>2.2000000000000002</v>
      </c>
      <c r="AA8" s="131">
        <v>8.8000000000000007</v>
      </c>
      <c r="AB8" s="100">
        <v>8</v>
      </c>
      <c r="AC8" s="100">
        <v>8</v>
      </c>
      <c r="AD8" s="69"/>
      <c r="AE8" s="69"/>
      <c r="AF8" s="69"/>
      <c r="AG8" s="69"/>
      <c r="AH8" s="100" t="b">
        <v>1</v>
      </c>
      <c r="AI8" s="69"/>
      <c r="AJ8" s="100">
        <v>38</v>
      </c>
      <c r="AK8" s="131">
        <v>3.09</v>
      </c>
      <c r="AL8" s="100">
        <v>11</v>
      </c>
      <c r="AN8" s="134">
        <v>5.3005000000000004</v>
      </c>
      <c r="AO8" s="252"/>
      <c r="AP8" s="69"/>
      <c r="AQ8" s="69"/>
      <c r="AR8" s="134"/>
      <c r="AS8" s="252"/>
      <c r="AT8" s="19"/>
      <c r="AU8" s="19"/>
    </row>
    <row r="9" spans="1:47" s="17" customFormat="1" ht="20" x14ac:dyDescent="0.2">
      <c r="B9" s="206" t="s">
        <v>2820</v>
      </c>
      <c r="C9" s="280" t="s">
        <v>3865</v>
      </c>
      <c r="D9" s="206" t="s">
        <v>336</v>
      </c>
      <c r="E9" s="206" t="s">
        <v>225</v>
      </c>
      <c r="F9" s="126">
        <v>49.098909999999997</v>
      </c>
      <c r="G9" s="126">
        <v>-123.022424</v>
      </c>
      <c r="H9" s="139" t="s">
        <v>1066</v>
      </c>
      <c r="I9" s="33" t="s">
        <v>2876</v>
      </c>
      <c r="J9" s="150" t="s">
        <v>1572</v>
      </c>
      <c r="K9" s="51" t="s">
        <v>3194</v>
      </c>
      <c r="L9" s="175">
        <v>138</v>
      </c>
      <c r="M9" s="54">
        <v>2003</v>
      </c>
      <c r="N9" s="100">
        <v>2100</v>
      </c>
      <c r="O9" s="33"/>
      <c r="P9" s="63" t="s">
        <v>151</v>
      </c>
      <c r="Q9" s="51" t="s">
        <v>2944</v>
      </c>
      <c r="R9" s="65">
        <v>5.85</v>
      </c>
      <c r="S9" s="248">
        <f>System!$E$6</f>
        <v>0.95</v>
      </c>
      <c r="T9" s="247">
        <f t="shared" si="0"/>
        <v>5.5574999999999992</v>
      </c>
      <c r="U9" s="114">
        <f t="shared" si="1"/>
        <v>0.7805487257542052</v>
      </c>
      <c r="V9" s="64">
        <v>40</v>
      </c>
      <c r="W9" s="99">
        <v>1</v>
      </c>
      <c r="Y9" s="127">
        <v>12.12</v>
      </c>
      <c r="Z9" s="60">
        <v>3.0825</v>
      </c>
      <c r="AA9" s="60">
        <v>5.85</v>
      </c>
      <c r="AB9" s="107">
        <v>8</v>
      </c>
      <c r="AC9" s="107">
        <v>8</v>
      </c>
      <c r="AD9" s="69"/>
      <c r="AE9" s="69"/>
      <c r="AF9" s="69"/>
      <c r="AG9" s="69"/>
      <c r="AH9" s="54" t="b">
        <v>1</v>
      </c>
      <c r="AI9" s="69"/>
      <c r="AJ9" s="107">
        <v>38</v>
      </c>
      <c r="AK9" s="65">
        <v>3.09</v>
      </c>
      <c r="AL9" s="132">
        <v>11</v>
      </c>
      <c r="AN9" s="127">
        <v>5.3005000000000004</v>
      </c>
      <c r="AO9" s="139"/>
      <c r="AP9" s="69"/>
      <c r="AQ9" s="69"/>
      <c r="AR9" s="133">
        <v>1.9081800000000002</v>
      </c>
      <c r="AS9" s="139"/>
      <c r="AT9" s="19"/>
      <c r="AU9" s="19"/>
    </row>
    <row r="10" spans="1:47" s="17" customFormat="1" ht="20" x14ac:dyDescent="0.2">
      <c r="A10" s="118"/>
      <c r="B10" s="206" t="s">
        <v>104</v>
      </c>
      <c r="C10" s="280" t="s">
        <v>3744</v>
      </c>
      <c r="D10" s="206" t="s">
        <v>103</v>
      </c>
      <c r="E10" s="206" t="s">
        <v>104</v>
      </c>
      <c r="F10" s="126">
        <v>52.128746999999997</v>
      </c>
      <c r="G10" s="126">
        <v>-121.92881300000001</v>
      </c>
      <c r="H10" s="139" t="s">
        <v>1066</v>
      </c>
      <c r="I10" s="33" t="s">
        <v>2876</v>
      </c>
      <c r="J10" s="150" t="s">
        <v>1872</v>
      </c>
      <c r="K10" s="51" t="s">
        <v>3180</v>
      </c>
      <c r="L10" s="175">
        <v>69</v>
      </c>
      <c r="M10" s="54">
        <v>2008</v>
      </c>
      <c r="N10" s="33">
        <f>M10+15</f>
        <v>2023</v>
      </c>
      <c r="O10" s="33"/>
      <c r="P10" s="63" t="s">
        <v>1048</v>
      </c>
      <c r="Q10" s="51" t="s">
        <v>2944</v>
      </c>
      <c r="R10" s="65">
        <v>6.5</v>
      </c>
      <c r="S10" s="248">
        <f>System!$E$7</f>
        <v>0.97</v>
      </c>
      <c r="T10" s="247">
        <f t="shared" si="0"/>
        <v>6.3049999999999997</v>
      </c>
      <c r="U10" s="114">
        <f t="shared" si="1"/>
        <v>0.59711977520196702</v>
      </c>
      <c r="V10" s="105">
        <v>34</v>
      </c>
      <c r="W10" s="99">
        <v>1</v>
      </c>
      <c r="Y10" s="127">
        <v>13.8147</v>
      </c>
      <c r="Z10" s="60">
        <v>2.9249999999999998</v>
      </c>
      <c r="AA10" s="60">
        <v>6</v>
      </c>
      <c r="AB10" s="107">
        <v>6</v>
      </c>
      <c r="AC10" s="107">
        <v>6</v>
      </c>
      <c r="AD10" s="69"/>
      <c r="AE10" s="69"/>
      <c r="AF10" s="69"/>
      <c r="AG10" s="69"/>
      <c r="AH10" s="54" t="b">
        <v>0</v>
      </c>
      <c r="AI10" s="69"/>
      <c r="AJ10" s="107">
        <v>41</v>
      </c>
      <c r="AK10" s="65">
        <v>2.79</v>
      </c>
      <c r="AL10" s="132">
        <v>21</v>
      </c>
      <c r="AM10" s="156"/>
      <c r="AN10" s="127">
        <v>79.507500000000007</v>
      </c>
      <c r="AO10" s="139"/>
      <c r="AP10" s="69"/>
      <c r="AQ10" s="69"/>
      <c r="AR10" s="133">
        <v>0.97529200000000005</v>
      </c>
      <c r="AS10" s="139"/>
      <c r="AT10" s="19"/>
      <c r="AU10" s="19" t="s">
        <v>2841</v>
      </c>
    </row>
    <row r="11" spans="1:47" s="17" customFormat="1" ht="20" x14ac:dyDescent="0.2">
      <c r="A11" s="118"/>
      <c r="B11" s="206" t="s">
        <v>929</v>
      </c>
      <c r="C11" s="280" t="s">
        <v>2950</v>
      </c>
      <c r="D11" s="206" t="s">
        <v>156</v>
      </c>
      <c r="E11" s="206" t="s">
        <v>157</v>
      </c>
      <c r="F11" s="119">
        <v>52.997039000000001</v>
      </c>
      <c r="G11" s="119">
        <v>-122.4852664</v>
      </c>
      <c r="H11" s="139" t="s">
        <v>1066</v>
      </c>
      <c r="I11" s="33" t="s">
        <v>2876</v>
      </c>
      <c r="J11" s="150" t="s">
        <v>2298</v>
      </c>
      <c r="K11" s="51" t="s">
        <v>3104</v>
      </c>
      <c r="L11" s="175">
        <v>69</v>
      </c>
      <c r="M11" s="54">
        <v>2012</v>
      </c>
      <c r="N11" s="33">
        <f>M11+15</f>
        <v>2027</v>
      </c>
      <c r="O11" s="33"/>
      <c r="P11" s="63" t="s">
        <v>1048</v>
      </c>
      <c r="Q11" s="51" t="s">
        <v>2944</v>
      </c>
      <c r="R11" s="65">
        <v>30.65</v>
      </c>
      <c r="S11" s="248">
        <f>System!$E$7</f>
        <v>0.97</v>
      </c>
      <c r="T11" s="247">
        <f t="shared" si="0"/>
        <v>29.730499999999999</v>
      </c>
      <c r="U11" s="114">
        <f t="shared" si="1"/>
        <v>0.32082653616095702</v>
      </c>
      <c r="V11" s="64">
        <v>86.14</v>
      </c>
      <c r="W11" s="99">
        <v>2</v>
      </c>
      <c r="Y11" s="127">
        <v>13.5</v>
      </c>
      <c r="Z11" s="60">
        <v>18.39</v>
      </c>
      <c r="AA11" s="60">
        <v>30.65</v>
      </c>
      <c r="AB11" s="107">
        <v>5</v>
      </c>
      <c r="AC11" s="107">
        <v>8</v>
      </c>
      <c r="AD11" s="69"/>
      <c r="AE11" s="69"/>
      <c r="AF11" s="69"/>
      <c r="AG11" s="69"/>
      <c r="AH11" s="54" t="b">
        <v>1</v>
      </c>
      <c r="AI11" s="69"/>
      <c r="AJ11" s="107">
        <v>38</v>
      </c>
      <c r="AK11" s="65">
        <v>3.09</v>
      </c>
      <c r="AL11" s="132">
        <v>11</v>
      </c>
      <c r="AM11" s="156"/>
      <c r="AN11" s="127">
        <v>5.3005000000000004</v>
      </c>
      <c r="AO11" s="139"/>
      <c r="AP11" s="69"/>
      <c r="AQ11" s="69"/>
      <c r="AR11" s="133">
        <v>1.9081800000000002</v>
      </c>
      <c r="AS11" s="139"/>
      <c r="AT11" s="19"/>
      <c r="AU11" s="19"/>
    </row>
    <row r="12" spans="1:47" s="17" customFormat="1" ht="20" x14ac:dyDescent="0.2">
      <c r="A12" s="118"/>
      <c r="B12" s="206" t="s">
        <v>930</v>
      </c>
      <c r="C12" s="280" t="s">
        <v>2992</v>
      </c>
      <c r="D12" s="206" t="s">
        <v>156</v>
      </c>
      <c r="E12" s="206" t="s">
        <v>157</v>
      </c>
      <c r="F12" s="119">
        <v>52.997039000000001</v>
      </c>
      <c r="G12" s="119">
        <v>-122.4852664</v>
      </c>
      <c r="H12" s="139" t="s">
        <v>1066</v>
      </c>
      <c r="I12" s="33" t="s">
        <v>2876</v>
      </c>
      <c r="J12" s="150" t="s">
        <v>2298</v>
      </c>
      <c r="K12" s="51" t="s">
        <v>3104</v>
      </c>
      <c r="L12" s="175">
        <v>69</v>
      </c>
      <c r="M12" s="54">
        <v>2012</v>
      </c>
      <c r="N12" s="33">
        <f>M12+15</f>
        <v>2027</v>
      </c>
      <c r="O12" s="33"/>
      <c r="P12" s="63" t="s">
        <v>1048</v>
      </c>
      <c r="Q12" s="51" t="s">
        <v>2944</v>
      </c>
      <c r="R12" s="65">
        <v>30.65</v>
      </c>
      <c r="S12" s="248">
        <f>System!$E$7</f>
        <v>0.97</v>
      </c>
      <c r="T12" s="247">
        <f t="shared" si="0"/>
        <v>29.730499999999999</v>
      </c>
      <c r="U12" s="114">
        <f t="shared" si="1"/>
        <v>0.32082653616095702</v>
      </c>
      <c r="V12" s="64">
        <v>86.14</v>
      </c>
      <c r="W12" s="99">
        <v>2</v>
      </c>
      <c r="Y12" s="127">
        <v>13.5</v>
      </c>
      <c r="Z12" s="60">
        <v>18.39</v>
      </c>
      <c r="AA12" s="60">
        <v>30.65</v>
      </c>
      <c r="AB12" s="107">
        <v>5</v>
      </c>
      <c r="AC12" s="107">
        <v>8</v>
      </c>
      <c r="AD12" s="69"/>
      <c r="AE12" s="69"/>
      <c r="AF12" s="69"/>
      <c r="AG12" s="69"/>
      <c r="AH12" s="54" t="b">
        <v>1</v>
      </c>
      <c r="AI12" s="69"/>
      <c r="AJ12" s="107">
        <v>38</v>
      </c>
      <c r="AK12" s="65">
        <v>3.09</v>
      </c>
      <c r="AL12" s="132">
        <v>11</v>
      </c>
      <c r="AM12" s="156"/>
      <c r="AN12" s="127">
        <v>5.3005000000000004</v>
      </c>
      <c r="AO12" s="139"/>
      <c r="AP12" s="69"/>
      <c r="AQ12" s="69"/>
      <c r="AR12" s="133">
        <v>1.9081800000000002</v>
      </c>
      <c r="AS12" s="139"/>
      <c r="AT12" s="19"/>
      <c r="AU12" s="19"/>
    </row>
    <row r="13" spans="1:47" s="17" customFormat="1" ht="20" x14ac:dyDescent="0.2">
      <c r="A13" s="118"/>
      <c r="B13" s="206" t="s">
        <v>805</v>
      </c>
      <c r="C13" s="280" t="s">
        <v>3764</v>
      </c>
      <c r="D13" s="206" t="s">
        <v>819</v>
      </c>
      <c r="E13" s="206" t="s">
        <v>806</v>
      </c>
      <c r="F13" s="119">
        <v>48.875706700000002</v>
      </c>
      <c r="G13" s="119">
        <v>-123.6500286</v>
      </c>
      <c r="H13" s="139" t="s">
        <v>1066</v>
      </c>
      <c r="I13" s="33" t="s">
        <v>2876</v>
      </c>
      <c r="J13" s="150" t="s">
        <v>2300</v>
      </c>
      <c r="K13" s="51" t="s">
        <v>3105</v>
      </c>
      <c r="L13" s="175">
        <v>138</v>
      </c>
      <c r="M13" s="100">
        <v>2000</v>
      </c>
      <c r="N13" s="100">
        <v>2100</v>
      </c>
      <c r="O13" s="99"/>
      <c r="P13" s="120" t="s">
        <v>1048</v>
      </c>
      <c r="Q13" s="51" t="s">
        <v>2944</v>
      </c>
      <c r="R13" s="121">
        <v>38</v>
      </c>
      <c r="S13" s="248">
        <f>System!$E$7</f>
        <v>0.97</v>
      </c>
      <c r="T13" s="247">
        <f t="shared" si="0"/>
        <v>36.86</v>
      </c>
      <c r="U13" s="114">
        <f t="shared" si="1"/>
        <v>0.21190819514539774</v>
      </c>
      <c r="V13" s="121">
        <v>70.540000000000006</v>
      </c>
      <c r="W13" s="99">
        <v>1</v>
      </c>
      <c r="X13" s="117"/>
      <c r="Y13" s="129">
        <v>12.12</v>
      </c>
      <c r="Z13" s="131">
        <v>12.666666666666666</v>
      </c>
      <c r="AA13" s="131">
        <v>38</v>
      </c>
      <c r="AB13" s="100">
        <v>8</v>
      </c>
      <c r="AC13" s="100">
        <v>8</v>
      </c>
      <c r="AD13" s="69"/>
      <c r="AE13" s="69"/>
      <c r="AF13" s="69"/>
      <c r="AG13" s="69"/>
      <c r="AH13" s="100" t="b">
        <v>1</v>
      </c>
      <c r="AI13" s="69"/>
      <c r="AJ13" s="130">
        <v>38</v>
      </c>
      <c r="AK13" s="131">
        <v>3.09</v>
      </c>
      <c r="AL13" s="100">
        <v>11</v>
      </c>
      <c r="AM13" s="163"/>
      <c r="AN13" s="134">
        <v>5.3005000000000004</v>
      </c>
      <c r="AO13" s="252"/>
      <c r="AP13" s="69"/>
      <c r="AQ13" s="69"/>
      <c r="AR13" s="116"/>
      <c r="AS13" s="139"/>
      <c r="AT13" s="19"/>
      <c r="AU13" s="19"/>
    </row>
    <row r="14" spans="1:47" s="17" customFormat="1" ht="20" x14ac:dyDescent="0.2">
      <c r="A14" s="118"/>
      <c r="B14" s="206" t="s">
        <v>807</v>
      </c>
      <c r="C14" s="280" t="s">
        <v>3765</v>
      </c>
      <c r="D14" s="206" t="s">
        <v>819</v>
      </c>
      <c r="E14" s="206" t="s">
        <v>167</v>
      </c>
      <c r="F14" s="119">
        <v>49.247370799999999</v>
      </c>
      <c r="G14" s="119">
        <v>-124.81118530000001</v>
      </c>
      <c r="H14" s="139" t="s">
        <v>1066</v>
      </c>
      <c r="I14" s="33" t="s">
        <v>2876</v>
      </c>
      <c r="J14" s="150" t="s">
        <v>167</v>
      </c>
      <c r="K14" s="51" t="s">
        <v>3186</v>
      </c>
      <c r="L14" s="175">
        <v>138</v>
      </c>
      <c r="M14" s="100">
        <v>2000</v>
      </c>
      <c r="N14" s="100">
        <v>2100</v>
      </c>
      <c r="O14" s="99"/>
      <c r="P14" s="120" t="s">
        <v>1048</v>
      </c>
      <c r="Q14" s="51" t="s">
        <v>2944</v>
      </c>
      <c r="R14" s="121">
        <v>17</v>
      </c>
      <c r="S14" s="248">
        <f>System!$E$7</f>
        <v>0.97</v>
      </c>
      <c r="T14" s="247">
        <f t="shared" si="0"/>
        <v>16.489999999999998</v>
      </c>
      <c r="U14" s="114">
        <f t="shared" si="1"/>
        <v>0.21192586623690571</v>
      </c>
      <c r="V14" s="121">
        <v>31.56</v>
      </c>
      <c r="W14" s="99">
        <v>1</v>
      </c>
      <c r="X14" s="117"/>
      <c r="Y14" s="129">
        <v>12.12</v>
      </c>
      <c r="Z14" s="131">
        <v>5.666666666666667</v>
      </c>
      <c r="AA14" s="131">
        <v>17</v>
      </c>
      <c r="AB14" s="100">
        <v>8</v>
      </c>
      <c r="AC14" s="100">
        <v>8</v>
      </c>
      <c r="AD14" s="69"/>
      <c r="AE14" s="69"/>
      <c r="AF14" s="69"/>
      <c r="AG14" s="69"/>
      <c r="AH14" s="100" t="b">
        <v>1</v>
      </c>
      <c r="AI14" s="69"/>
      <c r="AJ14" s="130">
        <v>38</v>
      </c>
      <c r="AK14" s="131">
        <v>3.09</v>
      </c>
      <c r="AL14" s="100">
        <v>11</v>
      </c>
      <c r="AM14" s="163"/>
      <c r="AN14" s="134">
        <v>5.3005000000000004</v>
      </c>
      <c r="AO14" s="252"/>
      <c r="AP14" s="69"/>
      <c r="AQ14" s="69"/>
      <c r="AR14" s="116"/>
      <c r="AS14" s="139"/>
      <c r="AT14" s="19"/>
      <c r="AU14" s="19"/>
    </row>
    <row r="15" spans="1:47" s="17" customFormat="1" ht="20" x14ac:dyDescent="0.2">
      <c r="A15" s="118"/>
      <c r="B15" s="206" t="s">
        <v>2770</v>
      </c>
      <c r="C15" s="280" t="s">
        <v>2951</v>
      </c>
      <c r="D15" s="206" t="s">
        <v>162</v>
      </c>
      <c r="E15" s="206" t="s">
        <v>144</v>
      </c>
      <c r="F15" s="119">
        <v>49.336055899999998</v>
      </c>
      <c r="G15" s="119">
        <v>-117.7275496</v>
      </c>
      <c r="H15" s="139" t="s">
        <v>1066</v>
      </c>
      <c r="I15" s="33" t="s">
        <v>2876</v>
      </c>
      <c r="J15" s="230" t="s">
        <v>2751</v>
      </c>
      <c r="K15" s="51" t="s">
        <v>3106</v>
      </c>
      <c r="L15" s="231">
        <v>63</v>
      </c>
      <c r="M15" s="54">
        <v>2010</v>
      </c>
      <c r="N15" s="33">
        <f t="shared" ref="N15:N22" si="2">M15+15</f>
        <v>2025</v>
      </c>
      <c r="O15" s="33"/>
      <c r="P15" s="63" t="s">
        <v>1048</v>
      </c>
      <c r="Q15" s="51" t="s">
        <v>2944</v>
      </c>
      <c r="R15" s="65">
        <v>40.67</v>
      </c>
      <c r="S15" s="248">
        <f>System!$E$7</f>
        <v>0.97</v>
      </c>
      <c r="T15" s="247">
        <f t="shared" si="0"/>
        <v>39.4499</v>
      </c>
      <c r="U15" s="114">
        <f t="shared" si="1"/>
        <v>0.33892910192629616</v>
      </c>
      <c r="V15" s="105">
        <v>120.75</v>
      </c>
      <c r="W15" s="99">
        <v>2</v>
      </c>
      <c r="Y15" s="127">
        <v>11.345610000000001</v>
      </c>
      <c r="Z15" s="60">
        <v>8.1340000000000003</v>
      </c>
      <c r="AA15" s="60">
        <v>40.67</v>
      </c>
      <c r="AB15" s="107">
        <v>8</v>
      </c>
      <c r="AC15" s="107">
        <v>8</v>
      </c>
      <c r="AD15" s="69"/>
      <c r="AE15" s="69"/>
      <c r="AF15" s="69"/>
      <c r="AG15" s="69"/>
      <c r="AH15" s="54" t="b">
        <v>1</v>
      </c>
      <c r="AI15" s="69"/>
      <c r="AJ15" s="107">
        <v>38</v>
      </c>
      <c r="AK15" s="65">
        <v>3.09</v>
      </c>
      <c r="AL15" s="132">
        <v>11</v>
      </c>
      <c r="AM15" s="156"/>
      <c r="AN15" s="127">
        <v>5.3005000000000004</v>
      </c>
      <c r="AO15" s="139"/>
      <c r="AP15" s="69"/>
      <c r="AQ15" s="69"/>
      <c r="AR15" s="133">
        <v>1.9081800000000002</v>
      </c>
      <c r="AS15" s="139"/>
      <c r="AT15" s="19"/>
      <c r="AU15" s="19"/>
    </row>
    <row r="16" spans="1:47" s="17" customFormat="1" ht="20" x14ac:dyDescent="0.2">
      <c r="A16" s="118"/>
      <c r="B16" s="206" t="s">
        <v>2771</v>
      </c>
      <c r="C16" s="280" t="s">
        <v>2993</v>
      </c>
      <c r="D16" s="206" t="s">
        <v>162</v>
      </c>
      <c r="E16" s="206" t="s">
        <v>144</v>
      </c>
      <c r="F16" s="119">
        <v>49.336055899999998</v>
      </c>
      <c r="G16" s="119">
        <v>-117.7275496</v>
      </c>
      <c r="H16" s="139" t="s">
        <v>1066</v>
      </c>
      <c r="I16" s="33" t="s">
        <v>2876</v>
      </c>
      <c r="J16" s="230" t="s">
        <v>2751</v>
      </c>
      <c r="K16" s="51" t="s">
        <v>3106</v>
      </c>
      <c r="L16" s="231">
        <v>63</v>
      </c>
      <c r="M16" s="54">
        <v>2010</v>
      </c>
      <c r="N16" s="33">
        <f t="shared" si="2"/>
        <v>2025</v>
      </c>
      <c r="O16" s="33"/>
      <c r="P16" s="63" t="s">
        <v>1048</v>
      </c>
      <c r="Q16" s="51" t="s">
        <v>2944</v>
      </c>
      <c r="R16" s="65">
        <v>37.33</v>
      </c>
      <c r="S16" s="248">
        <f>System!$E$7</f>
        <v>0.97</v>
      </c>
      <c r="T16" s="247">
        <f t="shared" si="0"/>
        <v>36.210099999999997</v>
      </c>
      <c r="U16" s="114">
        <f t="shared" si="1"/>
        <v>0.36925385950555761</v>
      </c>
      <c r="V16" s="105">
        <v>120.75</v>
      </c>
      <c r="W16" s="99">
        <v>2</v>
      </c>
      <c r="Y16" s="127">
        <v>11.345610000000001</v>
      </c>
      <c r="Z16" s="60">
        <v>7.4660000000000002</v>
      </c>
      <c r="AA16" s="60">
        <v>37.33</v>
      </c>
      <c r="AB16" s="107">
        <v>8</v>
      </c>
      <c r="AC16" s="107">
        <v>8</v>
      </c>
      <c r="AD16" s="69"/>
      <c r="AE16" s="69"/>
      <c r="AF16" s="69"/>
      <c r="AG16" s="69"/>
      <c r="AH16" s="54" t="b">
        <v>1</v>
      </c>
      <c r="AI16" s="69"/>
      <c r="AJ16" s="107">
        <v>38</v>
      </c>
      <c r="AK16" s="65">
        <v>3.09</v>
      </c>
      <c r="AL16" s="132">
        <v>11</v>
      </c>
      <c r="AN16" s="127">
        <v>5.3005000000000004</v>
      </c>
      <c r="AO16" s="139"/>
      <c r="AP16" s="69"/>
      <c r="AQ16" s="69"/>
      <c r="AR16" s="133">
        <v>1.9081800000000002</v>
      </c>
      <c r="AS16" s="139"/>
      <c r="AT16" s="19"/>
      <c r="AU16" s="19"/>
    </row>
    <row r="17" spans="1:47" s="17" customFormat="1" ht="20" x14ac:dyDescent="0.2">
      <c r="A17" s="118"/>
      <c r="B17" s="206" t="s">
        <v>165</v>
      </c>
      <c r="C17" s="280" t="s">
        <v>3767</v>
      </c>
      <c r="D17" s="206" t="s">
        <v>164</v>
      </c>
      <c r="E17" s="206" t="s">
        <v>165</v>
      </c>
      <c r="F17" s="119">
        <v>55.723487200000001</v>
      </c>
      <c r="G17" s="119">
        <v>-121.5650452</v>
      </c>
      <c r="H17" s="139" t="s">
        <v>1066</v>
      </c>
      <c r="I17" s="33" t="s">
        <v>2876</v>
      </c>
      <c r="J17" s="150" t="s">
        <v>2314</v>
      </c>
      <c r="K17" s="51" t="s">
        <v>3600</v>
      </c>
      <c r="L17" s="175">
        <v>138</v>
      </c>
      <c r="M17" s="54">
        <v>2014</v>
      </c>
      <c r="N17" s="33">
        <f t="shared" si="2"/>
        <v>2029</v>
      </c>
      <c r="O17" s="33"/>
      <c r="P17" s="63" t="s">
        <v>1048</v>
      </c>
      <c r="Q17" s="51" t="s">
        <v>2944</v>
      </c>
      <c r="R17" s="65">
        <v>12</v>
      </c>
      <c r="S17" s="248">
        <f>System!$E$7</f>
        <v>0.97</v>
      </c>
      <c r="T17" s="247">
        <f t="shared" si="0"/>
        <v>11.64</v>
      </c>
      <c r="U17" s="114">
        <f t="shared" si="1"/>
        <v>0.91666666666666663</v>
      </c>
      <c r="V17" s="105">
        <v>96.36</v>
      </c>
      <c r="W17" s="99">
        <v>1</v>
      </c>
      <c r="Y17" s="127">
        <v>11.77</v>
      </c>
      <c r="Z17" s="60">
        <v>5.4</v>
      </c>
      <c r="AA17" s="60">
        <v>12</v>
      </c>
      <c r="AB17" s="107">
        <v>8</v>
      </c>
      <c r="AC17" s="107">
        <v>8</v>
      </c>
      <c r="AD17" s="69"/>
      <c r="AE17" s="69"/>
      <c r="AF17" s="69"/>
      <c r="AG17" s="69"/>
      <c r="AH17" s="54" t="b">
        <v>1</v>
      </c>
      <c r="AI17" s="69"/>
      <c r="AJ17" s="107">
        <v>38</v>
      </c>
      <c r="AK17" s="65">
        <v>3.09</v>
      </c>
      <c r="AL17" s="132">
        <v>11</v>
      </c>
      <c r="AM17" s="156"/>
      <c r="AN17" s="127">
        <v>5.3005000000000004</v>
      </c>
      <c r="AO17" s="139"/>
      <c r="AP17" s="69"/>
      <c r="AQ17" s="69"/>
      <c r="AR17" s="133">
        <v>1.9081800000000002</v>
      </c>
      <c r="AS17" s="139"/>
      <c r="AT17" s="19"/>
      <c r="AU17" s="19"/>
    </row>
    <row r="18" spans="1:47" s="17" customFormat="1" ht="20" x14ac:dyDescent="0.2">
      <c r="A18" s="118"/>
      <c r="B18" s="206" t="s">
        <v>169</v>
      </c>
      <c r="C18" s="280" t="s">
        <v>3770</v>
      </c>
      <c r="D18" s="206" t="s">
        <v>170</v>
      </c>
      <c r="E18" s="206" t="s">
        <v>171</v>
      </c>
      <c r="F18" s="119">
        <v>55.337000000000003</v>
      </c>
      <c r="G18" s="119">
        <v>-123.182284</v>
      </c>
      <c r="H18" s="139" t="s">
        <v>1066</v>
      </c>
      <c r="I18" s="33" t="s">
        <v>2876</v>
      </c>
      <c r="J18" s="150" t="s">
        <v>1840</v>
      </c>
      <c r="K18" s="51" t="s">
        <v>3188</v>
      </c>
      <c r="L18" s="175">
        <v>138</v>
      </c>
      <c r="M18" s="54">
        <v>2014</v>
      </c>
      <c r="N18" s="33">
        <f t="shared" si="2"/>
        <v>2029</v>
      </c>
      <c r="O18" s="33"/>
      <c r="P18" s="63" t="s">
        <v>1048</v>
      </c>
      <c r="Q18" s="51" t="s">
        <v>2944</v>
      </c>
      <c r="R18" s="65">
        <v>36</v>
      </c>
      <c r="S18" s="248">
        <f>System!$E$7</f>
        <v>0.97</v>
      </c>
      <c r="T18" s="247">
        <f t="shared" si="0"/>
        <v>34.92</v>
      </c>
      <c r="U18" s="114">
        <f t="shared" si="1"/>
        <v>0.69761542364282092</v>
      </c>
      <c r="V18" s="105">
        <v>220</v>
      </c>
      <c r="W18" s="99">
        <v>1</v>
      </c>
      <c r="Y18" s="127">
        <v>11.77</v>
      </c>
      <c r="Z18" s="60">
        <v>16.2</v>
      </c>
      <c r="AA18" s="60">
        <v>36</v>
      </c>
      <c r="AB18" s="107">
        <v>8</v>
      </c>
      <c r="AC18" s="107">
        <v>8</v>
      </c>
      <c r="AD18" s="69"/>
      <c r="AE18" s="69"/>
      <c r="AF18" s="69"/>
      <c r="AG18" s="69"/>
      <c r="AH18" s="54" t="b">
        <v>1</v>
      </c>
      <c r="AI18" s="69"/>
      <c r="AJ18" s="107">
        <v>38</v>
      </c>
      <c r="AK18" s="65">
        <v>3.09</v>
      </c>
      <c r="AL18" s="132">
        <v>11</v>
      </c>
      <c r="AM18" s="156"/>
      <c r="AN18" s="127">
        <v>5.3005000000000004</v>
      </c>
      <c r="AO18" s="139"/>
      <c r="AP18" s="69"/>
      <c r="AQ18" s="69"/>
      <c r="AR18" s="133">
        <v>1.9081800000000002</v>
      </c>
      <c r="AS18" s="139"/>
      <c r="AT18" s="19"/>
      <c r="AU18" s="19"/>
    </row>
    <row r="19" spans="1:47" s="17" customFormat="1" ht="20" x14ac:dyDescent="0.2">
      <c r="A19" s="118"/>
      <c r="B19" s="206" t="s">
        <v>177</v>
      </c>
      <c r="C19" s="280" t="s">
        <v>3772</v>
      </c>
      <c r="D19" s="206" t="s">
        <v>178</v>
      </c>
      <c r="E19" s="206" t="s">
        <v>179</v>
      </c>
      <c r="F19" s="119">
        <v>49.647393700000002</v>
      </c>
      <c r="G19" s="119">
        <v>-114.71509279999999</v>
      </c>
      <c r="H19" s="139" t="s">
        <v>1066</v>
      </c>
      <c r="I19" s="33" t="s">
        <v>2876</v>
      </c>
      <c r="J19" s="150" t="s">
        <v>2342</v>
      </c>
      <c r="K19" s="51" t="s">
        <v>3111</v>
      </c>
      <c r="L19" s="175">
        <v>69</v>
      </c>
      <c r="M19" s="54">
        <v>2012</v>
      </c>
      <c r="N19" s="33">
        <f t="shared" si="2"/>
        <v>2027</v>
      </c>
      <c r="O19" s="33"/>
      <c r="P19" s="63" t="s">
        <v>1048</v>
      </c>
      <c r="Q19" s="51" t="s">
        <v>2944</v>
      </c>
      <c r="R19" s="65">
        <v>10.5</v>
      </c>
      <c r="S19" s="248">
        <f>System!$E$7</f>
        <v>0.97</v>
      </c>
      <c r="T19" s="247">
        <f t="shared" si="0"/>
        <v>10.185</v>
      </c>
      <c r="U19" s="114">
        <f t="shared" si="1"/>
        <v>0.70580560991519892</v>
      </c>
      <c r="V19" s="64">
        <v>64.92</v>
      </c>
      <c r="W19" s="99">
        <v>1</v>
      </c>
      <c r="Y19" s="127">
        <v>4.6621790000000001</v>
      </c>
      <c r="Z19" s="60">
        <v>1.05</v>
      </c>
      <c r="AA19" s="60">
        <v>10.5</v>
      </c>
      <c r="AB19" s="107">
        <v>8</v>
      </c>
      <c r="AC19" s="107">
        <v>8</v>
      </c>
      <c r="AD19" s="69"/>
      <c r="AE19" s="69"/>
      <c r="AF19" s="69"/>
      <c r="AG19" s="69"/>
      <c r="AH19" s="54" t="b">
        <v>0</v>
      </c>
      <c r="AI19" s="69"/>
      <c r="AJ19" s="107">
        <v>24</v>
      </c>
      <c r="AK19" s="65">
        <v>4</v>
      </c>
      <c r="AL19" s="132">
        <v>11</v>
      </c>
      <c r="AN19" s="127">
        <v>0</v>
      </c>
      <c r="AO19" s="139"/>
      <c r="AP19" s="69"/>
      <c r="AQ19" s="69"/>
      <c r="AR19" s="133">
        <v>1.081302</v>
      </c>
      <c r="AS19" s="139"/>
      <c r="AT19" s="19"/>
      <c r="AU19" s="19" t="s">
        <v>2841</v>
      </c>
    </row>
    <row r="20" spans="1:47" s="17" customFormat="1" ht="20" x14ac:dyDescent="0.2">
      <c r="A20" s="118"/>
      <c r="B20" s="206" t="s">
        <v>206</v>
      </c>
      <c r="C20" s="280" t="s">
        <v>3784</v>
      </c>
      <c r="D20" s="206" t="s">
        <v>207</v>
      </c>
      <c r="E20" s="206" t="s">
        <v>208</v>
      </c>
      <c r="F20" s="126">
        <v>54.489317</v>
      </c>
      <c r="G20" s="126">
        <v>-124.21527500000001</v>
      </c>
      <c r="H20" s="139" t="s">
        <v>1066</v>
      </c>
      <c r="I20" s="33" t="s">
        <v>2876</v>
      </c>
      <c r="J20" s="150" t="s">
        <v>2368</v>
      </c>
      <c r="K20" s="51" t="s">
        <v>3120</v>
      </c>
      <c r="L20" s="175">
        <v>69</v>
      </c>
      <c r="M20" s="54">
        <v>2015</v>
      </c>
      <c r="N20" s="33">
        <f t="shared" si="2"/>
        <v>2030</v>
      </c>
      <c r="O20" s="33"/>
      <c r="P20" s="63" t="s">
        <v>1048</v>
      </c>
      <c r="Q20" s="51" t="s">
        <v>2944</v>
      </c>
      <c r="R20" s="65">
        <v>40</v>
      </c>
      <c r="S20" s="248">
        <f>System!$E$7</f>
        <v>0.97</v>
      </c>
      <c r="T20" s="247">
        <f t="shared" si="0"/>
        <v>38.799999999999997</v>
      </c>
      <c r="U20" s="114">
        <f t="shared" si="1"/>
        <v>0.86623858447488589</v>
      </c>
      <c r="V20" s="64">
        <v>303.52999999999997</v>
      </c>
      <c r="W20" s="99">
        <v>1</v>
      </c>
      <c r="Y20" s="127">
        <v>11.77</v>
      </c>
      <c r="Z20" s="60">
        <v>18</v>
      </c>
      <c r="AA20" s="60">
        <v>40</v>
      </c>
      <c r="AB20" s="107">
        <v>8</v>
      </c>
      <c r="AC20" s="107">
        <v>8</v>
      </c>
      <c r="AD20" s="69"/>
      <c r="AE20" s="69"/>
      <c r="AF20" s="69"/>
      <c r="AG20" s="69"/>
      <c r="AH20" s="54" t="b">
        <v>1</v>
      </c>
      <c r="AI20" s="69"/>
      <c r="AJ20" s="107">
        <v>38</v>
      </c>
      <c r="AK20" s="65">
        <v>3.09</v>
      </c>
      <c r="AL20" s="132">
        <v>11</v>
      </c>
      <c r="AM20" s="156"/>
      <c r="AN20" s="127">
        <v>5.3005000000000004</v>
      </c>
      <c r="AO20" s="139"/>
      <c r="AP20" s="69"/>
      <c r="AQ20" s="69"/>
      <c r="AR20" s="133">
        <v>1.9081800000000002</v>
      </c>
      <c r="AS20" s="139"/>
      <c r="AT20" s="19"/>
      <c r="AU20" s="19"/>
    </row>
    <row r="21" spans="1:47" s="17" customFormat="1" ht="20" x14ac:dyDescent="0.2">
      <c r="A21" s="118"/>
      <c r="B21" s="206" t="s">
        <v>2784</v>
      </c>
      <c r="C21" s="280" t="s">
        <v>2958</v>
      </c>
      <c r="D21" s="206" t="s">
        <v>164</v>
      </c>
      <c r="E21" s="206" t="s">
        <v>209</v>
      </c>
      <c r="F21" s="119">
        <v>54.067329200000003</v>
      </c>
      <c r="G21" s="119">
        <v>-124.7483902</v>
      </c>
      <c r="H21" s="139" t="s">
        <v>1066</v>
      </c>
      <c r="I21" s="33" t="s">
        <v>2876</v>
      </c>
      <c r="J21" s="150" t="s">
        <v>209</v>
      </c>
      <c r="K21" s="51" t="s">
        <v>3190</v>
      </c>
      <c r="L21" s="175">
        <v>69</v>
      </c>
      <c r="M21" s="54">
        <v>2014</v>
      </c>
      <c r="N21" s="33">
        <f t="shared" si="2"/>
        <v>2029</v>
      </c>
      <c r="O21" s="33"/>
      <c r="P21" s="63" t="s">
        <v>1048</v>
      </c>
      <c r="Q21" s="51" t="s">
        <v>2944</v>
      </c>
      <c r="R21" s="65">
        <v>6</v>
      </c>
      <c r="S21" s="248">
        <f>System!$E$7</f>
        <v>0.97</v>
      </c>
      <c r="T21" s="247">
        <f t="shared" si="0"/>
        <v>5.82</v>
      </c>
      <c r="U21" s="114">
        <f t="shared" si="1"/>
        <v>0.91666666666666663</v>
      </c>
      <c r="V21" s="64">
        <v>48.18</v>
      </c>
      <c r="W21" s="99">
        <v>2</v>
      </c>
      <c r="Y21" s="127">
        <v>12.12</v>
      </c>
      <c r="Z21" s="60">
        <v>2.7</v>
      </c>
      <c r="AA21" s="60">
        <v>6</v>
      </c>
      <c r="AB21" s="107">
        <v>8</v>
      </c>
      <c r="AC21" s="107">
        <v>8</v>
      </c>
      <c r="AD21" s="69"/>
      <c r="AE21" s="69"/>
      <c r="AF21" s="69"/>
      <c r="AG21" s="69"/>
      <c r="AH21" s="54" t="b">
        <v>1</v>
      </c>
      <c r="AI21" s="69"/>
      <c r="AJ21" s="107">
        <v>38</v>
      </c>
      <c r="AK21" s="65">
        <v>3.09</v>
      </c>
      <c r="AL21" s="132">
        <v>11</v>
      </c>
      <c r="AM21" s="156"/>
      <c r="AN21" s="127">
        <v>5.3005000000000004</v>
      </c>
      <c r="AO21" s="139"/>
      <c r="AP21" s="69"/>
      <c r="AQ21" s="69"/>
      <c r="AR21" s="133">
        <v>1.9081800000000002</v>
      </c>
      <c r="AS21" s="139"/>
      <c r="AT21" s="19"/>
      <c r="AU21" s="19"/>
    </row>
    <row r="22" spans="1:47" s="17" customFormat="1" ht="20" x14ac:dyDescent="0.2">
      <c r="A22" s="118"/>
      <c r="B22" s="206" t="s">
        <v>2785</v>
      </c>
      <c r="C22" s="280" t="s">
        <v>3000</v>
      </c>
      <c r="D22" s="206" t="s">
        <v>164</v>
      </c>
      <c r="E22" s="206" t="s">
        <v>209</v>
      </c>
      <c r="F22" s="119">
        <v>54.067329200000003</v>
      </c>
      <c r="G22" s="119">
        <v>-124.7483902</v>
      </c>
      <c r="H22" s="139" t="s">
        <v>1066</v>
      </c>
      <c r="I22" s="33" t="s">
        <v>2876</v>
      </c>
      <c r="J22" s="150" t="s">
        <v>209</v>
      </c>
      <c r="K22" s="51" t="s">
        <v>3190</v>
      </c>
      <c r="L22" s="175">
        <v>69</v>
      </c>
      <c r="M22" s="54">
        <v>2014</v>
      </c>
      <c r="N22" s="33">
        <f t="shared" si="2"/>
        <v>2029</v>
      </c>
      <c r="O22" s="33"/>
      <c r="P22" s="63" t="s">
        <v>1048</v>
      </c>
      <c r="Q22" s="51" t="s">
        <v>2944</v>
      </c>
      <c r="R22" s="65">
        <v>6</v>
      </c>
      <c r="S22" s="248">
        <f>System!$E$7</f>
        <v>0.97</v>
      </c>
      <c r="T22" s="247">
        <f t="shared" si="0"/>
        <v>5.82</v>
      </c>
      <c r="U22" s="114">
        <f t="shared" si="1"/>
        <v>0.91666666666666663</v>
      </c>
      <c r="V22" s="64">
        <v>48.18</v>
      </c>
      <c r="W22" s="99">
        <v>2</v>
      </c>
      <c r="Y22" s="127">
        <v>12.12</v>
      </c>
      <c r="Z22" s="60">
        <v>1.8</v>
      </c>
      <c r="AA22" s="60">
        <v>6</v>
      </c>
      <c r="AB22" s="107">
        <v>8</v>
      </c>
      <c r="AC22" s="107">
        <v>8</v>
      </c>
      <c r="AD22" s="69"/>
      <c r="AE22" s="69"/>
      <c r="AF22" s="69"/>
      <c r="AG22" s="69"/>
      <c r="AH22" s="54" t="b">
        <v>1</v>
      </c>
      <c r="AI22" s="69"/>
      <c r="AJ22" s="107">
        <v>38</v>
      </c>
      <c r="AK22" s="65">
        <v>3.09</v>
      </c>
      <c r="AL22" s="132">
        <v>11</v>
      </c>
      <c r="AM22" s="156"/>
      <c r="AN22" s="127">
        <v>5.3005000000000004</v>
      </c>
      <c r="AO22" s="139"/>
      <c r="AP22" s="69"/>
      <c r="AQ22" s="69"/>
      <c r="AR22" s="133">
        <v>1.9081800000000002</v>
      </c>
      <c r="AS22" s="139"/>
      <c r="AT22" s="19"/>
      <c r="AU22" s="19"/>
    </row>
    <row r="23" spans="1:47" s="17" customFormat="1" ht="20" x14ac:dyDescent="0.2">
      <c r="A23" s="118"/>
      <c r="B23" s="206" t="s">
        <v>184</v>
      </c>
      <c r="C23" s="280" t="s">
        <v>3787</v>
      </c>
      <c r="D23" s="206" t="s">
        <v>820</v>
      </c>
      <c r="E23" s="206" t="s">
        <v>184</v>
      </c>
      <c r="F23" s="119">
        <v>49.682745099999998</v>
      </c>
      <c r="G23" s="119">
        <v>-126.1252618</v>
      </c>
      <c r="H23" s="139" t="s">
        <v>1066</v>
      </c>
      <c r="I23" s="33" t="s">
        <v>2876</v>
      </c>
      <c r="J23" s="150" t="s">
        <v>1702</v>
      </c>
      <c r="K23" s="51" t="s">
        <v>3650</v>
      </c>
      <c r="L23" s="175">
        <v>230</v>
      </c>
      <c r="M23" s="100">
        <v>2000</v>
      </c>
      <c r="N23" s="100">
        <v>2100</v>
      </c>
      <c r="O23" s="48"/>
      <c r="P23" s="120" t="s">
        <v>1048</v>
      </c>
      <c r="Q23" s="51" t="s">
        <v>2944</v>
      </c>
      <c r="R23" s="121">
        <v>90</v>
      </c>
      <c r="S23" s="248">
        <f>System!$E$7</f>
        <v>0.97</v>
      </c>
      <c r="T23" s="247">
        <f t="shared" si="0"/>
        <v>87.3</v>
      </c>
      <c r="U23" s="114">
        <f t="shared" si="1"/>
        <v>0.21191019786910198</v>
      </c>
      <c r="V23" s="121">
        <v>167.07</v>
      </c>
      <c r="W23" s="99">
        <v>1</v>
      </c>
      <c r="X23" s="117"/>
      <c r="Y23" s="129">
        <v>12.12</v>
      </c>
      <c r="Z23" s="131">
        <v>30</v>
      </c>
      <c r="AA23" s="131">
        <v>90</v>
      </c>
      <c r="AB23" s="100">
        <v>8</v>
      </c>
      <c r="AC23" s="100">
        <v>8</v>
      </c>
      <c r="AD23" s="69"/>
      <c r="AE23" s="69"/>
      <c r="AF23" s="69"/>
      <c r="AG23" s="69"/>
      <c r="AH23" s="100" t="b">
        <v>1</v>
      </c>
      <c r="AI23" s="69"/>
      <c r="AJ23" s="130">
        <v>38</v>
      </c>
      <c r="AK23" s="131">
        <v>3.09</v>
      </c>
      <c r="AL23" s="100">
        <v>11</v>
      </c>
      <c r="AM23" s="163"/>
      <c r="AN23" s="134">
        <v>5.3005000000000004</v>
      </c>
      <c r="AO23" s="252"/>
      <c r="AP23" s="69"/>
      <c r="AQ23" s="69"/>
      <c r="AR23" s="116"/>
      <c r="AS23" s="139"/>
      <c r="AT23" s="19"/>
      <c r="AU23" s="19"/>
    </row>
    <row r="24" spans="1:47" s="17" customFormat="1" ht="20" x14ac:dyDescent="0.2">
      <c r="A24" s="118"/>
      <c r="B24" s="206" t="s">
        <v>263</v>
      </c>
      <c r="C24" s="280" t="s">
        <v>3788</v>
      </c>
      <c r="D24" s="206" t="s">
        <v>262</v>
      </c>
      <c r="E24" s="206" t="s">
        <v>263</v>
      </c>
      <c r="F24" s="119">
        <v>51.304671300000003</v>
      </c>
      <c r="G24" s="119">
        <v>-116.9760737</v>
      </c>
      <c r="H24" s="139" t="s">
        <v>1066</v>
      </c>
      <c r="I24" s="33" t="s">
        <v>2876</v>
      </c>
      <c r="J24" s="150" t="s">
        <v>1748</v>
      </c>
      <c r="K24" s="51" t="s">
        <v>3191</v>
      </c>
      <c r="L24" s="175">
        <v>69</v>
      </c>
      <c r="M24" s="54">
        <v>2011</v>
      </c>
      <c r="N24" s="33">
        <f>M24+15</f>
        <v>2026</v>
      </c>
      <c r="O24" s="33"/>
      <c r="P24" s="63" t="s">
        <v>1048</v>
      </c>
      <c r="Q24" s="51" t="s">
        <v>2944</v>
      </c>
      <c r="R24" s="65">
        <v>7.5</v>
      </c>
      <c r="S24" s="248">
        <f>System!$E$7</f>
        <v>0.97</v>
      </c>
      <c r="T24" s="247">
        <f t="shared" si="0"/>
        <v>7.2749999999999995</v>
      </c>
      <c r="U24" s="114">
        <f t="shared" si="1"/>
        <v>5.3272450532724502E-2</v>
      </c>
      <c r="V24" s="105">
        <v>3.5</v>
      </c>
      <c r="W24" s="99">
        <v>1</v>
      </c>
      <c r="Y24" s="127">
        <v>12.12</v>
      </c>
      <c r="Z24" s="60">
        <v>3.375</v>
      </c>
      <c r="AA24" s="60">
        <v>7.5</v>
      </c>
      <c r="AB24" s="107">
        <v>8</v>
      </c>
      <c r="AC24" s="107">
        <v>8</v>
      </c>
      <c r="AD24" s="69"/>
      <c r="AE24" s="69"/>
      <c r="AF24" s="69"/>
      <c r="AG24" s="69"/>
      <c r="AH24" s="54" t="b">
        <v>1</v>
      </c>
      <c r="AI24" s="69"/>
      <c r="AJ24" s="107">
        <v>38</v>
      </c>
      <c r="AK24" s="65">
        <v>3.09</v>
      </c>
      <c r="AL24" s="132">
        <v>11</v>
      </c>
      <c r="AN24" s="127">
        <v>5.3005000000000004</v>
      </c>
      <c r="AO24" s="139"/>
      <c r="AP24" s="69"/>
      <c r="AQ24" s="69"/>
      <c r="AR24" s="133">
        <v>1.9081800000000002</v>
      </c>
      <c r="AS24" s="139"/>
      <c r="AT24" s="19"/>
      <c r="AU24" s="19"/>
    </row>
    <row r="25" spans="1:47" s="17" customFormat="1" ht="20" x14ac:dyDescent="0.2">
      <c r="A25" s="118"/>
      <c r="B25" s="206" t="s">
        <v>2791</v>
      </c>
      <c r="C25" s="280" t="s">
        <v>3790</v>
      </c>
      <c r="D25" s="206" t="s">
        <v>219</v>
      </c>
      <c r="E25" s="206" t="s">
        <v>161</v>
      </c>
      <c r="F25" s="119">
        <v>49.138461100000001</v>
      </c>
      <c r="G25" s="119">
        <v>-123.85707499999999</v>
      </c>
      <c r="H25" s="139" t="s">
        <v>1066</v>
      </c>
      <c r="I25" s="33" t="s">
        <v>2876</v>
      </c>
      <c r="J25" s="150" t="s">
        <v>1713</v>
      </c>
      <c r="K25" s="51" t="s">
        <v>3193</v>
      </c>
      <c r="L25" s="175">
        <v>138</v>
      </c>
      <c r="M25" s="54">
        <v>2013</v>
      </c>
      <c r="N25" s="33">
        <f>M25+15</f>
        <v>2028</v>
      </c>
      <c r="O25" s="33"/>
      <c r="P25" s="63" t="s">
        <v>1048</v>
      </c>
      <c r="Q25" s="51" t="s">
        <v>2944</v>
      </c>
      <c r="R25" s="65">
        <v>55</v>
      </c>
      <c r="S25" s="248">
        <f>System!$E$7</f>
        <v>0.97</v>
      </c>
      <c r="T25" s="247">
        <f t="shared" si="0"/>
        <v>53.35</v>
      </c>
      <c r="U25" s="114">
        <f t="shared" si="1"/>
        <v>0.43370693233706931</v>
      </c>
      <c r="V25" s="64">
        <v>208.96</v>
      </c>
      <c r="W25" s="99">
        <v>1</v>
      </c>
      <c r="Y25" s="127">
        <v>12.12</v>
      </c>
      <c r="Z25" s="60">
        <v>16.5</v>
      </c>
      <c r="AA25" s="60">
        <v>55</v>
      </c>
      <c r="AB25" s="107">
        <v>8</v>
      </c>
      <c r="AC25" s="107">
        <v>8</v>
      </c>
      <c r="AD25" s="69"/>
      <c r="AE25" s="69"/>
      <c r="AF25" s="69"/>
      <c r="AG25" s="69"/>
      <c r="AH25" s="54" t="b">
        <v>1</v>
      </c>
      <c r="AI25" s="69"/>
      <c r="AJ25" s="107">
        <v>38</v>
      </c>
      <c r="AK25" s="65">
        <v>3.09</v>
      </c>
      <c r="AL25" s="132">
        <v>11</v>
      </c>
      <c r="AN25" s="127">
        <v>5.3005000000000004</v>
      </c>
      <c r="AO25" s="139"/>
      <c r="AP25" s="69"/>
      <c r="AQ25" s="69"/>
      <c r="AR25" s="133">
        <v>1.9081800000000002</v>
      </c>
      <c r="AS25" s="139"/>
      <c r="AT25" s="19"/>
      <c r="AU25" s="19"/>
    </row>
    <row r="26" spans="1:47" s="17" customFormat="1" ht="20" x14ac:dyDescent="0.2">
      <c r="A26" s="118"/>
      <c r="B26" s="206" t="s">
        <v>931</v>
      </c>
      <c r="C26" s="280" t="s">
        <v>2960</v>
      </c>
      <c r="D26" s="206" t="s">
        <v>226</v>
      </c>
      <c r="E26" s="206" t="s">
        <v>137</v>
      </c>
      <c r="F26" s="119">
        <v>49.522021000000002</v>
      </c>
      <c r="G26" s="119">
        <v>-123.4861618</v>
      </c>
      <c r="H26" s="139" t="s">
        <v>1066</v>
      </c>
      <c r="I26" s="33" t="s">
        <v>2876</v>
      </c>
      <c r="J26" s="150" t="s">
        <v>1721</v>
      </c>
      <c r="K26" s="51" t="s">
        <v>3700</v>
      </c>
      <c r="L26" s="175">
        <v>230</v>
      </c>
      <c r="M26" s="54">
        <v>2011</v>
      </c>
      <c r="N26" s="33">
        <f>M26+15</f>
        <v>2026</v>
      </c>
      <c r="O26" s="33"/>
      <c r="P26" s="63" t="s">
        <v>1048</v>
      </c>
      <c r="Q26" s="51" t="s">
        <v>2944</v>
      </c>
      <c r="R26" s="65">
        <v>62</v>
      </c>
      <c r="S26" s="248">
        <f>System!$E$7</f>
        <v>0.97</v>
      </c>
      <c r="T26" s="247">
        <f t="shared" si="0"/>
        <v>60.14</v>
      </c>
      <c r="U26" s="114">
        <f t="shared" si="1"/>
        <v>0.36824274561791132</v>
      </c>
      <c r="V26" s="105">
        <v>200</v>
      </c>
      <c r="W26" s="99">
        <v>2</v>
      </c>
      <c r="Y26" s="127">
        <v>13.5</v>
      </c>
      <c r="Z26" s="60">
        <v>33.6</v>
      </c>
      <c r="AA26" s="60">
        <v>62</v>
      </c>
      <c r="AB26" s="107">
        <v>5</v>
      </c>
      <c r="AC26" s="107">
        <v>8</v>
      </c>
      <c r="AD26" s="69"/>
      <c r="AE26" s="69"/>
      <c r="AF26" s="69"/>
      <c r="AG26" s="69"/>
      <c r="AH26" s="54" t="b">
        <v>1</v>
      </c>
      <c r="AI26" s="69"/>
      <c r="AJ26" s="107">
        <v>38</v>
      </c>
      <c r="AK26" s="65">
        <v>3.09</v>
      </c>
      <c r="AL26" s="132">
        <v>11</v>
      </c>
      <c r="AM26" s="156"/>
      <c r="AN26" s="127">
        <v>5.3005000000000004</v>
      </c>
      <c r="AO26" s="139"/>
      <c r="AP26" s="69"/>
      <c r="AQ26" s="69"/>
      <c r="AR26" s="133">
        <v>1.9081800000000002</v>
      </c>
      <c r="AS26" s="139"/>
      <c r="AT26" s="19"/>
      <c r="AU26" s="19"/>
    </row>
    <row r="27" spans="1:47" s="17" customFormat="1" ht="20" x14ac:dyDescent="0.2">
      <c r="A27" s="118"/>
      <c r="B27" s="206" t="s">
        <v>932</v>
      </c>
      <c r="C27" s="280" t="s">
        <v>3002</v>
      </c>
      <c r="D27" s="206" t="s">
        <v>226</v>
      </c>
      <c r="E27" s="206" t="s">
        <v>137</v>
      </c>
      <c r="F27" s="119">
        <v>49.522021000000002</v>
      </c>
      <c r="G27" s="119">
        <v>-123.4861618</v>
      </c>
      <c r="H27" s="139" t="s">
        <v>1066</v>
      </c>
      <c r="I27" s="33" t="s">
        <v>2876</v>
      </c>
      <c r="J27" s="150" t="s">
        <v>1721</v>
      </c>
      <c r="K27" s="51" t="s">
        <v>3700</v>
      </c>
      <c r="L27" s="175">
        <v>230</v>
      </c>
      <c r="M27" s="54">
        <v>2011</v>
      </c>
      <c r="N27" s="33">
        <f>M27+15</f>
        <v>2026</v>
      </c>
      <c r="O27" s="33"/>
      <c r="P27" s="63" t="s">
        <v>1048</v>
      </c>
      <c r="Q27" s="51" t="s">
        <v>2944</v>
      </c>
      <c r="R27" s="65">
        <v>50</v>
      </c>
      <c r="S27" s="248">
        <f>System!$E$7</f>
        <v>0.97</v>
      </c>
      <c r="T27" s="247">
        <f t="shared" si="0"/>
        <v>48.5</v>
      </c>
      <c r="U27" s="114">
        <f t="shared" si="1"/>
        <v>0.45662100456621002</v>
      </c>
      <c r="V27" s="105">
        <v>200</v>
      </c>
      <c r="W27" s="99">
        <v>2</v>
      </c>
      <c r="Y27" s="127">
        <v>13.5</v>
      </c>
      <c r="Z27" s="60">
        <v>33.6</v>
      </c>
      <c r="AA27" s="60">
        <v>50</v>
      </c>
      <c r="AB27" s="107">
        <v>5</v>
      </c>
      <c r="AC27" s="107">
        <v>8</v>
      </c>
      <c r="AD27" s="69"/>
      <c r="AE27" s="69"/>
      <c r="AF27" s="69"/>
      <c r="AG27" s="69"/>
      <c r="AH27" s="54" t="b">
        <v>1</v>
      </c>
      <c r="AI27" s="69"/>
      <c r="AJ27" s="107">
        <v>38</v>
      </c>
      <c r="AK27" s="65">
        <v>3.09</v>
      </c>
      <c r="AL27" s="132">
        <v>11</v>
      </c>
      <c r="AM27" s="156"/>
      <c r="AN27" s="127">
        <v>5.3005000000000004</v>
      </c>
      <c r="AO27" s="139"/>
      <c r="AP27" s="69"/>
      <c r="AQ27" s="69"/>
      <c r="AR27" s="133">
        <v>1.9081800000000002</v>
      </c>
      <c r="AS27" s="139"/>
      <c r="AT27" s="19"/>
      <c r="AU27" s="19"/>
    </row>
    <row r="28" spans="1:47" s="17" customFormat="1" ht="20" x14ac:dyDescent="0.2">
      <c r="A28" s="118"/>
      <c r="B28" s="206" t="s">
        <v>229</v>
      </c>
      <c r="C28" s="280" t="s">
        <v>3796</v>
      </c>
      <c r="D28" s="206" t="s">
        <v>230</v>
      </c>
      <c r="E28" s="206" t="s">
        <v>231</v>
      </c>
      <c r="F28" s="119">
        <v>53.923461799999998</v>
      </c>
      <c r="G28" s="119">
        <v>-122.69565059999999</v>
      </c>
      <c r="H28" s="139" t="s">
        <v>1066</v>
      </c>
      <c r="I28" s="33" t="s">
        <v>2876</v>
      </c>
      <c r="J28" s="150" t="s">
        <v>1709</v>
      </c>
      <c r="K28" s="33" t="s">
        <v>3672</v>
      </c>
      <c r="L28" s="175">
        <v>69</v>
      </c>
      <c r="M28" s="54">
        <v>2015</v>
      </c>
      <c r="N28" s="33">
        <f>M28+15</f>
        <v>2030</v>
      </c>
      <c r="O28" s="33"/>
      <c r="P28" s="63" t="s">
        <v>1048</v>
      </c>
      <c r="Q28" s="51" t="s">
        <v>2944</v>
      </c>
      <c r="R28" s="65">
        <v>31.7</v>
      </c>
      <c r="S28" s="248">
        <f>System!$E$7</f>
        <v>0.97</v>
      </c>
      <c r="T28" s="247">
        <f t="shared" si="0"/>
        <v>30.748999999999999</v>
      </c>
      <c r="U28" s="114">
        <f t="shared" si="1"/>
        <v>0.26288117770767611</v>
      </c>
      <c r="V28" s="64">
        <v>73</v>
      </c>
      <c r="W28" s="99">
        <v>1</v>
      </c>
      <c r="Y28" s="127">
        <v>11.77</v>
      </c>
      <c r="Z28" s="60">
        <v>14.265000000000001</v>
      </c>
      <c r="AA28" s="60">
        <v>31.7</v>
      </c>
      <c r="AB28" s="107">
        <v>8</v>
      </c>
      <c r="AC28" s="107">
        <v>8</v>
      </c>
      <c r="AD28" s="69"/>
      <c r="AE28" s="69"/>
      <c r="AF28" s="69"/>
      <c r="AG28" s="69"/>
      <c r="AH28" s="54" t="b">
        <v>1</v>
      </c>
      <c r="AI28" s="69"/>
      <c r="AJ28" s="107">
        <v>38</v>
      </c>
      <c r="AK28" s="65">
        <v>3.09</v>
      </c>
      <c r="AL28" s="132">
        <v>11</v>
      </c>
      <c r="AM28" s="156"/>
      <c r="AN28" s="127">
        <v>5.3005000000000004</v>
      </c>
      <c r="AO28" s="139"/>
      <c r="AP28" s="69"/>
      <c r="AQ28" s="69"/>
      <c r="AR28" s="133">
        <v>1.9081800000000002</v>
      </c>
      <c r="AS28" s="139"/>
      <c r="AT28" s="19"/>
      <c r="AU28" s="19"/>
    </row>
    <row r="29" spans="1:47" s="17" customFormat="1" ht="20" x14ac:dyDescent="0.2">
      <c r="A29" s="118"/>
      <c r="B29" s="206" t="s">
        <v>2797</v>
      </c>
      <c r="C29" s="280" t="s">
        <v>3797</v>
      </c>
      <c r="D29" s="206" t="s">
        <v>1032</v>
      </c>
      <c r="E29" s="206" t="s">
        <v>212</v>
      </c>
      <c r="F29" s="119">
        <v>49.218590800000001</v>
      </c>
      <c r="G29" s="119">
        <v>-123.2014571</v>
      </c>
      <c r="H29" s="139" t="s">
        <v>1066</v>
      </c>
      <c r="I29" s="33" t="s">
        <v>2876</v>
      </c>
      <c r="J29" s="150" t="s">
        <v>1750</v>
      </c>
      <c r="K29" s="51" t="s">
        <v>3280</v>
      </c>
      <c r="L29" s="175">
        <v>69</v>
      </c>
      <c r="M29" s="100">
        <v>2000</v>
      </c>
      <c r="N29" s="100">
        <v>2100</v>
      </c>
      <c r="O29" s="48"/>
      <c r="P29" s="120" t="s">
        <v>1048</v>
      </c>
      <c r="Q29" s="51" t="s">
        <v>2944</v>
      </c>
      <c r="R29" s="121">
        <v>4</v>
      </c>
      <c r="S29" s="248">
        <f>System!$E$7</f>
        <v>0.97</v>
      </c>
      <c r="T29" s="247">
        <f t="shared" si="0"/>
        <v>3.88</v>
      </c>
      <c r="U29" s="114">
        <f t="shared" si="1"/>
        <v>0.2120433789954338</v>
      </c>
      <c r="V29" s="121">
        <v>7.43</v>
      </c>
      <c r="W29" s="99">
        <v>1</v>
      </c>
      <c r="X29" s="117"/>
      <c r="Y29" s="129">
        <v>12.12</v>
      </c>
      <c r="Z29" s="131">
        <v>1.3333333333333333</v>
      </c>
      <c r="AA29" s="131">
        <v>4</v>
      </c>
      <c r="AB29" s="100">
        <v>8</v>
      </c>
      <c r="AC29" s="100">
        <v>8</v>
      </c>
      <c r="AD29" s="69"/>
      <c r="AE29" s="69"/>
      <c r="AF29" s="69"/>
      <c r="AG29" s="69"/>
      <c r="AH29" s="100" t="b">
        <v>1</v>
      </c>
      <c r="AI29" s="69"/>
      <c r="AJ29" s="130">
        <v>38</v>
      </c>
      <c r="AK29" s="131">
        <v>3.09</v>
      </c>
      <c r="AL29" s="100">
        <v>11</v>
      </c>
      <c r="AM29" s="163"/>
      <c r="AN29" s="134">
        <v>5.3005000000000004</v>
      </c>
      <c r="AO29" s="252"/>
      <c r="AP29" s="69"/>
      <c r="AQ29" s="69"/>
      <c r="AR29" s="116"/>
      <c r="AS29" s="139"/>
      <c r="AT29" s="19"/>
      <c r="AU29" s="19"/>
    </row>
    <row r="30" spans="1:47" s="17" customFormat="1" ht="20" x14ac:dyDescent="0.2">
      <c r="A30" s="118"/>
      <c r="B30" s="206" t="s">
        <v>908</v>
      </c>
      <c r="C30" s="280" t="s">
        <v>2962</v>
      </c>
      <c r="D30" s="206" t="s">
        <v>241</v>
      </c>
      <c r="E30" s="206" t="s">
        <v>129</v>
      </c>
      <c r="F30" s="119">
        <v>50.689371399999999</v>
      </c>
      <c r="G30" s="119">
        <v>-120.4053366</v>
      </c>
      <c r="H30" s="139" t="s">
        <v>1066</v>
      </c>
      <c r="I30" s="33" t="s">
        <v>2876</v>
      </c>
      <c r="J30" s="150" t="s">
        <v>2347</v>
      </c>
      <c r="K30" s="51" t="s">
        <v>3630</v>
      </c>
      <c r="L30" s="175">
        <v>138</v>
      </c>
      <c r="M30" s="54">
        <v>2012</v>
      </c>
      <c r="N30" s="33">
        <f>M30+15</f>
        <v>2027</v>
      </c>
      <c r="O30" s="33"/>
      <c r="P30" s="63" t="s">
        <v>1048</v>
      </c>
      <c r="Q30" s="51" t="s">
        <v>2944</v>
      </c>
      <c r="R30" s="65">
        <v>28</v>
      </c>
      <c r="S30" s="248">
        <f>System!$E$7</f>
        <v>0.97</v>
      </c>
      <c r="T30" s="247">
        <f t="shared" si="0"/>
        <v>27.16</v>
      </c>
      <c r="U30" s="114">
        <f t="shared" si="1"/>
        <v>0.50755870841487283</v>
      </c>
      <c r="V30" s="125">
        <v>124.494</v>
      </c>
      <c r="W30" s="99">
        <v>2</v>
      </c>
      <c r="Y30" s="127">
        <v>13.5</v>
      </c>
      <c r="Z30" s="60">
        <v>8.4</v>
      </c>
      <c r="AA30" s="60">
        <v>28</v>
      </c>
      <c r="AB30" s="107">
        <v>5</v>
      </c>
      <c r="AC30" s="107">
        <v>8</v>
      </c>
      <c r="AD30" s="69"/>
      <c r="AE30" s="69"/>
      <c r="AF30" s="69"/>
      <c r="AG30" s="69"/>
      <c r="AH30" s="54" t="b">
        <v>1</v>
      </c>
      <c r="AI30" s="69"/>
      <c r="AJ30" s="107">
        <v>38</v>
      </c>
      <c r="AK30" s="65">
        <v>3.09</v>
      </c>
      <c r="AL30" s="132">
        <v>11</v>
      </c>
      <c r="AM30" s="156"/>
      <c r="AN30" s="127">
        <v>5.3005000000000004</v>
      </c>
      <c r="AO30" s="139"/>
      <c r="AP30" s="69"/>
      <c r="AQ30" s="69"/>
      <c r="AR30" s="133">
        <v>1.9081800000000002</v>
      </c>
      <c r="AS30" s="139"/>
      <c r="AT30" s="19"/>
      <c r="AU30" s="19"/>
    </row>
    <row r="31" spans="1:47" s="17" customFormat="1" ht="20" x14ac:dyDescent="0.2">
      <c r="A31" s="118"/>
      <c r="B31" s="206" t="s">
        <v>909</v>
      </c>
      <c r="C31" s="280" t="s">
        <v>3004</v>
      </c>
      <c r="D31" s="206" t="s">
        <v>241</v>
      </c>
      <c r="E31" s="206" t="s">
        <v>129</v>
      </c>
      <c r="F31" s="119">
        <v>50.689371399999999</v>
      </c>
      <c r="G31" s="119">
        <v>-120.4053366</v>
      </c>
      <c r="H31" s="139" t="s">
        <v>1066</v>
      </c>
      <c r="I31" s="33" t="s">
        <v>2876</v>
      </c>
      <c r="J31" s="150" t="s">
        <v>2347</v>
      </c>
      <c r="K31" s="51" t="s">
        <v>3630</v>
      </c>
      <c r="L31" s="175">
        <v>138</v>
      </c>
      <c r="M31" s="54">
        <v>2012</v>
      </c>
      <c r="N31" s="33">
        <f>M31+15</f>
        <v>2027</v>
      </c>
      <c r="O31" s="33"/>
      <c r="P31" s="63" t="s">
        <v>1048</v>
      </c>
      <c r="Q31" s="51" t="s">
        <v>2944</v>
      </c>
      <c r="R31" s="65">
        <v>16</v>
      </c>
      <c r="S31" s="248">
        <f>System!$E$7</f>
        <v>0.97</v>
      </c>
      <c r="T31" s="247">
        <f t="shared" si="0"/>
        <v>15.52</v>
      </c>
      <c r="U31" s="114">
        <f t="shared" si="1"/>
        <v>0.50739155251141554</v>
      </c>
      <c r="V31" s="125">
        <v>71.116</v>
      </c>
      <c r="W31" s="99">
        <v>2</v>
      </c>
      <c r="Y31" s="127">
        <v>13.5</v>
      </c>
      <c r="Z31" s="60">
        <v>4.8</v>
      </c>
      <c r="AA31" s="60">
        <v>16</v>
      </c>
      <c r="AB31" s="107">
        <v>5</v>
      </c>
      <c r="AC31" s="107">
        <v>8</v>
      </c>
      <c r="AD31" s="69"/>
      <c r="AE31" s="69"/>
      <c r="AF31" s="69"/>
      <c r="AG31" s="69"/>
      <c r="AH31" s="54" t="b">
        <v>1</v>
      </c>
      <c r="AI31" s="69"/>
      <c r="AJ31" s="107">
        <v>38</v>
      </c>
      <c r="AK31" s="65">
        <v>3.09</v>
      </c>
      <c r="AL31" s="132">
        <v>11</v>
      </c>
      <c r="AM31" s="156"/>
      <c r="AN31" s="127">
        <v>5.3005000000000004</v>
      </c>
      <c r="AO31" s="139"/>
      <c r="AP31" s="69"/>
      <c r="AQ31" s="69"/>
      <c r="AR31" s="133">
        <v>1.9081800000000002</v>
      </c>
      <c r="AS31" s="139"/>
      <c r="AT31" s="19"/>
      <c r="AU31" s="19"/>
    </row>
    <row r="32" spans="1:47" s="17" customFormat="1" ht="20" x14ac:dyDescent="0.2">
      <c r="A32" s="118"/>
      <c r="B32" s="206" t="s">
        <v>910</v>
      </c>
      <c r="C32" s="280" t="s">
        <v>3037</v>
      </c>
      <c r="D32" s="206" t="s">
        <v>241</v>
      </c>
      <c r="E32" s="206" t="s">
        <v>129</v>
      </c>
      <c r="F32" s="119">
        <v>50.689371399999999</v>
      </c>
      <c r="G32" s="119">
        <v>-120.4053366</v>
      </c>
      <c r="H32" s="139" t="s">
        <v>1066</v>
      </c>
      <c r="I32" s="33" t="s">
        <v>2876</v>
      </c>
      <c r="J32" s="150" t="s">
        <v>2347</v>
      </c>
      <c r="K32" s="51" t="s">
        <v>3630</v>
      </c>
      <c r="L32" s="175">
        <v>138</v>
      </c>
      <c r="M32" s="54">
        <v>2012</v>
      </c>
      <c r="N32" s="33">
        <f>M32+15</f>
        <v>2027</v>
      </c>
      <c r="O32" s="33"/>
      <c r="P32" s="63" t="s">
        <v>1048</v>
      </c>
      <c r="Q32" s="51" t="s">
        <v>2944</v>
      </c>
      <c r="R32" s="65">
        <v>32</v>
      </c>
      <c r="S32" s="248">
        <f>System!$E$7</f>
        <v>0.97</v>
      </c>
      <c r="T32" s="247">
        <f t="shared" si="0"/>
        <v>31.04</v>
      </c>
      <c r="U32" s="114">
        <f t="shared" si="1"/>
        <v>1.0284674657534247</v>
      </c>
      <c r="V32" s="105">
        <v>288.3</v>
      </c>
      <c r="W32" s="99">
        <v>2</v>
      </c>
      <c r="Y32" s="127">
        <v>13.5</v>
      </c>
      <c r="Z32" s="60">
        <v>9.6</v>
      </c>
      <c r="AA32" s="60">
        <v>32</v>
      </c>
      <c r="AB32" s="107">
        <v>5</v>
      </c>
      <c r="AC32" s="107">
        <v>8</v>
      </c>
      <c r="AD32" s="69"/>
      <c r="AE32" s="69"/>
      <c r="AF32" s="69"/>
      <c r="AG32" s="69"/>
      <c r="AH32" s="54" t="b">
        <v>1</v>
      </c>
      <c r="AI32" s="69"/>
      <c r="AJ32" s="107">
        <v>38</v>
      </c>
      <c r="AK32" s="65">
        <v>3.09</v>
      </c>
      <c r="AL32" s="132">
        <v>11</v>
      </c>
      <c r="AM32" s="156"/>
      <c r="AN32" s="127">
        <v>5.3005000000000004</v>
      </c>
      <c r="AO32" s="139"/>
      <c r="AP32" s="69"/>
      <c r="AQ32" s="69"/>
      <c r="AR32" s="133">
        <v>1.9081800000000002</v>
      </c>
      <c r="AS32" s="139"/>
      <c r="AT32" s="19"/>
      <c r="AU32" s="19"/>
    </row>
    <row r="33" spans="1:47" s="17" customFormat="1" ht="20" x14ac:dyDescent="0.2">
      <c r="A33" s="118"/>
      <c r="B33" s="206" t="s">
        <v>808</v>
      </c>
      <c r="C33" s="280" t="s">
        <v>3802</v>
      </c>
      <c r="D33" s="206" t="s">
        <v>821</v>
      </c>
      <c r="E33" s="206" t="s">
        <v>809</v>
      </c>
      <c r="F33" s="119">
        <v>49.201349999999998</v>
      </c>
      <c r="G33" s="119">
        <v>-122.93658000000001</v>
      </c>
      <c r="H33" s="139" t="s">
        <v>1066</v>
      </c>
      <c r="I33" s="33" t="s">
        <v>2876</v>
      </c>
      <c r="J33" s="150" t="s">
        <v>2337</v>
      </c>
      <c r="K33" s="51" t="s">
        <v>3653</v>
      </c>
      <c r="L33" s="175">
        <v>69</v>
      </c>
      <c r="M33" s="100">
        <v>2000</v>
      </c>
      <c r="N33" s="100">
        <v>2100</v>
      </c>
      <c r="O33" s="48"/>
      <c r="P33" s="120" t="s">
        <v>1048</v>
      </c>
      <c r="Q33" s="51" t="s">
        <v>2944</v>
      </c>
      <c r="R33" s="121">
        <v>14</v>
      </c>
      <c r="S33" s="248">
        <f>System!$E$7</f>
        <v>0.97</v>
      </c>
      <c r="T33" s="247">
        <f t="shared" si="0"/>
        <v>13.58</v>
      </c>
      <c r="U33" s="114">
        <f t="shared" si="1"/>
        <v>0.21192106979778214</v>
      </c>
      <c r="V33" s="121">
        <v>25.99</v>
      </c>
      <c r="W33" s="99">
        <v>1</v>
      </c>
      <c r="X33" s="117"/>
      <c r="Y33" s="129">
        <v>12.12</v>
      </c>
      <c r="Z33" s="131">
        <v>4.666666666666667</v>
      </c>
      <c r="AA33" s="131">
        <v>14</v>
      </c>
      <c r="AB33" s="100">
        <v>8</v>
      </c>
      <c r="AC33" s="100">
        <v>8</v>
      </c>
      <c r="AD33" s="69"/>
      <c r="AE33" s="69"/>
      <c r="AF33" s="69"/>
      <c r="AG33" s="69"/>
      <c r="AH33" s="100" t="b">
        <v>1</v>
      </c>
      <c r="AI33" s="69"/>
      <c r="AJ33" s="130">
        <v>38</v>
      </c>
      <c r="AK33" s="131">
        <v>3.09</v>
      </c>
      <c r="AL33" s="100">
        <v>11</v>
      </c>
      <c r="AM33" s="301"/>
      <c r="AN33" s="134">
        <v>5.3005000000000004</v>
      </c>
      <c r="AO33" s="252"/>
      <c r="AP33" s="69"/>
      <c r="AQ33" s="69"/>
      <c r="AR33" s="116"/>
      <c r="AS33" s="139"/>
      <c r="AT33" s="19"/>
      <c r="AU33" s="19"/>
    </row>
    <row r="34" spans="1:47" s="17" customFormat="1" ht="20" x14ac:dyDescent="0.2">
      <c r="A34" s="118"/>
      <c r="B34" s="206" t="s">
        <v>275</v>
      </c>
      <c r="C34" s="280" t="s">
        <v>3817</v>
      </c>
      <c r="D34" s="206" t="s">
        <v>276</v>
      </c>
      <c r="E34" s="206" t="s">
        <v>277</v>
      </c>
      <c r="F34" s="126">
        <v>50.097098000000003</v>
      </c>
      <c r="G34" s="126">
        <v>-120.795714</v>
      </c>
      <c r="H34" s="139" t="s">
        <v>1066</v>
      </c>
      <c r="I34" s="33" t="s">
        <v>2876</v>
      </c>
      <c r="J34" s="151" t="s">
        <v>2316</v>
      </c>
      <c r="K34" s="51" t="s">
        <v>3145</v>
      </c>
      <c r="L34" s="175">
        <v>138</v>
      </c>
      <c r="M34" s="54">
        <v>2015</v>
      </c>
      <c r="N34" s="33">
        <f>M34+15</f>
        <v>2030</v>
      </c>
      <c r="O34" s="33"/>
      <c r="P34" s="63" t="s">
        <v>1048</v>
      </c>
      <c r="Q34" s="51" t="s">
        <v>2944</v>
      </c>
      <c r="R34" s="65">
        <v>40</v>
      </c>
      <c r="S34" s="248">
        <f>System!$E$7</f>
        <v>0.97</v>
      </c>
      <c r="T34" s="247">
        <f t="shared" si="0"/>
        <v>38.799999999999997</v>
      </c>
      <c r="U34" s="114">
        <f t="shared" si="1"/>
        <v>0.86623858447488589</v>
      </c>
      <c r="V34" s="105">
        <v>303.52999999999997</v>
      </c>
      <c r="W34" s="99">
        <v>1</v>
      </c>
      <c r="Y34" s="127">
        <v>11.77</v>
      </c>
      <c r="Z34" s="60">
        <v>18</v>
      </c>
      <c r="AA34" s="60">
        <v>40</v>
      </c>
      <c r="AB34" s="107">
        <v>8</v>
      </c>
      <c r="AC34" s="107">
        <v>8</v>
      </c>
      <c r="AD34" s="69"/>
      <c r="AE34" s="69"/>
      <c r="AF34" s="69"/>
      <c r="AG34" s="69"/>
      <c r="AH34" s="54" t="b">
        <v>1</v>
      </c>
      <c r="AI34" s="69"/>
      <c r="AJ34" s="107">
        <v>38</v>
      </c>
      <c r="AK34" s="65">
        <v>3.09</v>
      </c>
      <c r="AL34" s="132">
        <v>11</v>
      </c>
      <c r="AM34" s="137"/>
      <c r="AN34" s="127">
        <v>5.3005000000000004</v>
      </c>
      <c r="AO34" s="139"/>
      <c r="AP34" s="69"/>
      <c r="AQ34" s="69"/>
      <c r="AR34" s="133">
        <v>1.9081800000000002</v>
      </c>
      <c r="AS34" s="139"/>
      <c r="AT34" s="19"/>
      <c r="AU34" s="19"/>
    </row>
    <row r="35" spans="1:47" s="17" customFormat="1" ht="20" x14ac:dyDescent="0.2">
      <c r="A35" s="118"/>
      <c r="B35" s="206" t="s">
        <v>812</v>
      </c>
      <c r="C35" s="280" t="s">
        <v>3822</v>
      </c>
      <c r="D35" s="206" t="s">
        <v>822</v>
      </c>
      <c r="E35" s="206" t="s">
        <v>813</v>
      </c>
      <c r="F35" s="119">
        <v>54.014716700000001</v>
      </c>
      <c r="G35" s="119">
        <v>-124.0513272</v>
      </c>
      <c r="H35" s="139" t="s">
        <v>1066</v>
      </c>
      <c r="I35" s="33" t="s">
        <v>2876</v>
      </c>
      <c r="J35" s="150" t="s">
        <v>1909</v>
      </c>
      <c r="K35" s="51" t="s">
        <v>3200</v>
      </c>
      <c r="L35" s="175">
        <v>69</v>
      </c>
      <c r="M35" s="100">
        <v>2000</v>
      </c>
      <c r="N35" s="100">
        <v>2100</v>
      </c>
      <c r="O35" s="48"/>
      <c r="P35" s="120" t="s">
        <v>1048</v>
      </c>
      <c r="Q35" s="51" t="s">
        <v>2944</v>
      </c>
      <c r="R35" s="121">
        <v>1.8</v>
      </c>
      <c r="S35" s="248">
        <f>System!$E$7</f>
        <v>0.97</v>
      </c>
      <c r="T35" s="247">
        <f t="shared" si="0"/>
        <v>1.746</v>
      </c>
      <c r="U35" s="114">
        <f t="shared" si="1"/>
        <v>0.21182141045154743</v>
      </c>
      <c r="V35" s="121">
        <v>3.34</v>
      </c>
      <c r="W35" s="99">
        <v>1</v>
      </c>
      <c r="X35" s="117"/>
      <c r="Y35" s="129">
        <v>12.12</v>
      </c>
      <c r="Z35" s="131">
        <v>0.6</v>
      </c>
      <c r="AA35" s="131">
        <v>1.8</v>
      </c>
      <c r="AB35" s="100">
        <v>8</v>
      </c>
      <c r="AC35" s="100">
        <v>8</v>
      </c>
      <c r="AD35" s="69"/>
      <c r="AE35" s="69"/>
      <c r="AF35" s="69"/>
      <c r="AG35" s="69"/>
      <c r="AH35" s="100" t="b">
        <v>1</v>
      </c>
      <c r="AI35" s="69"/>
      <c r="AJ35" s="130">
        <v>38</v>
      </c>
      <c r="AK35" s="131">
        <v>3.09</v>
      </c>
      <c r="AL35" s="100">
        <v>11</v>
      </c>
      <c r="AM35" s="301"/>
      <c r="AN35" s="134">
        <v>5.3005000000000004</v>
      </c>
      <c r="AO35" s="252"/>
      <c r="AP35" s="69"/>
      <c r="AQ35" s="69"/>
      <c r="AR35" s="116"/>
      <c r="AS35" s="139"/>
      <c r="AT35" s="19"/>
      <c r="AU35" s="19"/>
    </row>
    <row r="36" spans="1:47" s="17" customFormat="1" ht="20" x14ac:dyDescent="0.2">
      <c r="A36" s="118"/>
      <c r="B36" s="206" t="s">
        <v>283</v>
      </c>
      <c r="C36" s="280" t="s">
        <v>3824</v>
      </c>
      <c r="D36" s="206" t="s">
        <v>284</v>
      </c>
      <c r="E36" s="206" t="s">
        <v>231</v>
      </c>
      <c r="F36" s="119">
        <v>53.979192900000001</v>
      </c>
      <c r="G36" s="119">
        <v>-122.69363920000001</v>
      </c>
      <c r="H36" s="139" t="s">
        <v>1066</v>
      </c>
      <c r="I36" s="33" t="s">
        <v>2876</v>
      </c>
      <c r="J36" s="150" t="s">
        <v>1822</v>
      </c>
      <c r="K36" s="51" t="s">
        <v>3402</v>
      </c>
      <c r="L36" s="175">
        <v>69</v>
      </c>
      <c r="M36" s="54">
        <v>2014</v>
      </c>
      <c r="N36" s="33">
        <f>M36+15</f>
        <v>2029</v>
      </c>
      <c r="O36" s="33"/>
      <c r="P36" s="63" t="s">
        <v>1048</v>
      </c>
      <c r="Q36" s="51" t="s">
        <v>2944</v>
      </c>
      <c r="R36" s="65">
        <v>60.42</v>
      </c>
      <c r="S36" s="248">
        <f>System!$E$7</f>
        <v>0.97</v>
      </c>
      <c r="T36" s="247">
        <f t="shared" si="0"/>
        <v>58.607399999999998</v>
      </c>
      <c r="U36" s="114">
        <f t="shared" si="1"/>
        <v>0.17193194064682682</v>
      </c>
      <c r="V36" s="105">
        <v>91</v>
      </c>
      <c r="W36" s="99">
        <v>1</v>
      </c>
      <c r="Y36" s="127">
        <v>12.12</v>
      </c>
      <c r="Z36" s="60">
        <v>27.189</v>
      </c>
      <c r="AA36" s="60">
        <v>60.42</v>
      </c>
      <c r="AB36" s="107">
        <v>8</v>
      </c>
      <c r="AC36" s="107">
        <v>8</v>
      </c>
      <c r="AD36" s="69"/>
      <c r="AE36" s="69"/>
      <c r="AF36" s="69"/>
      <c r="AG36" s="69"/>
      <c r="AH36" s="54" t="b">
        <v>1</v>
      </c>
      <c r="AI36" s="69"/>
      <c r="AJ36" s="107">
        <v>38</v>
      </c>
      <c r="AK36" s="65">
        <v>3.09</v>
      </c>
      <c r="AL36" s="132">
        <v>11</v>
      </c>
      <c r="AM36" s="137"/>
      <c r="AN36" s="127">
        <v>5.3005000000000004</v>
      </c>
      <c r="AO36" s="139"/>
      <c r="AP36" s="69"/>
      <c r="AQ36" s="69"/>
      <c r="AR36" s="133">
        <v>1.9081800000000002</v>
      </c>
      <c r="AS36" s="139"/>
      <c r="AT36" s="19"/>
      <c r="AU36" s="19"/>
    </row>
    <row r="37" spans="1:47" s="17" customFormat="1" ht="20" x14ac:dyDescent="0.2">
      <c r="A37" s="118"/>
      <c r="B37" s="206" t="s">
        <v>285</v>
      </c>
      <c r="C37" s="280" t="s">
        <v>3825</v>
      </c>
      <c r="D37" s="206" t="s">
        <v>264</v>
      </c>
      <c r="E37" s="206" t="s">
        <v>280</v>
      </c>
      <c r="F37" s="119">
        <v>52.161254599999999</v>
      </c>
      <c r="G37" s="119">
        <v>-122.17115149999999</v>
      </c>
      <c r="H37" s="139" t="s">
        <v>1066</v>
      </c>
      <c r="I37" s="33" t="s">
        <v>2876</v>
      </c>
      <c r="J37" s="150" t="s">
        <v>1821</v>
      </c>
      <c r="K37" s="51" t="s">
        <v>3668</v>
      </c>
      <c r="L37" s="175">
        <v>69</v>
      </c>
      <c r="M37" s="54">
        <v>1993</v>
      </c>
      <c r="N37" s="33">
        <v>2029</v>
      </c>
      <c r="O37" s="33"/>
      <c r="P37" s="63" t="s">
        <v>1048</v>
      </c>
      <c r="Q37" s="51" t="s">
        <v>2944</v>
      </c>
      <c r="R37" s="65">
        <v>67.69</v>
      </c>
      <c r="S37" s="248">
        <f>System!$E$7</f>
        <v>0.97</v>
      </c>
      <c r="T37" s="247">
        <f t="shared" si="0"/>
        <v>65.659300000000002</v>
      </c>
      <c r="U37" s="114">
        <f t="shared" si="1"/>
        <v>0.9191108268894389</v>
      </c>
      <c r="V37" s="105">
        <v>545</v>
      </c>
      <c r="W37" s="99">
        <v>1</v>
      </c>
      <c r="Y37" s="127">
        <v>12.12</v>
      </c>
      <c r="Z37" s="60">
        <v>30.4605</v>
      </c>
      <c r="AA37" s="60">
        <v>67.69</v>
      </c>
      <c r="AB37" s="107">
        <v>8</v>
      </c>
      <c r="AC37" s="107">
        <v>8</v>
      </c>
      <c r="AD37" s="69"/>
      <c r="AE37" s="69"/>
      <c r="AF37" s="69"/>
      <c r="AG37" s="69"/>
      <c r="AH37" s="54" t="b">
        <v>1</v>
      </c>
      <c r="AI37" s="69"/>
      <c r="AJ37" s="107">
        <v>38</v>
      </c>
      <c r="AK37" s="65">
        <v>3.09</v>
      </c>
      <c r="AL37" s="132">
        <v>11</v>
      </c>
      <c r="AM37" s="137"/>
      <c r="AN37" s="127">
        <v>5.3005000000000004</v>
      </c>
      <c r="AO37" s="139"/>
      <c r="AP37" s="69"/>
      <c r="AQ37" s="69"/>
      <c r="AR37" s="133">
        <v>1.9081800000000002</v>
      </c>
      <c r="AS37" s="139"/>
      <c r="AT37" s="19"/>
      <c r="AU37" s="19"/>
    </row>
    <row r="38" spans="1:47" s="17" customFormat="1" ht="20" x14ac:dyDescent="0.2">
      <c r="A38" s="118"/>
      <c r="B38" s="206" t="s">
        <v>2370</v>
      </c>
      <c r="C38" s="280" t="s">
        <v>3827</v>
      </c>
      <c r="D38" s="206" t="s">
        <v>284</v>
      </c>
      <c r="E38" s="206" t="s">
        <v>231</v>
      </c>
      <c r="F38" s="126">
        <v>53.922513000000002</v>
      </c>
      <c r="G38" s="126">
        <v>-122.685096</v>
      </c>
      <c r="H38" s="139" t="s">
        <v>1066</v>
      </c>
      <c r="I38" s="33" t="s">
        <v>2876</v>
      </c>
      <c r="J38" s="150" t="s">
        <v>1709</v>
      </c>
      <c r="K38" s="51" t="s">
        <v>3672</v>
      </c>
      <c r="L38" s="175">
        <v>69</v>
      </c>
      <c r="M38" s="63">
        <v>2019</v>
      </c>
      <c r="N38" s="33">
        <v>2039</v>
      </c>
      <c r="O38" s="33"/>
      <c r="P38" s="63" t="s">
        <v>1048</v>
      </c>
      <c r="Q38" s="51" t="s">
        <v>2944</v>
      </c>
      <c r="R38" s="64">
        <v>59.9</v>
      </c>
      <c r="S38" s="248">
        <f>System!$E$7</f>
        <v>0.97</v>
      </c>
      <c r="T38" s="247">
        <f t="shared" si="0"/>
        <v>58.102999999999994</v>
      </c>
      <c r="U38" s="114">
        <f t="shared" si="1"/>
        <v>0.20105808005732537</v>
      </c>
      <c r="V38" s="105">
        <v>105.5</v>
      </c>
      <c r="W38" s="99">
        <v>1</v>
      </c>
      <c r="Y38" s="128"/>
      <c r="Z38" s="100"/>
      <c r="AA38" s="100"/>
      <c r="AB38" s="176"/>
      <c r="AC38" s="176"/>
      <c r="AD38" s="69"/>
      <c r="AE38" s="69"/>
      <c r="AF38" s="69"/>
      <c r="AG38" s="69"/>
      <c r="AH38" s="100"/>
      <c r="AI38" s="69"/>
      <c r="AJ38" s="100"/>
      <c r="AK38" s="69"/>
      <c r="AL38" s="99"/>
      <c r="AM38" s="137"/>
      <c r="AN38" s="115"/>
      <c r="AO38" s="116"/>
      <c r="AP38" s="69"/>
      <c r="AQ38" s="69"/>
      <c r="AR38" s="116"/>
      <c r="AS38" s="139"/>
      <c r="AT38" s="19"/>
      <c r="AU38" s="19"/>
    </row>
    <row r="39" spans="1:47" s="17" customFormat="1" ht="20" x14ac:dyDescent="0.2">
      <c r="A39" s="118"/>
      <c r="B39" s="206" t="s">
        <v>296</v>
      </c>
      <c r="C39" s="280" t="s">
        <v>3829</v>
      </c>
      <c r="D39" s="206" t="s">
        <v>823</v>
      </c>
      <c r="E39" s="206" t="s">
        <v>296</v>
      </c>
      <c r="F39" s="119">
        <v>50.383887399999999</v>
      </c>
      <c r="G39" s="119">
        <v>-127.450873</v>
      </c>
      <c r="H39" s="139" t="s">
        <v>1066</v>
      </c>
      <c r="I39" s="33" t="s">
        <v>2876</v>
      </c>
      <c r="J39" s="150" t="s">
        <v>1740</v>
      </c>
      <c r="K39" s="51" t="s">
        <v>3201</v>
      </c>
      <c r="L39" s="175">
        <v>138</v>
      </c>
      <c r="M39" s="100">
        <v>2000</v>
      </c>
      <c r="N39" s="100">
        <v>2100</v>
      </c>
      <c r="O39" s="48"/>
      <c r="P39" s="120" t="s">
        <v>1048</v>
      </c>
      <c r="Q39" s="51" t="s">
        <v>2944</v>
      </c>
      <c r="R39" s="121">
        <v>26.1</v>
      </c>
      <c r="S39" s="248">
        <f>System!$E$7</f>
        <v>0.97</v>
      </c>
      <c r="T39" s="247">
        <f t="shared" si="0"/>
        <v>25.317</v>
      </c>
      <c r="U39" s="114">
        <f t="shared" si="1"/>
        <v>0.21190888573977851</v>
      </c>
      <c r="V39" s="121">
        <v>48.45</v>
      </c>
      <c r="W39" s="99">
        <v>1</v>
      </c>
      <c r="X39" s="117"/>
      <c r="Y39" s="129">
        <v>12.12</v>
      </c>
      <c r="Z39" s="131">
        <v>8.7000000000000011</v>
      </c>
      <c r="AA39" s="131">
        <v>26.1</v>
      </c>
      <c r="AB39" s="100">
        <v>8</v>
      </c>
      <c r="AC39" s="100">
        <v>8</v>
      </c>
      <c r="AD39" s="69"/>
      <c r="AE39" s="69"/>
      <c r="AF39" s="69"/>
      <c r="AG39" s="69"/>
      <c r="AH39" s="100" t="b">
        <v>1</v>
      </c>
      <c r="AI39" s="69"/>
      <c r="AJ39" s="130">
        <v>38</v>
      </c>
      <c r="AK39" s="131">
        <v>3.09</v>
      </c>
      <c r="AL39" s="100">
        <v>11</v>
      </c>
      <c r="AM39" s="301"/>
      <c r="AN39" s="134">
        <v>5.3005000000000004</v>
      </c>
      <c r="AO39" s="252"/>
      <c r="AP39" s="69"/>
      <c r="AQ39" s="69"/>
      <c r="AR39" s="116"/>
      <c r="AS39" s="139"/>
      <c r="AT39" s="19"/>
      <c r="AU39" s="19"/>
    </row>
    <row r="40" spans="1:47" s="17" customFormat="1" ht="20" x14ac:dyDescent="0.2">
      <c r="A40" s="118"/>
      <c r="B40" s="206" t="s">
        <v>833</v>
      </c>
      <c r="C40" s="280" t="s">
        <v>2971</v>
      </c>
      <c r="D40" s="206" t="s">
        <v>819</v>
      </c>
      <c r="E40" s="206" t="s">
        <v>194</v>
      </c>
      <c r="F40" s="119">
        <v>49.873131700000002</v>
      </c>
      <c r="G40" s="119">
        <v>-124.5544452</v>
      </c>
      <c r="H40" s="139" t="s">
        <v>1066</v>
      </c>
      <c r="I40" s="33" t="s">
        <v>2876</v>
      </c>
      <c r="J40" s="150" t="s">
        <v>1837</v>
      </c>
      <c r="K40" s="51" t="s">
        <v>3432</v>
      </c>
      <c r="L40" s="175">
        <v>138</v>
      </c>
      <c r="M40" s="54">
        <v>2012</v>
      </c>
      <c r="N40" s="33">
        <f>M40+15</f>
        <v>2027</v>
      </c>
      <c r="O40" s="33"/>
      <c r="P40" s="135" t="s">
        <v>1048</v>
      </c>
      <c r="Q40" s="51" t="s">
        <v>2944</v>
      </c>
      <c r="R40" s="65">
        <v>10</v>
      </c>
      <c r="S40" s="248">
        <f>System!$E$7</f>
        <v>0.97</v>
      </c>
      <c r="T40" s="247">
        <f t="shared" si="0"/>
        <v>9.6999999999999993</v>
      </c>
      <c r="U40" s="114">
        <f t="shared" si="1"/>
        <v>0.89902968036529685</v>
      </c>
      <c r="V40" s="64">
        <v>78.754999999999995</v>
      </c>
      <c r="W40" s="99">
        <v>2</v>
      </c>
      <c r="Y40" s="127">
        <v>13.5</v>
      </c>
      <c r="Z40" s="100">
        <v>2</v>
      </c>
      <c r="AA40" s="60">
        <v>10</v>
      </c>
      <c r="AB40" s="107">
        <v>5</v>
      </c>
      <c r="AC40" s="107">
        <v>8</v>
      </c>
      <c r="AD40" s="69"/>
      <c r="AE40" s="69"/>
      <c r="AF40" s="69"/>
      <c r="AG40" s="69"/>
      <c r="AH40" s="54" t="b">
        <v>1</v>
      </c>
      <c r="AI40" s="69"/>
      <c r="AJ40" s="107">
        <v>38</v>
      </c>
      <c r="AK40" s="65">
        <v>3.09</v>
      </c>
      <c r="AL40" s="132">
        <v>11</v>
      </c>
      <c r="AM40" s="137"/>
      <c r="AN40" s="127">
        <v>5.3005000000000004</v>
      </c>
      <c r="AO40" s="139"/>
      <c r="AP40" s="69"/>
      <c r="AQ40" s="69"/>
      <c r="AR40" s="133">
        <v>1.9081800000000002</v>
      </c>
      <c r="AS40" s="139"/>
      <c r="AT40" s="19"/>
      <c r="AU40" s="19"/>
    </row>
    <row r="41" spans="1:47" s="17" customFormat="1" ht="20" x14ac:dyDescent="0.2">
      <c r="A41" s="118"/>
      <c r="B41" s="206" t="s">
        <v>834</v>
      </c>
      <c r="C41" s="280" t="s">
        <v>3013</v>
      </c>
      <c r="D41" s="206" t="s">
        <v>819</v>
      </c>
      <c r="E41" s="206" t="s">
        <v>194</v>
      </c>
      <c r="F41" s="119">
        <v>49.873131700000002</v>
      </c>
      <c r="G41" s="119">
        <v>-124.5544452</v>
      </c>
      <c r="H41" s="139" t="s">
        <v>1066</v>
      </c>
      <c r="I41" s="33" t="s">
        <v>2876</v>
      </c>
      <c r="J41" s="150" t="s">
        <v>1837</v>
      </c>
      <c r="K41" s="51" t="s">
        <v>3432</v>
      </c>
      <c r="L41" s="175">
        <v>138</v>
      </c>
      <c r="M41" s="54">
        <v>2012</v>
      </c>
      <c r="N41" s="33">
        <f>M41+15</f>
        <v>2027</v>
      </c>
      <c r="O41" s="33"/>
      <c r="P41" s="135" t="s">
        <v>1048</v>
      </c>
      <c r="Q41" s="51" t="s">
        <v>2944</v>
      </c>
      <c r="R41" s="65">
        <v>38</v>
      </c>
      <c r="S41" s="248">
        <f>System!$E$7</f>
        <v>0.97</v>
      </c>
      <c r="T41" s="247">
        <f t="shared" si="0"/>
        <v>36.86</v>
      </c>
      <c r="U41" s="114">
        <f t="shared" si="1"/>
        <v>0.23658675799086759</v>
      </c>
      <c r="V41" s="64">
        <v>78.754999999999995</v>
      </c>
      <c r="W41" s="99">
        <v>2</v>
      </c>
      <c r="Y41" s="127">
        <v>13.5</v>
      </c>
      <c r="Z41" s="60">
        <v>11.4</v>
      </c>
      <c r="AA41" s="60">
        <v>38</v>
      </c>
      <c r="AB41" s="107">
        <v>5</v>
      </c>
      <c r="AC41" s="107">
        <v>8</v>
      </c>
      <c r="AD41" s="69"/>
      <c r="AE41" s="69"/>
      <c r="AF41" s="69"/>
      <c r="AG41" s="69"/>
      <c r="AH41" s="54" t="b">
        <v>1</v>
      </c>
      <c r="AI41" s="69"/>
      <c r="AJ41" s="107">
        <v>38</v>
      </c>
      <c r="AK41" s="65">
        <v>3.09</v>
      </c>
      <c r="AL41" s="132">
        <v>11</v>
      </c>
      <c r="AM41" s="137"/>
      <c r="AN41" s="127">
        <v>5.3005000000000004</v>
      </c>
      <c r="AO41" s="139"/>
      <c r="AP41" s="69"/>
      <c r="AQ41" s="69"/>
      <c r="AR41" s="133">
        <v>1.9081800000000002</v>
      </c>
      <c r="AS41" s="139"/>
      <c r="AT41" s="19"/>
      <c r="AU41" s="19"/>
    </row>
    <row r="42" spans="1:47" s="17" customFormat="1" ht="20" x14ac:dyDescent="0.2">
      <c r="A42" s="118"/>
      <c r="B42" s="206" t="s">
        <v>815</v>
      </c>
      <c r="C42" s="280" t="s">
        <v>3834</v>
      </c>
      <c r="D42" s="206" t="s">
        <v>824</v>
      </c>
      <c r="E42" s="206" t="s">
        <v>110</v>
      </c>
      <c r="F42" s="119">
        <v>50.986613300000002</v>
      </c>
      <c r="G42" s="119">
        <v>-118.1976126</v>
      </c>
      <c r="H42" s="139" t="s">
        <v>1066</v>
      </c>
      <c r="I42" s="33" t="s">
        <v>2876</v>
      </c>
      <c r="J42" s="150" t="s">
        <v>1729</v>
      </c>
      <c r="K42" s="51" t="s">
        <v>3202</v>
      </c>
      <c r="L42" s="175">
        <v>69</v>
      </c>
      <c r="M42" s="100">
        <v>2000</v>
      </c>
      <c r="N42" s="100">
        <v>2100</v>
      </c>
      <c r="O42" s="48"/>
      <c r="P42" s="120" t="s">
        <v>1048</v>
      </c>
      <c r="Q42" s="51" t="s">
        <v>2944</v>
      </c>
      <c r="R42" s="121">
        <v>1.5</v>
      </c>
      <c r="S42" s="248">
        <f>System!$E$7</f>
        <v>0.97</v>
      </c>
      <c r="T42" s="247">
        <f t="shared" si="0"/>
        <v>1.4550000000000001</v>
      </c>
      <c r="U42" s="114">
        <f t="shared" si="1"/>
        <v>0.21232876712328766</v>
      </c>
      <c r="V42" s="121">
        <v>2.79</v>
      </c>
      <c r="W42" s="99">
        <v>1</v>
      </c>
      <c r="X42" s="117"/>
      <c r="Y42" s="129">
        <v>12.12</v>
      </c>
      <c r="Z42" s="131">
        <v>0.5</v>
      </c>
      <c r="AA42" s="131">
        <v>1.5</v>
      </c>
      <c r="AB42" s="100">
        <v>8</v>
      </c>
      <c r="AC42" s="100">
        <v>8</v>
      </c>
      <c r="AD42" s="69"/>
      <c r="AE42" s="69"/>
      <c r="AF42" s="69"/>
      <c r="AG42" s="69"/>
      <c r="AH42" s="100" t="b">
        <v>1</v>
      </c>
      <c r="AI42" s="69"/>
      <c r="AJ42" s="130">
        <v>38</v>
      </c>
      <c r="AK42" s="131">
        <v>3.09</v>
      </c>
      <c r="AL42" s="100">
        <v>11</v>
      </c>
      <c r="AM42" s="301"/>
      <c r="AN42" s="134">
        <v>5.3005000000000004</v>
      </c>
      <c r="AO42" s="252"/>
      <c r="AP42" s="69"/>
      <c r="AQ42" s="69"/>
      <c r="AR42" s="116"/>
      <c r="AS42" s="139"/>
      <c r="AT42" s="19"/>
      <c r="AU42" s="19"/>
    </row>
    <row r="43" spans="1:47" s="17" customFormat="1" ht="20" x14ac:dyDescent="0.2">
      <c r="A43" s="118"/>
      <c r="B43" s="206" t="s">
        <v>301</v>
      </c>
      <c r="C43" s="280" t="s">
        <v>3837</v>
      </c>
      <c r="D43" s="206" t="s">
        <v>103</v>
      </c>
      <c r="E43" s="206" t="s">
        <v>301</v>
      </c>
      <c r="F43" s="119">
        <v>50.748750399999999</v>
      </c>
      <c r="G43" s="119">
        <v>-120.855051</v>
      </c>
      <c r="H43" s="139" t="s">
        <v>1066</v>
      </c>
      <c r="I43" s="33" t="s">
        <v>2876</v>
      </c>
      <c r="J43" s="150" t="s">
        <v>2817</v>
      </c>
      <c r="K43" s="51" t="s">
        <v>3725</v>
      </c>
      <c r="L43" s="175">
        <v>138</v>
      </c>
      <c r="M43" s="54">
        <v>2008</v>
      </c>
      <c r="N43" s="33">
        <f>M43+15</f>
        <v>2023</v>
      </c>
      <c r="O43" s="33"/>
      <c r="P43" s="63" t="s">
        <v>1048</v>
      </c>
      <c r="Q43" s="51" t="s">
        <v>2944</v>
      </c>
      <c r="R43" s="65">
        <v>5.89</v>
      </c>
      <c r="S43" s="248">
        <f>System!$E$7</f>
        <v>0.97</v>
      </c>
      <c r="T43" s="247">
        <f t="shared" si="0"/>
        <v>5.7132999999999994</v>
      </c>
      <c r="U43" s="114">
        <f t="shared" si="1"/>
        <v>0.7946290826491772</v>
      </c>
      <c r="V43" s="105">
        <v>41</v>
      </c>
      <c r="W43" s="99">
        <v>1</v>
      </c>
      <c r="Y43" s="127">
        <v>4.6621790000000001</v>
      </c>
      <c r="Z43" s="60">
        <v>2.6505000000000001</v>
      </c>
      <c r="AA43" s="60">
        <v>5.89</v>
      </c>
      <c r="AB43" s="107">
        <v>6</v>
      </c>
      <c r="AC43" s="107">
        <v>6</v>
      </c>
      <c r="AD43" s="69"/>
      <c r="AE43" s="69"/>
      <c r="AF43" s="69"/>
      <c r="AG43" s="69"/>
      <c r="AH43" s="54" t="b">
        <v>0</v>
      </c>
      <c r="AI43" s="69"/>
      <c r="AJ43" s="107">
        <v>41</v>
      </c>
      <c r="AK43" s="65">
        <v>3.09</v>
      </c>
      <c r="AL43" s="132">
        <v>21</v>
      </c>
      <c r="AM43" s="137"/>
      <c r="AN43" s="127">
        <v>79.507500000000007</v>
      </c>
      <c r="AO43" s="139"/>
      <c r="AP43" s="69"/>
      <c r="AQ43" s="69"/>
      <c r="AR43" s="133">
        <v>0.97529200000000005</v>
      </c>
      <c r="AS43" s="139"/>
      <c r="AT43" s="19"/>
      <c r="AU43" s="19" t="s">
        <v>1027</v>
      </c>
    </row>
    <row r="44" spans="1:47" s="17" customFormat="1" ht="20" x14ac:dyDescent="0.2">
      <c r="A44" s="118"/>
      <c r="B44" s="206" t="s">
        <v>302</v>
      </c>
      <c r="C44" s="280" t="s">
        <v>3839</v>
      </c>
      <c r="D44" s="206" t="s">
        <v>303</v>
      </c>
      <c r="E44" s="206" t="s">
        <v>304</v>
      </c>
      <c r="F44" s="119">
        <v>49.186356699999997</v>
      </c>
      <c r="G44" s="119">
        <v>-122.97771899999999</v>
      </c>
      <c r="H44" s="139" t="s">
        <v>1066</v>
      </c>
      <c r="I44" s="33" t="s">
        <v>2876</v>
      </c>
      <c r="J44" s="150" t="s">
        <v>1730</v>
      </c>
      <c r="K44" s="51" t="s">
        <v>3204</v>
      </c>
      <c r="L44" s="175">
        <v>230</v>
      </c>
      <c r="M44" s="54">
        <v>2003</v>
      </c>
      <c r="N44" s="100">
        <v>2100</v>
      </c>
      <c r="O44" s="33"/>
      <c r="P44" s="63" t="s">
        <v>1048</v>
      </c>
      <c r="Q44" s="51" t="s">
        <v>2944</v>
      </c>
      <c r="R44" s="65">
        <v>22</v>
      </c>
      <c r="S44" s="248">
        <f>System!$E$7</f>
        <v>0.97</v>
      </c>
      <c r="T44" s="247">
        <f t="shared" si="0"/>
        <v>21.34</v>
      </c>
      <c r="U44" s="114">
        <f t="shared" si="1"/>
        <v>0.86135325861353262</v>
      </c>
      <c r="V44" s="105">
        <v>166</v>
      </c>
      <c r="W44" s="99">
        <v>1</v>
      </c>
      <c r="Y44" s="127">
        <v>11.9</v>
      </c>
      <c r="Z44" s="60">
        <v>12.1</v>
      </c>
      <c r="AA44" s="60">
        <v>22</v>
      </c>
      <c r="AB44" s="107">
        <v>8</v>
      </c>
      <c r="AC44" s="107">
        <v>8</v>
      </c>
      <c r="AD44" s="69"/>
      <c r="AE44" s="69"/>
      <c r="AF44" s="69"/>
      <c r="AG44" s="69"/>
      <c r="AH44" s="54" t="b">
        <v>1</v>
      </c>
      <c r="AI44" s="69"/>
      <c r="AJ44" s="107">
        <v>38</v>
      </c>
      <c r="AK44" s="65">
        <v>3.09</v>
      </c>
      <c r="AL44" s="132">
        <v>11</v>
      </c>
      <c r="AM44" s="156"/>
      <c r="AN44" s="127">
        <v>5.3005000000000004</v>
      </c>
      <c r="AO44" s="139"/>
      <c r="AP44" s="69"/>
      <c r="AQ44" s="69"/>
      <c r="AR44" s="133">
        <v>1.9081800000000002</v>
      </c>
      <c r="AS44" s="139"/>
      <c r="AT44" s="19"/>
      <c r="AU44" s="19"/>
    </row>
    <row r="45" spans="1:47" s="17" customFormat="1" ht="20" x14ac:dyDescent="0.2">
      <c r="A45" s="118"/>
      <c r="B45" s="206" t="s">
        <v>313</v>
      </c>
      <c r="C45" s="280" t="s">
        <v>3844</v>
      </c>
      <c r="D45" s="206" t="s">
        <v>312</v>
      </c>
      <c r="E45" s="206" t="s">
        <v>313</v>
      </c>
      <c r="F45" s="119">
        <v>49.528363800000001</v>
      </c>
      <c r="G45" s="119">
        <v>-115.7577758</v>
      </c>
      <c r="H45" s="139" t="s">
        <v>1066</v>
      </c>
      <c r="I45" s="33" t="s">
        <v>2876</v>
      </c>
      <c r="J45" s="150" t="s">
        <v>1637</v>
      </c>
      <c r="K45" s="51" t="s">
        <v>3207</v>
      </c>
      <c r="L45" s="175">
        <v>69</v>
      </c>
      <c r="M45" s="54">
        <v>2009</v>
      </c>
      <c r="N45" s="33">
        <v>2024</v>
      </c>
      <c r="O45" s="33"/>
      <c r="P45" s="135" t="s">
        <v>1048</v>
      </c>
      <c r="Q45" s="51" t="s">
        <v>2944</v>
      </c>
      <c r="R45" s="65">
        <v>51.3</v>
      </c>
      <c r="S45" s="248">
        <f>System!$E$7</f>
        <v>0.97</v>
      </c>
      <c r="T45" s="247">
        <f t="shared" si="0"/>
        <v>49.760999999999996</v>
      </c>
      <c r="U45" s="114">
        <f t="shared" si="1"/>
        <v>0.59347379102245723</v>
      </c>
      <c r="V45" s="64">
        <v>266.7</v>
      </c>
      <c r="W45" s="99">
        <v>1</v>
      </c>
      <c r="Y45" s="127">
        <v>13.5</v>
      </c>
      <c r="Z45" s="60">
        <v>15.39</v>
      </c>
      <c r="AA45" s="60">
        <v>51.3</v>
      </c>
      <c r="AB45" s="107">
        <v>5</v>
      </c>
      <c r="AC45" s="107">
        <v>8</v>
      </c>
      <c r="AD45" s="69"/>
      <c r="AE45" s="69"/>
      <c r="AF45" s="69"/>
      <c r="AG45" s="69"/>
      <c r="AH45" s="54" t="b">
        <v>1</v>
      </c>
      <c r="AI45" s="69"/>
      <c r="AJ45" s="107">
        <v>38</v>
      </c>
      <c r="AK45" s="65">
        <v>3.09</v>
      </c>
      <c r="AL45" s="132">
        <v>11</v>
      </c>
      <c r="AM45" s="156"/>
      <c r="AN45" s="127">
        <v>5.3005000000000004</v>
      </c>
      <c r="AO45" s="139"/>
      <c r="AP45" s="69"/>
      <c r="AQ45" s="69"/>
      <c r="AR45" s="133">
        <v>1.9081800000000002</v>
      </c>
      <c r="AS45" s="139"/>
      <c r="AT45" s="19"/>
      <c r="AU45" s="19"/>
    </row>
    <row r="46" spans="1:47" s="17" customFormat="1" ht="20" x14ac:dyDescent="0.2">
      <c r="A46" s="118"/>
      <c r="B46" s="206" t="s">
        <v>320</v>
      </c>
      <c r="C46" s="280" t="s">
        <v>3849</v>
      </c>
      <c r="D46" s="206" t="s">
        <v>321</v>
      </c>
      <c r="E46" s="206" t="s">
        <v>120</v>
      </c>
      <c r="F46" s="119">
        <v>49.676097499999997</v>
      </c>
      <c r="G46" s="119">
        <v>-123.2613831</v>
      </c>
      <c r="H46" s="139" t="s">
        <v>1066</v>
      </c>
      <c r="I46" s="33" t="s">
        <v>2876</v>
      </c>
      <c r="J46" s="150" t="s">
        <v>1939</v>
      </c>
      <c r="K46" s="51" t="s">
        <v>3209</v>
      </c>
      <c r="L46" s="175">
        <v>138</v>
      </c>
      <c r="M46" s="54">
        <v>2013</v>
      </c>
      <c r="N46" s="33">
        <f>M46+15</f>
        <v>2028</v>
      </c>
      <c r="O46" s="33"/>
      <c r="P46" s="63" t="s">
        <v>1048</v>
      </c>
      <c r="Q46" s="51" t="s">
        <v>2944</v>
      </c>
      <c r="R46" s="65">
        <v>1.4</v>
      </c>
      <c r="S46" s="248">
        <f>System!$E$7</f>
        <v>0.97</v>
      </c>
      <c r="T46" s="247">
        <f t="shared" si="0"/>
        <v>1.3579999999999999</v>
      </c>
      <c r="U46" s="114">
        <f t="shared" si="1"/>
        <v>0.91650358773646445</v>
      </c>
      <c r="V46" s="64">
        <v>11.24</v>
      </c>
      <c r="W46" s="99">
        <v>1</v>
      </c>
      <c r="Y46" s="127">
        <v>13.5</v>
      </c>
      <c r="Z46" s="60">
        <v>0.63</v>
      </c>
      <c r="AA46" s="60">
        <v>1.4</v>
      </c>
      <c r="AB46" s="107">
        <v>5</v>
      </c>
      <c r="AC46" s="107">
        <v>8</v>
      </c>
      <c r="AD46" s="69"/>
      <c r="AE46" s="69"/>
      <c r="AF46" s="69"/>
      <c r="AG46" s="69"/>
      <c r="AH46" s="54" t="b">
        <v>1</v>
      </c>
      <c r="AI46" s="69"/>
      <c r="AJ46" s="107">
        <v>38</v>
      </c>
      <c r="AK46" s="65">
        <v>3.09</v>
      </c>
      <c r="AL46" s="132">
        <v>11</v>
      </c>
      <c r="AM46" s="156"/>
      <c r="AN46" s="127">
        <v>5.3005000000000004</v>
      </c>
      <c r="AO46" s="139"/>
      <c r="AP46" s="69"/>
      <c r="AQ46" s="69"/>
      <c r="AR46" s="133">
        <v>1.9081800000000002</v>
      </c>
      <c r="AS46" s="139"/>
      <c r="AT46" s="19"/>
      <c r="AU46" s="19"/>
    </row>
    <row r="47" spans="1:47" s="17" customFormat="1" ht="20" x14ac:dyDescent="0.2">
      <c r="A47" s="118"/>
      <c r="B47" s="206" t="s">
        <v>2372</v>
      </c>
      <c r="C47" s="280" t="s">
        <v>3853</v>
      </c>
      <c r="D47" s="206" t="s">
        <v>113</v>
      </c>
      <c r="E47" s="206" t="s">
        <v>114</v>
      </c>
      <c r="F47" s="119">
        <v>50.392242099999997</v>
      </c>
      <c r="G47" s="119">
        <v>-119.2259013</v>
      </c>
      <c r="H47" s="139" t="s">
        <v>1066</v>
      </c>
      <c r="I47" s="33" t="s">
        <v>2876</v>
      </c>
      <c r="J47" s="151" t="s">
        <v>2628</v>
      </c>
      <c r="K47" s="51" t="s">
        <v>3165</v>
      </c>
      <c r="L47" s="175">
        <v>138</v>
      </c>
      <c r="M47" s="54">
        <v>2009</v>
      </c>
      <c r="N47" s="33">
        <f>M47+15</f>
        <v>2024</v>
      </c>
      <c r="O47" s="33"/>
      <c r="P47" s="63" t="s">
        <v>1048</v>
      </c>
      <c r="Q47" s="51" t="s">
        <v>2944</v>
      </c>
      <c r="R47" s="65">
        <v>20.399999999999999</v>
      </c>
      <c r="S47" s="248">
        <f>System!$E$7</f>
        <v>0.97</v>
      </c>
      <c r="T47" s="247">
        <f t="shared" si="0"/>
        <v>19.787999999999997</v>
      </c>
      <c r="U47" s="114">
        <f t="shared" si="1"/>
        <v>0.91391351060972337</v>
      </c>
      <c r="V47" s="105">
        <v>163.32</v>
      </c>
      <c r="W47" s="99">
        <v>1</v>
      </c>
      <c r="Y47" s="127">
        <v>11.6</v>
      </c>
      <c r="Z47" s="60">
        <v>9.18</v>
      </c>
      <c r="AA47" s="60">
        <v>20.399999999999999</v>
      </c>
      <c r="AB47" s="107">
        <v>8</v>
      </c>
      <c r="AC47" s="107">
        <v>8</v>
      </c>
      <c r="AD47" s="69"/>
      <c r="AE47" s="69"/>
      <c r="AF47" s="69"/>
      <c r="AG47" s="69"/>
      <c r="AH47" s="54" t="b">
        <v>1</v>
      </c>
      <c r="AI47" s="69"/>
      <c r="AJ47" s="107">
        <v>38</v>
      </c>
      <c r="AK47" s="65">
        <v>3.09</v>
      </c>
      <c r="AL47" s="132">
        <v>11</v>
      </c>
      <c r="AM47" s="156"/>
      <c r="AN47" s="127">
        <v>5.3005000000000004</v>
      </c>
      <c r="AO47" s="139"/>
      <c r="AP47" s="69"/>
      <c r="AQ47" s="69"/>
      <c r="AR47" s="133">
        <v>1.9081800000000002</v>
      </c>
      <c r="AS47" s="139"/>
      <c r="AT47" s="19"/>
      <c r="AU47" s="19"/>
    </row>
    <row r="48" spans="1:47" s="17" customFormat="1" ht="20" x14ac:dyDescent="0.2">
      <c r="A48" s="118"/>
      <c r="B48" s="206" t="s">
        <v>2780</v>
      </c>
      <c r="C48" s="280" t="s">
        <v>3854</v>
      </c>
      <c r="D48" s="206" t="s">
        <v>113</v>
      </c>
      <c r="E48" s="206" t="s">
        <v>198</v>
      </c>
      <c r="F48" s="119">
        <v>49.901380000000003</v>
      </c>
      <c r="G48" s="119">
        <v>-119.49938</v>
      </c>
      <c r="H48" s="139" t="s">
        <v>1066</v>
      </c>
      <c r="I48" s="33" t="s">
        <v>2876</v>
      </c>
      <c r="J48" s="151" t="s">
        <v>1646</v>
      </c>
      <c r="K48" s="51" t="s">
        <v>3210</v>
      </c>
      <c r="L48" s="175">
        <v>230</v>
      </c>
      <c r="M48" s="63">
        <v>2010</v>
      </c>
      <c r="N48" s="33">
        <f>M48+15</f>
        <v>2025</v>
      </c>
      <c r="O48" s="33"/>
      <c r="P48" s="63" t="s">
        <v>1048</v>
      </c>
      <c r="Q48" s="51" t="s">
        <v>2944</v>
      </c>
      <c r="R48" s="64">
        <v>14.9</v>
      </c>
      <c r="S48" s="248">
        <f>System!$E$7</f>
        <v>0.97</v>
      </c>
      <c r="T48" s="247">
        <f t="shared" si="0"/>
        <v>14.452999999999999</v>
      </c>
      <c r="U48" s="114">
        <f t="shared" si="1"/>
        <v>8.3892617449664433E-2</v>
      </c>
      <c r="V48" s="64">
        <v>10.95</v>
      </c>
      <c r="W48" s="99">
        <v>1</v>
      </c>
      <c r="Y48" s="129">
        <v>12.12</v>
      </c>
      <c r="Z48" s="131">
        <v>3.7250000000000001</v>
      </c>
      <c r="AA48" s="131">
        <v>14.9</v>
      </c>
      <c r="AB48" s="100">
        <v>8</v>
      </c>
      <c r="AC48" s="100">
        <v>8</v>
      </c>
      <c r="AD48" s="69"/>
      <c r="AE48" s="69"/>
      <c r="AF48" s="69"/>
      <c r="AG48" s="69"/>
      <c r="AH48" s="100" t="b">
        <v>1</v>
      </c>
      <c r="AI48" s="69"/>
      <c r="AJ48" s="100">
        <v>38</v>
      </c>
      <c r="AK48" s="131">
        <v>3.09</v>
      </c>
      <c r="AL48" s="100">
        <v>11</v>
      </c>
      <c r="AM48" s="163"/>
      <c r="AN48" s="134">
        <v>5.3005000000000004</v>
      </c>
      <c r="AO48" s="252"/>
      <c r="AP48" s="69"/>
      <c r="AQ48" s="69"/>
      <c r="AR48" s="116"/>
      <c r="AS48" s="139"/>
      <c r="AT48" s="19"/>
      <c r="AU48" s="19"/>
    </row>
    <row r="49" spans="1:47" s="17" customFormat="1" ht="20" x14ac:dyDescent="0.2">
      <c r="A49" s="118"/>
      <c r="B49" s="206" t="s">
        <v>2778</v>
      </c>
      <c r="C49" s="280" t="s">
        <v>3858</v>
      </c>
      <c r="D49" s="206" t="s">
        <v>826</v>
      </c>
      <c r="E49" s="206" t="s">
        <v>816</v>
      </c>
      <c r="F49" s="119">
        <v>49.260241100000002</v>
      </c>
      <c r="G49" s="119">
        <v>-123.2545295</v>
      </c>
      <c r="H49" s="139" t="s">
        <v>1066</v>
      </c>
      <c r="I49" s="33" t="s">
        <v>2876</v>
      </c>
      <c r="J49" s="150" t="s">
        <v>1638</v>
      </c>
      <c r="K49" s="51" t="s">
        <v>3211</v>
      </c>
      <c r="L49" s="175">
        <v>230</v>
      </c>
      <c r="M49" s="100">
        <v>2000</v>
      </c>
      <c r="N49" s="100">
        <v>2100</v>
      </c>
      <c r="O49" s="48"/>
      <c r="P49" s="120" t="s">
        <v>1048</v>
      </c>
      <c r="Q49" s="51" t="s">
        <v>2944</v>
      </c>
      <c r="R49" s="121">
        <v>2</v>
      </c>
      <c r="S49" s="248">
        <f>System!$E$7</f>
        <v>0.97</v>
      </c>
      <c r="T49" s="247">
        <f t="shared" si="0"/>
        <v>1.94</v>
      </c>
      <c r="U49" s="114">
        <f t="shared" si="1"/>
        <v>0.2117579908675799</v>
      </c>
      <c r="V49" s="121">
        <v>3.71</v>
      </c>
      <c r="W49" s="99">
        <v>1</v>
      </c>
      <c r="X49" s="117"/>
      <c r="Y49" s="129">
        <v>12.12</v>
      </c>
      <c r="Z49" s="131">
        <v>0.66666666666666663</v>
      </c>
      <c r="AA49" s="131">
        <v>2</v>
      </c>
      <c r="AB49" s="100">
        <v>8</v>
      </c>
      <c r="AC49" s="100">
        <v>8</v>
      </c>
      <c r="AD49" s="69"/>
      <c r="AE49" s="69"/>
      <c r="AF49" s="69"/>
      <c r="AG49" s="69"/>
      <c r="AH49" s="100" t="b">
        <v>1</v>
      </c>
      <c r="AI49" s="69"/>
      <c r="AJ49" s="130">
        <v>38</v>
      </c>
      <c r="AK49" s="131">
        <v>3.09</v>
      </c>
      <c r="AL49" s="100">
        <v>11</v>
      </c>
      <c r="AM49" s="163"/>
      <c r="AN49" s="134">
        <v>5.3005000000000004</v>
      </c>
      <c r="AO49" s="252"/>
      <c r="AP49" s="69"/>
      <c r="AQ49" s="69"/>
      <c r="AR49" s="116"/>
      <c r="AS49" s="139"/>
      <c r="AT49" s="19"/>
      <c r="AU49" s="19"/>
    </row>
    <row r="50" spans="1:47" s="17" customFormat="1" ht="20" x14ac:dyDescent="0.2">
      <c r="A50" s="118"/>
      <c r="B50" s="206" t="s">
        <v>817</v>
      </c>
      <c r="C50" s="280" t="s">
        <v>3859</v>
      </c>
      <c r="D50" s="206" t="s">
        <v>825</v>
      </c>
      <c r="E50" s="206" t="s">
        <v>231</v>
      </c>
      <c r="F50" s="119">
        <v>53.892630400000002</v>
      </c>
      <c r="G50" s="119">
        <v>-122.81492729999999</v>
      </c>
      <c r="H50" s="139" t="s">
        <v>1066</v>
      </c>
      <c r="I50" s="33" t="s">
        <v>2876</v>
      </c>
      <c r="J50" s="150" t="s">
        <v>1827</v>
      </c>
      <c r="K50" s="33" t="s">
        <v>3212</v>
      </c>
      <c r="L50" s="175">
        <v>230</v>
      </c>
      <c r="M50" s="100">
        <v>2000</v>
      </c>
      <c r="N50" s="100">
        <v>2100</v>
      </c>
      <c r="O50" s="48"/>
      <c r="P50" s="120" t="s">
        <v>1048</v>
      </c>
      <c r="Q50" s="51" t="s">
        <v>2944</v>
      </c>
      <c r="R50" s="121">
        <v>4.4000000000000004</v>
      </c>
      <c r="S50" s="248">
        <f>System!$E$7</f>
        <v>0.97</v>
      </c>
      <c r="T50" s="247">
        <f t="shared" si="0"/>
        <v>4.2679999999999998</v>
      </c>
      <c r="U50" s="114">
        <f t="shared" si="1"/>
        <v>0.21196554586965546</v>
      </c>
      <c r="V50" s="121">
        <v>8.17</v>
      </c>
      <c r="W50" s="99">
        <v>1</v>
      </c>
      <c r="X50" s="117"/>
      <c r="Y50" s="129">
        <v>12.12</v>
      </c>
      <c r="Z50" s="131">
        <v>1.4666666666666668</v>
      </c>
      <c r="AA50" s="131">
        <v>4.4000000000000004</v>
      </c>
      <c r="AB50" s="176">
        <v>8</v>
      </c>
      <c r="AC50" s="176">
        <v>8</v>
      </c>
      <c r="AD50" s="69"/>
      <c r="AE50" s="69"/>
      <c r="AF50" s="69"/>
      <c r="AG50" s="69"/>
      <c r="AH50" s="100" t="b">
        <v>1</v>
      </c>
      <c r="AI50" s="69"/>
      <c r="AJ50" s="130">
        <v>38</v>
      </c>
      <c r="AK50" s="131">
        <v>3.09</v>
      </c>
      <c r="AL50" s="100">
        <v>11</v>
      </c>
      <c r="AM50" s="163"/>
      <c r="AN50" s="134">
        <v>5.3005000000000004</v>
      </c>
      <c r="AO50" s="252"/>
      <c r="AP50" s="69"/>
      <c r="AQ50" s="69"/>
      <c r="AR50" s="116"/>
      <c r="AS50" s="139"/>
      <c r="AT50" s="19"/>
      <c r="AU50" s="19"/>
    </row>
    <row r="51" spans="1:47" s="17" customFormat="1" ht="20" x14ac:dyDescent="0.2">
      <c r="A51" s="118"/>
      <c r="B51" s="204" t="s">
        <v>911</v>
      </c>
      <c r="C51" s="280" t="s">
        <v>2946</v>
      </c>
      <c r="D51" s="204" t="s">
        <v>106</v>
      </c>
      <c r="E51" s="204" t="s">
        <v>107</v>
      </c>
      <c r="F51" s="126">
        <v>49.493319300000003</v>
      </c>
      <c r="G51" s="126">
        <v>-115.36242369999999</v>
      </c>
      <c r="H51" s="139" t="s">
        <v>1066</v>
      </c>
      <c r="I51" s="33" t="s">
        <v>2876</v>
      </c>
      <c r="J51" s="150" t="s">
        <v>1564</v>
      </c>
      <c r="K51" s="51" t="s">
        <v>3087</v>
      </c>
      <c r="L51" s="175">
        <v>69</v>
      </c>
      <c r="M51" s="67">
        <v>1922</v>
      </c>
      <c r="N51" s="100">
        <v>2100</v>
      </c>
      <c r="O51" s="33"/>
      <c r="P51" s="67" t="s">
        <v>1034</v>
      </c>
      <c r="Q51" s="51" t="s">
        <v>1043</v>
      </c>
      <c r="R51" s="65">
        <v>8</v>
      </c>
      <c r="S51" s="248">
        <f>System!$E$10</f>
        <v>1</v>
      </c>
      <c r="T51" s="247">
        <f t="shared" si="0"/>
        <v>8</v>
      </c>
      <c r="U51" s="114">
        <f t="shared" si="1"/>
        <v>0.33116438356164385</v>
      </c>
      <c r="V51" s="125">
        <v>23.207999999999998</v>
      </c>
      <c r="W51" s="99">
        <v>3</v>
      </c>
      <c r="Y51" s="128" t="s">
        <v>83</v>
      </c>
      <c r="Z51" s="60">
        <v>0</v>
      </c>
      <c r="AA51" s="60">
        <v>8</v>
      </c>
      <c r="AB51" s="107">
        <v>1</v>
      </c>
      <c r="AC51" s="107">
        <v>1</v>
      </c>
      <c r="AD51" s="69"/>
      <c r="AE51" s="69"/>
      <c r="AF51" s="69"/>
      <c r="AG51" s="69"/>
      <c r="AH51" s="54" t="b">
        <v>0</v>
      </c>
      <c r="AI51" s="69"/>
      <c r="AJ51" s="107">
        <v>1</v>
      </c>
      <c r="AK51" s="69"/>
      <c r="AL51" s="99"/>
      <c r="AM51" s="156"/>
      <c r="AN51" s="115"/>
      <c r="AO51" s="116"/>
      <c r="AP51" s="69"/>
      <c r="AQ51" s="69"/>
      <c r="AR51" s="139"/>
      <c r="AS51" s="139"/>
      <c r="AT51" s="19"/>
      <c r="AU51" s="19"/>
    </row>
    <row r="52" spans="1:47" s="17" customFormat="1" ht="20" x14ac:dyDescent="0.2">
      <c r="A52" s="118"/>
      <c r="B52" s="204" t="s">
        <v>912</v>
      </c>
      <c r="C52" s="280" t="s">
        <v>2986</v>
      </c>
      <c r="D52" s="204" t="s">
        <v>106</v>
      </c>
      <c r="E52" s="204" t="s">
        <v>107</v>
      </c>
      <c r="F52" s="126">
        <v>49.493319300000003</v>
      </c>
      <c r="G52" s="126">
        <v>-115.36242369999999</v>
      </c>
      <c r="H52" s="139" t="s">
        <v>1066</v>
      </c>
      <c r="I52" s="33" t="s">
        <v>2876</v>
      </c>
      <c r="J52" s="150" t="s">
        <v>1564</v>
      </c>
      <c r="K52" s="51" t="s">
        <v>3087</v>
      </c>
      <c r="L52" s="175">
        <v>69</v>
      </c>
      <c r="M52" s="67">
        <v>1922</v>
      </c>
      <c r="N52" s="100">
        <v>2100</v>
      </c>
      <c r="O52" s="33"/>
      <c r="P52" s="67" t="s">
        <v>1034</v>
      </c>
      <c r="Q52" s="51" t="s">
        <v>1043</v>
      </c>
      <c r="R52" s="65">
        <v>8</v>
      </c>
      <c r="S52" s="248">
        <f>System!$E$10</f>
        <v>1</v>
      </c>
      <c r="T52" s="247">
        <f t="shared" si="0"/>
        <v>8</v>
      </c>
      <c r="U52" s="114">
        <f t="shared" si="1"/>
        <v>0.33116438356164385</v>
      </c>
      <c r="V52" s="125">
        <v>23.207999999999998</v>
      </c>
      <c r="W52" s="99">
        <v>3</v>
      </c>
      <c r="Y52" s="128" t="s">
        <v>83</v>
      </c>
      <c r="Z52" s="60">
        <v>0</v>
      </c>
      <c r="AA52" s="60">
        <v>8</v>
      </c>
      <c r="AB52" s="107">
        <v>1</v>
      </c>
      <c r="AC52" s="107">
        <v>1</v>
      </c>
      <c r="AD52" s="69"/>
      <c r="AE52" s="69"/>
      <c r="AF52" s="69"/>
      <c r="AG52" s="69"/>
      <c r="AH52" s="54" t="b">
        <v>0</v>
      </c>
      <c r="AI52" s="69"/>
      <c r="AJ52" s="107">
        <v>1</v>
      </c>
      <c r="AK52" s="69"/>
      <c r="AL52" s="99"/>
      <c r="AM52" s="156"/>
      <c r="AN52" s="115"/>
      <c r="AO52" s="116"/>
      <c r="AP52" s="69"/>
      <c r="AQ52" s="69"/>
      <c r="AR52" s="139"/>
      <c r="AS52" s="139"/>
      <c r="AT52" s="19"/>
      <c r="AU52" s="19"/>
    </row>
    <row r="53" spans="1:47" s="17" customFormat="1" ht="20" x14ac:dyDescent="0.2">
      <c r="A53" s="118"/>
      <c r="B53" s="204" t="s">
        <v>913</v>
      </c>
      <c r="C53" s="280" t="s">
        <v>3029</v>
      </c>
      <c r="D53" s="204" t="s">
        <v>106</v>
      </c>
      <c r="E53" s="204" t="s">
        <v>107</v>
      </c>
      <c r="F53" s="126">
        <v>49.493319300000003</v>
      </c>
      <c r="G53" s="126">
        <v>-115.36242369999999</v>
      </c>
      <c r="H53" s="139" t="s">
        <v>1066</v>
      </c>
      <c r="I53" s="33" t="s">
        <v>2876</v>
      </c>
      <c r="J53" s="150" t="s">
        <v>1564</v>
      </c>
      <c r="K53" s="51" t="s">
        <v>3087</v>
      </c>
      <c r="L53" s="175">
        <v>69</v>
      </c>
      <c r="M53" s="67">
        <v>1922</v>
      </c>
      <c r="N53" s="100">
        <v>2100</v>
      </c>
      <c r="O53" s="33"/>
      <c r="P53" s="67" t="s">
        <v>1034</v>
      </c>
      <c r="Q53" s="51" t="s">
        <v>1043</v>
      </c>
      <c r="R53" s="65">
        <v>8</v>
      </c>
      <c r="S53" s="248">
        <f>System!$E$10</f>
        <v>1</v>
      </c>
      <c r="T53" s="247">
        <f t="shared" si="0"/>
        <v>8</v>
      </c>
      <c r="U53" s="114">
        <f t="shared" si="1"/>
        <v>0.33116438356164385</v>
      </c>
      <c r="V53" s="125">
        <v>23.207999999999998</v>
      </c>
      <c r="W53" s="99">
        <v>3</v>
      </c>
      <c r="Y53" s="128" t="s">
        <v>83</v>
      </c>
      <c r="Z53" s="60">
        <v>0</v>
      </c>
      <c r="AA53" s="60">
        <v>8</v>
      </c>
      <c r="AB53" s="107">
        <v>1</v>
      </c>
      <c r="AC53" s="107">
        <v>1</v>
      </c>
      <c r="AD53" s="69"/>
      <c r="AE53" s="69"/>
      <c r="AF53" s="69"/>
      <c r="AG53" s="69"/>
      <c r="AH53" s="54" t="b">
        <v>0</v>
      </c>
      <c r="AI53" s="69"/>
      <c r="AJ53" s="107">
        <v>1</v>
      </c>
      <c r="AK53" s="69"/>
      <c r="AL53" s="99"/>
      <c r="AM53" s="156"/>
      <c r="AN53" s="115"/>
      <c r="AO53" s="116"/>
      <c r="AP53" s="69"/>
      <c r="AQ53" s="69"/>
      <c r="AR53" s="139"/>
      <c r="AS53" s="139"/>
      <c r="AT53" s="19"/>
      <c r="AU53" s="19"/>
    </row>
    <row r="54" spans="1:47" s="17" customFormat="1" ht="20" x14ac:dyDescent="0.2">
      <c r="A54" s="118"/>
      <c r="B54" s="204" t="s">
        <v>111</v>
      </c>
      <c r="C54" s="280" t="s">
        <v>3746</v>
      </c>
      <c r="D54" s="204" t="s">
        <v>106</v>
      </c>
      <c r="E54" s="204" t="s">
        <v>112</v>
      </c>
      <c r="F54" s="126">
        <v>49.372118</v>
      </c>
      <c r="G54" s="126">
        <v>-122.31242899999999</v>
      </c>
      <c r="H54" s="139" t="s">
        <v>1066</v>
      </c>
      <c r="I54" s="33" t="s">
        <v>2876</v>
      </c>
      <c r="J54" s="150" t="s">
        <v>2290</v>
      </c>
      <c r="K54" s="51" t="s">
        <v>3089</v>
      </c>
      <c r="L54" s="175">
        <v>69</v>
      </c>
      <c r="M54" s="54">
        <v>1928</v>
      </c>
      <c r="N54" s="100">
        <v>2100</v>
      </c>
      <c r="O54" s="33"/>
      <c r="P54" s="67" t="s">
        <v>1034</v>
      </c>
      <c r="Q54" s="51" t="s">
        <v>1043</v>
      </c>
      <c r="R54" s="65">
        <v>9</v>
      </c>
      <c r="S54" s="248">
        <f>System!$E$10</f>
        <v>1</v>
      </c>
      <c r="T54" s="247">
        <f t="shared" si="0"/>
        <v>9</v>
      </c>
      <c r="U54" s="114">
        <f t="shared" si="1"/>
        <v>0.33115880423008626</v>
      </c>
      <c r="V54" s="65">
        <v>26.108560125499999</v>
      </c>
      <c r="W54" s="99">
        <v>1</v>
      </c>
      <c r="Y54" s="128" t="s">
        <v>83</v>
      </c>
      <c r="Z54" s="60">
        <v>0</v>
      </c>
      <c r="AA54" s="60">
        <v>9</v>
      </c>
      <c r="AB54" s="107">
        <v>1</v>
      </c>
      <c r="AC54" s="107">
        <v>1</v>
      </c>
      <c r="AD54" s="69"/>
      <c r="AE54" s="69"/>
      <c r="AF54" s="69"/>
      <c r="AG54" s="69"/>
      <c r="AH54" s="54" t="b">
        <v>0</v>
      </c>
      <c r="AI54" s="69"/>
      <c r="AJ54" s="107">
        <v>1</v>
      </c>
      <c r="AK54" s="69"/>
      <c r="AL54" s="99"/>
      <c r="AN54" s="115"/>
      <c r="AO54" s="116"/>
      <c r="AP54" s="69"/>
      <c r="AQ54" s="69"/>
      <c r="AR54" s="139"/>
      <c r="AS54" s="139"/>
      <c r="AT54" s="19"/>
      <c r="AU54" s="19"/>
    </row>
    <row r="55" spans="1:47" s="17" customFormat="1" ht="20" x14ac:dyDescent="0.2">
      <c r="A55" s="118"/>
      <c r="B55" s="206" t="s">
        <v>988</v>
      </c>
      <c r="C55" s="280" t="s">
        <v>2947</v>
      </c>
      <c r="D55" s="206" t="s">
        <v>115</v>
      </c>
      <c r="E55" s="206" t="s">
        <v>116</v>
      </c>
      <c r="F55" s="126">
        <v>49.343024399999997</v>
      </c>
      <c r="G55" s="126">
        <v>-117.76884920000001</v>
      </c>
      <c r="H55" s="139" t="s">
        <v>1066</v>
      </c>
      <c r="I55" s="33" t="s">
        <v>2876</v>
      </c>
      <c r="J55" s="151" t="s">
        <v>1569</v>
      </c>
      <c r="K55" s="51" t="s">
        <v>3088</v>
      </c>
      <c r="L55" s="175">
        <v>230</v>
      </c>
      <c r="M55" s="300">
        <v>2002</v>
      </c>
      <c r="N55" s="33">
        <f>M55+40</f>
        <v>2042</v>
      </c>
      <c r="O55" s="33"/>
      <c r="P55" s="63" t="s">
        <v>1034</v>
      </c>
      <c r="Q55" s="51" t="s">
        <v>1043</v>
      </c>
      <c r="R55" s="65">
        <v>92.5</v>
      </c>
      <c r="S55" s="248">
        <f>System!$E$10</f>
        <v>1</v>
      </c>
      <c r="T55" s="247">
        <f t="shared" si="0"/>
        <v>92.5</v>
      </c>
      <c r="U55" s="114">
        <f t="shared" si="1"/>
        <v>0.47328150067876096</v>
      </c>
      <c r="V55" s="64">
        <v>383.5</v>
      </c>
      <c r="W55" s="99">
        <v>2</v>
      </c>
      <c r="Y55" s="128" t="s">
        <v>83</v>
      </c>
      <c r="Z55" s="60">
        <v>0</v>
      </c>
      <c r="AA55" s="60">
        <v>92.5</v>
      </c>
      <c r="AB55" s="107">
        <v>1</v>
      </c>
      <c r="AC55" s="107">
        <v>1</v>
      </c>
      <c r="AD55" s="69"/>
      <c r="AE55" s="69"/>
      <c r="AF55" s="69"/>
      <c r="AG55" s="69"/>
      <c r="AH55" s="54" t="b">
        <v>0</v>
      </c>
      <c r="AI55" s="69"/>
      <c r="AJ55" s="107">
        <v>1</v>
      </c>
      <c r="AK55" s="69"/>
      <c r="AL55" s="99"/>
      <c r="AN55" s="115"/>
      <c r="AO55" s="116"/>
      <c r="AP55" s="69"/>
      <c r="AQ55" s="69"/>
      <c r="AR55" s="139"/>
      <c r="AS55" s="139"/>
      <c r="AT55" s="19"/>
      <c r="AU55" s="19"/>
    </row>
    <row r="56" spans="1:47" s="17" customFormat="1" ht="20" x14ac:dyDescent="0.2">
      <c r="A56" s="118"/>
      <c r="B56" s="206" t="s">
        <v>989</v>
      </c>
      <c r="C56" s="280" t="s">
        <v>2987</v>
      </c>
      <c r="D56" s="206" t="s">
        <v>115</v>
      </c>
      <c r="E56" s="206" t="s">
        <v>116</v>
      </c>
      <c r="F56" s="126">
        <v>49.343024399999997</v>
      </c>
      <c r="G56" s="126">
        <v>-117.76884920000001</v>
      </c>
      <c r="H56" s="139" t="s">
        <v>1066</v>
      </c>
      <c r="I56" s="33" t="s">
        <v>2876</v>
      </c>
      <c r="J56" s="151" t="s">
        <v>1569</v>
      </c>
      <c r="K56" s="51" t="s">
        <v>3088</v>
      </c>
      <c r="L56" s="175">
        <v>230</v>
      </c>
      <c r="M56" s="300">
        <v>2002</v>
      </c>
      <c r="N56" s="33">
        <f>M56+40</f>
        <v>2042</v>
      </c>
      <c r="O56" s="33"/>
      <c r="P56" s="63" t="s">
        <v>1034</v>
      </c>
      <c r="Q56" s="51" t="s">
        <v>1043</v>
      </c>
      <c r="R56" s="65">
        <v>92.5</v>
      </c>
      <c r="S56" s="248">
        <f>System!$E$10</f>
        <v>1</v>
      </c>
      <c r="T56" s="247">
        <f t="shared" si="0"/>
        <v>92.5</v>
      </c>
      <c r="U56" s="114">
        <f t="shared" si="1"/>
        <v>0.47328150067876096</v>
      </c>
      <c r="V56" s="64">
        <v>383.5</v>
      </c>
      <c r="W56" s="99">
        <v>2</v>
      </c>
      <c r="Y56" s="128" t="s">
        <v>83</v>
      </c>
      <c r="Z56" s="60">
        <v>0</v>
      </c>
      <c r="AA56" s="60">
        <v>92.5</v>
      </c>
      <c r="AB56" s="107">
        <v>1</v>
      </c>
      <c r="AC56" s="107">
        <v>1</v>
      </c>
      <c r="AD56" s="69"/>
      <c r="AE56" s="69"/>
      <c r="AF56" s="69"/>
      <c r="AG56" s="69"/>
      <c r="AH56" s="54" t="b">
        <v>0</v>
      </c>
      <c r="AI56" s="69"/>
      <c r="AJ56" s="107">
        <v>1</v>
      </c>
      <c r="AK56" s="69"/>
      <c r="AL56" s="99"/>
      <c r="AN56" s="115"/>
      <c r="AO56" s="116"/>
      <c r="AP56" s="69"/>
      <c r="AQ56" s="69"/>
      <c r="AR56" s="139"/>
      <c r="AS56" s="139"/>
      <c r="AT56" s="19"/>
      <c r="AU56" s="19"/>
    </row>
    <row r="57" spans="1:47" s="17" customFormat="1" ht="20" x14ac:dyDescent="0.2">
      <c r="A57" s="118"/>
      <c r="B57" s="204" t="s">
        <v>117</v>
      </c>
      <c r="C57" s="280" t="s">
        <v>3747</v>
      </c>
      <c r="D57" s="204" t="s">
        <v>106</v>
      </c>
      <c r="E57" s="204" t="s">
        <v>118</v>
      </c>
      <c r="F57" s="126">
        <v>49.373362999999998</v>
      </c>
      <c r="G57" s="126">
        <v>-125.15062880000001</v>
      </c>
      <c r="H57" s="139" t="s">
        <v>1066</v>
      </c>
      <c r="I57" s="33" t="s">
        <v>2876</v>
      </c>
      <c r="J57" s="150" t="s">
        <v>1573</v>
      </c>
      <c r="K57" s="51" t="s">
        <v>3090</v>
      </c>
      <c r="L57" s="175">
        <v>138</v>
      </c>
      <c r="M57" s="54">
        <v>1958</v>
      </c>
      <c r="N57" s="100">
        <v>2100</v>
      </c>
      <c r="O57" s="33"/>
      <c r="P57" s="67" t="s">
        <v>1034</v>
      </c>
      <c r="Q57" s="51" t="s">
        <v>1043</v>
      </c>
      <c r="R57" s="65">
        <v>28</v>
      </c>
      <c r="S57" s="248">
        <f>System!$E$10</f>
        <v>1</v>
      </c>
      <c r="T57" s="247">
        <f t="shared" si="0"/>
        <v>28</v>
      </c>
      <c r="U57" s="114">
        <f t="shared" si="1"/>
        <v>0.3311588354221624</v>
      </c>
      <c r="V57" s="125">
        <v>81.226639152348</v>
      </c>
      <c r="W57" s="99">
        <v>1</v>
      </c>
      <c r="Y57" s="128" t="s">
        <v>83</v>
      </c>
      <c r="Z57" s="60">
        <v>0</v>
      </c>
      <c r="AA57" s="60">
        <v>28</v>
      </c>
      <c r="AB57" s="107">
        <v>1</v>
      </c>
      <c r="AC57" s="107">
        <v>1</v>
      </c>
      <c r="AD57" s="69"/>
      <c r="AE57" s="69"/>
      <c r="AF57" s="69"/>
      <c r="AG57" s="69"/>
      <c r="AH57" s="54" t="b">
        <v>0</v>
      </c>
      <c r="AI57" s="69"/>
      <c r="AJ57" s="107">
        <v>1</v>
      </c>
      <c r="AK57" s="69"/>
      <c r="AL57" s="99"/>
      <c r="AN57" s="115"/>
      <c r="AO57" s="116"/>
      <c r="AP57" s="69"/>
      <c r="AQ57" s="69"/>
      <c r="AR57" s="139"/>
      <c r="AS57" s="139"/>
      <c r="AT57" s="19"/>
      <c r="AU57" s="19"/>
    </row>
    <row r="58" spans="1:47" s="17" customFormat="1" ht="20" x14ac:dyDescent="0.2">
      <c r="A58" s="118"/>
      <c r="B58" s="204" t="s">
        <v>980</v>
      </c>
      <c r="C58" s="280" t="s">
        <v>2948</v>
      </c>
      <c r="D58" s="204" t="s">
        <v>106</v>
      </c>
      <c r="E58" s="204" t="s">
        <v>141</v>
      </c>
      <c r="F58" s="126">
        <v>50.729850399999997</v>
      </c>
      <c r="G58" s="126">
        <v>-122.2400375</v>
      </c>
      <c r="H58" s="139" t="s">
        <v>1066</v>
      </c>
      <c r="I58" s="33" t="s">
        <v>2876</v>
      </c>
      <c r="J58" s="150" t="s">
        <v>1601</v>
      </c>
      <c r="K58" s="51" t="s">
        <v>3720</v>
      </c>
      <c r="L58" s="175">
        <v>230</v>
      </c>
      <c r="M58" s="54">
        <v>1934</v>
      </c>
      <c r="N58" s="100">
        <v>2100</v>
      </c>
      <c r="O58" s="33"/>
      <c r="P58" s="67" t="s">
        <v>1034</v>
      </c>
      <c r="Q58" s="51" t="s">
        <v>1043</v>
      </c>
      <c r="R58" s="65">
        <v>51.5</v>
      </c>
      <c r="S58" s="248">
        <f>System!$E$10</f>
        <v>1</v>
      </c>
      <c r="T58" s="247">
        <f t="shared" si="0"/>
        <v>51.5</v>
      </c>
      <c r="U58" s="114">
        <f t="shared" si="1"/>
        <v>0.33115884204459811</v>
      </c>
      <c r="V58" s="125">
        <v>149.399</v>
      </c>
      <c r="W58" s="99">
        <v>4</v>
      </c>
      <c r="Y58" s="128" t="s">
        <v>83</v>
      </c>
      <c r="Z58" s="60">
        <v>0</v>
      </c>
      <c r="AA58" s="60">
        <v>51.5</v>
      </c>
      <c r="AB58" s="107">
        <v>1</v>
      </c>
      <c r="AC58" s="107">
        <v>1</v>
      </c>
      <c r="AD58" s="69"/>
      <c r="AE58" s="69"/>
      <c r="AF58" s="69"/>
      <c r="AG58" s="69"/>
      <c r="AH58" s="54" t="b">
        <v>0</v>
      </c>
      <c r="AI58" s="69"/>
      <c r="AJ58" s="107">
        <v>1</v>
      </c>
      <c r="AK58" s="69"/>
      <c r="AL58" s="99"/>
      <c r="AN58" s="115"/>
      <c r="AO58" s="116"/>
      <c r="AP58" s="69"/>
      <c r="AQ58" s="69"/>
      <c r="AR58" s="139"/>
      <c r="AS58" s="139"/>
      <c r="AT58" s="19"/>
      <c r="AU58" s="19"/>
    </row>
    <row r="59" spans="1:47" s="17" customFormat="1" ht="20" x14ac:dyDescent="0.2">
      <c r="A59" s="118"/>
      <c r="B59" s="204" t="s">
        <v>981</v>
      </c>
      <c r="C59" s="280" t="s">
        <v>2988</v>
      </c>
      <c r="D59" s="204" t="s">
        <v>106</v>
      </c>
      <c r="E59" s="204" t="s">
        <v>141</v>
      </c>
      <c r="F59" s="126">
        <v>50.729850399999997</v>
      </c>
      <c r="G59" s="126">
        <v>-122.2400375</v>
      </c>
      <c r="H59" s="139" t="s">
        <v>1066</v>
      </c>
      <c r="I59" s="33" t="s">
        <v>2876</v>
      </c>
      <c r="J59" s="150" t="s">
        <v>1601</v>
      </c>
      <c r="K59" s="51" t="s">
        <v>3720</v>
      </c>
      <c r="L59" s="175">
        <v>230</v>
      </c>
      <c r="M59" s="54">
        <v>1934</v>
      </c>
      <c r="N59" s="100">
        <v>2100</v>
      </c>
      <c r="O59" s="33"/>
      <c r="P59" s="67" t="s">
        <v>1034</v>
      </c>
      <c r="Q59" s="51" t="s">
        <v>1043</v>
      </c>
      <c r="R59" s="65">
        <v>51.5</v>
      </c>
      <c r="S59" s="248">
        <f>System!$E$10</f>
        <v>1</v>
      </c>
      <c r="T59" s="247">
        <f t="shared" si="0"/>
        <v>51.5</v>
      </c>
      <c r="U59" s="114">
        <f t="shared" si="1"/>
        <v>0.33115884204459811</v>
      </c>
      <c r="V59" s="65">
        <v>149.399</v>
      </c>
      <c r="W59" s="99">
        <v>4</v>
      </c>
      <c r="Y59" s="128" t="s">
        <v>83</v>
      </c>
      <c r="Z59" s="60">
        <v>0</v>
      </c>
      <c r="AA59" s="60">
        <v>51.5</v>
      </c>
      <c r="AB59" s="107">
        <v>1</v>
      </c>
      <c r="AC59" s="107">
        <v>1</v>
      </c>
      <c r="AD59" s="69"/>
      <c r="AE59" s="69"/>
      <c r="AF59" s="69"/>
      <c r="AG59" s="69"/>
      <c r="AH59" s="54" t="b">
        <v>0</v>
      </c>
      <c r="AI59" s="69"/>
      <c r="AJ59" s="107">
        <v>1</v>
      </c>
      <c r="AK59" s="69"/>
      <c r="AL59" s="99"/>
      <c r="AN59" s="115"/>
      <c r="AO59" s="116"/>
      <c r="AP59" s="69"/>
      <c r="AQ59" s="69"/>
      <c r="AR59" s="139"/>
      <c r="AS59" s="139"/>
      <c r="AT59" s="19"/>
      <c r="AU59" s="19"/>
    </row>
    <row r="60" spans="1:47" s="17" customFormat="1" ht="20" x14ac:dyDescent="0.2">
      <c r="A60" s="118"/>
      <c r="B60" s="204" t="s">
        <v>982</v>
      </c>
      <c r="C60" s="280" t="s">
        <v>3030</v>
      </c>
      <c r="D60" s="204" t="s">
        <v>106</v>
      </c>
      <c r="E60" s="204" t="s">
        <v>141</v>
      </c>
      <c r="F60" s="126">
        <v>50.729850399999997</v>
      </c>
      <c r="G60" s="126">
        <v>-122.2400375</v>
      </c>
      <c r="H60" s="139" t="s">
        <v>1066</v>
      </c>
      <c r="I60" s="33" t="s">
        <v>2876</v>
      </c>
      <c r="J60" s="150" t="s">
        <v>1601</v>
      </c>
      <c r="K60" s="51" t="s">
        <v>3720</v>
      </c>
      <c r="L60" s="175">
        <v>230</v>
      </c>
      <c r="M60" s="54">
        <v>1934</v>
      </c>
      <c r="N60" s="100">
        <v>2100</v>
      </c>
      <c r="O60" s="33"/>
      <c r="P60" s="67" t="s">
        <v>1034</v>
      </c>
      <c r="Q60" s="51" t="s">
        <v>1043</v>
      </c>
      <c r="R60" s="65">
        <v>51.5</v>
      </c>
      <c r="S60" s="248">
        <f>System!$E$10</f>
        <v>1</v>
      </c>
      <c r="T60" s="247">
        <f t="shared" si="0"/>
        <v>51.5</v>
      </c>
      <c r="U60" s="114">
        <f t="shared" si="1"/>
        <v>0.33115884204459811</v>
      </c>
      <c r="V60" s="65">
        <v>149.399</v>
      </c>
      <c r="W60" s="99">
        <v>4</v>
      </c>
      <c r="Y60" s="128" t="s">
        <v>83</v>
      </c>
      <c r="Z60" s="60">
        <v>0</v>
      </c>
      <c r="AA60" s="60">
        <v>51.5</v>
      </c>
      <c r="AB60" s="107">
        <v>1</v>
      </c>
      <c r="AC60" s="107">
        <v>1</v>
      </c>
      <c r="AD60" s="69"/>
      <c r="AE60" s="69"/>
      <c r="AF60" s="69"/>
      <c r="AG60" s="69"/>
      <c r="AH60" s="54" t="b">
        <v>0</v>
      </c>
      <c r="AI60" s="69"/>
      <c r="AJ60" s="107">
        <v>1</v>
      </c>
      <c r="AK60" s="69"/>
      <c r="AL60" s="99"/>
      <c r="AN60" s="115"/>
      <c r="AO60" s="116"/>
      <c r="AP60" s="69"/>
      <c r="AQ60" s="69"/>
      <c r="AR60" s="139"/>
      <c r="AS60" s="139"/>
      <c r="AT60" s="19"/>
      <c r="AU60" s="19"/>
    </row>
    <row r="61" spans="1:47" s="17" customFormat="1" ht="20" x14ac:dyDescent="0.2">
      <c r="A61" s="118"/>
      <c r="B61" s="204" t="s">
        <v>983</v>
      </c>
      <c r="C61" s="280" t="s">
        <v>3051</v>
      </c>
      <c r="D61" s="204" t="s">
        <v>106</v>
      </c>
      <c r="E61" s="204" t="s">
        <v>141</v>
      </c>
      <c r="F61" s="126">
        <v>50.729850399999997</v>
      </c>
      <c r="G61" s="126">
        <v>-122.2400375</v>
      </c>
      <c r="H61" s="139" t="s">
        <v>1066</v>
      </c>
      <c r="I61" s="33" t="s">
        <v>2876</v>
      </c>
      <c r="J61" s="150" t="s">
        <v>1601</v>
      </c>
      <c r="K61" s="51" t="s">
        <v>3720</v>
      </c>
      <c r="L61" s="175">
        <v>230</v>
      </c>
      <c r="M61" s="54">
        <v>1934</v>
      </c>
      <c r="N61" s="100">
        <v>2100</v>
      </c>
      <c r="O61" s="33"/>
      <c r="P61" s="67" t="s">
        <v>1034</v>
      </c>
      <c r="Q61" s="51" t="s">
        <v>1043</v>
      </c>
      <c r="R61" s="65">
        <v>51.5</v>
      </c>
      <c r="S61" s="248">
        <f>System!$E$10</f>
        <v>1</v>
      </c>
      <c r="T61" s="247">
        <f t="shared" si="0"/>
        <v>51.5</v>
      </c>
      <c r="U61" s="114">
        <f t="shared" si="1"/>
        <v>0.33115884204459811</v>
      </c>
      <c r="V61" s="125">
        <v>149.399</v>
      </c>
      <c r="W61" s="99">
        <v>4</v>
      </c>
      <c r="Y61" s="128" t="s">
        <v>83</v>
      </c>
      <c r="Z61" s="60">
        <v>0</v>
      </c>
      <c r="AA61" s="60">
        <v>51.5</v>
      </c>
      <c r="AB61" s="107">
        <v>1</v>
      </c>
      <c r="AC61" s="107">
        <v>1</v>
      </c>
      <c r="AD61" s="69"/>
      <c r="AE61" s="69"/>
      <c r="AF61" s="69"/>
      <c r="AG61" s="69"/>
      <c r="AH61" s="54" t="b">
        <v>0</v>
      </c>
      <c r="AI61" s="69"/>
      <c r="AJ61" s="107">
        <v>1</v>
      </c>
      <c r="AK61" s="69"/>
      <c r="AL61" s="99"/>
      <c r="AM61" s="156"/>
      <c r="AN61" s="115"/>
      <c r="AO61" s="116"/>
      <c r="AP61" s="69"/>
      <c r="AQ61" s="69"/>
      <c r="AR61" s="139"/>
      <c r="AS61" s="139"/>
      <c r="AT61" s="19"/>
      <c r="AU61" s="19"/>
    </row>
    <row r="62" spans="1:47" s="17" customFormat="1" ht="20" x14ac:dyDescent="0.2">
      <c r="A62" s="118"/>
      <c r="B62" s="204" t="s">
        <v>984</v>
      </c>
      <c r="C62" s="280" t="s">
        <v>2989</v>
      </c>
      <c r="D62" s="204" t="s">
        <v>106</v>
      </c>
      <c r="E62" s="204" t="s">
        <v>141</v>
      </c>
      <c r="F62" s="126">
        <v>50.729850399999997</v>
      </c>
      <c r="G62" s="126">
        <v>-122.2400375</v>
      </c>
      <c r="H62" s="139" t="s">
        <v>1066</v>
      </c>
      <c r="I62" s="33" t="s">
        <v>2876</v>
      </c>
      <c r="J62" s="150" t="s">
        <v>1602</v>
      </c>
      <c r="K62" s="51" t="s">
        <v>3099</v>
      </c>
      <c r="L62" s="175">
        <v>360</v>
      </c>
      <c r="M62" s="54">
        <v>1934</v>
      </c>
      <c r="N62" s="100">
        <v>2100</v>
      </c>
      <c r="O62" s="33"/>
      <c r="P62" s="67" t="s">
        <v>1034</v>
      </c>
      <c r="Q62" s="51" t="s">
        <v>1043</v>
      </c>
      <c r="R62" s="65">
        <v>68.5</v>
      </c>
      <c r="S62" s="248">
        <f>System!$E$10</f>
        <v>1</v>
      </c>
      <c r="T62" s="247">
        <f t="shared" si="0"/>
        <v>68.5</v>
      </c>
      <c r="U62" s="114">
        <f t="shared" si="1"/>
        <v>0.33115855081158552</v>
      </c>
      <c r="V62" s="125">
        <v>198.715</v>
      </c>
      <c r="W62" s="99">
        <v>4</v>
      </c>
      <c r="Y62" s="128" t="s">
        <v>83</v>
      </c>
      <c r="Z62" s="60">
        <v>0</v>
      </c>
      <c r="AA62" s="60">
        <v>68.5</v>
      </c>
      <c r="AB62" s="107">
        <v>1</v>
      </c>
      <c r="AC62" s="107">
        <v>1</v>
      </c>
      <c r="AD62" s="69"/>
      <c r="AE62" s="69"/>
      <c r="AF62" s="69"/>
      <c r="AG62" s="69"/>
      <c r="AH62" s="54" t="b">
        <v>0</v>
      </c>
      <c r="AI62" s="69"/>
      <c r="AJ62" s="107">
        <v>1</v>
      </c>
      <c r="AK62" s="69"/>
      <c r="AL62" s="99"/>
      <c r="AM62" s="156"/>
      <c r="AN62" s="115"/>
      <c r="AO62" s="116"/>
      <c r="AP62" s="69"/>
      <c r="AQ62" s="69"/>
      <c r="AR62" s="139"/>
      <c r="AS62" s="139"/>
      <c r="AT62" s="19"/>
      <c r="AU62" s="19"/>
    </row>
    <row r="63" spans="1:47" s="17" customFormat="1" ht="20" x14ac:dyDescent="0.2">
      <c r="A63" s="118"/>
      <c r="B63" s="204" t="s">
        <v>985</v>
      </c>
      <c r="C63" s="280" t="s">
        <v>2990</v>
      </c>
      <c r="D63" s="204" t="s">
        <v>106</v>
      </c>
      <c r="E63" s="204" t="s">
        <v>141</v>
      </c>
      <c r="F63" s="126">
        <v>50.729850399999997</v>
      </c>
      <c r="G63" s="126">
        <v>-122.2400375</v>
      </c>
      <c r="H63" s="139" t="s">
        <v>1066</v>
      </c>
      <c r="I63" s="33" t="s">
        <v>2876</v>
      </c>
      <c r="J63" s="150" t="s">
        <v>1602</v>
      </c>
      <c r="K63" s="51" t="s">
        <v>3099</v>
      </c>
      <c r="L63" s="175">
        <v>360</v>
      </c>
      <c r="M63" s="54">
        <v>1934</v>
      </c>
      <c r="N63" s="100">
        <v>2100</v>
      </c>
      <c r="O63" s="33"/>
      <c r="P63" s="67" t="s">
        <v>1034</v>
      </c>
      <c r="Q63" s="51" t="s">
        <v>1043</v>
      </c>
      <c r="R63" s="65">
        <v>68.5</v>
      </c>
      <c r="S63" s="248">
        <f>System!$E$10</f>
        <v>1</v>
      </c>
      <c r="T63" s="247">
        <f t="shared" si="0"/>
        <v>68.5</v>
      </c>
      <c r="U63" s="114">
        <f t="shared" si="1"/>
        <v>0.33115855081158552</v>
      </c>
      <c r="V63" s="125">
        <v>198.715</v>
      </c>
      <c r="W63" s="99">
        <v>4</v>
      </c>
      <c r="Y63" s="128" t="s">
        <v>83</v>
      </c>
      <c r="Z63" s="60">
        <v>0</v>
      </c>
      <c r="AA63" s="60">
        <v>68.5</v>
      </c>
      <c r="AB63" s="107">
        <v>1</v>
      </c>
      <c r="AC63" s="107">
        <v>1</v>
      </c>
      <c r="AD63" s="69"/>
      <c r="AE63" s="69"/>
      <c r="AF63" s="69"/>
      <c r="AG63" s="69"/>
      <c r="AH63" s="54" t="b">
        <v>0</v>
      </c>
      <c r="AI63" s="69"/>
      <c r="AJ63" s="107">
        <v>1</v>
      </c>
      <c r="AK63" s="69"/>
      <c r="AL63" s="99"/>
      <c r="AM63" s="156"/>
      <c r="AN63" s="115"/>
      <c r="AO63" s="116"/>
      <c r="AP63" s="69"/>
      <c r="AQ63" s="69"/>
      <c r="AR63" s="139"/>
      <c r="AS63" s="139"/>
      <c r="AT63" s="19"/>
      <c r="AU63" s="19"/>
    </row>
    <row r="64" spans="1:47" s="17" customFormat="1" ht="20" x14ac:dyDescent="0.2">
      <c r="A64" s="118"/>
      <c r="B64" s="204" t="s">
        <v>986</v>
      </c>
      <c r="C64" s="280" t="s">
        <v>3031</v>
      </c>
      <c r="D64" s="204" t="s">
        <v>106</v>
      </c>
      <c r="E64" s="204" t="s">
        <v>141</v>
      </c>
      <c r="F64" s="126">
        <v>50.729850399999997</v>
      </c>
      <c r="G64" s="126">
        <v>-122.2400375</v>
      </c>
      <c r="H64" s="139" t="s">
        <v>1066</v>
      </c>
      <c r="I64" s="33" t="s">
        <v>2876</v>
      </c>
      <c r="J64" s="150" t="s">
        <v>1602</v>
      </c>
      <c r="K64" s="51" t="s">
        <v>3099</v>
      </c>
      <c r="L64" s="175">
        <v>360</v>
      </c>
      <c r="M64" s="54">
        <v>1934</v>
      </c>
      <c r="N64" s="100">
        <v>2100</v>
      </c>
      <c r="O64" s="33"/>
      <c r="P64" s="67" t="s">
        <v>1034</v>
      </c>
      <c r="Q64" s="51" t="s">
        <v>1043</v>
      </c>
      <c r="R64" s="65">
        <v>68.5</v>
      </c>
      <c r="S64" s="248">
        <f>System!$E$10</f>
        <v>1</v>
      </c>
      <c r="T64" s="247">
        <f t="shared" si="0"/>
        <v>68.5</v>
      </c>
      <c r="U64" s="114">
        <f t="shared" si="1"/>
        <v>0.33115855081158552</v>
      </c>
      <c r="V64" s="125">
        <v>198.715</v>
      </c>
      <c r="W64" s="99">
        <v>4</v>
      </c>
      <c r="Y64" s="128" t="s">
        <v>83</v>
      </c>
      <c r="Z64" s="60">
        <v>0</v>
      </c>
      <c r="AA64" s="60">
        <v>68.5</v>
      </c>
      <c r="AB64" s="107">
        <v>1</v>
      </c>
      <c r="AC64" s="107">
        <v>1</v>
      </c>
      <c r="AD64" s="69"/>
      <c r="AE64" s="69"/>
      <c r="AF64" s="69"/>
      <c r="AG64" s="69"/>
      <c r="AH64" s="54" t="b">
        <v>0</v>
      </c>
      <c r="AI64" s="69"/>
      <c r="AJ64" s="107">
        <v>1</v>
      </c>
      <c r="AK64" s="69"/>
      <c r="AL64" s="99"/>
      <c r="AM64" s="156"/>
      <c r="AN64" s="115"/>
      <c r="AO64" s="116"/>
      <c r="AP64" s="69"/>
      <c r="AQ64" s="69"/>
      <c r="AR64" s="139"/>
      <c r="AS64" s="139"/>
      <c r="AT64" s="19"/>
      <c r="AU64" s="19"/>
    </row>
    <row r="65" spans="1:47" s="17" customFormat="1" ht="20" x14ac:dyDescent="0.2">
      <c r="A65" s="118"/>
      <c r="B65" s="204" t="s">
        <v>987</v>
      </c>
      <c r="C65" s="280" t="s">
        <v>3052</v>
      </c>
      <c r="D65" s="204" t="s">
        <v>106</v>
      </c>
      <c r="E65" s="204" t="s">
        <v>141</v>
      </c>
      <c r="F65" s="126">
        <v>50.729850399999997</v>
      </c>
      <c r="G65" s="126">
        <v>-122.2400375</v>
      </c>
      <c r="H65" s="139" t="s">
        <v>1066</v>
      </c>
      <c r="I65" s="33" t="s">
        <v>2876</v>
      </c>
      <c r="J65" s="150" t="s">
        <v>1602</v>
      </c>
      <c r="K65" s="51" t="s">
        <v>3099</v>
      </c>
      <c r="L65" s="175">
        <v>360</v>
      </c>
      <c r="M65" s="54">
        <v>1934</v>
      </c>
      <c r="N65" s="100">
        <v>2100</v>
      </c>
      <c r="O65" s="33"/>
      <c r="P65" s="67" t="s">
        <v>1034</v>
      </c>
      <c r="Q65" s="51" t="s">
        <v>1043</v>
      </c>
      <c r="R65" s="65">
        <v>68.5</v>
      </c>
      <c r="S65" s="248">
        <f>System!$E$10</f>
        <v>1</v>
      </c>
      <c r="T65" s="247">
        <f t="shared" si="0"/>
        <v>68.5</v>
      </c>
      <c r="U65" s="114">
        <f t="shared" si="1"/>
        <v>0.33115855081158552</v>
      </c>
      <c r="V65" s="65">
        <v>198.715</v>
      </c>
      <c r="W65" s="99">
        <v>4</v>
      </c>
      <c r="Y65" s="128" t="s">
        <v>83</v>
      </c>
      <c r="Z65" s="60">
        <v>0</v>
      </c>
      <c r="AA65" s="60">
        <v>68.5</v>
      </c>
      <c r="AB65" s="107">
        <v>1</v>
      </c>
      <c r="AC65" s="107">
        <v>1</v>
      </c>
      <c r="AD65" s="69"/>
      <c r="AE65" s="69"/>
      <c r="AF65" s="69"/>
      <c r="AG65" s="69"/>
      <c r="AH65" s="54" t="b">
        <v>0</v>
      </c>
      <c r="AI65" s="69"/>
      <c r="AJ65" s="107">
        <v>1</v>
      </c>
      <c r="AK65" s="69"/>
      <c r="AL65" s="99"/>
      <c r="AM65" s="156"/>
      <c r="AN65" s="115"/>
      <c r="AO65" s="116"/>
      <c r="AP65" s="69"/>
      <c r="AQ65" s="69"/>
      <c r="AR65" s="139"/>
      <c r="AS65" s="139"/>
      <c r="AT65" s="19"/>
      <c r="AU65" s="19"/>
    </row>
    <row r="66" spans="1:47" s="17" customFormat="1" ht="20" x14ac:dyDescent="0.2">
      <c r="A66" s="118"/>
      <c r="B66" s="206" t="s">
        <v>145</v>
      </c>
      <c r="C66" s="280" t="s">
        <v>3758</v>
      </c>
      <c r="D66" s="206" t="s">
        <v>143</v>
      </c>
      <c r="E66" s="206" t="s">
        <v>144</v>
      </c>
      <c r="F66" s="119">
        <v>49.323118200000003</v>
      </c>
      <c r="G66" s="119">
        <v>-117.6197926</v>
      </c>
      <c r="H66" s="139" t="s">
        <v>1066</v>
      </c>
      <c r="I66" s="33" t="s">
        <v>2876</v>
      </c>
      <c r="J66" s="151" t="s">
        <v>2296</v>
      </c>
      <c r="K66" s="51" t="s">
        <v>3102</v>
      </c>
      <c r="L66" s="175">
        <v>230</v>
      </c>
      <c r="M66" s="300">
        <v>2007</v>
      </c>
      <c r="N66" s="33">
        <f>M66+40</f>
        <v>2047</v>
      </c>
      <c r="O66" s="33"/>
      <c r="P66" s="63" t="s">
        <v>1034</v>
      </c>
      <c r="Q66" s="51" t="s">
        <v>1043</v>
      </c>
      <c r="R66" s="65">
        <v>127.5</v>
      </c>
      <c r="S66" s="248">
        <f>System!$E$10</f>
        <v>1</v>
      </c>
      <c r="T66" s="247">
        <f t="shared" si="0"/>
        <v>127.5</v>
      </c>
      <c r="U66" s="114">
        <f t="shared" si="1"/>
        <v>0.3838033843674456</v>
      </c>
      <c r="V66" s="64">
        <v>428.67</v>
      </c>
      <c r="W66" s="99">
        <v>1</v>
      </c>
      <c r="Y66" s="128" t="s">
        <v>83</v>
      </c>
      <c r="Z66" s="60">
        <v>0</v>
      </c>
      <c r="AA66" s="60">
        <v>127.5</v>
      </c>
      <c r="AB66" s="107">
        <v>1</v>
      </c>
      <c r="AC66" s="107">
        <v>1</v>
      </c>
      <c r="AD66" s="69"/>
      <c r="AE66" s="69"/>
      <c r="AF66" s="69"/>
      <c r="AG66" s="69"/>
      <c r="AH66" s="54" t="b">
        <v>0</v>
      </c>
      <c r="AI66" s="69"/>
      <c r="AJ66" s="107">
        <v>1</v>
      </c>
      <c r="AK66" s="69"/>
      <c r="AL66" s="99"/>
      <c r="AM66" s="156"/>
      <c r="AN66" s="115"/>
      <c r="AO66" s="116"/>
      <c r="AP66" s="69"/>
      <c r="AQ66" s="69"/>
      <c r="AR66" s="139"/>
      <c r="AS66" s="139"/>
      <c r="AT66" s="19"/>
      <c r="AU66" s="19"/>
    </row>
    <row r="67" spans="1:47" s="17" customFormat="1" ht="20" x14ac:dyDescent="0.2">
      <c r="A67" s="118"/>
      <c r="B67" s="206" t="s">
        <v>888</v>
      </c>
      <c r="C67" s="280" t="s">
        <v>2949</v>
      </c>
      <c r="D67" s="206" t="s">
        <v>143</v>
      </c>
      <c r="E67" s="206" t="s">
        <v>144</v>
      </c>
      <c r="F67" s="119">
        <v>49.324879799999998</v>
      </c>
      <c r="G67" s="119">
        <v>-117.6206529</v>
      </c>
      <c r="H67" s="139" t="s">
        <v>1066</v>
      </c>
      <c r="I67" s="33" t="s">
        <v>2876</v>
      </c>
      <c r="J67" s="151" t="s">
        <v>1960</v>
      </c>
      <c r="K67" s="51" t="s">
        <v>3100</v>
      </c>
      <c r="L67" s="175">
        <v>230</v>
      </c>
      <c r="M67" s="300">
        <v>1944</v>
      </c>
      <c r="N67" s="100">
        <v>2100</v>
      </c>
      <c r="O67" s="33"/>
      <c r="P67" s="63" t="s">
        <v>1034</v>
      </c>
      <c r="Q67" s="51" t="s">
        <v>1043</v>
      </c>
      <c r="R67" s="65">
        <v>37.5</v>
      </c>
      <c r="S67" s="248">
        <f>System!$E$10</f>
        <v>1</v>
      </c>
      <c r="T67" s="247">
        <f t="shared" si="0"/>
        <v>37.5</v>
      </c>
      <c r="U67" s="114">
        <f t="shared" si="1"/>
        <v>0.33115981735159816</v>
      </c>
      <c r="V67" s="125">
        <v>108.786</v>
      </c>
      <c r="W67" s="99">
        <v>4</v>
      </c>
      <c r="Y67" s="128" t="s">
        <v>83</v>
      </c>
      <c r="Z67" s="60">
        <v>0</v>
      </c>
      <c r="AA67" s="60">
        <v>37.5</v>
      </c>
      <c r="AB67" s="107">
        <v>1</v>
      </c>
      <c r="AC67" s="107">
        <v>1</v>
      </c>
      <c r="AD67" s="69"/>
      <c r="AE67" s="69"/>
      <c r="AF67" s="69"/>
      <c r="AG67" s="69"/>
      <c r="AH67" s="54" t="b">
        <v>0</v>
      </c>
      <c r="AI67" s="69"/>
      <c r="AJ67" s="107">
        <v>1</v>
      </c>
      <c r="AK67" s="69"/>
      <c r="AL67" s="99"/>
      <c r="AM67" s="156"/>
      <c r="AN67" s="115"/>
      <c r="AO67" s="116"/>
      <c r="AP67" s="69"/>
      <c r="AQ67" s="69"/>
      <c r="AR67" s="139"/>
      <c r="AS67" s="139"/>
      <c r="AT67" s="19"/>
      <c r="AU67" s="19"/>
    </row>
    <row r="68" spans="1:47" s="17" customFormat="1" ht="20" x14ac:dyDescent="0.2">
      <c r="A68" s="118"/>
      <c r="B68" s="206" t="s">
        <v>889</v>
      </c>
      <c r="C68" s="280" t="s">
        <v>2991</v>
      </c>
      <c r="D68" s="206" t="s">
        <v>143</v>
      </c>
      <c r="E68" s="206" t="s">
        <v>144</v>
      </c>
      <c r="F68" s="119">
        <v>49.324879799999998</v>
      </c>
      <c r="G68" s="119">
        <v>-117.6206529</v>
      </c>
      <c r="H68" s="139" t="s">
        <v>1066</v>
      </c>
      <c r="I68" s="33" t="s">
        <v>2876</v>
      </c>
      <c r="J68" s="151" t="s">
        <v>1960</v>
      </c>
      <c r="K68" s="51" t="s">
        <v>3100</v>
      </c>
      <c r="L68" s="175">
        <v>230</v>
      </c>
      <c r="M68" s="300">
        <v>1944</v>
      </c>
      <c r="N68" s="100">
        <v>2100</v>
      </c>
      <c r="O68" s="33"/>
      <c r="P68" s="63" t="s">
        <v>1034</v>
      </c>
      <c r="Q68" s="51" t="s">
        <v>1043</v>
      </c>
      <c r="R68" s="65">
        <v>37.5</v>
      </c>
      <c r="S68" s="248">
        <f>System!$E$10</f>
        <v>1</v>
      </c>
      <c r="T68" s="247">
        <f t="shared" ref="T68:T131" si="3">R68*S68</f>
        <v>37.5</v>
      </c>
      <c r="U68" s="114">
        <f t="shared" ref="U68:U131" si="4">V68*1000/(24*365*R68)</f>
        <v>0.33115981735159816</v>
      </c>
      <c r="V68" s="125">
        <v>108.786</v>
      </c>
      <c r="W68" s="99">
        <v>4</v>
      </c>
      <c r="Y68" s="128" t="s">
        <v>83</v>
      </c>
      <c r="Z68" s="60">
        <v>0</v>
      </c>
      <c r="AA68" s="60">
        <v>37.5</v>
      </c>
      <c r="AB68" s="107">
        <v>1</v>
      </c>
      <c r="AC68" s="107">
        <v>1</v>
      </c>
      <c r="AD68" s="69"/>
      <c r="AE68" s="69"/>
      <c r="AF68" s="69"/>
      <c r="AG68" s="69"/>
      <c r="AH68" s="54" t="b">
        <v>0</v>
      </c>
      <c r="AI68" s="69"/>
      <c r="AJ68" s="107">
        <v>1</v>
      </c>
      <c r="AK68" s="69"/>
      <c r="AL68" s="99"/>
      <c r="AM68" s="156"/>
      <c r="AN68" s="115"/>
      <c r="AO68" s="116"/>
      <c r="AP68" s="69"/>
      <c r="AQ68" s="69"/>
      <c r="AR68" s="139"/>
      <c r="AS68" s="139"/>
      <c r="AT68" s="19"/>
      <c r="AU68" s="19"/>
    </row>
    <row r="69" spans="1:47" s="117" customFormat="1" ht="20" x14ac:dyDescent="0.2">
      <c r="B69" s="206" t="s">
        <v>890</v>
      </c>
      <c r="C69" s="280" t="s">
        <v>3032</v>
      </c>
      <c r="D69" s="206" t="s">
        <v>143</v>
      </c>
      <c r="E69" s="206" t="s">
        <v>144</v>
      </c>
      <c r="F69" s="119">
        <v>49.324879799999998</v>
      </c>
      <c r="G69" s="119">
        <v>-117.6206529</v>
      </c>
      <c r="H69" s="139" t="s">
        <v>1066</v>
      </c>
      <c r="I69" s="33" t="s">
        <v>2876</v>
      </c>
      <c r="J69" s="151" t="s">
        <v>1960</v>
      </c>
      <c r="K69" s="51" t="s">
        <v>3100</v>
      </c>
      <c r="L69" s="175">
        <v>230</v>
      </c>
      <c r="M69" s="300">
        <v>1944</v>
      </c>
      <c r="N69" s="100">
        <v>2100</v>
      </c>
      <c r="O69" s="33"/>
      <c r="P69" s="63" t="s">
        <v>1034</v>
      </c>
      <c r="Q69" s="51" t="s">
        <v>1043</v>
      </c>
      <c r="R69" s="65">
        <v>37.5</v>
      </c>
      <c r="S69" s="248">
        <f>System!$E$10</f>
        <v>1</v>
      </c>
      <c r="T69" s="247">
        <f t="shared" si="3"/>
        <v>37.5</v>
      </c>
      <c r="U69" s="114">
        <f t="shared" si="4"/>
        <v>0.33115981735159816</v>
      </c>
      <c r="V69" s="125">
        <v>108.786</v>
      </c>
      <c r="W69" s="99">
        <v>4</v>
      </c>
      <c r="X69" s="17"/>
      <c r="Y69" s="128" t="s">
        <v>83</v>
      </c>
      <c r="Z69" s="60">
        <v>0</v>
      </c>
      <c r="AA69" s="60">
        <v>37.5</v>
      </c>
      <c r="AB69" s="107">
        <v>1</v>
      </c>
      <c r="AC69" s="107">
        <v>1</v>
      </c>
      <c r="AD69" s="69"/>
      <c r="AE69" s="69"/>
      <c r="AF69" s="69"/>
      <c r="AG69" s="69"/>
      <c r="AH69" s="54" t="b">
        <v>0</v>
      </c>
      <c r="AI69" s="69"/>
      <c r="AJ69" s="107">
        <v>1</v>
      </c>
      <c r="AK69" s="69"/>
      <c r="AL69" s="99"/>
      <c r="AM69" s="156"/>
      <c r="AN69" s="115"/>
      <c r="AO69" s="116"/>
      <c r="AP69" s="69"/>
      <c r="AQ69" s="69"/>
      <c r="AR69" s="139"/>
      <c r="AS69" s="139"/>
      <c r="AT69" s="19"/>
      <c r="AU69" s="19"/>
    </row>
    <row r="70" spans="1:47" s="117" customFormat="1" ht="20" x14ac:dyDescent="0.2">
      <c r="B70" s="206" t="s">
        <v>891</v>
      </c>
      <c r="C70" s="280" t="s">
        <v>3053</v>
      </c>
      <c r="D70" s="206" t="s">
        <v>143</v>
      </c>
      <c r="E70" s="206" t="s">
        <v>144</v>
      </c>
      <c r="F70" s="119">
        <v>49.324879799999998</v>
      </c>
      <c r="G70" s="119">
        <v>-117.6206529</v>
      </c>
      <c r="H70" s="139" t="s">
        <v>1066</v>
      </c>
      <c r="I70" s="33" t="s">
        <v>2876</v>
      </c>
      <c r="J70" s="151" t="s">
        <v>1960</v>
      </c>
      <c r="K70" s="51" t="s">
        <v>3100</v>
      </c>
      <c r="L70" s="175">
        <v>230</v>
      </c>
      <c r="M70" s="300">
        <v>1944</v>
      </c>
      <c r="N70" s="100">
        <v>2100</v>
      </c>
      <c r="O70" s="33"/>
      <c r="P70" s="63" t="s">
        <v>1034</v>
      </c>
      <c r="Q70" s="51" t="s">
        <v>1043</v>
      </c>
      <c r="R70" s="65">
        <v>37.5</v>
      </c>
      <c r="S70" s="248">
        <f>System!$E$10</f>
        <v>1</v>
      </c>
      <c r="T70" s="247">
        <f t="shared" si="3"/>
        <v>37.5</v>
      </c>
      <c r="U70" s="114">
        <f t="shared" si="4"/>
        <v>0.33115981735159816</v>
      </c>
      <c r="V70" s="125">
        <v>108.786</v>
      </c>
      <c r="W70" s="99">
        <v>4</v>
      </c>
      <c r="X70" s="17"/>
      <c r="Y70" s="128" t="s">
        <v>83</v>
      </c>
      <c r="Z70" s="60">
        <v>0</v>
      </c>
      <c r="AA70" s="60">
        <v>37.5</v>
      </c>
      <c r="AB70" s="107">
        <v>1</v>
      </c>
      <c r="AC70" s="107">
        <v>1</v>
      </c>
      <c r="AD70" s="69"/>
      <c r="AE70" s="69"/>
      <c r="AF70" s="69"/>
      <c r="AG70" s="69"/>
      <c r="AH70" s="54" t="b">
        <v>0</v>
      </c>
      <c r="AI70" s="69"/>
      <c r="AJ70" s="107">
        <v>1</v>
      </c>
      <c r="AK70" s="69"/>
      <c r="AL70" s="99"/>
      <c r="AM70" s="156"/>
      <c r="AN70" s="115"/>
      <c r="AO70" s="116"/>
      <c r="AP70" s="69"/>
      <c r="AQ70" s="69"/>
      <c r="AR70" s="139"/>
      <c r="AS70" s="139"/>
      <c r="AT70" s="19"/>
      <c r="AU70" s="19"/>
    </row>
    <row r="71" spans="1:47" s="117" customFormat="1" ht="20" x14ac:dyDescent="0.2">
      <c r="B71" s="206" t="s">
        <v>2769</v>
      </c>
      <c r="C71" s="280" t="s">
        <v>3759</v>
      </c>
      <c r="D71" s="206" t="s">
        <v>146</v>
      </c>
      <c r="E71" s="206" t="s">
        <v>147</v>
      </c>
      <c r="F71" s="119">
        <v>54.027252500000003</v>
      </c>
      <c r="G71" s="119">
        <v>-129.8436681</v>
      </c>
      <c r="H71" s="139" t="s">
        <v>1066</v>
      </c>
      <c r="I71" s="33" t="s">
        <v>2876</v>
      </c>
      <c r="J71" s="150" t="s">
        <v>1955</v>
      </c>
      <c r="K71" s="51" t="s">
        <v>3101</v>
      </c>
      <c r="L71" s="175">
        <v>69</v>
      </c>
      <c r="M71" s="54">
        <v>1996</v>
      </c>
      <c r="N71" s="33">
        <f>M71+40</f>
        <v>2036</v>
      </c>
      <c r="O71" s="33"/>
      <c r="P71" s="63" t="s">
        <v>1034</v>
      </c>
      <c r="Q71" s="51" t="s">
        <v>1043</v>
      </c>
      <c r="R71" s="65">
        <v>7.2</v>
      </c>
      <c r="S71" s="248">
        <f>System!$E$10</f>
        <v>1</v>
      </c>
      <c r="T71" s="247">
        <f t="shared" si="3"/>
        <v>7.2</v>
      </c>
      <c r="U71" s="114">
        <f t="shared" si="4"/>
        <v>0.90372907153729076</v>
      </c>
      <c r="V71" s="64">
        <v>57</v>
      </c>
      <c r="W71" s="99">
        <v>1</v>
      </c>
      <c r="X71" s="17"/>
      <c r="Y71" s="128" t="s">
        <v>83</v>
      </c>
      <c r="Z71" s="60">
        <v>0</v>
      </c>
      <c r="AA71" s="60">
        <v>7.2</v>
      </c>
      <c r="AB71" s="107">
        <v>1</v>
      </c>
      <c r="AC71" s="107">
        <v>1</v>
      </c>
      <c r="AD71" s="69"/>
      <c r="AE71" s="69"/>
      <c r="AF71" s="69"/>
      <c r="AG71" s="69"/>
      <c r="AH71" s="54" t="b">
        <v>0</v>
      </c>
      <c r="AI71" s="69"/>
      <c r="AJ71" s="107">
        <v>1</v>
      </c>
      <c r="AK71" s="69"/>
      <c r="AL71" s="99"/>
      <c r="AM71" s="156"/>
      <c r="AN71" s="115"/>
      <c r="AO71" s="116"/>
      <c r="AP71" s="69"/>
      <c r="AQ71" s="69"/>
      <c r="AR71" s="139"/>
      <c r="AS71" s="139"/>
      <c r="AT71" s="19"/>
      <c r="AU71" s="19"/>
    </row>
    <row r="72" spans="1:47" s="17" customFormat="1" ht="20" x14ac:dyDescent="0.2">
      <c r="A72" s="118"/>
      <c r="B72" s="204" t="s">
        <v>933</v>
      </c>
      <c r="C72" s="280" t="s">
        <v>2952</v>
      </c>
      <c r="D72" s="204" t="s">
        <v>106</v>
      </c>
      <c r="E72" s="204" t="s">
        <v>112</v>
      </c>
      <c r="F72" s="119">
        <v>49.933701999999997</v>
      </c>
      <c r="G72" s="119">
        <v>-123.2909846</v>
      </c>
      <c r="H72" s="139" t="s">
        <v>1066</v>
      </c>
      <c r="I72" s="33" t="s">
        <v>2876</v>
      </c>
      <c r="J72" s="150" t="s">
        <v>1625</v>
      </c>
      <c r="K72" s="51" t="s">
        <v>3721</v>
      </c>
      <c r="L72" s="175">
        <v>230</v>
      </c>
      <c r="M72" s="54">
        <v>1957</v>
      </c>
      <c r="N72" s="100">
        <v>2100</v>
      </c>
      <c r="O72" s="33"/>
      <c r="P72" s="67" t="s">
        <v>1034</v>
      </c>
      <c r="Q72" s="51" t="s">
        <v>1043</v>
      </c>
      <c r="R72" s="65">
        <v>90</v>
      </c>
      <c r="S72" s="248">
        <f>System!$E$10</f>
        <v>1</v>
      </c>
      <c r="T72" s="247">
        <f t="shared" si="3"/>
        <v>90</v>
      </c>
      <c r="U72" s="114">
        <f t="shared" si="4"/>
        <v>0.33115930999492643</v>
      </c>
      <c r="V72" s="125">
        <v>261.08600000000001</v>
      </c>
      <c r="W72" s="99">
        <v>2</v>
      </c>
      <c r="Y72" s="128" t="s">
        <v>83</v>
      </c>
      <c r="Z72" s="60">
        <v>0</v>
      </c>
      <c r="AA72" s="60">
        <v>90</v>
      </c>
      <c r="AB72" s="107">
        <v>1</v>
      </c>
      <c r="AC72" s="107">
        <v>1</v>
      </c>
      <c r="AD72" s="69"/>
      <c r="AE72" s="69"/>
      <c r="AF72" s="69"/>
      <c r="AG72" s="69"/>
      <c r="AH72" s="54" t="b">
        <v>0</v>
      </c>
      <c r="AI72" s="69"/>
      <c r="AJ72" s="107">
        <v>1</v>
      </c>
      <c r="AK72" s="69"/>
      <c r="AL72" s="99"/>
      <c r="AM72" s="156"/>
      <c r="AN72" s="115"/>
      <c r="AO72" s="116"/>
      <c r="AP72" s="69"/>
      <c r="AQ72" s="69"/>
      <c r="AR72" s="139"/>
      <c r="AS72" s="139"/>
      <c r="AT72" s="19"/>
      <c r="AU72" s="19"/>
    </row>
    <row r="73" spans="1:47" s="17" customFormat="1" ht="20" x14ac:dyDescent="0.2">
      <c r="A73" s="118"/>
      <c r="B73" s="204" t="s">
        <v>934</v>
      </c>
      <c r="C73" s="280" t="s">
        <v>2994</v>
      </c>
      <c r="D73" s="204" t="s">
        <v>106</v>
      </c>
      <c r="E73" s="204" t="s">
        <v>112</v>
      </c>
      <c r="F73" s="119">
        <v>49.933701999999997</v>
      </c>
      <c r="G73" s="119">
        <v>-123.2909846</v>
      </c>
      <c r="H73" s="139" t="s">
        <v>1066</v>
      </c>
      <c r="I73" s="33" t="s">
        <v>2876</v>
      </c>
      <c r="J73" s="150" t="s">
        <v>1625</v>
      </c>
      <c r="K73" s="51" t="s">
        <v>3721</v>
      </c>
      <c r="L73" s="175">
        <v>230</v>
      </c>
      <c r="M73" s="54">
        <v>1957</v>
      </c>
      <c r="N73" s="100">
        <v>2100</v>
      </c>
      <c r="O73" s="33"/>
      <c r="P73" s="67" t="s">
        <v>1034</v>
      </c>
      <c r="Q73" s="51" t="s">
        <v>1043</v>
      </c>
      <c r="R73" s="65">
        <v>90</v>
      </c>
      <c r="S73" s="248">
        <f>System!$E$10</f>
        <v>1</v>
      </c>
      <c r="T73" s="247">
        <f t="shared" si="3"/>
        <v>90</v>
      </c>
      <c r="U73" s="114">
        <f t="shared" si="4"/>
        <v>0.33115930999492643</v>
      </c>
      <c r="V73" s="125">
        <v>261.08600000000001</v>
      </c>
      <c r="W73" s="99">
        <v>2</v>
      </c>
      <c r="Y73" s="128" t="s">
        <v>83</v>
      </c>
      <c r="Z73" s="60">
        <v>0</v>
      </c>
      <c r="AA73" s="60">
        <v>90</v>
      </c>
      <c r="AB73" s="107">
        <v>1</v>
      </c>
      <c r="AC73" s="107">
        <v>1</v>
      </c>
      <c r="AD73" s="69"/>
      <c r="AE73" s="69"/>
      <c r="AF73" s="69"/>
      <c r="AG73" s="69"/>
      <c r="AH73" s="54" t="b">
        <v>0</v>
      </c>
      <c r="AI73" s="69"/>
      <c r="AJ73" s="107">
        <v>1</v>
      </c>
      <c r="AK73" s="69"/>
      <c r="AL73" s="99"/>
      <c r="AM73" s="156"/>
      <c r="AN73" s="115"/>
      <c r="AO73" s="116"/>
      <c r="AP73" s="69"/>
      <c r="AQ73" s="69"/>
      <c r="AR73" s="139"/>
      <c r="AS73" s="139"/>
      <c r="AT73" s="19"/>
      <c r="AU73" s="19"/>
    </row>
    <row r="74" spans="1:47" s="17" customFormat="1" ht="20" x14ac:dyDescent="0.2">
      <c r="A74" s="118"/>
      <c r="B74" s="204" t="s">
        <v>168</v>
      </c>
      <c r="C74" s="280" t="s">
        <v>3769</v>
      </c>
      <c r="D74" s="204" t="s">
        <v>106</v>
      </c>
      <c r="E74" s="204" t="s">
        <v>112</v>
      </c>
      <c r="F74" s="119">
        <v>49.710933300000001</v>
      </c>
      <c r="G74" s="119">
        <v>-123.5321081</v>
      </c>
      <c r="H74" s="139" t="s">
        <v>1066</v>
      </c>
      <c r="I74" s="33" t="s">
        <v>2876</v>
      </c>
      <c r="J74" s="150" t="s">
        <v>2301</v>
      </c>
      <c r="K74" s="51" t="s">
        <v>3108</v>
      </c>
      <c r="L74" s="175">
        <v>138</v>
      </c>
      <c r="M74" s="67">
        <v>1958</v>
      </c>
      <c r="N74" s="100">
        <v>2100</v>
      </c>
      <c r="O74" s="33"/>
      <c r="P74" s="67" t="s">
        <v>1034</v>
      </c>
      <c r="Q74" s="51" t="s">
        <v>1043</v>
      </c>
      <c r="R74" s="65">
        <v>45</v>
      </c>
      <c r="S74" s="248">
        <f>System!$E$10</f>
        <v>1</v>
      </c>
      <c r="T74" s="247">
        <f t="shared" si="3"/>
        <v>45</v>
      </c>
      <c r="U74" s="114">
        <f t="shared" si="4"/>
        <v>0.33115881968941657</v>
      </c>
      <c r="V74" s="125">
        <v>130.54280672156801</v>
      </c>
      <c r="W74" s="99">
        <v>1</v>
      </c>
      <c r="Y74" s="128" t="s">
        <v>83</v>
      </c>
      <c r="Z74" s="60">
        <v>0</v>
      </c>
      <c r="AA74" s="60">
        <v>45</v>
      </c>
      <c r="AB74" s="107">
        <v>1</v>
      </c>
      <c r="AC74" s="107">
        <v>1</v>
      </c>
      <c r="AD74" s="69"/>
      <c r="AE74" s="69"/>
      <c r="AF74" s="69"/>
      <c r="AG74" s="69"/>
      <c r="AH74" s="54" t="b">
        <v>0</v>
      </c>
      <c r="AI74" s="69"/>
      <c r="AJ74" s="107">
        <v>1</v>
      </c>
      <c r="AK74" s="69"/>
      <c r="AL74" s="99"/>
      <c r="AM74" s="156"/>
      <c r="AN74" s="115"/>
      <c r="AO74" s="116"/>
      <c r="AP74" s="69"/>
      <c r="AQ74" s="69"/>
      <c r="AR74" s="139"/>
      <c r="AS74" s="139"/>
      <c r="AT74" s="19"/>
      <c r="AU74" s="19"/>
    </row>
    <row r="75" spans="1:47" s="17" customFormat="1" ht="20" x14ac:dyDescent="0.2">
      <c r="A75" s="118"/>
      <c r="B75" s="271" t="s">
        <v>914</v>
      </c>
      <c r="C75" s="280" t="s">
        <v>2953</v>
      </c>
      <c r="D75" s="271" t="s">
        <v>173</v>
      </c>
      <c r="E75" s="271" t="s">
        <v>174</v>
      </c>
      <c r="F75" s="119">
        <v>49.468876799999997</v>
      </c>
      <c r="G75" s="119">
        <v>-117.46863</v>
      </c>
      <c r="H75" s="139" t="s">
        <v>1066</v>
      </c>
      <c r="I75" s="33" t="s">
        <v>2876</v>
      </c>
      <c r="J75" s="230" t="s">
        <v>2721</v>
      </c>
      <c r="K75" s="51" t="s">
        <v>3109</v>
      </c>
      <c r="L75" s="231">
        <v>63</v>
      </c>
      <c r="M75" s="52">
        <v>1932</v>
      </c>
      <c r="N75" s="100">
        <v>2100</v>
      </c>
      <c r="O75" s="33"/>
      <c r="P75" s="52" t="s">
        <v>1034</v>
      </c>
      <c r="Q75" s="51" t="s">
        <v>1043</v>
      </c>
      <c r="R75" s="65">
        <v>17</v>
      </c>
      <c r="S75" s="248">
        <f>System!$E$10</f>
        <v>1</v>
      </c>
      <c r="T75" s="247">
        <f t="shared" si="3"/>
        <v>17</v>
      </c>
      <c r="U75" s="114">
        <f t="shared" si="4"/>
        <v>0.33115766854687079</v>
      </c>
      <c r="V75" s="125">
        <v>49.316000000000003</v>
      </c>
      <c r="W75" s="99">
        <v>3</v>
      </c>
      <c r="Y75" s="128" t="s">
        <v>83</v>
      </c>
      <c r="Z75" s="60">
        <v>0</v>
      </c>
      <c r="AA75" s="60">
        <v>17</v>
      </c>
      <c r="AB75" s="107">
        <v>1</v>
      </c>
      <c r="AC75" s="107">
        <v>1</v>
      </c>
      <c r="AD75" s="69"/>
      <c r="AE75" s="69"/>
      <c r="AF75" s="69"/>
      <c r="AG75" s="69"/>
      <c r="AH75" s="54" t="b">
        <v>0</v>
      </c>
      <c r="AI75" s="69"/>
      <c r="AJ75" s="107">
        <v>1</v>
      </c>
      <c r="AK75" s="69"/>
      <c r="AL75" s="99"/>
      <c r="AM75" s="156"/>
      <c r="AN75" s="115"/>
      <c r="AO75" s="116"/>
      <c r="AP75" s="69"/>
      <c r="AQ75" s="69"/>
      <c r="AR75" s="139"/>
      <c r="AS75" s="139"/>
      <c r="AT75" s="19"/>
      <c r="AU75" s="19"/>
    </row>
    <row r="76" spans="1:47" s="17" customFormat="1" ht="20" x14ac:dyDescent="0.2">
      <c r="A76" s="118"/>
      <c r="B76" s="271" t="s">
        <v>915</v>
      </c>
      <c r="C76" s="280" t="s">
        <v>2995</v>
      </c>
      <c r="D76" s="271" t="s">
        <v>173</v>
      </c>
      <c r="E76" s="271" t="s">
        <v>174</v>
      </c>
      <c r="F76" s="119">
        <v>49.468876799999997</v>
      </c>
      <c r="G76" s="119">
        <v>-117.46863</v>
      </c>
      <c r="H76" s="139" t="s">
        <v>1066</v>
      </c>
      <c r="I76" s="33" t="s">
        <v>2876</v>
      </c>
      <c r="J76" s="230" t="s">
        <v>2721</v>
      </c>
      <c r="K76" s="51" t="s">
        <v>3109</v>
      </c>
      <c r="L76" s="231">
        <v>63</v>
      </c>
      <c r="M76" s="52">
        <v>1932</v>
      </c>
      <c r="N76" s="100">
        <v>2100</v>
      </c>
      <c r="O76" s="33"/>
      <c r="P76" s="52" t="s">
        <v>1034</v>
      </c>
      <c r="Q76" s="51" t="s">
        <v>1043</v>
      </c>
      <c r="R76" s="65">
        <v>17</v>
      </c>
      <c r="S76" s="248">
        <f>System!$E$10</f>
        <v>1</v>
      </c>
      <c r="T76" s="247">
        <f t="shared" si="3"/>
        <v>17</v>
      </c>
      <c r="U76" s="114">
        <f t="shared" si="4"/>
        <v>0.33115766854687079</v>
      </c>
      <c r="V76" s="125">
        <v>49.316000000000003</v>
      </c>
      <c r="W76" s="99">
        <v>3</v>
      </c>
      <c r="Y76" s="128" t="s">
        <v>83</v>
      </c>
      <c r="Z76" s="60">
        <v>0</v>
      </c>
      <c r="AA76" s="60">
        <v>17</v>
      </c>
      <c r="AB76" s="107">
        <v>1</v>
      </c>
      <c r="AC76" s="107">
        <v>1</v>
      </c>
      <c r="AD76" s="69"/>
      <c r="AE76" s="69"/>
      <c r="AF76" s="69"/>
      <c r="AG76" s="69"/>
      <c r="AH76" s="54" t="b">
        <v>0</v>
      </c>
      <c r="AI76" s="69"/>
      <c r="AJ76" s="107">
        <v>1</v>
      </c>
      <c r="AK76" s="69"/>
      <c r="AL76" s="99"/>
      <c r="AM76" s="156"/>
      <c r="AN76" s="115"/>
      <c r="AO76" s="116"/>
      <c r="AP76" s="69"/>
      <c r="AQ76" s="69"/>
      <c r="AR76" s="139"/>
      <c r="AS76" s="139"/>
      <c r="AT76" s="19"/>
      <c r="AU76" s="19"/>
    </row>
    <row r="77" spans="1:47" s="17" customFormat="1" ht="20" x14ac:dyDescent="0.2">
      <c r="A77" s="118"/>
      <c r="B77" s="271" t="s">
        <v>916</v>
      </c>
      <c r="C77" s="280" t="s">
        <v>3033</v>
      </c>
      <c r="D77" s="271" t="s">
        <v>173</v>
      </c>
      <c r="E77" s="271" t="s">
        <v>174</v>
      </c>
      <c r="F77" s="119">
        <v>49.468876799999997</v>
      </c>
      <c r="G77" s="119">
        <v>-117.46863</v>
      </c>
      <c r="H77" s="139" t="s">
        <v>1066</v>
      </c>
      <c r="I77" s="33" t="s">
        <v>2876</v>
      </c>
      <c r="J77" s="230" t="s">
        <v>2721</v>
      </c>
      <c r="K77" s="51" t="s">
        <v>3109</v>
      </c>
      <c r="L77" s="231">
        <v>63</v>
      </c>
      <c r="M77" s="52">
        <v>1932</v>
      </c>
      <c r="N77" s="100">
        <v>2100</v>
      </c>
      <c r="O77" s="33"/>
      <c r="P77" s="52" t="s">
        <v>1034</v>
      </c>
      <c r="Q77" s="51" t="s">
        <v>1043</v>
      </c>
      <c r="R77" s="65">
        <v>17</v>
      </c>
      <c r="S77" s="248">
        <f>System!$E$10</f>
        <v>1</v>
      </c>
      <c r="T77" s="247">
        <f t="shared" si="3"/>
        <v>17</v>
      </c>
      <c r="U77" s="114">
        <f t="shared" si="4"/>
        <v>0.33115766854687079</v>
      </c>
      <c r="V77" s="125">
        <v>49.316000000000003</v>
      </c>
      <c r="W77" s="99">
        <v>3</v>
      </c>
      <c r="Y77" s="128" t="s">
        <v>83</v>
      </c>
      <c r="Z77" s="60">
        <v>0</v>
      </c>
      <c r="AA77" s="60">
        <v>17</v>
      </c>
      <c r="AB77" s="107">
        <v>1</v>
      </c>
      <c r="AC77" s="107">
        <v>1</v>
      </c>
      <c r="AD77" s="69"/>
      <c r="AE77" s="69"/>
      <c r="AF77" s="69"/>
      <c r="AG77" s="69"/>
      <c r="AH77" s="54" t="b">
        <v>0</v>
      </c>
      <c r="AI77" s="69"/>
      <c r="AJ77" s="107">
        <v>1</v>
      </c>
      <c r="AK77" s="69"/>
      <c r="AL77" s="99"/>
      <c r="AM77" s="156"/>
      <c r="AN77" s="115"/>
      <c r="AO77" s="116"/>
      <c r="AP77" s="69"/>
      <c r="AQ77" s="69"/>
      <c r="AR77" s="139"/>
      <c r="AS77" s="139"/>
      <c r="AT77" s="19"/>
      <c r="AU77" s="19"/>
    </row>
    <row r="78" spans="1:47" s="17" customFormat="1" ht="20" x14ac:dyDescent="0.2">
      <c r="A78" s="118"/>
      <c r="B78" s="206" t="s">
        <v>196</v>
      </c>
      <c r="C78" s="280" t="s">
        <v>3781</v>
      </c>
      <c r="D78" s="206" t="s">
        <v>197</v>
      </c>
      <c r="E78" s="206" t="s">
        <v>198</v>
      </c>
      <c r="F78" s="119">
        <v>50.019015099999997</v>
      </c>
      <c r="G78" s="119">
        <v>-119.3589375</v>
      </c>
      <c r="H78" s="139" t="s">
        <v>1066</v>
      </c>
      <c r="I78" s="33" t="s">
        <v>2876</v>
      </c>
      <c r="J78" s="230" t="s">
        <v>2645</v>
      </c>
      <c r="K78" s="33" t="s">
        <v>3245</v>
      </c>
      <c r="L78" s="231">
        <v>138</v>
      </c>
      <c r="M78" s="54">
        <v>2008</v>
      </c>
      <c r="N78" s="33">
        <f>M78+40</f>
        <v>2048</v>
      </c>
      <c r="O78" s="33"/>
      <c r="P78" s="63" t="s">
        <v>1034</v>
      </c>
      <c r="Q78" s="51" t="s">
        <v>1043</v>
      </c>
      <c r="R78" s="65">
        <v>1.1299999999999999</v>
      </c>
      <c r="S78" s="248">
        <f>System!$E$10</f>
        <v>1</v>
      </c>
      <c r="T78" s="247">
        <f t="shared" si="3"/>
        <v>1.1299999999999999</v>
      </c>
      <c r="U78" s="114">
        <f t="shared" si="4"/>
        <v>0.40408938457186733</v>
      </c>
      <c r="V78" s="105">
        <v>4</v>
      </c>
      <c r="W78" s="99">
        <v>1</v>
      </c>
      <c r="Y78" s="128" t="s">
        <v>83</v>
      </c>
      <c r="Z78" s="60">
        <v>0</v>
      </c>
      <c r="AA78" s="60">
        <v>1.1299999999999999</v>
      </c>
      <c r="AB78" s="107">
        <v>1</v>
      </c>
      <c r="AC78" s="107">
        <v>1</v>
      </c>
      <c r="AD78" s="69"/>
      <c r="AE78" s="69"/>
      <c r="AF78" s="69"/>
      <c r="AG78" s="69"/>
      <c r="AH78" s="54" t="b">
        <v>0</v>
      </c>
      <c r="AI78" s="69"/>
      <c r="AJ78" s="107">
        <v>1</v>
      </c>
      <c r="AK78" s="69"/>
      <c r="AL78" s="99"/>
      <c r="AM78" s="156"/>
      <c r="AN78" s="115"/>
      <c r="AO78" s="116"/>
      <c r="AP78" s="69"/>
      <c r="AQ78" s="69"/>
      <c r="AR78" s="139"/>
      <c r="AS78" s="139"/>
      <c r="AT78" s="19"/>
      <c r="AU78" s="19"/>
    </row>
    <row r="79" spans="1:47" s="17" customFormat="1" ht="20" x14ac:dyDescent="0.2">
      <c r="A79" s="118"/>
      <c r="B79" s="204" t="s">
        <v>935</v>
      </c>
      <c r="C79" s="280" t="s">
        <v>2954</v>
      </c>
      <c r="D79" s="204" t="s">
        <v>106</v>
      </c>
      <c r="E79" s="204" t="s">
        <v>192</v>
      </c>
      <c r="F79" s="119">
        <v>49.290066600000003</v>
      </c>
      <c r="G79" s="119">
        <v>-115.10461340000001</v>
      </c>
      <c r="H79" s="139" t="s">
        <v>1066</v>
      </c>
      <c r="I79" s="33" t="s">
        <v>2876</v>
      </c>
      <c r="J79" s="150" t="s">
        <v>1659</v>
      </c>
      <c r="K79" s="51" t="s">
        <v>3118</v>
      </c>
      <c r="L79" s="175">
        <v>69</v>
      </c>
      <c r="M79" s="54">
        <v>1924</v>
      </c>
      <c r="N79" s="100">
        <v>2100</v>
      </c>
      <c r="O79" s="33"/>
      <c r="P79" s="67" t="s">
        <v>1034</v>
      </c>
      <c r="Q79" s="51" t="s">
        <v>1043</v>
      </c>
      <c r="R79" s="65">
        <v>6</v>
      </c>
      <c r="S79" s="248">
        <f>System!$E$10</f>
        <v>1</v>
      </c>
      <c r="T79" s="247">
        <f t="shared" si="3"/>
        <v>6</v>
      </c>
      <c r="U79" s="114">
        <f t="shared" si="4"/>
        <v>0.33116438356164385</v>
      </c>
      <c r="V79" s="65">
        <v>17.405999999999999</v>
      </c>
      <c r="W79" s="99">
        <v>2</v>
      </c>
      <c r="Y79" s="128" t="s">
        <v>83</v>
      </c>
      <c r="Z79" s="60">
        <v>0</v>
      </c>
      <c r="AA79" s="60">
        <v>6</v>
      </c>
      <c r="AB79" s="107">
        <v>1</v>
      </c>
      <c r="AC79" s="107">
        <v>1</v>
      </c>
      <c r="AD79" s="69"/>
      <c r="AE79" s="69"/>
      <c r="AF79" s="69"/>
      <c r="AG79" s="69"/>
      <c r="AH79" s="54" t="b">
        <v>0</v>
      </c>
      <c r="AI79" s="69"/>
      <c r="AJ79" s="107">
        <v>1</v>
      </c>
      <c r="AK79" s="69"/>
      <c r="AL79" s="99"/>
      <c r="AM79" s="156"/>
      <c r="AN79" s="115"/>
      <c r="AO79" s="116"/>
      <c r="AP79" s="69"/>
      <c r="AQ79" s="69"/>
      <c r="AR79" s="139"/>
      <c r="AS79" s="139"/>
      <c r="AT79" s="19"/>
      <c r="AU79" s="19"/>
    </row>
    <row r="80" spans="1:47" s="17" customFormat="1" ht="20" x14ac:dyDescent="0.2">
      <c r="A80" s="118"/>
      <c r="B80" s="204" t="s">
        <v>936</v>
      </c>
      <c r="C80" s="280" t="s">
        <v>2996</v>
      </c>
      <c r="D80" s="204" t="s">
        <v>106</v>
      </c>
      <c r="E80" s="204" t="s">
        <v>192</v>
      </c>
      <c r="F80" s="119">
        <v>49.290066600000003</v>
      </c>
      <c r="G80" s="119">
        <v>-115.10461340000001</v>
      </c>
      <c r="H80" s="139" t="s">
        <v>1066</v>
      </c>
      <c r="I80" s="33" t="s">
        <v>2876</v>
      </c>
      <c r="J80" s="150" t="s">
        <v>1659</v>
      </c>
      <c r="K80" s="51" t="s">
        <v>3118</v>
      </c>
      <c r="L80" s="175">
        <v>69</v>
      </c>
      <c r="M80" s="54">
        <v>1924</v>
      </c>
      <c r="N80" s="100">
        <v>2100</v>
      </c>
      <c r="O80" s="33"/>
      <c r="P80" s="67" t="s">
        <v>1034</v>
      </c>
      <c r="Q80" s="51" t="s">
        <v>1043</v>
      </c>
      <c r="R80" s="65">
        <v>6</v>
      </c>
      <c r="S80" s="248">
        <f>System!$E$10</f>
        <v>1</v>
      </c>
      <c r="T80" s="247">
        <f t="shared" si="3"/>
        <v>6</v>
      </c>
      <c r="U80" s="114">
        <f t="shared" si="4"/>
        <v>0.33116438356164385</v>
      </c>
      <c r="V80" s="65">
        <v>17.405999999999999</v>
      </c>
      <c r="W80" s="99">
        <v>2</v>
      </c>
      <c r="Y80" s="128" t="s">
        <v>83</v>
      </c>
      <c r="Z80" s="60">
        <v>0</v>
      </c>
      <c r="AA80" s="60">
        <v>6</v>
      </c>
      <c r="AB80" s="107">
        <v>1</v>
      </c>
      <c r="AC80" s="107">
        <v>1</v>
      </c>
      <c r="AD80" s="69"/>
      <c r="AE80" s="69"/>
      <c r="AF80" s="69"/>
      <c r="AG80" s="69"/>
      <c r="AH80" s="54" t="b">
        <v>0</v>
      </c>
      <c r="AI80" s="69"/>
      <c r="AJ80" s="107">
        <v>1</v>
      </c>
      <c r="AK80" s="69"/>
      <c r="AL80" s="99"/>
      <c r="AM80" s="156"/>
      <c r="AN80" s="115"/>
      <c r="AO80" s="116"/>
      <c r="AP80" s="69"/>
      <c r="AQ80" s="69"/>
      <c r="AR80" s="139"/>
      <c r="AS80" s="139"/>
      <c r="AT80" s="19"/>
      <c r="AU80" s="19"/>
    </row>
    <row r="81" spans="1:52" s="17" customFormat="1" ht="20" x14ac:dyDescent="0.2">
      <c r="A81" s="118"/>
      <c r="B81" s="204" t="s">
        <v>937</v>
      </c>
      <c r="C81" s="280" t="s">
        <v>2955</v>
      </c>
      <c r="D81" s="204" t="s">
        <v>106</v>
      </c>
      <c r="E81" s="204" t="s">
        <v>201</v>
      </c>
      <c r="F81" s="119">
        <v>53.983530700000003</v>
      </c>
      <c r="G81" s="119">
        <v>-129.7342438</v>
      </c>
      <c r="H81" s="139" t="s">
        <v>1066</v>
      </c>
      <c r="I81" s="33" t="s">
        <v>2876</v>
      </c>
      <c r="J81" s="150" t="s">
        <v>1956</v>
      </c>
      <c r="K81" s="51" t="s">
        <v>3122</v>
      </c>
      <c r="L81" s="175">
        <v>69</v>
      </c>
      <c r="M81" s="54">
        <v>1930</v>
      </c>
      <c r="N81" s="100">
        <v>2100</v>
      </c>
      <c r="O81" s="33"/>
      <c r="P81" s="67" t="s">
        <v>1034</v>
      </c>
      <c r="Q81" s="51" t="s">
        <v>1043</v>
      </c>
      <c r="R81" s="65">
        <v>3.5</v>
      </c>
      <c r="S81" s="248">
        <f>System!$E$10</f>
        <v>1</v>
      </c>
      <c r="T81" s="247">
        <f t="shared" si="3"/>
        <v>3.5</v>
      </c>
      <c r="U81" s="114">
        <f t="shared" si="4"/>
        <v>0.33114807566862359</v>
      </c>
      <c r="V81" s="125">
        <v>10.153</v>
      </c>
      <c r="W81" s="99">
        <v>2</v>
      </c>
      <c r="Y81" s="128" t="s">
        <v>83</v>
      </c>
      <c r="Z81" s="60">
        <v>0</v>
      </c>
      <c r="AA81" s="60">
        <v>3.5</v>
      </c>
      <c r="AB81" s="107">
        <v>1</v>
      </c>
      <c r="AC81" s="107">
        <v>1</v>
      </c>
      <c r="AD81" s="69"/>
      <c r="AE81" s="69"/>
      <c r="AF81" s="69"/>
      <c r="AG81" s="69"/>
      <c r="AH81" s="54" t="b">
        <v>0</v>
      </c>
      <c r="AI81" s="69"/>
      <c r="AJ81" s="107">
        <v>1</v>
      </c>
      <c r="AK81" s="69"/>
      <c r="AL81" s="99"/>
      <c r="AM81" s="156"/>
      <c r="AN81" s="115"/>
      <c r="AO81" s="116"/>
      <c r="AP81" s="69"/>
      <c r="AQ81" s="69"/>
      <c r="AR81" s="139"/>
      <c r="AS81" s="139"/>
      <c r="AT81" s="19"/>
      <c r="AU81" s="19"/>
    </row>
    <row r="82" spans="1:52" s="17" customFormat="1" ht="20" x14ac:dyDescent="0.2">
      <c r="A82" s="118"/>
      <c r="B82" s="204" t="s">
        <v>938</v>
      </c>
      <c r="C82" s="280" t="s">
        <v>2997</v>
      </c>
      <c r="D82" s="204" t="s">
        <v>106</v>
      </c>
      <c r="E82" s="204" t="s">
        <v>201</v>
      </c>
      <c r="F82" s="119">
        <v>53.983530700000003</v>
      </c>
      <c r="G82" s="119">
        <v>-129.7342438</v>
      </c>
      <c r="H82" s="139" t="s">
        <v>1066</v>
      </c>
      <c r="I82" s="33" t="s">
        <v>2876</v>
      </c>
      <c r="J82" s="150" t="s">
        <v>1956</v>
      </c>
      <c r="K82" s="51" t="s">
        <v>3122</v>
      </c>
      <c r="L82" s="175">
        <v>69</v>
      </c>
      <c r="M82" s="54">
        <v>1930</v>
      </c>
      <c r="N82" s="100">
        <v>2100</v>
      </c>
      <c r="O82" s="33"/>
      <c r="P82" s="67" t="s">
        <v>1034</v>
      </c>
      <c r="Q82" s="51" t="s">
        <v>1043</v>
      </c>
      <c r="R82" s="65">
        <v>3.5</v>
      </c>
      <c r="S82" s="248">
        <f>System!$E$10</f>
        <v>1</v>
      </c>
      <c r="T82" s="247">
        <f t="shared" si="3"/>
        <v>3.5</v>
      </c>
      <c r="U82" s="114">
        <f t="shared" si="4"/>
        <v>0.33114807566862359</v>
      </c>
      <c r="V82" s="125">
        <v>10.153</v>
      </c>
      <c r="W82" s="99">
        <v>2</v>
      </c>
      <c r="Y82" s="128" t="s">
        <v>83</v>
      </c>
      <c r="Z82" s="60">
        <v>0</v>
      </c>
      <c r="AA82" s="60">
        <v>3.5</v>
      </c>
      <c r="AB82" s="107">
        <v>1</v>
      </c>
      <c r="AC82" s="107">
        <v>1</v>
      </c>
      <c r="AD82" s="69"/>
      <c r="AE82" s="69"/>
      <c r="AF82" s="69"/>
      <c r="AG82" s="69"/>
      <c r="AH82" s="54" t="b">
        <v>0</v>
      </c>
      <c r="AI82" s="69"/>
      <c r="AJ82" s="107">
        <v>1</v>
      </c>
      <c r="AK82" s="69"/>
      <c r="AL82" s="99"/>
      <c r="AM82" s="156"/>
      <c r="AN82" s="115"/>
      <c r="AO82" s="116"/>
      <c r="AP82" s="69"/>
      <c r="AQ82" s="69"/>
      <c r="AR82" s="139"/>
      <c r="AS82" s="139"/>
      <c r="AT82" s="19"/>
      <c r="AU82" s="19"/>
    </row>
    <row r="83" spans="1:52" s="17" customFormat="1" ht="20" x14ac:dyDescent="0.2">
      <c r="A83" s="118"/>
      <c r="B83" s="204" t="s">
        <v>862</v>
      </c>
      <c r="C83" s="280" t="s">
        <v>2961</v>
      </c>
      <c r="D83" s="204" t="s">
        <v>106</v>
      </c>
      <c r="E83" s="204" t="s">
        <v>118</v>
      </c>
      <c r="F83" s="119">
        <v>50.043999999999997</v>
      </c>
      <c r="G83" s="119">
        <v>-125.3108929</v>
      </c>
      <c r="H83" s="139" t="s">
        <v>1066</v>
      </c>
      <c r="I83" s="33" t="s">
        <v>2876</v>
      </c>
      <c r="J83" s="150" t="s">
        <v>1734</v>
      </c>
      <c r="K83" s="51" t="s">
        <v>3128</v>
      </c>
      <c r="L83" s="175">
        <v>138</v>
      </c>
      <c r="M83" s="67">
        <v>1947</v>
      </c>
      <c r="N83" s="100">
        <v>2100</v>
      </c>
      <c r="O83" s="33"/>
      <c r="P83" s="67" t="s">
        <v>1034</v>
      </c>
      <c r="Q83" s="51" t="s">
        <v>1043</v>
      </c>
      <c r="R83" s="65">
        <v>46</v>
      </c>
      <c r="S83" s="248">
        <f>System!$E$10</f>
        <v>1</v>
      </c>
      <c r="T83" s="247">
        <f t="shared" si="3"/>
        <v>46</v>
      </c>
      <c r="U83" s="114">
        <f t="shared" si="4"/>
        <v>0.33115942028985507</v>
      </c>
      <c r="V83" s="65">
        <v>133.44399999999999</v>
      </c>
      <c r="W83" s="99">
        <v>3</v>
      </c>
      <c r="Y83" s="128" t="s">
        <v>83</v>
      </c>
      <c r="Z83" s="60">
        <v>0</v>
      </c>
      <c r="AA83" s="60">
        <v>46</v>
      </c>
      <c r="AB83" s="107">
        <v>1</v>
      </c>
      <c r="AC83" s="107">
        <v>1</v>
      </c>
      <c r="AD83" s="69"/>
      <c r="AE83" s="69"/>
      <c r="AF83" s="69"/>
      <c r="AG83" s="69"/>
      <c r="AH83" s="54" t="b">
        <v>0</v>
      </c>
      <c r="AI83" s="69"/>
      <c r="AJ83" s="107">
        <v>1</v>
      </c>
      <c r="AK83" s="69"/>
      <c r="AL83" s="99"/>
      <c r="AM83" s="156"/>
      <c r="AN83" s="115"/>
      <c r="AO83" s="116"/>
      <c r="AP83" s="69"/>
      <c r="AQ83" s="69"/>
      <c r="AR83" s="139"/>
      <c r="AS83" s="139"/>
      <c r="AT83" s="19"/>
      <c r="AU83" s="19"/>
    </row>
    <row r="84" spans="1:52" s="17" customFormat="1" ht="20" x14ac:dyDescent="0.2">
      <c r="A84" s="118"/>
      <c r="B84" s="204" t="s">
        <v>863</v>
      </c>
      <c r="C84" s="280" t="s">
        <v>3003</v>
      </c>
      <c r="D84" s="204" t="s">
        <v>106</v>
      </c>
      <c r="E84" s="204" t="s">
        <v>118</v>
      </c>
      <c r="F84" s="119">
        <v>50.043999999999997</v>
      </c>
      <c r="G84" s="119">
        <v>-125.3108929</v>
      </c>
      <c r="H84" s="139" t="s">
        <v>1066</v>
      </c>
      <c r="I84" s="33" t="s">
        <v>2876</v>
      </c>
      <c r="J84" s="150" t="s">
        <v>1734</v>
      </c>
      <c r="K84" s="51" t="s">
        <v>3128</v>
      </c>
      <c r="L84" s="175">
        <v>138</v>
      </c>
      <c r="M84" s="67">
        <v>1947</v>
      </c>
      <c r="N84" s="100">
        <v>2100</v>
      </c>
      <c r="O84" s="33"/>
      <c r="P84" s="67" t="s">
        <v>1034</v>
      </c>
      <c r="Q84" s="51" t="s">
        <v>1043</v>
      </c>
      <c r="R84" s="65">
        <v>46</v>
      </c>
      <c r="S84" s="248">
        <f>System!$E$10</f>
        <v>1</v>
      </c>
      <c r="T84" s="247">
        <f t="shared" si="3"/>
        <v>46</v>
      </c>
      <c r="U84" s="114">
        <f t="shared" si="4"/>
        <v>0.33115942028985507</v>
      </c>
      <c r="V84" s="65">
        <v>133.44399999999999</v>
      </c>
      <c r="W84" s="99">
        <v>3</v>
      </c>
      <c r="Y84" s="128" t="s">
        <v>83</v>
      </c>
      <c r="Z84" s="60">
        <v>0</v>
      </c>
      <c r="AA84" s="60">
        <v>46</v>
      </c>
      <c r="AB84" s="107">
        <v>1</v>
      </c>
      <c r="AC84" s="107">
        <v>1</v>
      </c>
      <c r="AD84" s="69"/>
      <c r="AE84" s="69"/>
      <c r="AF84" s="69"/>
      <c r="AG84" s="69"/>
      <c r="AH84" s="54" t="b">
        <v>0</v>
      </c>
      <c r="AI84" s="69"/>
      <c r="AJ84" s="107">
        <v>1</v>
      </c>
      <c r="AK84" s="69"/>
      <c r="AL84" s="99"/>
      <c r="AM84" s="156"/>
      <c r="AN84" s="115"/>
      <c r="AO84" s="116"/>
      <c r="AP84" s="69"/>
      <c r="AQ84" s="69"/>
      <c r="AR84" s="139"/>
      <c r="AS84" s="139"/>
      <c r="AT84" s="19"/>
      <c r="AU84" s="19"/>
    </row>
    <row r="85" spans="1:52" s="17" customFormat="1" ht="20" x14ac:dyDescent="0.2">
      <c r="A85" s="118"/>
      <c r="B85" s="204" t="s">
        <v>864</v>
      </c>
      <c r="C85" s="280" t="s">
        <v>3036</v>
      </c>
      <c r="D85" s="204" t="s">
        <v>106</v>
      </c>
      <c r="E85" s="204" t="s">
        <v>118</v>
      </c>
      <c r="F85" s="119">
        <v>50.043999999999997</v>
      </c>
      <c r="G85" s="119">
        <v>-125.3108929</v>
      </c>
      <c r="H85" s="139" t="s">
        <v>1066</v>
      </c>
      <c r="I85" s="33" t="s">
        <v>2876</v>
      </c>
      <c r="J85" s="150" t="s">
        <v>1734</v>
      </c>
      <c r="K85" s="51" t="s">
        <v>3128</v>
      </c>
      <c r="L85" s="175">
        <v>138</v>
      </c>
      <c r="M85" s="67">
        <v>1947</v>
      </c>
      <c r="N85" s="100">
        <v>2100</v>
      </c>
      <c r="O85" s="33"/>
      <c r="P85" s="67" t="s">
        <v>1034</v>
      </c>
      <c r="Q85" s="51" t="s">
        <v>1043</v>
      </c>
      <c r="R85" s="65">
        <v>46</v>
      </c>
      <c r="S85" s="248">
        <f>System!$E$10</f>
        <v>1</v>
      </c>
      <c r="T85" s="247">
        <f t="shared" si="3"/>
        <v>46</v>
      </c>
      <c r="U85" s="114">
        <f t="shared" si="4"/>
        <v>0.33115942028985507</v>
      </c>
      <c r="V85" s="65">
        <v>133.44399999999999</v>
      </c>
      <c r="W85" s="99">
        <v>3</v>
      </c>
      <c r="Y85" s="128" t="s">
        <v>83</v>
      </c>
      <c r="Z85" s="60">
        <v>0</v>
      </c>
      <c r="AA85" s="60">
        <v>46</v>
      </c>
      <c r="AB85" s="107">
        <v>1</v>
      </c>
      <c r="AC85" s="107">
        <v>1</v>
      </c>
      <c r="AD85" s="69"/>
      <c r="AE85" s="69"/>
      <c r="AF85" s="69"/>
      <c r="AG85" s="69"/>
      <c r="AH85" s="54" t="b">
        <v>0</v>
      </c>
      <c r="AI85" s="69"/>
      <c r="AJ85" s="107">
        <v>1</v>
      </c>
      <c r="AK85" s="69"/>
      <c r="AL85" s="99"/>
      <c r="AM85" s="137"/>
      <c r="AN85" s="115"/>
      <c r="AO85" s="116"/>
      <c r="AP85" s="69"/>
      <c r="AQ85" s="69"/>
      <c r="AR85" s="139"/>
      <c r="AS85" s="139"/>
      <c r="AT85" s="19"/>
      <c r="AU85" s="19"/>
      <c r="AV85" s="185"/>
      <c r="AW85" s="117"/>
      <c r="AX85" s="13"/>
      <c r="AY85" s="13"/>
      <c r="AZ85" s="13"/>
    </row>
    <row r="86" spans="1:52" s="17" customFormat="1" ht="20" x14ac:dyDescent="0.2">
      <c r="A86" s="118"/>
      <c r="B86" s="204" t="s">
        <v>240</v>
      </c>
      <c r="C86" s="280" t="s">
        <v>3801</v>
      </c>
      <c r="D86" s="204" t="s">
        <v>106</v>
      </c>
      <c r="E86" s="204" t="s">
        <v>118</v>
      </c>
      <c r="F86" s="119">
        <v>48.429655400000001</v>
      </c>
      <c r="G86" s="119">
        <v>-124.0522509</v>
      </c>
      <c r="H86" s="139" t="s">
        <v>1066</v>
      </c>
      <c r="I86" s="33" t="s">
        <v>2876</v>
      </c>
      <c r="J86" s="150" t="s">
        <v>2310</v>
      </c>
      <c r="K86" s="51" t="s">
        <v>3722</v>
      </c>
      <c r="L86" s="175">
        <v>138</v>
      </c>
      <c r="M86" s="54">
        <v>1912</v>
      </c>
      <c r="N86" s="100">
        <v>2100</v>
      </c>
      <c r="O86" s="33"/>
      <c r="P86" s="67" t="s">
        <v>1034</v>
      </c>
      <c r="Q86" s="51" t="s">
        <v>1043</v>
      </c>
      <c r="R86" s="65">
        <v>170</v>
      </c>
      <c r="S86" s="248">
        <f>System!$E$10</f>
        <v>1</v>
      </c>
      <c r="T86" s="247">
        <f t="shared" si="3"/>
        <v>170</v>
      </c>
      <c r="U86" s="114">
        <f t="shared" si="4"/>
        <v>0.33115882101236371</v>
      </c>
      <c r="V86" s="125">
        <v>493.16171625161201</v>
      </c>
      <c r="W86" s="99">
        <v>1</v>
      </c>
      <c r="Y86" s="128" t="s">
        <v>83</v>
      </c>
      <c r="Z86" s="60">
        <v>0</v>
      </c>
      <c r="AA86" s="60">
        <v>170</v>
      </c>
      <c r="AB86" s="107">
        <v>1</v>
      </c>
      <c r="AC86" s="107">
        <v>1</v>
      </c>
      <c r="AD86" s="69"/>
      <c r="AE86" s="69"/>
      <c r="AF86" s="69"/>
      <c r="AG86" s="69"/>
      <c r="AH86" s="54" t="b">
        <v>0</v>
      </c>
      <c r="AI86" s="69"/>
      <c r="AJ86" s="107">
        <v>1</v>
      </c>
      <c r="AK86" s="69"/>
      <c r="AL86" s="99"/>
      <c r="AM86" s="137"/>
      <c r="AN86" s="115"/>
      <c r="AO86" s="116"/>
      <c r="AP86" s="69"/>
      <c r="AQ86" s="69"/>
      <c r="AR86" s="139"/>
      <c r="AS86" s="139"/>
      <c r="AT86" s="19"/>
      <c r="AU86" s="19"/>
      <c r="AV86" s="185"/>
      <c r="AW86" s="117"/>
      <c r="AX86" s="13"/>
      <c r="AY86" s="13"/>
      <c r="AZ86" s="13"/>
    </row>
    <row r="87" spans="1:52" s="17" customFormat="1" ht="20" x14ac:dyDescent="0.2">
      <c r="A87" s="118"/>
      <c r="B87" s="204" t="s">
        <v>892</v>
      </c>
      <c r="C87" s="280" t="s">
        <v>2964</v>
      </c>
      <c r="D87" s="204" t="s">
        <v>106</v>
      </c>
      <c r="E87" s="204" t="s">
        <v>192</v>
      </c>
      <c r="F87" s="119">
        <v>49.453257899999997</v>
      </c>
      <c r="G87" s="119">
        <v>-117.51789650000001</v>
      </c>
      <c r="H87" s="139" t="s">
        <v>1066</v>
      </c>
      <c r="I87" s="33" t="s">
        <v>2876</v>
      </c>
      <c r="J87" s="151" t="s">
        <v>1742</v>
      </c>
      <c r="K87" s="51" t="s">
        <v>3132</v>
      </c>
      <c r="L87" s="175">
        <v>230</v>
      </c>
      <c r="M87" s="54">
        <v>1975</v>
      </c>
      <c r="N87" s="100">
        <v>2100</v>
      </c>
      <c r="O87" s="33"/>
      <c r="P87" s="67" t="s">
        <v>1034</v>
      </c>
      <c r="Q87" s="51" t="s">
        <v>1043</v>
      </c>
      <c r="R87" s="65">
        <v>146.25</v>
      </c>
      <c r="S87" s="248">
        <f>System!$E$10</f>
        <v>1</v>
      </c>
      <c r="T87" s="247">
        <f t="shared" si="3"/>
        <v>146.25</v>
      </c>
      <c r="U87" s="114">
        <f t="shared" si="4"/>
        <v>0.33115881617573667</v>
      </c>
      <c r="V87" s="125">
        <v>424.26411734354502</v>
      </c>
      <c r="W87" s="99">
        <v>4</v>
      </c>
      <c r="Y87" s="128" t="s">
        <v>83</v>
      </c>
      <c r="Z87" s="60">
        <v>0</v>
      </c>
      <c r="AA87" s="60">
        <v>146.25</v>
      </c>
      <c r="AB87" s="107">
        <v>1</v>
      </c>
      <c r="AC87" s="107">
        <v>1</v>
      </c>
      <c r="AD87" s="69"/>
      <c r="AE87" s="69"/>
      <c r="AF87" s="69"/>
      <c r="AG87" s="69"/>
      <c r="AH87" s="54" t="b">
        <v>0</v>
      </c>
      <c r="AI87" s="69"/>
      <c r="AJ87" s="107">
        <v>1</v>
      </c>
      <c r="AK87" s="69"/>
      <c r="AL87" s="99"/>
      <c r="AM87" s="156"/>
      <c r="AN87" s="115"/>
      <c r="AO87" s="116"/>
      <c r="AP87" s="69"/>
      <c r="AQ87" s="69"/>
      <c r="AR87" s="139"/>
      <c r="AS87" s="139"/>
      <c r="AT87" s="19"/>
      <c r="AU87" s="19"/>
    </row>
    <row r="88" spans="1:52" s="17" customFormat="1" ht="20" x14ac:dyDescent="0.2">
      <c r="A88" s="118"/>
      <c r="B88" s="204" t="s">
        <v>893</v>
      </c>
      <c r="C88" s="280" t="s">
        <v>3006</v>
      </c>
      <c r="D88" s="204" t="s">
        <v>106</v>
      </c>
      <c r="E88" s="204" t="s">
        <v>192</v>
      </c>
      <c r="F88" s="119">
        <v>49.453257899999997</v>
      </c>
      <c r="G88" s="119">
        <v>-117.51789650000001</v>
      </c>
      <c r="H88" s="139" t="s">
        <v>1066</v>
      </c>
      <c r="I88" s="33" t="s">
        <v>2876</v>
      </c>
      <c r="J88" s="151" t="s">
        <v>1742</v>
      </c>
      <c r="K88" s="51" t="s">
        <v>3132</v>
      </c>
      <c r="L88" s="175">
        <v>230</v>
      </c>
      <c r="M88" s="54">
        <v>1975</v>
      </c>
      <c r="N88" s="100">
        <v>2100</v>
      </c>
      <c r="O88" s="33"/>
      <c r="P88" s="67" t="s">
        <v>1034</v>
      </c>
      <c r="Q88" s="51" t="s">
        <v>1043</v>
      </c>
      <c r="R88" s="65">
        <v>147.25</v>
      </c>
      <c r="S88" s="248">
        <f>System!$E$10</f>
        <v>1</v>
      </c>
      <c r="T88" s="247">
        <f t="shared" si="3"/>
        <v>147.25</v>
      </c>
      <c r="U88" s="114">
        <f t="shared" si="4"/>
        <v>0.33115881619689358</v>
      </c>
      <c r="V88" s="65">
        <v>427.16506860053499</v>
      </c>
      <c r="W88" s="99">
        <v>4</v>
      </c>
      <c r="Y88" s="128" t="s">
        <v>83</v>
      </c>
      <c r="Z88" s="60">
        <v>0</v>
      </c>
      <c r="AA88" s="60">
        <v>147.25</v>
      </c>
      <c r="AB88" s="107">
        <v>1</v>
      </c>
      <c r="AC88" s="107">
        <v>1</v>
      </c>
      <c r="AD88" s="69"/>
      <c r="AE88" s="69"/>
      <c r="AF88" s="69"/>
      <c r="AG88" s="69"/>
      <c r="AH88" s="54" t="b">
        <v>0</v>
      </c>
      <c r="AI88" s="69"/>
      <c r="AJ88" s="107">
        <v>1</v>
      </c>
      <c r="AK88" s="69"/>
      <c r="AL88" s="99"/>
      <c r="AM88" s="156"/>
      <c r="AN88" s="115"/>
      <c r="AO88" s="116"/>
      <c r="AP88" s="69"/>
      <c r="AQ88" s="69"/>
      <c r="AR88" s="139"/>
      <c r="AS88" s="139"/>
      <c r="AT88" s="19"/>
      <c r="AU88" s="19"/>
    </row>
    <row r="89" spans="1:52" s="17" customFormat="1" ht="20" x14ac:dyDescent="0.2">
      <c r="A89" s="118"/>
      <c r="B89" s="204" t="s">
        <v>894</v>
      </c>
      <c r="C89" s="280" t="s">
        <v>3039</v>
      </c>
      <c r="D89" s="204" t="s">
        <v>106</v>
      </c>
      <c r="E89" s="204" t="s">
        <v>192</v>
      </c>
      <c r="F89" s="119">
        <v>49.453257899999997</v>
      </c>
      <c r="G89" s="119">
        <v>-117.51789650000001</v>
      </c>
      <c r="H89" s="139" t="s">
        <v>1066</v>
      </c>
      <c r="I89" s="33" t="s">
        <v>2876</v>
      </c>
      <c r="J89" s="151" t="s">
        <v>1742</v>
      </c>
      <c r="K89" s="51" t="s">
        <v>3132</v>
      </c>
      <c r="L89" s="175">
        <v>230</v>
      </c>
      <c r="M89" s="54">
        <v>1975</v>
      </c>
      <c r="N89" s="100">
        <v>2100</v>
      </c>
      <c r="O89" s="33"/>
      <c r="P89" s="67" t="s">
        <v>1034</v>
      </c>
      <c r="Q89" s="51" t="s">
        <v>1043</v>
      </c>
      <c r="R89" s="65">
        <v>148.25</v>
      </c>
      <c r="S89" s="248">
        <f>System!$E$10</f>
        <v>1</v>
      </c>
      <c r="T89" s="247">
        <f t="shared" si="3"/>
        <v>148.25</v>
      </c>
      <c r="U89" s="114">
        <f t="shared" si="4"/>
        <v>0.33115881049031859</v>
      </c>
      <c r="V89" s="65">
        <v>430.06601241946203</v>
      </c>
      <c r="W89" s="99">
        <v>4</v>
      </c>
      <c r="Y89" s="128" t="s">
        <v>83</v>
      </c>
      <c r="Z89" s="60">
        <v>0</v>
      </c>
      <c r="AA89" s="60">
        <v>148.25</v>
      </c>
      <c r="AB89" s="107">
        <v>1</v>
      </c>
      <c r="AC89" s="107">
        <v>1</v>
      </c>
      <c r="AD89" s="69"/>
      <c r="AE89" s="69"/>
      <c r="AF89" s="69"/>
      <c r="AG89" s="69"/>
      <c r="AH89" s="54" t="b">
        <v>0</v>
      </c>
      <c r="AI89" s="69"/>
      <c r="AJ89" s="107">
        <v>1</v>
      </c>
      <c r="AK89" s="69"/>
      <c r="AL89" s="99"/>
      <c r="AM89" s="156"/>
      <c r="AN89" s="115"/>
      <c r="AO89" s="116"/>
      <c r="AP89" s="69"/>
      <c r="AQ89" s="69"/>
      <c r="AR89" s="139"/>
      <c r="AS89" s="139"/>
      <c r="AT89" s="19"/>
      <c r="AU89" s="19"/>
    </row>
    <row r="90" spans="1:52" s="17" customFormat="1" ht="20" x14ac:dyDescent="0.2">
      <c r="A90" s="118"/>
      <c r="B90" s="204" t="s">
        <v>895</v>
      </c>
      <c r="C90" s="280" t="s">
        <v>3057</v>
      </c>
      <c r="D90" s="204" t="s">
        <v>106</v>
      </c>
      <c r="E90" s="204" t="s">
        <v>192</v>
      </c>
      <c r="F90" s="119">
        <v>49.453257899999997</v>
      </c>
      <c r="G90" s="119">
        <v>-117.51789650000001</v>
      </c>
      <c r="H90" s="139" t="s">
        <v>1066</v>
      </c>
      <c r="I90" s="33" t="s">
        <v>2876</v>
      </c>
      <c r="J90" s="151" t="s">
        <v>1742</v>
      </c>
      <c r="K90" s="51" t="s">
        <v>3132</v>
      </c>
      <c r="L90" s="175">
        <v>230</v>
      </c>
      <c r="M90" s="54">
        <v>1975</v>
      </c>
      <c r="N90" s="100">
        <v>2100</v>
      </c>
      <c r="O90" s="33"/>
      <c r="P90" s="67" t="s">
        <v>1034</v>
      </c>
      <c r="Q90" s="51" t="s">
        <v>1043</v>
      </c>
      <c r="R90" s="65">
        <v>149.25</v>
      </c>
      <c r="S90" s="248">
        <f>System!$E$10</f>
        <v>1</v>
      </c>
      <c r="T90" s="247">
        <f t="shared" si="3"/>
        <v>149.25</v>
      </c>
      <c r="U90" s="114">
        <f t="shared" si="4"/>
        <v>0.33115882985009754</v>
      </c>
      <c r="V90" s="65">
        <v>432.96698891091302</v>
      </c>
      <c r="W90" s="99">
        <v>4</v>
      </c>
      <c r="Y90" s="128" t="s">
        <v>83</v>
      </c>
      <c r="Z90" s="60">
        <v>0</v>
      </c>
      <c r="AA90" s="60">
        <v>149.25</v>
      </c>
      <c r="AB90" s="107">
        <v>1</v>
      </c>
      <c r="AC90" s="107">
        <v>1</v>
      </c>
      <c r="AD90" s="69"/>
      <c r="AE90" s="69"/>
      <c r="AF90" s="69"/>
      <c r="AG90" s="69"/>
      <c r="AH90" s="54" t="b">
        <v>0</v>
      </c>
      <c r="AI90" s="69"/>
      <c r="AJ90" s="107">
        <v>1</v>
      </c>
      <c r="AK90" s="69"/>
      <c r="AL90" s="99"/>
      <c r="AM90" s="156"/>
      <c r="AN90" s="115"/>
      <c r="AO90" s="116"/>
      <c r="AP90" s="69"/>
      <c r="AQ90" s="69"/>
      <c r="AR90" s="139"/>
      <c r="AS90" s="139"/>
      <c r="AT90" s="19"/>
      <c r="AU90" s="19"/>
    </row>
    <row r="91" spans="1:52" s="17" customFormat="1" ht="20" x14ac:dyDescent="0.2">
      <c r="A91" s="118"/>
      <c r="B91" s="204" t="s">
        <v>939</v>
      </c>
      <c r="C91" s="280" t="s">
        <v>2965</v>
      </c>
      <c r="D91" s="204" t="s">
        <v>106</v>
      </c>
      <c r="E91" s="204" t="s">
        <v>118</v>
      </c>
      <c r="F91" s="119">
        <v>50.0173147</v>
      </c>
      <c r="G91" s="119">
        <v>-125.39301690000001</v>
      </c>
      <c r="H91" s="139" t="s">
        <v>1066</v>
      </c>
      <c r="I91" s="33" t="s">
        <v>2876</v>
      </c>
      <c r="J91" s="150" t="s">
        <v>1762</v>
      </c>
      <c r="K91" s="51" t="s">
        <v>3139</v>
      </c>
      <c r="L91" s="175">
        <v>138</v>
      </c>
      <c r="M91" s="54">
        <v>1956</v>
      </c>
      <c r="N91" s="100">
        <v>2100</v>
      </c>
      <c r="O91" s="33"/>
      <c r="P91" s="67" t="s">
        <v>1034</v>
      </c>
      <c r="Q91" s="51" t="s">
        <v>1043</v>
      </c>
      <c r="R91" s="65">
        <v>23.5</v>
      </c>
      <c r="S91" s="248">
        <f>System!$E$10</f>
        <v>1</v>
      </c>
      <c r="T91" s="247">
        <f t="shared" si="3"/>
        <v>23.5</v>
      </c>
      <c r="U91" s="114">
        <f t="shared" si="4"/>
        <v>0.33115709705625185</v>
      </c>
      <c r="V91" s="125">
        <v>68.171999999999997</v>
      </c>
      <c r="W91" s="99">
        <v>2</v>
      </c>
      <c r="Y91" s="128" t="s">
        <v>83</v>
      </c>
      <c r="Z91" s="60">
        <v>0</v>
      </c>
      <c r="AA91" s="60">
        <v>23.5</v>
      </c>
      <c r="AB91" s="107">
        <v>1</v>
      </c>
      <c r="AC91" s="107">
        <v>1</v>
      </c>
      <c r="AD91" s="69"/>
      <c r="AE91" s="69"/>
      <c r="AF91" s="69"/>
      <c r="AG91" s="69"/>
      <c r="AH91" s="54" t="b">
        <v>0</v>
      </c>
      <c r="AI91" s="69"/>
      <c r="AJ91" s="107">
        <v>1</v>
      </c>
      <c r="AK91" s="69"/>
      <c r="AL91" s="99"/>
      <c r="AM91" s="156"/>
      <c r="AN91" s="115"/>
      <c r="AO91" s="116"/>
      <c r="AP91" s="69"/>
      <c r="AQ91" s="69"/>
      <c r="AR91" s="139"/>
      <c r="AS91" s="139"/>
      <c r="AT91" s="19"/>
      <c r="AU91" s="19"/>
    </row>
    <row r="92" spans="1:52" s="17" customFormat="1" ht="20" x14ac:dyDescent="0.2">
      <c r="A92" s="118"/>
      <c r="B92" s="204" t="s">
        <v>940</v>
      </c>
      <c r="C92" s="280" t="s">
        <v>3007</v>
      </c>
      <c r="D92" s="204" t="s">
        <v>106</v>
      </c>
      <c r="E92" s="204" t="s">
        <v>118</v>
      </c>
      <c r="F92" s="119">
        <v>50.0173147</v>
      </c>
      <c r="G92" s="119">
        <v>-125.39301690000001</v>
      </c>
      <c r="H92" s="139" t="s">
        <v>1066</v>
      </c>
      <c r="I92" s="33" t="s">
        <v>2876</v>
      </c>
      <c r="J92" s="150" t="s">
        <v>1762</v>
      </c>
      <c r="K92" s="51" t="s">
        <v>3139</v>
      </c>
      <c r="L92" s="175">
        <v>138</v>
      </c>
      <c r="M92" s="54">
        <v>1956</v>
      </c>
      <c r="N92" s="100">
        <v>2100</v>
      </c>
      <c r="O92" s="33"/>
      <c r="P92" s="67" t="s">
        <v>1034</v>
      </c>
      <c r="Q92" s="51" t="s">
        <v>1043</v>
      </c>
      <c r="R92" s="65">
        <v>23.5</v>
      </c>
      <c r="S92" s="248">
        <f>System!$E$10</f>
        <v>1</v>
      </c>
      <c r="T92" s="247">
        <f t="shared" si="3"/>
        <v>23.5</v>
      </c>
      <c r="U92" s="114">
        <f t="shared" si="4"/>
        <v>0.33115709705625185</v>
      </c>
      <c r="V92" s="125">
        <v>68.171999999999997</v>
      </c>
      <c r="W92" s="99">
        <v>2</v>
      </c>
      <c r="Y92" s="128" t="s">
        <v>83</v>
      </c>
      <c r="Z92" s="60">
        <v>0</v>
      </c>
      <c r="AA92" s="60">
        <v>23.5</v>
      </c>
      <c r="AB92" s="107">
        <v>1</v>
      </c>
      <c r="AC92" s="107">
        <v>1</v>
      </c>
      <c r="AD92" s="69"/>
      <c r="AE92" s="69"/>
      <c r="AF92" s="69"/>
      <c r="AG92" s="69"/>
      <c r="AH92" s="54" t="b">
        <v>0</v>
      </c>
      <c r="AI92" s="69"/>
      <c r="AJ92" s="107">
        <v>1</v>
      </c>
      <c r="AK92" s="69"/>
      <c r="AL92" s="99"/>
      <c r="AM92" s="156"/>
      <c r="AN92" s="115"/>
      <c r="AO92" s="116"/>
      <c r="AP92" s="69"/>
      <c r="AQ92" s="69"/>
      <c r="AR92" s="139"/>
      <c r="AS92" s="139"/>
      <c r="AT92" s="19"/>
      <c r="AU92" s="19"/>
    </row>
    <row r="93" spans="1:52" s="17" customFormat="1" ht="20" x14ac:dyDescent="0.2">
      <c r="A93" s="118"/>
      <c r="B93" s="204" t="s">
        <v>252</v>
      </c>
      <c r="C93" s="280" t="s">
        <v>3804</v>
      </c>
      <c r="D93" s="204" t="s">
        <v>106</v>
      </c>
      <c r="E93" s="204" t="s">
        <v>141</v>
      </c>
      <c r="F93" s="119">
        <v>50.839720399999997</v>
      </c>
      <c r="G93" s="119">
        <v>-122.85588989999999</v>
      </c>
      <c r="H93" s="139" t="s">
        <v>1066</v>
      </c>
      <c r="I93" s="33" t="s">
        <v>2876</v>
      </c>
      <c r="J93" s="150" t="s">
        <v>1758</v>
      </c>
      <c r="K93" s="51" t="s">
        <v>3728</v>
      </c>
      <c r="L93" s="175">
        <v>69</v>
      </c>
      <c r="M93" s="54">
        <v>1957</v>
      </c>
      <c r="N93" s="100">
        <v>2100</v>
      </c>
      <c r="O93" s="33"/>
      <c r="P93" s="67" t="s">
        <v>1034</v>
      </c>
      <c r="Q93" s="51" t="s">
        <v>1043</v>
      </c>
      <c r="R93" s="65">
        <v>25</v>
      </c>
      <c r="S93" s="248">
        <f>System!$E$10</f>
        <v>1</v>
      </c>
      <c r="T93" s="247">
        <f t="shared" si="3"/>
        <v>25</v>
      </c>
      <c r="U93" s="114">
        <f t="shared" si="4"/>
        <v>0.33115878945214844</v>
      </c>
      <c r="V93" s="125">
        <v>72.523774890020505</v>
      </c>
      <c r="W93" s="99">
        <v>1</v>
      </c>
      <c r="Y93" s="128" t="s">
        <v>83</v>
      </c>
      <c r="Z93" s="60">
        <v>0</v>
      </c>
      <c r="AA93" s="60">
        <v>25</v>
      </c>
      <c r="AB93" s="107">
        <v>1</v>
      </c>
      <c r="AC93" s="107">
        <v>1</v>
      </c>
      <c r="AD93" s="69"/>
      <c r="AE93" s="69"/>
      <c r="AF93" s="69"/>
      <c r="AG93" s="69"/>
      <c r="AH93" s="54" t="b">
        <v>0</v>
      </c>
      <c r="AI93" s="69"/>
      <c r="AJ93" s="107">
        <v>1</v>
      </c>
      <c r="AK93" s="69"/>
      <c r="AL93" s="99"/>
      <c r="AM93" s="156"/>
      <c r="AN93" s="115"/>
      <c r="AO93" s="116"/>
      <c r="AP93" s="69"/>
      <c r="AQ93" s="69"/>
      <c r="AR93" s="139"/>
      <c r="AS93" s="139"/>
      <c r="AT93" s="19"/>
      <c r="AU93" s="19"/>
    </row>
    <row r="94" spans="1:52" s="17" customFormat="1" ht="20" x14ac:dyDescent="0.2">
      <c r="A94" s="118"/>
      <c r="B94" s="204" t="s">
        <v>2930</v>
      </c>
      <c r="C94" s="280" t="s">
        <v>3805</v>
      </c>
      <c r="D94" s="204" t="s">
        <v>106</v>
      </c>
      <c r="E94" s="204" t="s">
        <v>112</v>
      </c>
      <c r="F94" s="126">
        <v>49.375179429210299</v>
      </c>
      <c r="G94" s="126">
        <v>-122.868653025866</v>
      </c>
      <c r="H94" s="139" t="s">
        <v>1066</v>
      </c>
      <c r="I94" s="33" t="s">
        <v>2876</v>
      </c>
      <c r="J94" s="150" t="s">
        <v>2929</v>
      </c>
      <c r="K94" s="51" t="s">
        <v>3723</v>
      </c>
      <c r="L94" s="175">
        <v>69</v>
      </c>
      <c r="M94" s="54">
        <v>1903</v>
      </c>
      <c r="N94" s="100">
        <v>2100</v>
      </c>
      <c r="O94" s="33"/>
      <c r="P94" s="67" t="s">
        <v>1034</v>
      </c>
      <c r="Q94" s="51" t="s">
        <v>1043</v>
      </c>
      <c r="R94" s="65">
        <v>55</v>
      </c>
      <c r="S94" s="248">
        <f>System!$E$10</f>
        <v>1</v>
      </c>
      <c r="T94" s="247">
        <f t="shared" si="3"/>
        <v>55</v>
      </c>
      <c r="U94" s="114">
        <f t="shared" si="4"/>
        <v>0.33115882901908678</v>
      </c>
      <c r="V94" s="65">
        <v>159.55232382139602</v>
      </c>
      <c r="W94" s="99">
        <v>1</v>
      </c>
      <c r="Y94" s="128" t="s">
        <v>83</v>
      </c>
      <c r="Z94" s="60">
        <v>0</v>
      </c>
      <c r="AA94" s="60">
        <v>55</v>
      </c>
      <c r="AB94" s="107">
        <v>1</v>
      </c>
      <c r="AC94" s="107">
        <v>1</v>
      </c>
      <c r="AD94" s="69"/>
      <c r="AE94" s="69"/>
      <c r="AF94" s="69"/>
      <c r="AG94" s="69"/>
      <c r="AH94" s="54" t="b">
        <v>0</v>
      </c>
      <c r="AI94" s="69"/>
      <c r="AJ94" s="107">
        <v>1</v>
      </c>
      <c r="AK94" s="69"/>
      <c r="AL94" s="99"/>
      <c r="AM94" s="156"/>
      <c r="AN94" s="115"/>
      <c r="AO94" s="116"/>
      <c r="AP94" s="69"/>
      <c r="AQ94" s="69"/>
      <c r="AR94" s="139"/>
      <c r="AS94" s="139"/>
      <c r="AT94" s="19"/>
      <c r="AU94" s="19"/>
    </row>
    <row r="95" spans="1:52" s="17" customFormat="1" ht="20" x14ac:dyDescent="0.2">
      <c r="A95" s="118"/>
      <c r="B95" s="206" t="s">
        <v>2798</v>
      </c>
      <c r="C95" s="280" t="s">
        <v>2966</v>
      </c>
      <c r="D95" s="206" t="s">
        <v>253</v>
      </c>
      <c r="E95" s="206" t="s">
        <v>204</v>
      </c>
      <c r="F95" s="119">
        <v>56.062313699999997</v>
      </c>
      <c r="G95" s="119">
        <v>-130.01849490000001</v>
      </c>
      <c r="H95" s="139" t="s">
        <v>1066</v>
      </c>
      <c r="I95" s="33" t="s">
        <v>2876</v>
      </c>
      <c r="J95" s="150" t="s">
        <v>2363</v>
      </c>
      <c r="K95" s="51" t="s">
        <v>3140</v>
      </c>
      <c r="L95" s="175">
        <v>138</v>
      </c>
      <c r="M95" s="54">
        <v>2013</v>
      </c>
      <c r="N95" s="33">
        <f>M95+40</f>
        <v>2053</v>
      </c>
      <c r="O95" s="33"/>
      <c r="P95" s="63" t="s">
        <v>1034</v>
      </c>
      <c r="Q95" s="51" t="s">
        <v>1043</v>
      </c>
      <c r="R95" s="65">
        <v>15.5</v>
      </c>
      <c r="S95" s="248">
        <f>System!$E$10</f>
        <v>1</v>
      </c>
      <c r="T95" s="247">
        <f t="shared" si="3"/>
        <v>15.5</v>
      </c>
      <c r="U95" s="114">
        <f t="shared" si="4"/>
        <v>0.56734423331860362</v>
      </c>
      <c r="V95" s="125">
        <v>77.034000000000006</v>
      </c>
      <c r="W95" s="99">
        <v>2</v>
      </c>
      <c r="Y95" s="128" t="s">
        <v>83</v>
      </c>
      <c r="Z95" s="60">
        <v>0</v>
      </c>
      <c r="AA95" s="60">
        <v>15.5</v>
      </c>
      <c r="AB95" s="107">
        <v>1</v>
      </c>
      <c r="AC95" s="107">
        <v>1</v>
      </c>
      <c r="AD95" s="69"/>
      <c r="AE95" s="69"/>
      <c r="AF95" s="69"/>
      <c r="AG95" s="69"/>
      <c r="AH95" s="54" t="b">
        <v>0</v>
      </c>
      <c r="AI95" s="69"/>
      <c r="AJ95" s="107">
        <v>1</v>
      </c>
      <c r="AK95" s="69"/>
      <c r="AL95" s="99"/>
      <c r="AN95" s="115"/>
      <c r="AO95" s="116"/>
      <c r="AP95" s="69"/>
      <c r="AQ95" s="69"/>
      <c r="AR95" s="139"/>
      <c r="AS95" s="139"/>
      <c r="AT95" s="19"/>
      <c r="AU95" s="19"/>
    </row>
    <row r="96" spans="1:52" s="17" customFormat="1" ht="20" x14ac:dyDescent="0.2">
      <c r="A96" s="118"/>
      <c r="B96" s="206" t="s">
        <v>2799</v>
      </c>
      <c r="C96" s="280" t="s">
        <v>3008</v>
      </c>
      <c r="D96" s="206" t="s">
        <v>253</v>
      </c>
      <c r="E96" s="206" t="s">
        <v>204</v>
      </c>
      <c r="F96" s="119">
        <v>56.062313699999997</v>
      </c>
      <c r="G96" s="119">
        <v>-130.01849490000001</v>
      </c>
      <c r="H96" s="139" t="s">
        <v>1066</v>
      </c>
      <c r="I96" s="33" t="s">
        <v>2876</v>
      </c>
      <c r="J96" s="150" t="s">
        <v>2363</v>
      </c>
      <c r="K96" s="51" t="s">
        <v>3140</v>
      </c>
      <c r="L96" s="175">
        <v>138</v>
      </c>
      <c r="M96" s="54">
        <v>2013</v>
      </c>
      <c r="N96" s="33">
        <f>M96+40</f>
        <v>2053</v>
      </c>
      <c r="O96" s="33"/>
      <c r="P96" s="63" t="s">
        <v>1034</v>
      </c>
      <c r="Q96" s="51" t="s">
        <v>1043</v>
      </c>
      <c r="R96" s="65">
        <v>15.5</v>
      </c>
      <c r="S96" s="248">
        <f>System!$E$10</f>
        <v>1</v>
      </c>
      <c r="T96" s="247">
        <f t="shared" si="3"/>
        <v>15.5</v>
      </c>
      <c r="U96" s="114">
        <f t="shared" si="4"/>
        <v>0.56734423331860362</v>
      </c>
      <c r="V96" s="125">
        <v>77.034000000000006</v>
      </c>
      <c r="W96" s="99">
        <v>2</v>
      </c>
      <c r="Y96" s="128" t="s">
        <v>83</v>
      </c>
      <c r="Z96" s="60">
        <v>0</v>
      </c>
      <c r="AA96" s="60">
        <v>15.5</v>
      </c>
      <c r="AB96" s="107">
        <v>1</v>
      </c>
      <c r="AC96" s="107">
        <v>1</v>
      </c>
      <c r="AD96" s="69"/>
      <c r="AE96" s="69"/>
      <c r="AF96" s="69"/>
      <c r="AG96" s="69"/>
      <c r="AH96" s="54" t="b">
        <v>0</v>
      </c>
      <c r="AI96" s="69"/>
      <c r="AJ96" s="107">
        <v>1</v>
      </c>
      <c r="AK96" s="69"/>
      <c r="AL96" s="99"/>
      <c r="AN96" s="115"/>
      <c r="AO96" s="116"/>
      <c r="AP96" s="69"/>
      <c r="AQ96" s="69"/>
      <c r="AR96" s="139"/>
      <c r="AS96" s="139"/>
      <c r="AT96" s="19"/>
      <c r="AU96" s="19"/>
    </row>
    <row r="97" spans="1:47" s="17" customFormat="1" ht="20" x14ac:dyDescent="0.2">
      <c r="A97" s="118"/>
      <c r="B97" s="271" t="s">
        <v>917</v>
      </c>
      <c r="C97" s="280" t="s">
        <v>2967</v>
      </c>
      <c r="D97" s="271" t="s">
        <v>173</v>
      </c>
      <c r="E97" s="271" t="s">
        <v>259</v>
      </c>
      <c r="F97" s="119">
        <v>49.461708899999998</v>
      </c>
      <c r="G97" s="119">
        <v>-117.5004247</v>
      </c>
      <c r="H97" s="139" t="s">
        <v>1066</v>
      </c>
      <c r="I97" s="33" t="s">
        <v>2876</v>
      </c>
      <c r="J97" s="230" t="s">
        <v>2735</v>
      </c>
      <c r="K97" s="51" t="s">
        <v>3137</v>
      </c>
      <c r="L97" s="231">
        <v>63</v>
      </c>
      <c r="M97" s="52">
        <v>1897</v>
      </c>
      <c r="N97" s="100">
        <v>2100</v>
      </c>
      <c r="O97" s="33"/>
      <c r="P97" s="52" t="s">
        <v>1034</v>
      </c>
      <c r="Q97" s="51" t="s">
        <v>1043</v>
      </c>
      <c r="R97" s="65">
        <v>16</v>
      </c>
      <c r="S97" s="248">
        <f>System!$E$10</f>
        <v>1</v>
      </c>
      <c r="T97" s="247">
        <f t="shared" si="3"/>
        <v>16</v>
      </c>
      <c r="U97" s="114">
        <f t="shared" si="4"/>
        <v>0.33115724885844749</v>
      </c>
      <c r="V97" s="125">
        <v>46.414999999999999</v>
      </c>
      <c r="W97" s="99">
        <v>3</v>
      </c>
      <c r="Y97" s="128" t="s">
        <v>83</v>
      </c>
      <c r="Z97" s="60">
        <v>0</v>
      </c>
      <c r="AA97" s="60">
        <v>16</v>
      </c>
      <c r="AB97" s="107">
        <v>1</v>
      </c>
      <c r="AC97" s="107">
        <v>1</v>
      </c>
      <c r="AD97" s="69"/>
      <c r="AE97" s="69"/>
      <c r="AF97" s="69"/>
      <c r="AG97" s="69"/>
      <c r="AH97" s="54" t="b">
        <v>0</v>
      </c>
      <c r="AI97" s="69"/>
      <c r="AJ97" s="107">
        <v>1</v>
      </c>
      <c r="AK97" s="69"/>
      <c r="AL97" s="99"/>
      <c r="AN97" s="115"/>
      <c r="AO97" s="116"/>
      <c r="AP97" s="69"/>
      <c r="AQ97" s="69"/>
      <c r="AR97" s="139"/>
      <c r="AS97" s="139"/>
      <c r="AT97" s="19"/>
      <c r="AU97" s="19"/>
    </row>
    <row r="98" spans="1:47" s="17" customFormat="1" ht="20" x14ac:dyDescent="0.2">
      <c r="A98" s="118"/>
      <c r="B98" s="271" t="s">
        <v>918</v>
      </c>
      <c r="C98" s="280" t="s">
        <v>3009</v>
      </c>
      <c r="D98" s="271" t="s">
        <v>173</v>
      </c>
      <c r="E98" s="271" t="s">
        <v>259</v>
      </c>
      <c r="F98" s="119">
        <v>49.461708899999998</v>
      </c>
      <c r="G98" s="119">
        <v>-117.5004247</v>
      </c>
      <c r="H98" s="139" t="s">
        <v>1066</v>
      </c>
      <c r="I98" s="33" t="s">
        <v>2876</v>
      </c>
      <c r="J98" s="230" t="s">
        <v>2735</v>
      </c>
      <c r="K98" s="51" t="s">
        <v>3137</v>
      </c>
      <c r="L98" s="231">
        <v>63</v>
      </c>
      <c r="M98" s="52">
        <v>1897</v>
      </c>
      <c r="N98" s="100">
        <v>2100</v>
      </c>
      <c r="O98" s="33"/>
      <c r="P98" s="52" t="s">
        <v>1034</v>
      </c>
      <c r="Q98" s="51" t="s">
        <v>1043</v>
      </c>
      <c r="R98" s="65">
        <v>16</v>
      </c>
      <c r="S98" s="248">
        <f>System!$E$10</f>
        <v>1</v>
      </c>
      <c r="T98" s="247">
        <f t="shared" si="3"/>
        <v>16</v>
      </c>
      <c r="U98" s="114">
        <f t="shared" si="4"/>
        <v>0.33115724885844749</v>
      </c>
      <c r="V98" s="125">
        <v>46.414999999999999</v>
      </c>
      <c r="W98" s="99">
        <v>3</v>
      </c>
      <c r="Y98" s="128" t="s">
        <v>83</v>
      </c>
      <c r="Z98" s="60">
        <v>0</v>
      </c>
      <c r="AA98" s="60">
        <v>16</v>
      </c>
      <c r="AB98" s="107">
        <v>1</v>
      </c>
      <c r="AC98" s="107">
        <v>1</v>
      </c>
      <c r="AD98" s="69"/>
      <c r="AE98" s="69"/>
      <c r="AF98" s="69"/>
      <c r="AG98" s="69"/>
      <c r="AH98" s="54" t="b">
        <v>0</v>
      </c>
      <c r="AI98" s="69"/>
      <c r="AJ98" s="107">
        <v>1</v>
      </c>
      <c r="AK98" s="69"/>
      <c r="AL98" s="99"/>
      <c r="AN98" s="115"/>
      <c r="AO98" s="116"/>
      <c r="AP98" s="69"/>
      <c r="AQ98" s="69"/>
      <c r="AR98" s="139"/>
      <c r="AS98" s="139"/>
      <c r="AT98" s="19"/>
      <c r="AU98" s="19"/>
    </row>
    <row r="99" spans="1:47" s="17" customFormat="1" ht="20" x14ac:dyDescent="0.2">
      <c r="A99" s="118"/>
      <c r="B99" s="271" t="s">
        <v>919</v>
      </c>
      <c r="C99" s="280" t="s">
        <v>3040</v>
      </c>
      <c r="D99" s="271" t="s">
        <v>173</v>
      </c>
      <c r="E99" s="271" t="s">
        <v>259</v>
      </c>
      <c r="F99" s="119">
        <v>49.461708899999998</v>
      </c>
      <c r="G99" s="119">
        <v>-117.5004247</v>
      </c>
      <c r="H99" s="139" t="s">
        <v>1066</v>
      </c>
      <c r="I99" s="33" t="s">
        <v>2876</v>
      </c>
      <c r="J99" s="230" t="s">
        <v>2735</v>
      </c>
      <c r="K99" s="51" t="s">
        <v>3137</v>
      </c>
      <c r="L99" s="231">
        <v>63</v>
      </c>
      <c r="M99" s="52">
        <v>1897</v>
      </c>
      <c r="N99" s="100">
        <v>2100</v>
      </c>
      <c r="O99" s="33"/>
      <c r="P99" s="52" t="s">
        <v>1034</v>
      </c>
      <c r="Q99" s="51" t="s">
        <v>1043</v>
      </c>
      <c r="R99" s="65">
        <v>14</v>
      </c>
      <c r="S99" s="248">
        <f>System!$E$10</f>
        <v>1</v>
      </c>
      <c r="T99" s="247">
        <f t="shared" si="3"/>
        <v>14</v>
      </c>
      <c r="U99" s="114">
        <f t="shared" si="4"/>
        <v>0.33115622961513375</v>
      </c>
      <c r="V99" s="125">
        <v>40.613</v>
      </c>
      <c r="W99" s="99">
        <v>3</v>
      </c>
      <c r="Y99" s="128" t="s">
        <v>83</v>
      </c>
      <c r="Z99" s="60">
        <v>0</v>
      </c>
      <c r="AA99" s="60">
        <v>14</v>
      </c>
      <c r="AB99" s="107">
        <v>1</v>
      </c>
      <c r="AC99" s="107">
        <v>1</v>
      </c>
      <c r="AD99" s="69"/>
      <c r="AE99" s="69"/>
      <c r="AF99" s="69"/>
      <c r="AG99" s="69"/>
      <c r="AH99" s="54" t="b">
        <v>0</v>
      </c>
      <c r="AI99" s="69"/>
      <c r="AJ99" s="107">
        <v>1</v>
      </c>
      <c r="AK99" s="69"/>
      <c r="AL99" s="99"/>
      <c r="AN99" s="115"/>
      <c r="AO99" s="116"/>
      <c r="AP99" s="69"/>
      <c r="AQ99" s="69"/>
      <c r="AR99" s="139"/>
      <c r="AS99" s="139"/>
      <c r="AT99" s="19"/>
      <c r="AU99" s="19"/>
    </row>
    <row r="100" spans="1:47" s="17" customFormat="1" ht="20" x14ac:dyDescent="0.2">
      <c r="A100" s="118"/>
      <c r="B100" s="204" t="s">
        <v>292</v>
      </c>
      <c r="C100" s="280" t="s">
        <v>3832</v>
      </c>
      <c r="D100" s="204" t="s">
        <v>106</v>
      </c>
      <c r="E100" s="204" t="s">
        <v>118</v>
      </c>
      <c r="F100" s="119">
        <v>49.6649648</v>
      </c>
      <c r="G100" s="119">
        <v>-125.0939051</v>
      </c>
      <c r="H100" s="139" t="s">
        <v>1066</v>
      </c>
      <c r="I100" s="33" t="s">
        <v>2876</v>
      </c>
      <c r="J100" s="150" t="s">
        <v>1844</v>
      </c>
      <c r="K100" s="51" t="s">
        <v>3724</v>
      </c>
      <c r="L100" s="175">
        <v>138</v>
      </c>
      <c r="M100" s="67">
        <v>1912</v>
      </c>
      <c r="N100" s="100">
        <v>2100</v>
      </c>
      <c r="O100" s="33"/>
      <c r="P100" s="67" t="s">
        <v>1034</v>
      </c>
      <c r="Q100" s="51" t="s">
        <v>1043</v>
      </c>
      <c r="R100" s="68">
        <v>24</v>
      </c>
      <c r="S100" s="248">
        <f>System!$E$10</f>
        <v>1</v>
      </c>
      <c r="T100" s="247">
        <f t="shared" si="3"/>
        <v>24</v>
      </c>
      <c r="U100" s="114">
        <f t="shared" si="4"/>
        <v>0.33115882267169044</v>
      </c>
      <c r="V100" s="125">
        <v>69.622830878496202</v>
      </c>
      <c r="W100" s="99">
        <v>1</v>
      </c>
      <c r="Y100" s="128" t="s">
        <v>83</v>
      </c>
      <c r="Z100" s="60">
        <v>0</v>
      </c>
      <c r="AA100" s="60">
        <v>24</v>
      </c>
      <c r="AB100" s="107">
        <v>1</v>
      </c>
      <c r="AC100" s="107">
        <v>1</v>
      </c>
      <c r="AD100" s="69"/>
      <c r="AE100" s="69"/>
      <c r="AF100" s="69"/>
      <c r="AG100" s="69"/>
      <c r="AH100" s="54" t="b">
        <v>0</v>
      </c>
      <c r="AI100" s="69"/>
      <c r="AJ100" s="107">
        <v>1</v>
      </c>
      <c r="AK100" s="69"/>
      <c r="AL100" s="99"/>
      <c r="AN100" s="115"/>
      <c r="AO100" s="116"/>
      <c r="AP100" s="69"/>
      <c r="AQ100" s="69"/>
      <c r="AR100" s="139"/>
      <c r="AS100" s="139"/>
      <c r="AT100" s="19"/>
      <c r="AU100" s="19"/>
    </row>
    <row r="101" spans="1:47" s="17" customFormat="1" ht="20" x14ac:dyDescent="0.2">
      <c r="A101" s="118"/>
      <c r="B101" s="206" t="s">
        <v>941</v>
      </c>
      <c r="C101" s="280" t="s">
        <v>2973</v>
      </c>
      <c r="D101" s="206" t="s">
        <v>295</v>
      </c>
      <c r="E101" s="206" t="s">
        <v>296</v>
      </c>
      <c r="F101" s="119">
        <v>50.388420799999999</v>
      </c>
      <c r="G101" s="119">
        <v>-127.23347200000001</v>
      </c>
      <c r="H101" s="139" t="s">
        <v>1066</v>
      </c>
      <c r="I101" s="33" t="s">
        <v>2876</v>
      </c>
      <c r="J101" s="150" t="s">
        <v>1740</v>
      </c>
      <c r="K101" s="51" t="s">
        <v>3201</v>
      </c>
      <c r="L101" s="175">
        <v>138</v>
      </c>
      <c r="M101" s="54">
        <v>2012</v>
      </c>
      <c r="N101" s="33">
        <f>M101+40</f>
        <v>2052</v>
      </c>
      <c r="O101" s="33"/>
      <c r="P101" s="63" t="s">
        <v>1034</v>
      </c>
      <c r="Q101" s="51" t="s">
        <v>1043</v>
      </c>
      <c r="R101" s="65">
        <v>4</v>
      </c>
      <c r="S101" s="248">
        <f>System!$E$10</f>
        <v>1</v>
      </c>
      <c r="T101" s="247">
        <f t="shared" si="3"/>
        <v>4</v>
      </c>
      <c r="U101" s="114">
        <f t="shared" si="4"/>
        <v>0.56735159817351599</v>
      </c>
      <c r="V101" s="125">
        <v>19.88</v>
      </c>
      <c r="W101" s="99">
        <v>2</v>
      </c>
      <c r="Y101" s="128" t="s">
        <v>83</v>
      </c>
      <c r="Z101" s="60">
        <v>0</v>
      </c>
      <c r="AA101" s="60">
        <v>4</v>
      </c>
      <c r="AB101" s="107">
        <v>1</v>
      </c>
      <c r="AC101" s="107">
        <v>1</v>
      </c>
      <c r="AD101" s="69"/>
      <c r="AE101" s="69"/>
      <c r="AF101" s="69"/>
      <c r="AG101" s="69"/>
      <c r="AH101" s="54" t="b">
        <v>0</v>
      </c>
      <c r="AI101" s="69"/>
      <c r="AJ101" s="107">
        <v>1</v>
      </c>
      <c r="AK101" s="69"/>
      <c r="AL101" s="99"/>
      <c r="AM101" s="156"/>
      <c r="AN101" s="115"/>
      <c r="AO101" s="116"/>
      <c r="AP101" s="69"/>
      <c r="AQ101" s="69"/>
      <c r="AR101" s="139"/>
      <c r="AS101" s="139"/>
      <c r="AT101" s="19"/>
      <c r="AU101" s="19"/>
    </row>
    <row r="102" spans="1:47" s="17" customFormat="1" ht="20" x14ac:dyDescent="0.2">
      <c r="A102" s="118"/>
      <c r="B102" s="206" t="s">
        <v>942</v>
      </c>
      <c r="C102" s="280" t="s">
        <v>3015</v>
      </c>
      <c r="D102" s="206" t="s">
        <v>295</v>
      </c>
      <c r="E102" s="206" t="s">
        <v>296</v>
      </c>
      <c r="F102" s="119">
        <v>50.388420799999999</v>
      </c>
      <c r="G102" s="119">
        <v>-127.23347200000001</v>
      </c>
      <c r="H102" s="139" t="s">
        <v>1066</v>
      </c>
      <c r="I102" s="33" t="s">
        <v>2876</v>
      </c>
      <c r="J102" s="150" t="s">
        <v>1740</v>
      </c>
      <c r="K102" s="51" t="s">
        <v>3201</v>
      </c>
      <c r="L102" s="175">
        <v>138</v>
      </c>
      <c r="M102" s="54">
        <v>2012</v>
      </c>
      <c r="N102" s="33">
        <f>M102+40</f>
        <v>2052</v>
      </c>
      <c r="O102" s="33"/>
      <c r="P102" s="63" t="s">
        <v>1034</v>
      </c>
      <c r="Q102" s="51" t="s">
        <v>1043</v>
      </c>
      <c r="R102" s="65">
        <v>4</v>
      </c>
      <c r="S102" s="248">
        <f>System!$E$10</f>
        <v>1</v>
      </c>
      <c r="T102" s="247">
        <f t="shared" si="3"/>
        <v>4</v>
      </c>
      <c r="U102" s="114">
        <f t="shared" si="4"/>
        <v>0.56735159817351599</v>
      </c>
      <c r="V102" s="125">
        <v>19.88</v>
      </c>
      <c r="W102" s="99">
        <v>2</v>
      </c>
      <c r="Y102" s="128" t="s">
        <v>83</v>
      </c>
      <c r="Z102" s="60">
        <v>0</v>
      </c>
      <c r="AA102" s="60">
        <v>4</v>
      </c>
      <c r="AB102" s="107">
        <v>1</v>
      </c>
      <c r="AC102" s="107">
        <v>1</v>
      </c>
      <c r="AD102" s="69"/>
      <c r="AE102" s="69"/>
      <c r="AF102" s="69"/>
      <c r="AG102" s="69"/>
      <c r="AH102" s="54" t="b">
        <v>0</v>
      </c>
      <c r="AI102" s="69"/>
      <c r="AJ102" s="107">
        <v>1</v>
      </c>
      <c r="AK102" s="69"/>
      <c r="AL102" s="99"/>
      <c r="AN102" s="115"/>
      <c r="AO102" s="116"/>
      <c r="AP102" s="69"/>
      <c r="AQ102" s="69"/>
      <c r="AR102" s="139"/>
      <c r="AS102" s="139"/>
      <c r="AT102" s="19"/>
      <c r="AU102" s="19"/>
    </row>
    <row r="103" spans="1:47" s="17" customFormat="1" ht="20" x14ac:dyDescent="0.2">
      <c r="A103" s="118"/>
      <c r="B103" s="204" t="s">
        <v>920</v>
      </c>
      <c r="C103" s="280" t="s">
        <v>2975</v>
      </c>
      <c r="D103" s="204" t="s">
        <v>106</v>
      </c>
      <c r="E103" s="204" t="s">
        <v>112</v>
      </c>
      <c r="F103" s="119">
        <v>49.1949732</v>
      </c>
      <c r="G103" s="119">
        <v>-122.4083408</v>
      </c>
      <c r="H103" s="139" t="s">
        <v>1066</v>
      </c>
      <c r="I103" s="33" t="s">
        <v>2876</v>
      </c>
      <c r="J103" s="151" t="s">
        <v>1863</v>
      </c>
      <c r="K103" s="51" t="s">
        <v>3154</v>
      </c>
      <c r="L103" s="175">
        <v>69</v>
      </c>
      <c r="M103" s="67">
        <v>1930</v>
      </c>
      <c r="N103" s="100">
        <v>2100</v>
      </c>
      <c r="O103" s="33"/>
      <c r="P103" s="67" t="s">
        <v>1034</v>
      </c>
      <c r="Q103" s="51" t="s">
        <v>1043</v>
      </c>
      <c r="R103" s="65">
        <v>38.33</v>
      </c>
      <c r="S103" s="248">
        <f>System!$E$10</f>
        <v>1</v>
      </c>
      <c r="T103" s="247">
        <f t="shared" si="3"/>
        <v>38.33</v>
      </c>
      <c r="U103" s="114">
        <f t="shared" si="4"/>
        <v>0.33115744430426947</v>
      </c>
      <c r="V103" s="125">
        <v>111.193</v>
      </c>
      <c r="W103" s="99">
        <v>3</v>
      </c>
      <c r="Y103" s="128" t="s">
        <v>83</v>
      </c>
      <c r="Z103" s="60">
        <v>0</v>
      </c>
      <c r="AA103" s="60">
        <v>38.33</v>
      </c>
      <c r="AB103" s="107">
        <v>1</v>
      </c>
      <c r="AC103" s="107">
        <v>1</v>
      </c>
      <c r="AD103" s="69"/>
      <c r="AE103" s="69"/>
      <c r="AF103" s="69"/>
      <c r="AG103" s="69"/>
      <c r="AH103" s="54" t="b">
        <v>0</v>
      </c>
      <c r="AI103" s="69"/>
      <c r="AJ103" s="107">
        <v>1</v>
      </c>
      <c r="AK103" s="69"/>
      <c r="AL103" s="99"/>
      <c r="AN103" s="115"/>
      <c r="AO103" s="116"/>
      <c r="AP103" s="69"/>
      <c r="AQ103" s="69"/>
      <c r="AR103" s="139"/>
      <c r="AS103" s="139"/>
      <c r="AT103" s="19"/>
      <c r="AU103" s="19"/>
    </row>
    <row r="104" spans="1:47" s="17" customFormat="1" ht="20" x14ac:dyDescent="0.2">
      <c r="A104" s="118"/>
      <c r="B104" s="204" t="s">
        <v>921</v>
      </c>
      <c r="C104" s="280" t="s">
        <v>3017</v>
      </c>
      <c r="D104" s="204" t="s">
        <v>106</v>
      </c>
      <c r="E104" s="204" t="s">
        <v>112</v>
      </c>
      <c r="F104" s="119">
        <v>49.1949732</v>
      </c>
      <c r="G104" s="119">
        <v>-122.4083408</v>
      </c>
      <c r="H104" s="139" t="s">
        <v>1066</v>
      </c>
      <c r="I104" s="33" t="s">
        <v>2876</v>
      </c>
      <c r="J104" s="151" t="s">
        <v>1863</v>
      </c>
      <c r="K104" s="51" t="s">
        <v>3154</v>
      </c>
      <c r="L104" s="175">
        <v>69</v>
      </c>
      <c r="M104" s="67">
        <v>1930</v>
      </c>
      <c r="N104" s="100">
        <v>2100</v>
      </c>
      <c r="O104" s="33"/>
      <c r="P104" s="67" t="s">
        <v>1034</v>
      </c>
      <c r="Q104" s="51" t="s">
        <v>1043</v>
      </c>
      <c r="R104" s="65">
        <v>38.33</v>
      </c>
      <c r="S104" s="248">
        <f>System!$E$10</f>
        <v>1</v>
      </c>
      <c r="T104" s="247">
        <f t="shared" si="3"/>
        <v>38.33</v>
      </c>
      <c r="U104" s="114">
        <f t="shared" si="4"/>
        <v>0.33115744430426947</v>
      </c>
      <c r="V104" s="125">
        <v>111.193</v>
      </c>
      <c r="W104" s="99">
        <v>3</v>
      </c>
      <c r="Y104" s="128" t="s">
        <v>83</v>
      </c>
      <c r="Z104" s="60">
        <v>0</v>
      </c>
      <c r="AA104" s="60">
        <v>38.33</v>
      </c>
      <c r="AB104" s="107">
        <v>1</v>
      </c>
      <c r="AC104" s="107">
        <v>1</v>
      </c>
      <c r="AD104" s="69"/>
      <c r="AE104" s="69"/>
      <c r="AF104" s="69"/>
      <c r="AG104" s="69"/>
      <c r="AH104" s="54" t="b">
        <v>0</v>
      </c>
      <c r="AI104" s="69"/>
      <c r="AJ104" s="107">
        <v>1</v>
      </c>
      <c r="AK104" s="69"/>
      <c r="AL104" s="99"/>
      <c r="AN104" s="115"/>
      <c r="AO104" s="116"/>
      <c r="AP104" s="69"/>
      <c r="AQ104" s="69"/>
      <c r="AR104" s="139"/>
      <c r="AS104" s="139"/>
      <c r="AT104" s="19"/>
      <c r="AU104" s="19"/>
    </row>
    <row r="105" spans="1:47" s="17" customFormat="1" ht="20" x14ac:dyDescent="0.2">
      <c r="A105" s="118"/>
      <c r="B105" s="204" t="s">
        <v>922</v>
      </c>
      <c r="C105" s="280" t="s">
        <v>3044</v>
      </c>
      <c r="D105" s="204" t="s">
        <v>106</v>
      </c>
      <c r="E105" s="204" t="s">
        <v>112</v>
      </c>
      <c r="F105" s="119">
        <v>49.1949732</v>
      </c>
      <c r="G105" s="119">
        <v>-122.4083408</v>
      </c>
      <c r="H105" s="139" t="s">
        <v>1066</v>
      </c>
      <c r="I105" s="33" t="s">
        <v>2876</v>
      </c>
      <c r="J105" s="151" t="s">
        <v>1863</v>
      </c>
      <c r="K105" s="51" t="s">
        <v>3154</v>
      </c>
      <c r="L105" s="175">
        <v>69</v>
      </c>
      <c r="M105" s="67">
        <v>1930</v>
      </c>
      <c r="N105" s="100">
        <v>2100</v>
      </c>
      <c r="O105" s="33"/>
      <c r="P105" s="67" t="s">
        <v>1034</v>
      </c>
      <c r="Q105" s="51" t="s">
        <v>1043</v>
      </c>
      <c r="R105" s="65">
        <v>38.33</v>
      </c>
      <c r="S105" s="248">
        <f>System!$E$10</f>
        <v>1</v>
      </c>
      <c r="T105" s="247">
        <f t="shared" si="3"/>
        <v>38.33</v>
      </c>
      <c r="U105" s="114">
        <f t="shared" si="4"/>
        <v>0.33115744430426947</v>
      </c>
      <c r="V105" s="125">
        <v>111.193</v>
      </c>
      <c r="W105" s="99">
        <v>3</v>
      </c>
      <c r="Y105" s="128" t="s">
        <v>83</v>
      </c>
      <c r="Z105" s="60">
        <v>0</v>
      </c>
      <c r="AA105" s="60">
        <v>38.33</v>
      </c>
      <c r="AB105" s="107">
        <v>1</v>
      </c>
      <c r="AC105" s="107">
        <v>1</v>
      </c>
      <c r="AD105" s="69"/>
      <c r="AE105" s="69"/>
      <c r="AF105" s="69"/>
      <c r="AG105" s="69"/>
      <c r="AH105" s="54" t="b">
        <v>0</v>
      </c>
      <c r="AI105" s="69"/>
      <c r="AJ105" s="107">
        <v>1</v>
      </c>
      <c r="AK105" s="69"/>
      <c r="AL105" s="99"/>
      <c r="AN105" s="115"/>
      <c r="AO105" s="116"/>
      <c r="AP105" s="69"/>
      <c r="AQ105" s="69"/>
      <c r="AR105" s="139"/>
      <c r="AS105" s="139"/>
      <c r="AT105" s="19"/>
      <c r="AU105" s="19"/>
    </row>
    <row r="106" spans="1:47" s="117" customFormat="1" ht="20" x14ac:dyDescent="0.2">
      <c r="B106" s="204" t="s">
        <v>305</v>
      </c>
      <c r="C106" s="280" t="s">
        <v>3840</v>
      </c>
      <c r="D106" s="204" t="s">
        <v>106</v>
      </c>
      <c r="E106" s="204" t="s">
        <v>141</v>
      </c>
      <c r="F106" s="119">
        <v>50.672741500000001</v>
      </c>
      <c r="G106" s="119">
        <v>-121.9241239</v>
      </c>
      <c r="H106" s="139" t="s">
        <v>1066</v>
      </c>
      <c r="I106" s="33" t="s">
        <v>2876</v>
      </c>
      <c r="J106" s="150" t="s">
        <v>1893</v>
      </c>
      <c r="K106" s="51" t="s">
        <v>3729</v>
      </c>
      <c r="L106" s="175">
        <v>69</v>
      </c>
      <c r="M106" s="54">
        <v>1956</v>
      </c>
      <c r="N106" s="100">
        <v>2100</v>
      </c>
      <c r="O106" s="33"/>
      <c r="P106" s="67" t="s">
        <v>1034</v>
      </c>
      <c r="Q106" s="51" t="s">
        <v>1043</v>
      </c>
      <c r="R106" s="65">
        <v>48</v>
      </c>
      <c r="S106" s="248">
        <f>System!$E$10</f>
        <v>1</v>
      </c>
      <c r="T106" s="247">
        <f t="shared" si="3"/>
        <v>48</v>
      </c>
      <c r="U106" s="114">
        <f t="shared" si="4"/>
        <v>0.33115883837992771</v>
      </c>
      <c r="V106" s="125">
        <v>139.24566836199199</v>
      </c>
      <c r="W106" s="99">
        <v>1</v>
      </c>
      <c r="X106" s="17"/>
      <c r="Y106" s="128" t="s">
        <v>83</v>
      </c>
      <c r="Z106" s="60">
        <v>0</v>
      </c>
      <c r="AA106" s="60">
        <v>48</v>
      </c>
      <c r="AB106" s="107">
        <v>1</v>
      </c>
      <c r="AC106" s="107">
        <v>1</v>
      </c>
      <c r="AD106" s="69"/>
      <c r="AE106" s="69"/>
      <c r="AF106" s="69"/>
      <c r="AG106" s="69"/>
      <c r="AH106" s="54" t="b">
        <v>0</v>
      </c>
      <c r="AI106" s="69"/>
      <c r="AJ106" s="107">
        <v>1</v>
      </c>
      <c r="AK106" s="69"/>
      <c r="AL106" s="99"/>
      <c r="AM106" s="17"/>
      <c r="AN106" s="115"/>
      <c r="AO106" s="116"/>
      <c r="AP106" s="69"/>
      <c r="AQ106" s="69"/>
      <c r="AR106" s="139"/>
      <c r="AS106" s="139"/>
      <c r="AT106" s="19"/>
      <c r="AU106" s="19"/>
    </row>
    <row r="107" spans="1:47" s="117" customFormat="1" ht="20" x14ac:dyDescent="0.2">
      <c r="B107" s="204" t="s">
        <v>896</v>
      </c>
      <c r="C107" s="280" t="s">
        <v>2976</v>
      </c>
      <c r="D107" s="204" t="s">
        <v>106</v>
      </c>
      <c r="E107" s="204" t="s">
        <v>192</v>
      </c>
      <c r="F107" s="119">
        <v>49.030161200000002</v>
      </c>
      <c r="G107" s="119">
        <v>-117.5040983</v>
      </c>
      <c r="H107" s="139" t="s">
        <v>1066</v>
      </c>
      <c r="I107" s="33" t="s">
        <v>2876</v>
      </c>
      <c r="J107" s="150" t="s">
        <v>1878</v>
      </c>
      <c r="K107" s="51" t="s">
        <v>3158</v>
      </c>
      <c r="L107" s="175">
        <v>230</v>
      </c>
      <c r="M107" s="54">
        <v>1979</v>
      </c>
      <c r="N107" s="100">
        <v>2100</v>
      </c>
      <c r="O107" s="33"/>
      <c r="P107" s="67" t="s">
        <v>1034</v>
      </c>
      <c r="Q107" s="51" t="s">
        <v>1043</v>
      </c>
      <c r="R107" s="65">
        <v>201.25</v>
      </c>
      <c r="S107" s="248">
        <f>System!$E$10</f>
        <v>1</v>
      </c>
      <c r="T107" s="247">
        <f t="shared" si="3"/>
        <v>201.25</v>
      </c>
      <c r="U107" s="114">
        <f t="shared" si="4"/>
        <v>0.33115856944326272</v>
      </c>
      <c r="V107" s="125">
        <v>583.81600000000003</v>
      </c>
      <c r="W107" s="99">
        <v>4</v>
      </c>
      <c r="X107" s="17"/>
      <c r="Y107" s="128" t="s">
        <v>83</v>
      </c>
      <c r="Z107" s="60">
        <v>0</v>
      </c>
      <c r="AA107" s="60">
        <v>201.25</v>
      </c>
      <c r="AB107" s="107">
        <v>1</v>
      </c>
      <c r="AC107" s="107">
        <v>1</v>
      </c>
      <c r="AD107" s="69"/>
      <c r="AE107" s="69"/>
      <c r="AF107" s="69"/>
      <c r="AG107" s="69"/>
      <c r="AH107" s="54" t="b">
        <v>0</v>
      </c>
      <c r="AI107" s="69"/>
      <c r="AJ107" s="107">
        <v>1</v>
      </c>
      <c r="AK107" s="69"/>
      <c r="AL107" s="99"/>
      <c r="AM107" s="17"/>
      <c r="AN107" s="115"/>
      <c r="AO107" s="116"/>
      <c r="AP107" s="69"/>
      <c r="AQ107" s="69"/>
      <c r="AR107" s="139"/>
      <c r="AS107" s="139"/>
      <c r="AT107" s="19"/>
      <c r="AU107" s="19"/>
    </row>
    <row r="108" spans="1:47" s="117" customFormat="1" ht="20" x14ac:dyDescent="0.2">
      <c r="B108" s="204" t="s">
        <v>897</v>
      </c>
      <c r="C108" s="280" t="s">
        <v>3018</v>
      </c>
      <c r="D108" s="204" t="s">
        <v>106</v>
      </c>
      <c r="E108" s="204" t="s">
        <v>192</v>
      </c>
      <c r="F108" s="119">
        <v>49.030161200000002</v>
      </c>
      <c r="G108" s="119">
        <v>-117.5040983</v>
      </c>
      <c r="H108" s="139" t="s">
        <v>1066</v>
      </c>
      <c r="I108" s="33" t="s">
        <v>2876</v>
      </c>
      <c r="J108" s="150" t="s">
        <v>1878</v>
      </c>
      <c r="K108" s="51" t="s">
        <v>3158</v>
      </c>
      <c r="L108" s="175">
        <v>230</v>
      </c>
      <c r="M108" s="54">
        <v>1979</v>
      </c>
      <c r="N108" s="100">
        <v>2100</v>
      </c>
      <c r="O108" s="33"/>
      <c r="P108" s="67" t="s">
        <v>1034</v>
      </c>
      <c r="Q108" s="51" t="s">
        <v>1043</v>
      </c>
      <c r="R108" s="65">
        <v>201.25</v>
      </c>
      <c r="S108" s="248">
        <f>System!$E$10</f>
        <v>1</v>
      </c>
      <c r="T108" s="247">
        <f t="shared" si="3"/>
        <v>201.25</v>
      </c>
      <c r="U108" s="114">
        <f t="shared" si="4"/>
        <v>0.33115856944326272</v>
      </c>
      <c r="V108" s="125">
        <v>583.81600000000003</v>
      </c>
      <c r="W108" s="99">
        <v>4</v>
      </c>
      <c r="X108" s="17"/>
      <c r="Y108" s="128" t="s">
        <v>83</v>
      </c>
      <c r="Z108" s="60">
        <v>0</v>
      </c>
      <c r="AA108" s="60">
        <v>201.25</v>
      </c>
      <c r="AB108" s="107">
        <v>1</v>
      </c>
      <c r="AC108" s="107">
        <v>1</v>
      </c>
      <c r="AD108" s="69"/>
      <c r="AE108" s="69"/>
      <c r="AF108" s="69"/>
      <c r="AG108" s="69"/>
      <c r="AH108" s="54" t="b">
        <v>0</v>
      </c>
      <c r="AI108" s="69"/>
      <c r="AJ108" s="107">
        <v>1</v>
      </c>
      <c r="AK108" s="69"/>
      <c r="AL108" s="99"/>
      <c r="AM108" s="156"/>
      <c r="AN108" s="115"/>
      <c r="AO108" s="116"/>
      <c r="AP108" s="69"/>
      <c r="AQ108" s="69"/>
      <c r="AR108" s="139"/>
      <c r="AS108" s="139"/>
      <c r="AT108" s="19"/>
      <c r="AU108" s="19"/>
    </row>
    <row r="109" spans="1:47" s="117" customFormat="1" ht="20" x14ac:dyDescent="0.2">
      <c r="B109" s="204" t="s">
        <v>898</v>
      </c>
      <c r="C109" s="280" t="s">
        <v>3045</v>
      </c>
      <c r="D109" s="204" t="s">
        <v>106</v>
      </c>
      <c r="E109" s="204" t="s">
        <v>192</v>
      </c>
      <c r="F109" s="119">
        <v>49.030161200000002</v>
      </c>
      <c r="G109" s="119">
        <v>-117.5040983</v>
      </c>
      <c r="H109" s="139" t="s">
        <v>1066</v>
      </c>
      <c r="I109" s="33" t="s">
        <v>2876</v>
      </c>
      <c r="J109" s="150" t="s">
        <v>1878</v>
      </c>
      <c r="K109" s="51" t="s">
        <v>3158</v>
      </c>
      <c r="L109" s="175">
        <v>230</v>
      </c>
      <c r="M109" s="54">
        <v>1979</v>
      </c>
      <c r="N109" s="100">
        <v>2100</v>
      </c>
      <c r="O109" s="33"/>
      <c r="P109" s="67" t="s">
        <v>1034</v>
      </c>
      <c r="Q109" s="51" t="s">
        <v>1043</v>
      </c>
      <c r="R109" s="65">
        <v>201.25</v>
      </c>
      <c r="S109" s="248">
        <f>System!$E$10</f>
        <v>1</v>
      </c>
      <c r="T109" s="247">
        <f t="shared" si="3"/>
        <v>201.25</v>
      </c>
      <c r="U109" s="114">
        <f t="shared" si="4"/>
        <v>0.33115856944326272</v>
      </c>
      <c r="V109" s="125">
        <v>583.81600000000003</v>
      </c>
      <c r="W109" s="99">
        <v>4</v>
      </c>
      <c r="X109" s="17"/>
      <c r="Y109" s="128" t="s">
        <v>83</v>
      </c>
      <c r="Z109" s="60">
        <v>0</v>
      </c>
      <c r="AA109" s="60">
        <v>201.25</v>
      </c>
      <c r="AB109" s="107">
        <v>1</v>
      </c>
      <c r="AC109" s="107">
        <v>1</v>
      </c>
      <c r="AD109" s="69"/>
      <c r="AE109" s="69"/>
      <c r="AF109" s="69"/>
      <c r="AG109" s="69"/>
      <c r="AH109" s="54" t="b">
        <v>0</v>
      </c>
      <c r="AI109" s="69"/>
      <c r="AJ109" s="107">
        <v>1</v>
      </c>
      <c r="AK109" s="69"/>
      <c r="AL109" s="99"/>
      <c r="AM109" s="156"/>
      <c r="AN109" s="115"/>
      <c r="AO109" s="116"/>
      <c r="AP109" s="69"/>
      <c r="AQ109" s="69"/>
      <c r="AR109" s="139"/>
      <c r="AS109" s="139"/>
      <c r="AT109" s="19"/>
      <c r="AU109" s="19"/>
    </row>
    <row r="110" spans="1:47" s="117" customFormat="1" ht="20" x14ac:dyDescent="0.2">
      <c r="B110" s="204" t="s">
        <v>899</v>
      </c>
      <c r="C110" s="280" t="s">
        <v>3061</v>
      </c>
      <c r="D110" s="204" t="s">
        <v>106</v>
      </c>
      <c r="E110" s="204" t="s">
        <v>192</v>
      </c>
      <c r="F110" s="119">
        <v>49.030161200000002</v>
      </c>
      <c r="G110" s="119">
        <v>-117.5040983</v>
      </c>
      <c r="H110" s="139" t="s">
        <v>1066</v>
      </c>
      <c r="I110" s="33" t="s">
        <v>2876</v>
      </c>
      <c r="J110" s="150" t="s">
        <v>1878</v>
      </c>
      <c r="K110" s="51" t="s">
        <v>3158</v>
      </c>
      <c r="L110" s="175">
        <v>230</v>
      </c>
      <c r="M110" s="54">
        <v>1979</v>
      </c>
      <c r="N110" s="100">
        <v>2100</v>
      </c>
      <c r="O110" s="33"/>
      <c r="P110" s="67" t="s">
        <v>1034</v>
      </c>
      <c r="Q110" s="51" t="s">
        <v>1043</v>
      </c>
      <c r="R110" s="65">
        <v>201.25</v>
      </c>
      <c r="S110" s="248">
        <f>System!$E$10</f>
        <v>1</v>
      </c>
      <c r="T110" s="247">
        <f t="shared" si="3"/>
        <v>201.25</v>
      </c>
      <c r="U110" s="114">
        <f t="shared" si="4"/>
        <v>0.33115856944326272</v>
      </c>
      <c r="V110" s="125">
        <v>583.81600000000003</v>
      </c>
      <c r="W110" s="99">
        <v>4</v>
      </c>
      <c r="X110" s="17"/>
      <c r="Y110" s="128" t="s">
        <v>83</v>
      </c>
      <c r="Z110" s="60">
        <v>0</v>
      </c>
      <c r="AA110" s="60">
        <v>201.25</v>
      </c>
      <c r="AB110" s="107">
        <v>1</v>
      </c>
      <c r="AC110" s="107">
        <v>1</v>
      </c>
      <c r="AD110" s="69"/>
      <c r="AE110" s="69"/>
      <c r="AF110" s="69"/>
      <c r="AG110" s="69"/>
      <c r="AH110" s="54" t="b">
        <v>0</v>
      </c>
      <c r="AI110" s="69"/>
      <c r="AJ110" s="107">
        <v>1</v>
      </c>
      <c r="AK110" s="69"/>
      <c r="AL110" s="99"/>
      <c r="AM110" s="17"/>
      <c r="AN110" s="115"/>
      <c r="AO110" s="116"/>
      <c r="AP110" s="69"/>
      <c r="AQ110" s="69"/>
      <c r="AR110" s="139"/>
      <c r="AS110" s="139"/>
      <c r="AT110" s="19"/>
      <c r="AU110" s="19"/>
    </row>
    <row r="111" spans="1:47" s="117" customFormat="1" ht="20" x14ac:dyDescent="0.2">
      <c r="B111" s="204" t="s">
        <v>309</v>
      </c>
      <c r="C111" s="280" t="s">
        <v>3842</v>
      </c>
      <c r="D111" s="204" t="s">
        <v>106</v>
      </c>
      <c r="E111" s="204" t="s">
        <v>309</v>
      </c>
      <c r="F111" s="119">
        <v>50.296008200000003</v>
      </c>
      <c r="G111" s="119">
        <v>-118.8133272</v>
      </c>
      <c r="H111" s="139" t="s">
        <v>1066</v>
      </c>
      <c r="I111" s="33" t="s">
        <v>2876</v>
      </c>
      <c r="J111" s="150" t="s">
        <v>1565</v>
      </c>
      <c r="K111" s="51" t="s">
        <v>3206</v>
      </c>
      <c r="L111" s="175">
        <v>230</v>
      </c>
      <c r="M111" s="54">
        <v>1929</v>
      </c>
      <c r="N111" s="100">
        <v>2100</v>
      </c>
      <c r="O111" s="33"/>
      <c r="P111" s="67" t="s">
        <v>1034</v>
      </c>
      <c r="Q111" s="51" t="s">
        <v>1043</v>
      </c>
      <c r="R111" s="65">
        <v>6</v>
      </c>
      <c r="S111" s="248">
        <f>System!$E$10</f>
        <v>1</v>
      </c>
      <c r="T111" s="247">
        <f t="shared" si="3"/>
        <v>6</v>
      </c>
      <c r="U111" s="114">
        <f t="shared" si="4"/>
        <v>0.33124048706240489</v>
      </c>
      <c r="V111" s="65">
        <v>17.41</v>
      </c>
      <c r="W111" s="99">
        <v>1</v>
      </c>
      <c r="X111" s="17"/>
      <c r="Y111" s="128" t="s">
        <v>83</v>
      </c>
      <c r="Z111" s="60">
        <v>0</v>
      </c>
      <c r="AA111" s="60">
        <v>6</v>
      </c>
      <c r="AB111" s="107">
        <v>1</v>
      </c>
      <c r="AC111" s="107">
        <v>1</v>
      </c>
      <c r="AD111" s="69"/>
      <c r="AE111" s="69"/>
      <c r="AF111" s="69"/>
      <c r="AG111" s="69"/>
      <c r="AH111" s="54" t="b">
        <v>0</v>
      </c>
      <c r="AI111" s="69"/>
      <c r="AJ111" s="107">
        <v>1</v>
      </c>
      <c r="AK111" s="69"/>
      <c r="AL111" s="99"/>
      <c r="AM111" s="17"/>
      <c r="AN111" s="115"/>
      <c r="AO111" s="116"/>
      <c r="AP111" s="69"/>
      <c r="AQ111" s="69"/>
      <c r="AR111" s="139"/>
      <c r="AS111" s="139"/>
      <c r="AT111" s="19"/>
      <c r="AU111" s="19"/>
    </row>
    <row r="112" spans="1:47" s="17" customFormat="1" ht="20" x14ac:dyDescent="0.2">
      <c r="A112" s="118"/>
      <c r="B112" s="271" t="s">
        <v>923</v>
      </c>
      <c r="C112" s="280" t="s">
        <v>2978</v>
      </c>
      <c r="D112" s="271" t="s">
        <v>173</v>
      </c>
      <c r="E112" s="271" t="s">
        <v>259</v>
      </c>
      <c r="F112" s="119">
        <v>49.455486499999999</v>
      </c>
      <c r="G112" s="119">
        <v>-117.5197117</v>
      </c>
      <c r="H112" s="139" t="s">
        <v>1066</v>
      </c>
      <c r="I112" s="33" t="s">
        <v>2876</v>
      </c>
      <c r="J112" s="150" t="s">
        <v>2326</v>
      </c>
      <c r="K112" s="51" t="s">
        <v>3162</v>
      </c>
      <c r="L112" s="175">
        <v>69</v>
      </c>
      <c r="M112" s="52">
        <v>1928</v>
      </c>
      <c r="N112" s="100">
        <v>2100</v>
      </c>
      <c r="O112" s="33"/>
      <c r="P112" s="52" t="s">
        <v>1034</v>
      </c>
      <c r="Q112" s="51" t="s">
        <v>1043</v>
      </c>
      <c r="R112" s="65">
        <v>19</v>
      </c>
      <c r="S112" s="248">
        <f>System!$E$10</f>
        <v>1</v>
      </c>
      <c r="T112" s="247">
        <f t="shared" si="3"/>
        <v>19</v>
      </c>
      <c r="U112" s="114">
        <f t="shared" si="4"/>
        <v>0.33115837539053111</v>
      </c>
      <c r="V112" s="125">
        <v>55.118000000000002</v>
      </c>
      <c r="W112" s="99">
        <v>3</v>
      </c>
      <c r="Y112" s="128" t="s">
        <v>83</v>
      </c>
      <c r="Z112" s="60">
        <v>0</v>
      </c>
      <c r="AA112" s="60">
        <v>19</v>
      </c>
      <c r="AB112" s="107">
        <v>1</v>
      </c>
      <c r="AC112" s="107">
        <v>1</v>
      </c>
      <c r="AD112" s="69"/>
      <c r="AE112" s="69"/>
      <c r="AF112" s="69"/>
      <c r="AG112" s="69"/>
      <c r="AH112" s="54" t="b">
        <v>0</v>
      </c>
      <c r="AI112" s="69"/>
      <c r="AJ112" s="107">
        <v>1</v>
      </c>
      <c r="AK112" s="69"/>
      <c r="AL112" s="99"/>
      <c r="AN112" s="115"/>
      <c r="AO112" s="116"/>
      <c r="AP112" s="69"/>
      <c r="AQ112" s="69"/>
      <c r="AR112" s="139"/>
      <c r="AS112" s="139"/>
      <c r="AT112" s="19"/>
      <c r="AU112" s="19"/>
    </row>
    <row r="113" spans="1:47" s="17" customFormat="1" ht="20" x14ac:dyDescent="0.2">
      <c r="A113" s="118"/>
      <c r="B113" s="271" t="s">
        <v>924</v>
      </c>
      <c r="C113" s="280" t="s">
        <v>3020</v>
      </c>
      <c r="D113" s="271" t="s">
        <v>173</v>
      </c>
      <c r="E113" s="271" t="s">
        <v>259</v>
      </c>
      <c r="F113" s="119">
        <v>49.455486499999999</v>
      </c>
      <c r="G113" s="119">
        <v>-117.5197117</v>
      </c>
      <c r="H113" s="139" t="s">
        <v>1066</v>
      </c>
      <c r="I113" s="33" t="s">
        <v>2876</v>
      </c>
      <c r="J113" s="150" t="s">
        <v>2326</v>
      </c>
      <c r="K113" s="51" t="s">
        <v>3162</v>
      </c>
      <c r="L113" s="175">
        <v>69</v>
      </c>
      <c r="M113" s="52">
        <v>1928</v>
      </c>
      <c r="N113" s="100">
        <v>2100</v>
      </c>
      <c r="O113" s="33"/>
      <c r="P113" s="52" t="s">
        <v>1034</v>
      </c>
      <c r="Q113" s="51" t="s">
        <v>1043</v>
      </c>
      <c r="R113" s="65">
        <v>19</v>
      </c>
      <c r="S113" s="248">
        <f>System!$E$10</f>
        <v>1</v>
      </c>
      <c r="T113" s="247">
        <f t="shared" si="3"/>
        <v>19</v>
      </c>
      <c r="U113" s="114">
        <f t="shared" si="4"/>
        <v>0.33115837539053111</v>
      </c>
      <c r="V113" s="125">
        <v>55.118000000000002</v>
      </c>
      <c r="W113" s="99">
        <v>3</v>
      </c>
      <c r="Y113" s="128" t="s">
        <v>83</v>
      </c>
      <c r="Z113" s="60">
        <v>0</v>
      </c>
      <c r="AA113" s="60">
        <v>19</v>
      </c>
      <c r="AB113" s="107">
        <v>1</v>
      </c>
      <c r="AC113" s="107">
        <v>1</v>
      </c>
      <c r="AD113" s="69"/>
      <c r="AE113" s="69"/>
      <c r="AF113" s="69"/>
      <c r="AG113" s="69"/>
      <c r="AH113" s="54" t="b">
        <v>0</v>
      </c>
      <c r="AI113" s="69"/>
      <c r="AJ113" s="107">
        <v>1</v>
      </c>
      <c r="AK113" s="69"/>
      <c r="AL113" s="99"/>
      <c r="AN113" s="115"/>
      <c r="AO113" s="116"/>
      <c r="AP113" s="69"/>
      <c r="AQ113" s="69"/>
      <c r="AR113" s="139"/>
      <c r="AS113" s="139"/>
      <c r="AT113" s="19"/>
      <c r="AU113" s="19"/>
    </row>
    <row r="114" spans="1:47" s="17" customFormat="1" ht="20" x14ac:dyDescent="0.2">
      <c r="A114" s="118"/>
      <c r="B114" s="271" t="s">
        <v>925</v>
      </c>
      <c r="C114" s="280" t="s">
        <v>3047</v>
      </c>
      <c r="D114" s="271" t="s">
        <v>173</v>
      </c>
      <c r="E114" s="271" t="s">
        <v>259</v>
      </c>
      <c r="F114" s="119">
        <v>49.455486499999999</v>
      </c>
      <c r="G114" s="119">
        <v>-117.5197117</v>
      </c>
      <c r="H114" s="139" t="s">
        <v>1066</v>
      </c>
      <c r="I114" s="33" t="s">
        <v>2876</v>
      </c>
      <c r="J114" s="150" t="s">
        <v>2326</v>
      </c>
      <c r="K114" s="51" t="s">
        <v>3162</v>
      </c>
      <c r="L114" s="175">
        <v>69</v>
      </c>
      <c r="M114" s="52">
        <v>1928</v>
      </c>
      <c r="N114" s="100">
        <v>2100</v>
      </c>
      <c r="O114" s="33"/>
      <c r="P114" s="52" t="s">
        <v>1034</v>
      </c>
      <c r="Q114" s="51" t="s">
        <v>1043</v>
      </c>
      <c r="R114" s="65">
        <v>19</v>
      </c>
      <c r="S114" s="248">
        <f>System!$E$10</f>
        <v>1</v>
      </c>
      <c r="T114" s="247">
        <f t="shared" si="3"/>
        <v>19</v>
      </c>
      <c r="U114" s="114">
        <f t="shared" si="4"/>
        <v>0.33115837539053111</v>
      </c>
      <c r="V114" s="125">
        <v>55.118000000000002</v>
      </c>
      <c r="W114" s="99">
        <v>3</v>
      </c>
      <c r="Y114" s="128" t="s">
        <v>83</v>
      </c>
      <c r="Z114" s="60">
        <v>0</v>
      </c>
      <c r="AA114" s="60">
        <v>19</v>
      </c>
      <c r="AB114" s="107">
        <v>1</v>
      </c>
      <c r="AC114" s="107">
        <v>1</v>
      </c>
      <c r="AD114" s="69"/>
      <c r="AE114" s="69"/>
      <c r="AF114" s="69"/>
      <c r="AG114" s="69"/>
      <c r="AH114" s="54" t="b">
        <v>0</v>
      </c>
      <c r="AI114" s="69"/>
      <c r="AJ114" s="107">
        <v>1</v>
      </c>
      <c r="AK114" s="69"/>
      <c r="AL114" s="99"/>
      <c r="AN114" s="115"/>
      <c r="AO114" s="116"/>
      <c r="AP114" s="69"/>
      <c r="AQ114" s="69"/>
      <c r="AR114" s="139"/>
      <c r="AS114" s="139"/>
      <c r="AT114" s="19"/>
      <c r="AU114" s="19"/>
    </row>
    <row r="115" spans="1:47" s="17" customFormat="1" ht="20" x14ac:dyDescent="0.2">
      <c r="A115" s="118"/>
      <c r="B115" s="204" t="s">
        <v>943</v>
      </c>
      <c r="C115" s="280" t="s">
        <v>2979</v>
      </c>
      <c r="D115" s="204" t="s">
        <v>106</v>
      </c>
      <c r="E115" s="204" t="s">
        <v>112</v>
      </c>
      <c r="F115" s="119">
        <v>49.228836100000002</v>
      </c>
      <c r="G115" s="119">
        <v>-122.3561177</v>
      </c>
      <c r="H115" s="139" t="s">
        <v>1066</v>
      </c>
      <c r="I115" s="33" t="s">
        <v>2876</v>
      </c>
      <c r="J115" s="150" t="s">
        <v>1879</v>
      </c>
      <c r="K115" s="51" t="s">
        <v>3159</v>
      </c>
      <c r="L115" s="175">
        <v>69</v>
      </c>
      <c r="M115" s="67">
        <v>1911</v>
      </c>
      <c r="N115" s="100">
        <v>2100</v>
      </c>
      <c r="O115" s="33"/>
      <c r="P115" s="67" t="s">
        <v>1034</v>
      </c>
      <c r="Q115" s="51" t="s">
        <v>1043</v>
      </c>
      <c r="R115" s="65">
        <v>45.5</v>
      </c>
      <c r="S115" s="248">
        <f>System!$E$10</f>
        <v>1</v>
      </c>
      <c r="T115" s="247">
        <f t="shared" si="3"/>
        <v>45.5</v>
      </c>
      <c r="U115" s="114">
        <f t="shared" si="4"/>
        <v>0.33115811129509759</v>
      </c>
      <c r="V115" s="125">
        <v>131.99299999999999</v>
      </c>
      <c r="W115" s="99">
        <v>2</v>
      </c>
      <c r="Y115" s="128" t="s">
        <v>83</v>
      </c>
      <c r="Z115" s="60">
        <v>0</v>
      </c>
      <c r="AA115" s="60">
        <v>45.5</v>
      </c>
      <c r="AB115" s="107">
        <v>1</v>
      </c>
      <c r="AC115" s="107">
        <v>1</v>
      </c>
      <c r="AD115" s="69"/>
      <c r="AE115" s="69"/>
      <c r="AF115" s="69"/>
      <c r="AG115" s="69"/>
      <c r="AH115" s="54" t="b">
        <v>0</v>
      </c>
      <c r="AI115" s="69"/>
      <c r="AJ115" s="107">
        <v>1</v>
      </c>
      <c r="AK115" s="69"/>
      <c r="AL115" s="99"/>
      <c r="AM115" s="156"/>
      <c r="AN115" s="115"/>
      <c r="AO115" s="116"/>
      <c r="AP115" s="69"/>
      <c r="AQ115" s="69"/>
      <c r="AR115" s="139"/>
      <c r="AS115" s="139"/>
      <c r="AT115" s="19"/>
      <c r="AU115" s="19"/>
    </row>
    <row r="116" spans="1:47" s="17" customFormat="1" ht="20" x14ac:dyDescent="0.2">
      <c r="A116" s="118"/>
      <c r="B116" s="204" t="s">
        <v>944</v>
      </c>
      <c r="C116" s="280" t="s">
        <v>3021</v>
      </c>
      <c r="D116" s="204" t="s">
        <v>106</v>
      </c>
      <c r="E116" s="204" t="s">
        <v>112</v>
      </c>
      <c r="F116" s="119">
        <v>49.228836100000002</v>
      </c>
      <c r="G116" s="119">
        <v>-122.3561177</v>
      </c>
      <c r="H116" s="139" t="s">
        <v>1066</v>
      </c>
      <c r="I116" s="33" t="s">
        <v>2876</v>
      </c>
      <c r="J116" s="150" t="s">
        <v>1879</v>
      </c>
      <c r="K116" s="51" t="s">
        <v>3159</v>
      </c>
      <c r="L116" s="175">
        <v>69</v>
      </c>
      <c r="M116" s="67">
        <v>1911</v>
      </c>
      <c r="N116" s="100">
        <v>2100</v>
      </c>
      <c r="O116" s="33"/>
      <c r="P116" s="67" t="s">
        <v>1034</v>
      </c>
      <c r="Q116" s="51" t="s">
        <v>1043</v>
      </c>
      <c r="R116" s="65">
        <v>45.5</v>
      </c>
      <c r="S116" s="248">
        <f>System!$E$10</f>
        <v>1</v>
      </c>
      <c r="T116" s="247">
        <f t="shared" si="3"/>
        <v>45.5</v>
      </c>
      <c r="U116" s="114">
        <f t="shared" si="4"/>
        <v>0.33115811129509759</v>
      </c>
      <c r="V116" s="125">
        <v>131.99299999999999</v>
      </c>
      <c r="W116" s="99">
        <v>2</v>
      </c>
      <c r="Y116" s="128" t="s">
        <v>83</v>
      </c>
      <c r="Z116" s="60">
        <v>0</v>
      </c>
      <c r="AA116" s="60">
        <v>45.5</v>
      </c>
      <c r="AB116" s="107">
        <v>1</v>
      </c>
      <c r="AC116" s="107">
        <v>1</v>
      </c>
      <c r="AD116" s="69"/>
      <c r="AE116" s="69"/>
      <c r="AF116" s="69"/>
      <c r="AG116" s="69"/>
      <c r="AH116" s="54" t="b">
        <v>0</v>
      </c>
      <c r="AI116" s="69"/>
      <c r="AJ116" s="107">
        <v>1</v>
      </c>
      <c r="AK116" s="69"/>
      <c r="AL116" s="99"/>
      <c r="AM116" s="156"/>
      <c r="AN116" s="115"/>
      <c r="AO116" s="116"/>
      <c r="AP116" s="69"/>
      <c r="AQ116" s="69"/>
      <c r="AR116" s="139"/>
      <c r="AS116" s="139"/>
      <c r="AT116" s="19"/>
      <c r="AU116" s="19"/>
    </row>
    <row r="117" spans="1:47" s="17" customFormat="1" ht="20" x14ac:dyDescent="0.2">
      <c r="A117" s="118"/>
      <c r="B117" s="204" t="s">
        <v>945</v>
      </c>
      <c r="C117" s="280" t="s">
        <v>2980</v>
      </c>
      <c r="D117" s="204" t="s">
        <v>106</v>
      </c>
      <c r="E117" s="204" t="s">
        <v>118</v>
      </c>
      <c r="F117" s="119">
        <v>49.998081999999997</v>
      </c>
      <c r="G117" s="119">
        <v>-125.5855777</v>
      </c>
      <c r="H117" s="139" t="s">
        <v>1066</v>
      </c>
      <c r="I117" s="33" t="s">
        <v>2876</v>
      </c>
      <c r="J117" s="150" t="s">
        <v>2324</v>
      </c>
      <c r="K117" s="51" t="s">
        <v>3156</v>
      </c>
      <c r="L117" s="175">
        <v>138</v>
      </c>
      <c r="M117" s="54">
        <v>1958</v>
      </c>
      <c r="N117" s="100">
        <v>2100</v>
      </c>
      <c r="O117" s="33"/>
      <c r="P117" s="67" t="s">
        <v>1034</v>
      </c>
      <c r="Q117" s="51" t="s">
        <v>1043</v>
      </c>
      <c r="R117" s="65">
        <v>32.5</v>
      </c>
      <c r="S117" s="248">
        <f>System!$E$10</f>
        <v>1</v>
      </c>
      <c r="T117" s="247">
        <f t="shared" si="3"/>
        <v>32.5</v>
      </c>
      <c r="U117" s="114">
        <f t="shared" si="4"/>
        <v>0.33115911485774502</v>
      </c>
      <c r="V117" s="125">
        <v>94.281000000000006</v>
      </c>
      <c r="W117" s="99">
        <v>2</v>
      </c>
      <c r="Y117" s="128" t="s">
        <v>83</v>
      </c>
      <c r="Z117" s="60">
        <v>0</v>
      </c>
      <c r="AA117" s="60">
        <v>32.5</v>
      </c>
      <c r="AB117" s="107">
        <v>1</v>
      </c>
      <c r="AC117" s="107">
        <v>1</v>
      </c>
      <c r="AD117" s="69"/>
      <c r="AE117" s="69"/>
      <c r="AF117" s="69"/>
      <c r="AG117" s="69"/>
      <c r="AH117" s="54" t="b">
        <v>0</v>
      </c>
      <c r="AI117" s="69"/>
      <c r="AJ117" s="107">
        <v>1</v>
      </c>
      <c r="AK117" s="69"/>
      <c r="AL117" s="99"/>
      <c r="AN117" s="115"/>
      <c r="AO117" s="116"/>
      <c r="AP117" s="69"/>
      <c r="AQ117" s="69"/>
      <c r="AR117" s="139"/>
      <c r="AS117" s="139"/>
      <c r="AT117" s="19"/>
      <c r="AU117" s="19"/>
    </row>
    <row r="118" spans="1:47" s="17" customFormat="1" ht="20" x14ac:dyDescent="0.2">
      <c r="A118" s="118"/>
      <c r="B118" s="204" t="s">
        <v>946</v>
      </c>
      <c r="C118" s="280" t="s">
        <v>3022</v>
      </c>
      <c r="D118" s="204" t="s">
        <v>106</v>
      </c>
      <c r="E118" s="204" t="s">
        <v>118</v>
      </c>
      <c r="F118" s="119">
        <v>49.998081999999997</v>
      </c>
      <c r="G118" s="119">
        <v>-125.5855777</v>
      </c>
      <c r="H118" s="139" t="s">
        <v>1066</v>
      </c>
      <c r="I118" s="33" t="s">
        <v>2876</v>
      </c>
      <c r="J118" s="150" t="s">
        <v>2324</v>
      </c>
      <c r="K118" s="51" t="s">
        <v>3156</v>
      </c>
      <c r="L118" s="175">
        <v>138</v>
      </c>
      <c r="M118" s="54">
        <v>1958</v>
      </c>
      <c r="N118" s="100">
        <v>2100</v>
      </c>
      <c r="O118" s="33"/>
      <c r="P118" s="67" t="s">
        <v>1034</v>
      </c>
      <c r="Q118" s="51" t="s">
        <v>1043</v>
      </c>
      <c r="R118" s="65">
        <v>32.5</v>
      </c>
      <c r="S118" s="248">
        <f>System!$E$10</f>
        <v>1</v>
      </c>
      <c r="T118" s="247">
        <f t="shared" si="3"/>
        <v>32.5</v>
      </c>
      <c r="U118" s="114">
        <f t="shared" si="4"/>
        <v>0.33115911485774502</v>
      </c>
      <c r="V118" s="125">
        <v>94.281000000000006</v>
      </c>
      <c r="W118" s="99">
        <v>2</v>
      </c>
      <c r="Y118" s="128" t="s">
        <v>83</v>
      </c>
      <c r="Z118" s="60">
        <v>0</v>
      </c>
      <c r="AA118" s="60">
        <v>32.5</v>
      </c>
      <c r="AB118" s="107">
        <v>1</v>
      </c>
      <c r="AC118" s="107">
        <v>1</v>
      </c>
      <c r="AD118" s="69"/>
      <c r="AE118" s="69"/>
      <c r="AF118" s="69"/>
      <c r="AG118" s="69"/>
      <c r="AH118" s="54" t="b">
        <v>0</v>
      </c>
      <c r="AI118" s="69"/>
      <c r="AJ118" s="107">
        <v>1</v>
      </c>
      <c r="AK118" s="69"/>
      <c r="AL118" s="99"/>
      <c r="AN118" s="115"/>
      <c r="AO118" s="116"/>
      <c r="AP118" s="69"/>
      <c r="AQ118" s="69"/>
      <c r="AR118" s="139"/>
      <c r="AS118" s="139"/>
      <c r="AT118" s="19"/>
      <c r="AU118" s="19"/>
    </row>
    <row r="119" spans="1:47" s="17" customFormat="1" ht="20" x14ac:dyDescent="0.2">
      <c r="A119" s="118"/>
      <c r="B119" s="206" t="s">
        <v>2818</v>
      </c>
      <c r="C119" s="280" t="s">
        <v>3857</v>
      </c>
      <c r="D119" s="206" t="s">
        <v>329</v>
      </c>
      <c r="E119" s="206" t="s">
        <v>257</v>
      </c>
      <c r="F119" s="119">
        <v>49.837084599999997</v>
      </c>
      <c r="G119" s="119">
        <v>-123.68575199999999</v>
      </c>
      <c r="H119" s="139" t="s">
        <v>1066</v>
      </c>
      <c r="I119" s="33" t="s">
        <v>2876</v>
      </c>
      <c r="J119" s="150" t="s">
        <v>1795</v>
      </c>
      <c r="K119" s="51" t="s">
        <v>3199</v>
      </c>
      <c r="L119" s="175">
        <v>138</v>
      </c>
      <c r="M119" s="54">
        <v>2009</v>
      </c>
      <c r="N119" s="33">
        <f>M119+40</f>
        <v>2049</v>
      </c>
      <c r="O119" s="33"/>
      <c r="P119" s="63" t="s">
        <v>1034</v>
      </c>
      <c r="Q119" s="51" t="s">
        <v>1043</v>
      </c>
      <c r="R119" s="65">
        <v>9.3000000000000007</v>
      </c>
      <c r="S119" s="248">
        <f>System!$E$10</f>
        <v>1</v>
      </c>
      <c r="T119" s="247">
        <f t="shared" si="3"/>
        <v>9.3000000000000007</v>
      </c>
      <c r="U119" s="114">
        <f t="shared" si="4"/>
        <v>0.56734087015103229</v>
      </c>
      <c r="V119" s="125">
        <v>46.220126009464302</v>
      </c>
      <c r="W119" s="99">
        <v>1</v>
      </c>
      <c r="Y119" s="128" t="s">
        <v>83</v>
      </c>
      <c r="Z119" s="60">
        <v>0</v>
      </c>
      <c r="AA119" s="60">
        <v>9.3000000000000007</v>
      </c>
      <c r="AB119" s="107">
        <v>1</v>
      </c>
      <c r="AC119" s="107">
        <v>1</v>
      </c>
      <c r="AD119" s="69"/>
      <c r="AE119" s="69"/>
      <c r="AF119" s="69"/>
      <c r="AG119" s="69"/>
      <c r="AH119" s="54" t="b">
        <v>0</v>
      </c>
      <c r="AI119" s="69"/>
      <c r="AJ119" s="107">
        <v>1</v>
      </c>
      <c r="AK119" s="69"/>
      <c r="AL119" s="99"/>
      <c r="AN119" s="115"/>
      <c r="AO119" s="116"/>
      <c r="AP119" s="69"/>
      <c r="AQ119" s="69"/>
      <c r="AR119" s="139"/>
      <c r="AS119" s="139"/>
      <c r="AT119" s="19"/>
      <c r="AU119" s="19"/>
    </row>
    <row r="120" spans="1:47" s="17" customFormat="1" ht="20" x14ac:dyDescent="0.2">
      <c r="A120" s="118"/>
      <c r="B120" s="271" t="s">
        <v>865</v>
      </c>
      <c r="C120" s="280" t="s">
        <v>2981</v>
      </c>
      <c r="D120" s="271" t="s">
        <v>173</v>
      </c>
      <c r="E120" s="271" t="s">
        <v>259</v>
      </c>
      <c r="F120" s="119">
        <v>49.460113300000003</v>
      </c>
      <c r="G120" s="119">
        <v>-117.484182</v>
      </c>
      <c r="H120" s="139" t="s">
        <v>1066</v>
      </c>
      <c r="I120" s="33" t="s">
        <v>2876</v>
      </c>
      <c r="J120" s="230" t="s">
        <v>2723</v>
      </c>
      <c r="K120" s="51" t="s">
        <v>3169</v>
      </c>
      <c r="L120" s="231">
        <v>63</v>
      </c>
      <c r="M120" s="52">
        <v>1907</v>
      </c>
      <c r="N120" s="100">
        <v>2100</v>
      </c>
      <c r="O120" s="33"/>
      <c r="P120" s="52" t="s">
        <v>1034</v>
      </c>
      <c r="Q120" s="51" t="s">
        <v>1043</v>
      </c>
      <c r="R120" s="65">
        <v>5.5</v>
      </c>
      <c r="S120" s="248">
        <f>System!$E$10</f>
        <v>1</v>
      </c>
      <c r="T120" s="247">
        <f t="shared" si="3"/>
        <v>5.5</v>
      </c>
      <c r="U120" s="114">
        <f t="shared" si="4"/>
        <v>0.33115883844786015</v>
      </c>
      <c r="V120" s="125">
        <v>15.955232836417901</v>
      </c>
      <c r="W120" s="99">
        <v>6</v>
      </c>
      <c r="Y120" s="128" t="s">
        <v>83</v>
      </c>
      <c r="Z120" s="60">
        <v>0</v>
      </c>
      <c r="AA120" s="60">
        <v>5.5</v>
      </c>
      <c r="AB120" s="107">
        <v>1</v>
      </c>
      <c r="AC120" s="107">
        <v>1</v>
      </c>
      <c r="AD120" s="69"/>
      <c r="AE120" s="69"/>
      <c r="AF120" s="69"/>
      <c r="AG120" s="69"/>
      <c r="AH120" s="54" t="b">
        <v>0</v>
      </c>
      <c r="AI120" s="69"/>
      <c r="AJ120" s="107">
        <v>1</v>
      </c>
      <c r="AK120" s="69"/>
      <c r="AL120" s="99"/>
      <c r="AN120" s="115"/>
      <c r="AO120" s="116"/>
      <c r="AP120" s="69"/>
      <c r="AQ120" s="69"/>
      <c r="AR120" s="139"/>
      <c r="AS120" s="139"/>
      <c r="AT120" s="19"/>
      <c r="AU120" s="19"/>
    </row>
    <row r="121" spans="1:47" s="17" customFormat="1" ht="20" x14ac:dyDescent="0.2">
      <c r="A121" s="118"/>
      <c r="B121" s="271" t="s">
        <v>866</v>
      </c>
      <c r="C121" s="280" t="s">
        <v>3023</v>
      </c>
      <c r="D121" s="271" t="s">
        <v>173</v>
      </c>
      <c r="E121" s="271" t="s">
        <v>259</v>
      </c>
      <c r="F121" s="119">
        <v>49.460113300000003</v>
      </c>
      <c r="G121" s="119">
        <v>-117.484182</v>
      </c>
      <c r="H121" s="139" t="s">
        <v>1066</v>
      </c>
      <c r="I121" s="33" t="s">
        <v>2876</v>
      </c>
      <c r="J121" s="230" t="s">
        <v>2723</v>
      </c>
      <c r="K121" s="51" t="s">
        <v>3169</v>
      </c>
      <c r="L121" s="231">
        <v>63</v>
      </c>
      <c r="M121" s="52">
        <v>1907</v>
      </c>
      <c r="N121" s="100">
        <v>2100</v>
      </c>
      <c r="O121" s="33"/>
      <c r="P121" s="52" t="s">
        <v>1034</v>
      </c>
      <c r="Q121" s="51" t="s">
        <v>1043</v>
      </c>
      <c r="R121" s="65">
        <v>5.5</v>
      </c>
      <c r="S121" s="248">
        <f>System!$E$10</f>
        <v>1</v>
      </c>
      <c r="T121" s="247">
        <f t="shared" si="3"/>
        <v>5.5</v>
      </c>
      <c r="U121" s="114">
        <f t="shared" si="4"/>
        <v>0.33115883844786015</v>
      </c>
      <c r="V121" s="125">
        <v>15.955232836417901</v>
      </c>
      <c r="W121" s="99">
        <v>6</v>
      </c>
      <c r="Y121" s="128" t="s">
        <v>83</v>
      </c>
      <c r="Z121" s="60">
        <v>0</v>
      </c>
      <c r="AA121" s="60">
        <v>5.5</v>
      </c>
      <c r="AB121" s="107">
        <v>1</v>
      </c>
      <c r="AC121" s="107">
        <v>1</v>
      </c>
      <c r="AD121" s="69"/>
      <c r="AE121" s="69"/>
      <c r="AF121" s="69"/>
      <c r="AG121" s="69"/>
      <c r="AH121" s="54" t="b">
        <v>0</v>
      </c>
      <c r="AI121" s="69"/>
      <c r="AJ121" s="107">
        <v>1</v>
      </c>
      <c r="AK121" s="69"/>
      <c r="AL121" s="99"/>
      <c r="AN121" s="115"/>
      <c r="AO121" s="116"/>
      <c r="AP121" s="69"/>
      <c r="AQ121" s="69"/>
      <c r="AR121" s="139"/>
      <c r="AS121" s="139"/>
      <c r="AT121" s="19"/>
      <c r="AU121" s="19"/>
    </row>
    <row r="122" spans="1:47" s="17" customFormat="1" ht="20" x14ac:dyDescent="0.2">
      <c r="A122" s="118"/>
      <c r="B122" s="271" t="s">
        <v>867</v>
      </c>
      <c r="C122" s="280" t="s">
        <v>3048</v>
      </c>
      <c r="D122" s="271" t="s">
        <v>173</v>
      </c>
      <c r="E122" s="271" t="s">
        <v>259</v>
      </c>
      <c r="F122" s="119">
        <v>49.460113300000003</v>
      </c>
      <c r="G122" s="119">
        <v>-117.484182</v>
      </c>
      <c r="H122" s="139" t="s">
        <v>1066</v>
      </c>
      <c r="I122" s="33" t="s">
        <v>2876</v>
      </c>
      <c r="J122" s="230" t="s">
        <v>2723</v>
      </c>
      <c r="K122" s="51" t="s">
        <v>3169</v>
      </c>
      <c r="L122" s="231">
        <v>63</v>
      </c>
      <c r="M122" s="52">
        <v>1907</v>
      </c>
      <c r="N122" s="100">
        <v>2100</v>
      </c>
      <c r="O122" s="33"/>
      <c r="P122" s="52" t="s">
        <v>1034</v>
      </c>
      <c r="Q122" s="51" t="s">
        <v>1043</v>
      </c>
      <c r="R122" s="65">
        <v>5.5</v>
      </c>
      <c r="S122" s="248">
        <f>System!$E$10</f>
        <v>1</v>
      </c>
      <c r="T122" s="247">
        <f t="shared" si="3"/>
        <v>5.5</v>
      </c>
      <c r="U122" s="114">
        <f t="shared" si="4"/>
        <v>0.33115883844786015</v>
      </c>
      <c r="V122" s="65">
        <v>15.955232836417901</v>
      </c>
      <c r="W122" s="99">
        <v>6</v>
      </c>
      <c r="Y122" s="128" t="s">
        <v>83</v>
      </c>
      <c r="Z122" s="60">
        <v>0</v>
      </c>
      <c r="AA122" s="60">
        <v>5.5</v>
      </c>
      <c r="AB122" s="107">
        <v>1</v>
      </c>
      <c r="AC122" s="107">
        <v>1</v>
      </c>
      <c r="AD122" s="69"/>
      <c r="AE122" s="69"/>
      <c r="AF122" s="69"/>
      <c r="AG122" s="69"/>
      <c r="AH122" s="54" t="b">
        <v>0</v>
      </c>
      <c r="AI122" s="69"/>
      <c r="AJ122" s="107">
        <v>1</v>
      </c>
      <c r="AK122" s="69"/>
      <c r="AL122" s="99"/>
      <c r="AN122" s="115"/>
      <c r="AO122" s="116"/>
      <c r="AP122" s="69"/>
      <c r="AQ122" s="69"/>
      <c r="AR122" s="139"/>
      <c r="AS122" s="139"/>
      <c r="AT122" s="19"/>
      <c r="AU122" s="19"/>
    </row>
    <row r="123" spans="1:47" s="17" customFormat="1" ht="20" x14ac:dyDescent="0.2">
      <c r="A123" s="118"/>
      <c r="B123" s="271" t="s">
        <v>868</v>
      </c>
      <c r="C123" s="280" t="s">
        <v>3063</v>
      </c>
      <c r="D123" s="271" t="s">
        <v>173</v>
      </c>
      <c r="E123" s="271" t="s">
        <v>259</v>
      </c>
      <c r="F123" s="119">
        <v>49.460113300000003</v>
      </c>
      <c r="G123" s="119">
        <v>-117.484182</v>
      </c>
      <c r="H123" s="139" t="s">
        <v>1066</v>
      </c>
      <c r="I123" s="33" t="s">
        <v>2876</v>
      </c>
      <c r="J123" s="230" t="s">
        <v>2723</v>
      </c>
      <c r="K123" s="51" t="s">
        <v>3169</v>
      </c>
      <c r="L123" s="231">
        <v>63</v>
      </c>
      <c r="M123" s="52">
        <v>1907</v>
      </c>
      <c r="N123" s="100">
        <v>2100</v>
      </c>
      <c r="O123" s="33"/>
      <c r="P123" s="52" t="s">
        <v>1034</v>
      </c>
      <c r="Q123" s="51" t="s">
        <v>1043</v>
      </c>
      <c r="R123" s="65">
        <v>5.5</v>
      </c>
      <c r="S123" s="248">
        <f>System!$E$10</f>
        <v>1</v>
      </c>
      <c r="T123" s="247">
        <f t="shared" si="3"/>
        <v>5.5</v>
      </c>
      <c r="U123" s="114">
        <f t="shared" si="4"/>
        <v>0.33115883844786015</v>
      </c>
      <c r="V123" s="125">
        <v>15.955232836417901</v>
      </c>
      <c r="W123" s="99">
        <v>6</v>
      </c>
      <c r="Y123" s="128" t="s">
        <v>83</v>
      </c>
      <c r="Z123" s="60">
        <v>0</v>
      </c>
      <c r="AA123" s="60">
        <v>5.5</v>
      </c>
      <c r="AB123" s="107">
        <v>1</v>
      </c>
      <c r="AC123" s="107">
        <v>1</v>
      </c>
      <c r="AD123" s="69"/>
      <c r="AE123" s="69"/>
      <c r="AF123" s="69"/>
      <c r="AG123" s="69"/>
      <c r="AH123" s="54" t="b">
        <v>0</v>
      </c>
      <c r="AI123" s="69"/>
      <c r="AJ123" s="107">
        <v>1</v>
      </c>
      <c r="AK123" s="69"/>
      <c r="AL123" s="99"/>
      <c r="AN123" s="115"/>
      <c r="AO123" s="116"/>
      <c r="AP123" s="69"/>
      <c r="AQ123" s="69"/>
      <c r="AR123" s="139"/>
      <c r="AS123" s="139"/>
      <c r="AT123" s="19"/>
      <c r="AU123" s="19"/>
    </row>
    <row r="124" spans="1:47" s="17" customFormat="1" ht="20" x14ac:dyDescent="0.2">
      <c r="A124" s="118"/>
      <c r="B124" s="271" t="s">
        <v>869</v>
      </c>
      <c r="C124" s="280" t="s">
        <v>3071</v>
      </c>
      <c r="D124" s="271" t="s">
        <v>173</v>
      </c>
      <c r="E124" s="271" t="s">
        <v>259</v>
      </c>
      <c r="F124" s="119">
        <v>49.460113300000003</v>
      </c>
      <c r="G124" s="119">
        <v>-117.484182</v>
      </c>
      <c r="H124" s="139" t="s">
        <v>1066</v>
      </c>
      <c r="I124" s="33" t="s">
        <v>2876</v>
      </c>
      <c r="J124" s="230" t="s">
        <v>2723</v>
      </c>
      <c r="K124" s="51" t="s">
        <v>3169</v>
      </c>
      <c r="L124" s="231">
        <v>63</v>
      </c>
      <c r="M124" s="52">
        <v>1907</v>
      </c>
      <c r="N124" s="100">
        <v>2100</v>
      </c>
      <c r="O124" s="33"/>
      <c r="P124" s="52" t="s">
        <v>1034</v>
      </c>
      <c r="Q124" s="51" t="s">
        <v>1043</v>
      </c>
      <c r="R124" s="65">
        <v>22</v>
      </c>
      <c r="S124" s="248">
        <f>System!$E$10</f>
        <v>1</v>
      </c>
      <c r="T124" s="247">
        <f t="shared" si="3"/>
        <v>22</v>
      </c>
      <c r="U124" s="114">
        <f t="shared" si="4"/>
        <v>0.33115882158469645</v>
      </c>
      <c r="V124" s="65">
        <v>63.820928095802699</v>
      </c>
      <c r="W124" s="99">
        <v>6</v>
      </c>
      <c r="Y124" s="128" t="s">
        <v>83</v>
      </c>
      <c r="Z124" s="60">
        <v>0</v>
      </c>
      <c r="AA124" s="60">
        <v>22</v>
      </c>
      <c r="AB124" s="107">
        <v>1</v>
      </c>
      <c r="AC124" s="107">
        <v>1</v>
      </c>
      <c r="AD124" s="69"/>
      <c r="AE124" s="69"/>
      <c r="AF124" s="69"/>
      <c r="AG124" s="69"/>
      <c r="AH124" s="54" t="b">
        <v>0</v>
      </c>
      <c r="AI124" s="69"/>
      <c r="AJ124" s="107">
        <v>1</v>
      </c>
      <c r="AK124" s="69"/>
      <c r="AL124" s="99"/>
      <c r="AN124" s="115"/>
      <c r="AO124" s="116"/>
      <c r="AP124" s="69"/>
      <c r="AQ124" s="69"/>
      <c r="AR124" s="139"/>
      <c r="AS124" s="139"/>
      <c r="AT124" s="19"/>
      <c r="AU124" s="19"/>
    </row>
    <row r="125" spans="1:47" s="17" customFormat="1" ht="20" x14ac:dyDescent="0.2">
      <c r="A125" s="118"/>
      <c r="B125" s="271" t="s">
        <v>870</v>
      </c>
      <c r="C125" s="280" t="s">
        <v>3077</v>
      </c>
      <c r="D125" s="271" t="s">
        <v>173</v>
      </c>
      <c r="E125" s="271" t="s">
        <v>259</v>
      </c>
      <c r="F125" s="119">
        <v>49.460113300000003</v>
      </c>
      <c r="G125" s="119">
        <v>-117.484182</v>
      </c>
      <c r="H125" s="139" t="s">
        <v>1066</v>
      </c>
      <c r="I125" s="33" t="s">
        <v>2876</v>
      </c>
      <c r="J125" s="230" t="s">
        <v>2723</v>
      </c>
      <c r="K125" s="51" t="s">
        <v>3169</v>
      </c>
      <c r="L125" s="231">
        <v>63</v>
      </c>
      <c r="M125" s="52">
        <v>1907</v>
      </c>
      <c r="N125" s="100">
        <v>2100</v>
      </c>
      <c r="O125" s="33"/>
      <c r="P125" s="52" t="s">
        <v>1034</v>
      </c>
      <c r="Q125" s="51" t="s">
        <v>1043</v>
      </c>
      <c r="R125" s="65">
        <v>19</v>
      </c>
      <c r="S125" s="248">
        <f>System!$E$10</f>
        <v>1</v>
      </c>
      <c r="T125" s="247">
        <f t="shared" si="3"/>
        <v>19</v>
      </c>
      <c r="U125" s="114">
        <f t="shared" si="4"/>
        <v>0.33115881198766045</v>
      </c>
      <c r="V125" s="65">
        <v>55.118072667226201</v>
      </c>
      <c r="W125" s="99">
        <v>6</v>
      </c>
      <c r="Y125" s="128" t="s">
        <v>83</v>
      </c>
      <c r="Z125" s="60">
        <v>0</v>
      </c>
      <c r="AA125" s="60">
        <v>19</v>
      </c>
      <c r="AB125" s="107">
        <v>1</v>
      </c>
      <c r="AC125" s="107">
        <v>1</v>
      </c>
      <c r="AD125" s="69"/>
      <c r="AE125" s="69"/>
      <c r="AF125" s="69"/>
      <c r="AG125" s="69"/>
      <c r="AH125" s="54" t="b">
        <v>0</v>
      </c>
      <c r="AI125" s="69"/>
      <c r="AJ125" s="107">
        <v>1</v>
      </c>
      <c r="AK125" s="69"/>
      <c r="AL125" s="99"/>
      <c r="AN125" s="115"/>
      <c r="AO125" s="116"/>
      <c r="AP125" s="69"/>
      <c r="AQ125" s="69"/>
      <c r="AR125" s="139"/>
      <c r="AS125" s="139"/>
      <c r="AT125" s="19"/>
      <c r="AU125" s="19"/>
    </row>
    <row r="126" spans="1:47" s="17" customFormat="1" ht="20" x14ac:dyDescent="0.2">
      <c r="A126" s="118"/>
      <c r="B126" s="204" t="s">
        <v>397</v>
      </c>
      <c r="C126" s="280" t="s">
        <v>3867</v>
      </c>
      <c r="D126" s="204" t="s">
        <v>106</v>
      </c>
      <c r="E126" s="204" t="s">
        <v>112</v>
      </c>
      <c r="F126" s="119">
        <v>49.236626000000001</v>
      </c>
      <c r="G126" s="119">
        <v>-121.6806648</v>
      </c>
      <c r="H126" s="139" t="s">
        <v>1066</v>
      </c>
      <c r="I126" s="33" t="s">
        <v>2876</v>
      </c>
      <c r="J126" s="150" t="s">
        <v>1935</v>
      </c>
      <c r="K126" s="51" t="s">
        <v>3727</v>
      </c>
      <c r="L126" s="175">
        <v>360</v>
      </c>
      <c r="M126" s="54">
        <v>1952</v>
      </c>
      <c r="N126" s="100">
        <v>2100</v>
      </c>
      <c r="O126" s="33"/>
      <c r="P126" s="67" t="s">
        <v>1034</v>
      </c>
      <c r="Q126" s="51" t="s">
        <v>1043</v>
      </c>
      <c r="R126" s="65">
        <v>65</v>
      </c>
      <c r="S126" s="248">
        <f>System!$E$10</f>
        <v>1</v>
      </c>
      <c r="T126" s="247">
        <f t="shared" si="3"/>
        <v>65</v>
      </c>
      <c r="U126" s="114">
        <f t="shared" si="4"/>
        <v>0.33115880871838599</v>
      </c>
      <c r="V126" s="65">
        <v>188.56182568424899</v>
      </c>
      <c r="W126" s="99">
        <v>1</v>
      </c>
      <c r="Y126" s="128" t="s">
        <v>83</v>
      </c>
      <c r="Z126" s="60">
        <v>0</v>
      </c>
      <c r="AA126" s="60">
        <v>65</v>
      </c>
      <c r="AB126" s="107">
        <v>1</v>
      </c>
      <c r="AC126" s="107">
        <v>1</v>
      </c>
      <c r="AD126" s="69"/>
      <c r="AE126" s="69"/>
      <c r="AF126" s="69"/>
      <c r="AG126" s="69"/>
      <c r="AH126" s="54" t="b">
        <v>0</v>
      </c>
      <c r="AI126" s="69"/>
      <c r="AJ126" s="107">
        <v>1</v>
      </c>
      <c r="AK126" s="69"/>
      <c r="AL126" s="99"/>
      <c r="AN126" s="115"/>
      <c r="AO126" s="116"/>
      <c r="AP126" s="69"/>
      <c r="AQ126" s="69"/>
      <c r="AR126" s="139"/>
      <c r="AS126" s="139"/>
      <c r="AT126" s="19"/>
      <c r="AU126" s="19"/>
    </row>
    <row r="127" spans="1:47" s="17" customFormat="1" ht="20" x14ac:dyDescent="0.2">
      <c r="A127" s="118"/>
      <c r="B127" s="204" t="s">
        <v>947</v>
      </c>
      <c r="C127" s="280" t="s">
        <v>2982</v>
      </c>
      <c r="D127" s="204" t="s">
        <v>106</v>
      </c>
      <c r="E127" s="204" t="s">
        <v>192</v>
      </c>
      <c r="F127" s="119">
        <v>50.813936900000002</v>
      </c>
      <c r="G127" s="119">
        <v>-118.06001000000001</v>
      </c>
      <c r="H127" s="139" t="s">
        <v>1066</v>
      </c>
      <c r="I127" s="33" t="s">
        <v>2876</v>
      </c>
      <c r="J127" s="150" t="s">
        <v>1940</v>
      </c>
      <c r="K127" s="51" t="s">
        <v>3178</v>
      </c>
      <c r="L127" s="175">
        <v>69</v>
      </c>
      <c r="M127" s="54">
        <v>1960</v>
      </c>
      <c r="N127" s="100">
        <v>2100</v>
      </c>
      <c r="O127" s="33"/>
      <c r="P127" s="67" t="s">
        <v>1034</v>
      </c>
      <c r="Q127" s="51" t="s">
        <v>1043</v>
      </c>
      <c r="R127" s="65">
        <v>4</v>
      </c>
      <c r="S127" s="248">
        <f>System!$E$10</f>
        <v>1</v>
      </c>
      <c r="T127" s="247">
        <f t="shared" si="3"/>
        <v>4</v>
      </c>
      <c r="U127" s="114">
        <f t="shared" si="4"/>
        <v>0.33116438356164385</v>
      </c>
      <c r="V127" s="125">
        <v>11.603999999999999</v>
      </c>
      <c r="W127" s="99">
        <v>2</v>
      </c>
      <c r="Y127" s="128" t="s">
        <v>83</v>
      </c>
      <c r="Z127" s="60">
        <v>0</v>
      </c>
      <c r="AA127" s="60">
        <v>4</v>
      </c>
      <c r="AB127" s="107">
        <v>1</v>
      </c>
      <c r="AC127" s="107">
        <v>1</v>
      </c>
      <c r="AD127" s="69"/>
      <c r="AE127" s="69"/>
      <c r="AF127" s="69"/>
      <c r="AG127" s="69"/>
      <c r="AH127" s="54" t="b">
        <v>0</v>
      </c>
      <c r="AI127" s="69"/>
      <c r="AJ127" s="107">
        <v>1</v>
      </c>
      <c r="AK127" s="69"/>
      <c r="AL127" s="99"/>
      <c r="AM127" s="156"/>
      <c r="AN127" s="115"/>
      <c r="AO127" s="116"/>
      <c r="AP127" s="69"/>
      <c r="AQ127" s="69"/>
      <c r="AR127" s="139"/>
      <c r="AS127" s="139"/>
      <c r="AT127" s="19"/>
      <c r="AU127" s="19"/>
    </row>
    <row r="128" spans="1:47" s="17" customFormat="1" ht="20" x14ac:dyDescent="0.2">
      <c r="A128" s="118"/>
      <c r="B128" s="204" t="s">
        <v>948</v>
      </c>
      <c r="C128" s="280" t="s">
        <v>3025</v>
      </c>
      <c r="D128" s="204" t="s">
        <v>106</v>
      </c>
      <c r="E128" s="204" t="s">
        <v>192</v>
      </c>
      <c r="F128" s="119">
        <v>50.813936900000002</v>
      </c>
      <c r="G128" s="119">
        <v>-118.06001000000001</v>
      </c>
      <c r="H128" s="139" t="s">
        <v>1066</v>
      </c>
      <c r="I128" s="33" t="s">
        <v>2876</v>
      </c>
      <c r="J128" s="150" t="s">
        <v>1940</v>
      </c>
      <c r="K128" s="51" t="s">
        <v>3178</v>
      </c>
      <c r="L128" s="175">
        <v>69</v>
      </c>
      <c r="M128" s="54">
        <v>1960</v>
      </c>
      <c r="N128" s="100">
        <v>2100</v>
      </c>
      <c r="O128" s="33"/>
      <c r="P128" s="67" t="s">
        <v>1034</v>
      </c>
      <c r="Q128" s="51" t="s">
        <v>1043</v>
      </c>
      <c r="R128" s="65">
        <v>4</v>
      </c>
      <c r="S128" s="248">
        <f>System!$E$10</f>
        <v>1</v>
      </c>
      <c r="T128" s="247">
        <f t="shared" si="3"/>
        <v>4</v>
      </c>
      <c r="U128" s="114">
        <f t="shared" si="4"/>
        <v>0.33116438356164385</v>
      </c>
      <c r="V128" s="125">
        <v>11.603999999999999</v>
      </c>
      <c r="W128" s="99">
        <v>2</v>
      </c>
      <c r="Y128" s="128" t="s">
        <v>83</v>
      </c>
      <c r="Z128" s="60">
        <v>0</v>
      </c>
      <c r="AA128" s="60">
        <v>4</v>
      </c>
      <c r="AB128" s="107">
        <v>1</v>
      </c>
      <c r="AC128" s="107">
        <v>1</v>
      </c>
      <c r="AD128" s="69"/>
      <c r="AE128" s="69"/>
      <c r="AF128" s="69"/>
      <c r="AG128" s="69"/>
      <c r="AH128" s="54" t="b">
        <v>0</v>
      </c>
      <c r="AI128" s="69"/>
      <c r="AJ128" s="107">
        <v>1</v>
      </c>
      <c r="AK128" s="69"/>
      <c r="AL128" s="99"/>
      <c r="AM128" s="156"/>
      <c r="AN128" s="115"/>
      <c r="AO128" s="116"/>
      <c r="AP128" s="69"/>
      <c r="AQ128" s="69"/>
      <c r="AR128" s="139"/>
      <c r="AS128" s="139"/>
      <c r="AT128" s="19"/>
      <c r="AU128" s="19"/>
    </row>
    <row r="129" spans="1:47" s="17" customFormat="1" ht="20" x14ac:dyDescent="0.2">
      <c r="A129" s="118"/>
      <c r="B129" s="206" t="s">
        <v>949</v>
      </c>
      <c r="C129" s="280" t="s">
        <v>2983</v>
      </c>
      <c r="D129" s="206" t="s">
        <v>115</v>
      </c>
      <c r="E129" s="206" t="s">
        <v>343</v>
      </c>
      <c r="F129" s="119">
        <v>49.004674999999999</v>
      </c>
      <c r="G129" s="119">
        <v>-117.61599339999999</v>
      </c>
      <c r="H129" s="139" t="s">
        <v>1066</v>
      </c>
      <c r="I129" s="33" t="s">
        <v>2876</v>
      </c>
      <c r="J129" s="151" t="s">
        <v>2333</v>
      </c>
      <c r="K129" s="51" t="s">
        <v>3175</v>
      </c>
      <c r="L129" s="175">
        <v>230</v>
      </c>
      <c r="M129" s="300">
        <v>2015</v>
      </c>
      <c r="N129" s="33">
        <f>M129+40</f>
        <v>2055</v>
      </c>
      <c r="O129" s="33"/>
      <c r="P129" s="63" t="s">
        <v>1034</v>
      </c>
      <c r="Q129" s="51" t="s">
        <v>1043</v>
      </c>
      <c r="R129" s="65">
        <v>167.5</v>
      </c>
      <c r="S129" s="248">
        <f>System!$E$10</f>
        <v>1</v>
      </c>
      <c r="T129" s="247">
        <f t="shared" si="3"/>
        <v>167.5</v>
      </c>
      <c r="U129" s="114">
        <f t="shared" si="4"/>
        <v>0.42755401076807742</v>
      </c>
      <c r="V129" s="105">
        <v>627.35</v>
      </c>
      <c r="W129" s="99">
        <v>2</v>
      </c>
      <c r="Y129" s="128" t="s">
        <v>83</v>
      </c>
      <c r="Z129" s="60">
        <v>0</v>
      </c>
      <c r="AA129" s="60">
        <v>167.5</v>
      </c>
      <c r="AB129" s="107">
        <v>1</v>
      </c>
      <c r="AC129" s="107">
        <v>1</v>
      </c>
      <c r="AD129" s="69"/>
      <c r="AE129" s="69"/>
      <c r="AF129" s="69"/>
      <c r="AG129" s="69"/>
      <c r="AH129" s="54" t="b">
        <v>0</v>
      </c>
      <c r="AI129" s="69"/>
      <c r="AJ129" s="107">
        <v>1</v>
      </c>
      <c r="AK129" s="69"/>
      <c r="AL129" s="99"/>
      <c r="AN129" s="115"/>
      <c r="AO129" s="116"/>
      <c r="AP129" s="69"/>
      <c r="AQ129" s="69"/>
      <c r="AR129" s="139"/>
      <c r="AS129" s="139"/>
      <c r="AT129" s="19"/>
      <c r="AU129" s="19"/>
    </row>
    <row r="130" spans="1:47" s="17" customFormat="1" ht="20" x14ac:dyDescent="0.2">
      <c r="A130" s="118"/>
      <c r="B130" s="206" t="s">
        <v>950</v>
      </c>
      <c r="C130" s="280" t="s">
        <v>3026</v>
      </c>
      <c r="D130" s="206" t="s">
        <v>115</v>
      </c>
      <c r="E130" s="206" t="s">
        <v>343</v>
      </c>
      <c r="F130" s="119">
        <v>49.004674999999999</v>
      </c>
      <c r="G130" s="119">
        <v>-117.61599339999999</v>
      </c>
      <c r="H130" s="139" t="s">
        <v>1066</v>
      </c>
      <c r="I130" s="33" t="s">
        <v>2876</v>
      </c>
      <c r="J130" s="151" t="s">
        <v>2333</v>
      </c>
      <c r="K130" s="51" t="s">
        <v>3175</v>
      </c>
      <c r="L130" s="175">
        <v>230</v>
      </c>
      <c r="M130" s="300">
        <v>2015</v>
      </c>
      <c r="N130" s="33">
        <f>M130+40</f>
        <v>2055</v>
      </c>
      <c r="O130" s="33"/>
      <c r="P130" s="63" t="s">
        <v>1034</v>
      </c>
      <c r="Q130" s="51" t="s">
        <v>1043</v>
      </c>
      <c r="R130" s="65">
        <v>167.5</v>
      </c>
      <c r="S130" s="248">
        <f>System!$E$10</f>
        <v>1</v>
      </c>
      <c r="T130" s="247">
        <f t="shared" si="3"/>
        <v>167.5</v>
      </c>
      <c r="U130" s="114">
        <f t="shared" si="4"/>
        <v>0.42755401076807742</v>
      </c>
      <c r="V130" s="105">
        <v>627.35</v>
      </c>
      <c r="W130" s="99">
        <v>2</v>
      </c>
      <c r="Y130" s="128" t="s">
        <v>83</v>
      </c>
      <c r="Z130" s="60">
        <v>0</v>
      </c>
      <c r="AA130" s="60">
        <v>167.5</v>
      </c>
      <c r="AB130" s="107">
        <v>1</v>
      </c>
      <c r="AC130" s="107">
        <v>1</v>
      </c>
      <c r="AD130" s="69"/>
      <c r="AE130" s="69"/>
      <c r="AF130" s="69"/>
      <c r="AG130" s="69"/>
      <c r="AH130" s="54" t="b">
        <v>0</v>
      </c>
      <c r="AI130" s="69"/>
      <c r="AJ130" s="107">
        <v>1</v>
      </c>
      <c r="AK130" s="69"/>
      <c r="AL130" s="99"/>
      <c r="AN130" s="115"/>
      <c r="AO130" s="116"/>
      <c r="AP130" s="69"/>
      <c r="AQ130" s="69"/>
      <c r="AR130" s="139"/>
      <c r="AS130" s="139"/>
      <c r="AT130" s="19"/>
      <c r="AU130" s="19"/>
    </row>
    <row r="131" spans="1:47" s="17" customFormat="1" ht="20" x14ac:dyDescent="0.2">
      <c r="A131" s="118"/>
      <c r="B131" s="204" t="s">
        <v>900</v>
      </c>
      <c r="C131" s="280" t="s">
        <v>2984</v>
      </c>
      <c r="D131" s="204" t="s">
        <v>106</v>
      </c>
      <c r="E131" s="204" t="s">
        <v>192</v>
      </c>
      <c r="F131" s="119">
        <v>49.004147699999997</v>
      </c>
      <c r="G131" s="119">
        <v>-117.6128674</v>
      </c>
      <c r="H131" s="139" t="s">
        <v>1066</v>
      </c>
      <c r="I131" s="33" t="s">
        <v>2876</v>
      </c>
      <c r="J131" s="151" t="s">
        <v>2332</v>
      </c>
      <c r="K131" s="51" t="s">
        <v>3174</v>
      </c>
      <c r="L131" s="175">
        <v>230</v>
      </c>
      <c r="M131" s="67">
        <v>1954</v>
      </c>
      <c r="N131" s="100">
        <v>2100</v>
      </c>
      <c r="O131" s="33"/>
      <c r="P131" s="67" t="s">
        <v>1034</v>
      </c>
      <c r="Q131" s="51" t="s">
        <v>1043</v>
      </c>
      <c r="R131" s="65">
        <v>120</v>
      </c>
      <c r="S131" s="248">
        <f>System!$E$10</f>
        <v>1</v>
      </c>
      <c r="T131" s="247">
        <f t="shared" si="3"/>
        <v>120</v>
      </c>
      <c r="U131" s="114">
        <f t="shared" si="4"/>
        <v>0.33115867579908675</v>
      </c>
      <c r="V131" s="125">
        <v>348.11399999999998</v>
      </c>
      <c r="W131" s="99">
        <v>4</v>
      </c>
      <c r="Y131" s="128" t="s">
        <v>83</v>
      </c>
      <c r="Z131" s="60">
        <v>0</v>
      </c>
      <c r="AA131" s="60">
        <v>120</v>
      </c>
      <c r="AB131" s="107">
        <v>1</v>
      </c>
      <c r="AC131" s="107">
        <v>1</v>
      </c>
      <c r="AD131" s="69"/>
      <c r="AE131" s="69"/>
      <c r="AF131" s="69"/>
      <c r="AG131" s="69"/>
      <c r="AH131" s="54" t="b">
        <v>0</v>
      </c>
      <c r="AI131" s="69"/>
      <c r="AJ131" s="107">
        <v>1</v>
      </c>
      <c r="AK131" s="69"/>
      <c r="AL131" s="99"/>
      <c r="AN131" s="115"/>
      <c r="AO131" s="116"/>
      <c r="AP131" s="69"/>
      <c r="AQ131" s="69"/>
      <c r="AR131" s="139"/>
      <c r="AS131" s="139"/>
      <c r="AT131" s="19"/>
      <c r="AU131" s="19"/>
    </row>
    <row r="132" spans="1:47" s="17" customFormat="1" ht="20" x14ac:dyDescent="0.2">
      <c r="A132" s="118"/>
      <c r="B132" s="204" t="s">
        <v>901</v>
      </c>
      <c r="C132" s="280" t="s">
        <v>3027</v>
      </c>
      <c r="D132" s="204" t="s">
        <v>106</v>
      </c>
      <c r="E132" s="204" t="s">
        <v>192</v>
      </c>
      <c r="F132" s="119">
        <v>49.004147699999997</v>
      </c>
      <c r="G132" s="119">
        <v>-117.6128674</v>
      </c>
      <c r="H132" s="139" t="s">
        <v>1066</v>
      </c>
      <c r="I132" s="33" t="s">
        <v>2876</v>
      </c>
      <c r="J132" s="151" t="s">
        <v>2332</v>
      </c>
      <c r="K132" s="51" t="s">
        <v>3174</v>
      </c>
      <c r="L132" s="175">
        <v>230</v>
      </c>
      <c r="M132" s="67">
        <v>1954</v>
      </c>
      <c r="N132" s="100">
        <v>2100</v>
      </c>
      <c r="O132" s="33"/>
      <c r="P132" s="67" t="s">
        <v>1034</v>
      </c>
      <c r="Q132" s="51" t="s">
        <v>1043</v>
      </c>
      <c r="R132" s="65">
        <v>120</v>
      </c>
      <c r="S132" s="248">
        <f>System!$E$10</f>
        <v>1</v>
      </c>
      <c r="T132" s="247">
        <f t="shared" ref="T132:T195" si="5">R132*S132</f>
        <v>120</v>
      </c>
      <c r="U132" s="114">
        <f t="shared" ref="U132:U195" si="6">V132*1000/(24*365*R132)</f>
        <v>0.33115867579908675</v>
      </c>
      <c r="V132" s="125">
        <v>348.11399999999998</v>
      </c>
      <c r="W132" s="99">
        <v>4</v>
      </c>
      <c r="Y132" s="128" t="s">
        <v>83</v>
      </c>
      <c r="Z132" s="60">
        <v>0</v>
      </c>
      <c r="AA132" s="60">
        <v>120</v>
      </c>
      <c r="AB132" s="107">
        <v>1</v>
      </c>
      <c r="AC132" s="107">
        <v>1</v>
      </c>
      <c r="AD132" s="69"/>
      <c r="AE132" s="69"/>
      <c r="AF132" s="69"/>
      <c r="AG132" s="69"/>
      <c r="AH132" s="54" t="b">
        <v>0</v>
      </c>
      <c r="AI132" s="69"/>
      <c r="AJ132" s="107">
        <v>1</v>
      </c>
      <c r="AK132" s="69"/>
      <c r="AL132" s="99"/>
      <c r="AN132" s="115"/>
      <c r="AO132" s="116"/>
      <c r="AP132" s="69"/>
      <c r="AQ132" s="69"/>
      <c r="AR132" s="139"/>
      <c r="AS132" s="139"/>
      <c r="AT132" s="19"/>
      <c r="AU132" s="19"/>
    </row>
    <row r="133" spans="1:47" s="17" customFormat="1" ht="20" x14ac:dyDescent="0.2">
      <c r="A133" s="118"/>
      <c r="B133" s="204" t="s">
        <v>902</v>
      </c>
      <c r="C133" s="280" t="s">
        <v>3049</v>
      </c>
      <c r="D133" s="204" t="s">
        <v>106</v>
      </c>
      <c r="E133" s="204" t="s">
        <v>192</v>
      </c>
      <c r="F133" s="119">
        <v>49.004147699999997</v>
      </c>
      <c r="G133" s="119">
        <v>-117.6128674</v>
      </c>
      <c r="H133" s="139" t="s">
        <v>1066</v>
      </c>
      <c r="I133" s="33" t="s">
        <v>2876</v>
      </c>
      <c r="J133" s="151" t="s">
        <v>2332</v>
      </c>
      <c r="K133" s="51" t="s">
        <v>3174</v>
      </c>
      <c r="L133" s="175">
        <v>230</v>
      </c>
      <c r="M133" s="67">
        <v>1954</v>
      </c>
      <c r="N133" s="100">
        <v>2100</v>
      </c>
      <c r="O133" s="33"/>
      <c r="P133" s="67" t="s">
        <v>1034</v>
      </c>
      <c r="Q133" s="51" t="s">
        <v>1043</v>
      </c>
      <c r="R133" s="65">
        <v>120</v>
      </c>
      <c r="S133" s="248">
        <f>System!$E$10</f>
        <v>1</v>
      </c>
      <c r="T133" s="247">
        <f t="shared" si="5"/>
        <v>120</v>
      </c>
      <c r="U133" s="114">
        <f t="shared" si="6"/>
        <v>0.33115867579908675</v>
      </c>
      <c r="V133" s="125">
        <v>348.11399999999998</v>
      </c>
      <c r="W133" s="99">
        <v>4</v>
      </c>
      <c r="Y133" s="128" t="s">
        <v>83</v>
      </c>
      <c r="Z133" s="60">
        <v>0</v>
      </c>
      <c r="AA133" s="60">
        <v>120</v>
      </c>
      <c r="AB133" s="107">
        <v>1</v>
      </c>
      <c r="AC133" s="107">
        <v>1</v>
      </c>
      <c r="AD133" s="69"/>
      <c r="AE133" s="69"/>
      <c r="AF133" s="69"/>
      <c r="AG133" s="69"/>
      <c r="AH133" s="54" t="b">
        <v>0</v>
      </c>
      <c r="AI133" s="69"/>
      <c r="AJ133" s="107">
        <v>1</v>
      </c>
      <c r="AK133" s="69"/>
      <c r="AL133" s="99"/>
      <c r="AN133" s="115"/>
      <c r="AO133" s="116"/>
      <c r="AP133" s="69"/>
      <c r="AQ133" s="69"/>
      <c r="AR133" s="139"/>
      <c r="AS133" s="139"/>
      <c r="AT133" s="19"/>
      <c r="AU133" s="19"/>
    </row>
    <row r="134" spans="1:47" s="17" customFormat="1" ht="20" x14ac:dyDescent="0.2">
      <c r="A134" s="118"/>
      <c r="B134" s="204" t="s">
        <v>903</v>
      </c>
      <c r="C134" s="280" t="s">
        <v>3064</v>
      </c>
      <c r="D134" s="204" t="s">
        <v>106</v>
      </c>
      <c r="E134" s="204" t="s">
        <v>192</v>
      </c>
      <c r="F134" s="119">
        <v>49.004147699999997</v>
      </c>
      <c r="G134" s="119">
        <v>-117.6128674</v>
      </c>
      <c r="H134" s="139" t="s">
        <v>1066</v>
      </c>
      <c r="I134" s="33" t="s">
        <v>2876</v>
      </c>
      <c r="J134" s="151" t="s">
        <v>2332</v>
      </c>
      <c r="K134" s="51" t="s">
        <v>3174</v>
      </c>
      <c r="L134" s="175">
        <v>230</v>
      </c>
      <c r="M134" s="67">
        <v>1954</v>
      </c>
      <c r="N134" s="100">
        <v>2100</v>
      </c>
      <c r="O134" s="33"/>
      <c r="P134" s="67" t="s">
        <v>1034</v>
      </c>
      <c r="Q134" s="51" t="s">
        <v>1043</v>
      </c>
      <c r="R134" s="65">
        <v>120</v>
      </c>
      <c r="S134" s="248">
        <f>System!$E$10</f>
        <v>1</v>
      </c>
      <c r="T134" s="247">
        <f t="shared" si="5"/>
        <v>120</v>
      </c>
      <c r="U134" s="114">
        <f t="shared" si="6"/>
        <v>0.33115867579908675</v>
      </c>
      <c r="V134" s="125">
        <v>348.11399999999998</v>
      </c>
      <c r="W134" s="99">
        <v>4</v>
      </c>
      <c r="Y134" s="128" t="s">
        <v>83</v>
      </c>
      <c r="Z134" s="60">
        <v>0</v>
      </c>
      <c r="AA134" s="60">
        <v>120</v>
      </c>
      <c r="AB134" s="107">
        <v>1</v>
      </c>
      <c r="AC134" s="107">
        <v>1</v>
      </c>
      <c r="AD134" s="69"/>
      <c r="AE134" s="69"/>
      <c r="AF134" s="69"/>
      <c r="AG134" s="69"/>
      <c r="AH134" s="54" t="b">
        <v>0</v>
      </c>
      <c r="AI134" s="69"/>
      <c r="AJ134" s="107">
        <v>1</v>
      </c>
      <c r="AK134" s="69"/>
      <c r="AL134" s="99"/>
      <c r="AN134" s="115"/>
      <c r="AO134" s="116"/>
      <c r="AP134" s="69"/>
      <c r="AQ134" s="69"/>
      <c r="AR134" s="139"/>
      <c r="AS134" s="139"/>
      <c r="AT134" s="19"/>
      <c r="AU134" s="19"/>
    </row>
    <row r="135" spans="1:47" s="17" customFormat="1" ht="20" x14ac:dyDescent="0.2">
      <c r="A135" s="118"/>
      <c r="B135" s="204" t="s">
        <v>344</v>
      </c>
      <c r="C135" s="280" t="s">
        <v>3869</v>
      </c>
      <c r="D135" s="204" t="s">
        <v>106</v>
      </c>
      <c r="E135" s="204" t="s">
        <v>192</v>
      </c>
      <c r="F135" s="119">
        <v>49.910565200000001</v>
      </c>
      <c r="G135" s="119">
        <v>-118.0718139</v>
      </c>
      <c r="H135" s="139" t="s">
        <v>1066</v>
      </c>
      <c r="I135" s="33" t="s">
        <v>2876</v>
      </c>
      <c r="J135" s="150" t="s">
        <v>2334</v>
      </c>
      <c r="K135" s="51" t="s">
        <v>3177</v>
      </c>
      <c r="L135" s="175">
        <v>138</v>
      </c>
      <c r="M135" s="54">
        <v>1951</v>
      </c>
      <c r="N135" s="100">
        <v>2100</v>
      </c>
      <c r="O135" s="33"/>
      <c r="P135" s="67" t="s">
        <v>1034</v>
      </c>
      <c r="Q135" s="51" t="s">
        <v>1043</v>
      </c>
      <c r="R135" s="65">
        <v>54</v>
      </c>
      <c r="S135" s="248">
        <f>System!$E$10</f>
        <v>1</v>
      </c>
      <c r="T135" s="247">
        <f t="shared" si="5"/>
        <v>54</v>
      </c>
      <c r="U135" s="114">
        <f t="shared" si="6"/>
        <v>0.33115881848396755</v>
      </c>
      <c r="V135" s="65">
        <v>156.65136749565602</v>
      </c>
      <c r="W135" s="99">
        <v>1</v>
      </c>
      <c r="Y135" s="128" t="s">
        <v>83</v>
      </c>
      <c r="Z135" s="60">
        <v>0</v>
      </c>
      <c r="AA135" s="60">
        <v>54</v>
      </c>
      <c r="AB135" s="107">
        <v>1</v>
      </c>
      <c r="AC135" s="107">
        <v>1</v>
      </c>
      <c r="AD135" s="69"/>
      <c r="AE135" s="69"/>
      <c r="AF135" s="69"/>
      <c r="AG135" s="69"/>
      <c r="AH135" s="54" t="b">
        <v>0</v>
      </c>
      <c r="AI135" s="69"/>
      <c r="AJ135" s="107">
        <v>1</v>
      </c>
      <c r="AK135" s="69"/>
      <c r="AL135" s="99"/>
      <c r="AN135" s="115"/>
      <c r="AO135" s="116"/>
      <c r="AP135" s="69"/>
      <c r="AQ135" s="69"/>
      <c r="AR135" s="139"/>
      <c r="AS135" s="139"/>
      <c r="AT135" s="19"/>
      <c r="AU135" s="19"/>
    </row>
    <row r="136" spans="1:47" s="17" customFormat="1" ht="20" x14ac:dyDescent="0.2">
      <c r="A136" s="118"/>
      <c r="B136" s="206" t="s">
        <v>926</v>
      </c>
      <c r="C136" s="280" t="s">
        <v>2985</v>
      </c>
      <c r="D136" s="206" t="s">
        <v>346</v>
      </c>
      <c r="E136" s="206" t="s">
        <v>347</v>
      </c>
      <c r="F136" s="119">
        <v>50.053520599999999</v>
      </c>
      <c r="G136" s="119">
        <v>-126.7796544</v>
      </c>
      <c r="H136" s="139" t="s">
        <v>1066</v>
      </c>
      <c r="I136" s="33" t="s">
        <v>2876</v>
      </c>
      <c r="J136" s="150" t="s">
        <v>2366</v>
      </c>
      <c r="K136" s="51" t="s">
        <v>3179</v>
      </c>
      <c r="L136" s="175">
        <v>138</v>
      </c>
      <c r="M136" s="54">
        <v>2009</v>
      </c>
      <c r="N136" s="33">
        <f>M136+40</f>
        <v>2049</v>
      </c>
      <c r="O136" s="33"/>
      <c r="P136" s="63" t="s">
        <v>1034</v>
      </c>
      <c r="Q136" s="51" t="s">
        <v>1043</v>
      </c>
      <c r="R136" s="65">
        <v>9.3800000000000008</v>
      </c>
      <c r="S136" s="248">
        <f>System!$E$10</f>
        <v>1</v>
      </c>
      <c r="T136" s="247">
        <f t="shared" si="5"/>
        <v>9.3800000000000008</v>
      </c>
      <c r="U136" s="114">
        <f t="shared" si="6"/>
        <v>0.5673442961318651</v>
      </c>
      <c r="V136" s="125">
        <v>46.618000000000002</v>
      </c>
      <c r="W136" s="99">
        <v>3</v>
      </c>
      <c r="Y136" s="128" t="s">
        <v>83</v>
      </c>
      <c r="Z136" s="60">
        <v>0</v>
      </c>
      <c r="AA136" s="60">
        <v>9.3800000000000008</v>
      </c>
      <c r="AB136" s="107">
        <v>1</v>
      </c>
      <c r="AC136" s="107">
        <v>1</v>
      </c>
      <c r="AD136" s="69"/>
      <c r="AE136" s="69"/>
      <c r="AF136" s="69"/>
      <c r="AG136" s="69"/>
      <c r="AH136" s="54" t="b">
        <v>0</v>
      </c>
      <c r="AI136" s="69"/>
      <c r="AJ136" s="107">
        <v>1</v>
      </c>
      <c r="AK136" s="69"/>
      <c r="AL136" s="99"/>
      <c r="AN136" s="115"/>
      <c r="AO136" s="116"/>
      <c r="AP136" s="69"/>
      <c r="AQ136" s="69"/>
      <c r="AR136" s="139"/>
      <c r="AS136" s="139"/>
      <c r="AT136" s="19"/>
      <c r="AU136" s="19"/>
    </row>
    <row r="137" spans="1:47" s="17" customFormat="1" ht="20" x14ac:dyDescent="0.2">
      <c r="A137" s="118"/>
      <c r="B137" s="206" t="s">
        <v>927</v>
      </c>
      <c r="C137" s="280" t="s">
        <v>3028</v>
      </c>
      <c r="D137" s="206" t="s">
        <v>346</v>
      </c>
      <c r="E137" s="206" t="s">
        <v>347</v>
      </c>
      <c r="F137" s="119">
        <v>50.053520599999999</v>
      </c>
      <c r="G137" s="119">
        <v>-126.7796544</v>
      </c>
      <c r="H137" s="139" t="s">
        <v>1066</v>
      </c>
      <c r="I137" s="33" t="s">
        <v>2876</v>
      </c>
      <c r="J137" s="150" t="s">
        <v>2366</v>
      </c>
      <c r="K137" s="51" t="s">
        <v>3179</v>
      </c>
      <c r="L137" s="175">
        <v>138</v>
      </c>
      <c r="M137" s="54">
        <v>2009</v>
      </c>
      <c r="N137" s="33">
        <f>M137+40</f>
        <v>2049</v>
      </c>
      <c r="O137" s="33"/>
      <c r="P137" s="63" t="s">
        <v>1034</v>
      </c>
      <c r="Q137" s="51" t="s">
        <v>1043</v>
      </c>
      <c r="R137" s="65">
        <v>9.3800000000000008</v>
      </c>
      <c r="S137" s="248">
        <f>System!$E$10</f>
        <v>1</v>
      </c>
      <c r="T137" s="247">
        <f t="shared" si="5"/>
        <v>9.3800000000000008</v>
      </c>
      <c r="U137" s="114">
        <f t="shared" si="6"/>
        <v>0.5673442961318651</v>
      </c>
      <c r="V137" s="125">
        <v>46.618000000000002</v>
      </c>
      <c r="W137" s="99">
        <v>3</v>
      </c>
      <c r="Y137" s="128" t="s">
        <v>83</v>
      </c>
      <c r="Z137" s="60">
        <v>0</v>
      </c>
      <c r="AA137" s="60">
        <v>9.3800000000000008</v>
      </c>
      <c r="AB137" s="107">
        <v>1</v>
      </c>
      <c r="AC137" s="107">
        <v>1</v>
      </c>
      <c r="AD137" s="69"/>
      <c r="AE137" s="69"/>
      <c r="AF137" s="69"/>
      <c r="AG137" s="69"/>
      <c r="AH137" s="54" t="b">
        <v>0</v>
      </c>
      <c r="AI137" s="69"/>
      <c r="AJ137" s="107">
        <v>1</v>
      </c>
      <c r="AK137" s="69"/>
      <c r="AL137" s="99"/>
      <c r="AN137" s="115"/>
      <c r="AO137" s="116"/>
      <c r="AP137" s="69"/>
      <c r="AQ137" s="69"/>
      <c r="AR137" s="139"/>
      <c r="AS137" s="139"/>
      <c r="AT137" s="19"/>
      <c r="AU137" s="19"/>
    </row>
    <row r="138" spans="1:47" s="17" customFormat="1" ht="20" x14ac:dyDescent="0.2">
      <c r="A138" s="118"/>
      <c r="B138" s="206" t="s">
        <v>928</v>
      </c>
      <c r="C138" s="280" t="s">
        <v>3050</v>
      </c>
      <c r="D138" s="206" t="s">
        <v>346</v>
      </c>
      <c r="E138" s="206" t="s">
        <v>347</v>
      </c>
      <c r="F138" s="119">
        <v>50.053520599999999</v>
      </c>
      <c r="G138" s="119">
        <v>-126.7796544</v>
      </c>
      <c r="H138" s="139" t="s">
        <v>1066</v>
      </c>
      <c r="I138" s="33" t="s">
        <v>2876</v>
      </c>
      <c r="J138" s="150" t="s">
        <v>2366</v>
      </c>
      <c r="K138" s="51" t="s">
        <v>3179</v>
      </c>
      <c r="L138" s="175">
        <v>138</v>
      </c>
      <c r="M138" s="54">
        <v>2009</v>
      </c>
      <c r="N138" s="33">
        <f>M138+40</f>
        <v>2049</v>
      </c>
      <c r="O138" s="33"/>
      <c r="P138" s="63" t="s">
        <v>1034</v>
      </c>
      <c r="Q138" s="51" t="s">
        <v>1043</v>
      </c>
      <c r="R138" s="65">
        <v>3.09</v>
      </c>
      <c r="S138" s="248">
        <f>System!$E$10</f>
        <v>1</v>
      </c>
      <c r="T138" s="247">
        <f t="shared" si="5"/>
        <v>3.09</v>
      </c>
      <c r="U138" s="114">
        <f t="shared" si="6"/>
        <v>0.56734051513942463</v>
      </c>
      <c r="V138" s="125">
        <v>15.356999999999999</v>
      </c>
      <c r="W138" s="99">
        <v>3</v>
      </c>
      <c r="Y138" s="128" t="s">
        <v>83</v>
      </c>
      <c r="Z138" s="60">
        <v>0</v>
      </c>
      <c r="AA138" s="60">
        <v>3.09</v>
      </c>
      <c r="AB138" s="162">
        <v>1</v>
      </c>
      <c r="AC138" s="162">
        <v>1</v>
      </c>
      <c r="AD138" s="69"/>
      <c r="AE138" s="69"/>
      <c r="AF138" s="69"/>
      <c r="AG138" s="69"/>
      <c r="AH138" s="54" t="b">
        <v>0</v>
      </c>
      <c r="AI138" s="69"/>
      <c r="AJ138" s="107">
        <v>1</v>
      </c>
      <c r="AK138" s="69"/>
      <c r="AL138" s="99"/>
      <c r="AN138" s="115"/>
      <c r="AO138" s="116"/>
      <c r="AP138" s="69"/>
      <c r="AQ138" s="69"/>
      <c r="AR138" s="139"/>
      <c r="AS138" s="139"/>
      <c r="AT138" s="19"/>
      <c r="AU138" s="19"/>
    </row>
    <row r="139" spans="1:47" s="17" customFormat="1" ht="20" x14ac:dyDescent="0.2">
      <c r="A139" s="118"/>
      <c r="B139" s="204" t="s">
        <v>835</v>
      </c>
      <c r="C139" s="280" t="s">
        <v>2959</v>
      </c>
      <c r="D139" s="204" t="s">
        <v>106</v>
      </c>
      <c r="E139" s="204" t="s">
        <v>217</v>
      </c>
      <c r="F139" s="119">
        <v>56.014797000000002</v>
      </c>
      <c r="G139" s="119">
        <v>-122.1957438</v>
      </c>
      <c r="H139" s="139" t="s">
        <v>1066</v>
      </c>
      <c r="I139" s="33" t="s">
        <v>2876</v>
      </c>
      <c r="J139" s="150" t="s">
        <v>1699</v>
      </c>
      <c r="K139" s="51" t="s">
        <v>3126</v>
      </c>
      <c r="L139" s="175">
        <v>500</v>
      </c>
      <c r="M139" s="54">
        <v>1968</v>
      </c>
      <c r="N139" s="100">
        <v>2100</v>
      </c>
      <c r="O139" s="33"/>
      <c r="P139" s="67" t="s">
        <v>977</v>
      </c>
      <c r="Q139" s="51" t="s">
        <v>1044</v>
      </c>
      <c r="R139" s="65">
        <v>305</v>
      </c>
      <c r="S139" s="248">
        <f>System!$E$11</f>
        <v>1</v>
      </c>
      <c r="T139" s="247">
        <f t="shared" si="5"/>
        <v>305</v>
      </c>
      <c r="U139" s="114">
        <f t="shared" si="6"/>
        <v>0.60062317580571523</v>
      </c>
      <c r="V139" s="125">
        <v>1604.74500111771</v>
      </c>
      <c r="W139" s="99">
        <v>10</v>
      </c>
      <c r="Y139" s="128" t="s">
        <v>83</v>
      </c>
      <c r="Z139" s="60">
        <v>0</v>
      </c>
      <c r="AA139" s="60">
        <v>305</v>
      </c>
      <c r="AB139" s="107">
        <v>1</v>
      </c>
      <c r="AC139" s="107">
        <v>1</v>
      </c>
      <c r="AD139" s="69"/>
      <c r="AE139" s="69"/>
      <c r="AF139" s="69"/>
      <c r="AG139" s="69"/>
      <c r="AH139" s="54" t="b">
        <v>0</v>
      </c>
      <c r="AI139" s="69"/>
      <c r="AJ139" s="107">
        <v>1</v>
      </c>
      <c r="AK139" s="69"/>
      <c r="AL139" s="99"/>
      <c r="AM139" s="156"/>
      <c r="AN139" s="115"/>
      <c r="AO139" s="116"/>
      <c r="AP139" s="69"/>
      <c r="AQ139" s="69"/>
      <c r="AR139" s="139"/>
      <c r="AS139" s="139"/>
      <c r="AT139" s="19"/>
      <c r="AU139" s="19"/>
    </row>
    <row r="140" spans="1:47" s="17" customFormat="1" ht="20" x14ac:dyDescent="0.2">
      <c r="A140" s="118"/>
      <c r="B140" s="204" t="s">
        <v>836</v>
      </c>
      <c r="C140" s="280" t="s">
        <v>3001</v>
      </c>
      <c r="D140" s="204" t="s">
        <v>106</v>
      </c>
      <c r="E140" s="204" t="s">
        <v>217</v>
      </c>
      <c r="F140" s="119">
        <v>56.014797000000002</v>
      </c>
      <c r="G140" s="119">
        <v>-122.1957438</v>
      </c>
      <c r="H140" s="139" t="s">
        <v>1066</v>
      </c>
      <c r="I140" s="33" t="s">
        <v>2876</v>
      </c>
      <c r="J140" s="150" t="s">
        <v>1699</v>
      </c>
      <c r="K140" s="51" t="s">
        <v>3126</v>
      </c>
      <c r="L140" s="175">
        <v>500</v>
      </c>
      <c r="M140" s="54">
        <v>1968</v>
      </c>
      <c r="N140" s="100">
        <v>2100</v>
      </c>
      <c r="O140" s="33"/>
      <c r="P140" s="67" t="s">
        <v>977</v>
      </c>
      <c r="Q140" s="51" t="s">
        <v>1044</v>
      </c>
      <c r="R140" s="65">
        <v>305</v>
      </c>
      <c r="S140" s="248">
        <f>System!$E$11</f>
        <v>1</v>
      </c>
      <c r="T140" s="247">
        <f t="shared" si="5"/>
        <v>305</v>
      </c>
      <c r="U140" s="114">
        <f t="shared" si="6"/>
        <v>0.60062317580571523</v>
      </c>
      <c r="V140" s="125">
        <v>1604.74500111771</v>
      </c>
      <c r="W140" s="99">
        <v>10</v>
      </c>
      <c r="Y140" s="128" t="s">
        <v>83</v>
      </c>
      <c r="Z140" s="60">
        <v>0</v>
      </c>
      <c r="AA140" s="60">
        <v>305</v>
      </c>
      <c r="AB140" s="107">
        <v>1</v>
      </c>
      <c r="AC140" s="107">
        <v>1</v>
      </c>
      <c r="AD140" s="69"/>
      <c r="AE140" s="69"/>
      <c r="AF140" s="69"/>
      <c r="AG140" s="69"/>
      <c r="AH140" s="54" t="b">
        <v>0</v>
      </c>
      <c r="AI140" s="69"/>
      <c r="AJ140" s="107">
        <v>1</v>
      </c>
      <c r="AK140" s="69"/>
      <c r="AL140" s="99"/>
      <c r="AM140" s="156"/>
      <c r="AN140" s="115"/>
      <c r="AO140" s="116"/>
      <c r="AP140" s="69"/>
      <c r="AQ140" s="69"/>
      <c r="AR140" s="139"/>
      <c r="AS140" s="139"/>
      <c r="AT140" s="19"/>
      <c r="AU140" s="19"/>
    </row>
    <row r="141" spans="1:47" s="17" customFormat="1" ht="20" x14ac:dyDescent="0.2">
      <c r="A141" s="118"/>
      <c r="B141" s="204" t="s">
        <v>837</v>
      </c>
      <c r="C141" s="280" t="s">
        <v>3035</v>
      </c>
      <c r="D141" s="204" t="s">
        <v>106</v>
      </c>
      <c r="E141" s="204" t="s">
        <v>217</v>
      </c>
      <c r="F141" s="119">
        <v>56.014797000000002</v>
      </c>
      <c r="G141" s="119">
        <v>-122.1957438</v>
      </c>
      <c r="H141" s="139" t="s">
        <v>1066</v>
      </c>
      <c r="I141" s="33" t="s">
        <v>2876</v>
      </c>
      <c r="J141" s="150" t="s">
        <v>1699</v>
      </c>
      <c r="K141" s="51" t="s">
        <v>3126</v>
      </c>
      <c r="L141" s="175">
        <v>500</v>
      </c>
      <c r="M141" s="54">
        <v>1968</v>
      </c>
      <c r="N141" s="100">
        <v>2100</v>
      </c>
      <c r="O141" s="33"/>
      <c r="P141" s="67" t="s">
        <v>977</v>
      </c>
      <c r="Q141" s="51" t="s">
        <v>1044</v>
      </c>
      <c r="R141" s="65">
        <v>305</v>
      </c>
      <c r="S141" s="248">
        <f>System!$E$11</f>
        <v>1</v>
      </c>
      <c r="T141" s="247">
        <f t="shared" si="5"/>
        <v>305</v>
      </c>
      <c r="U141" s="114">
        <f t="shared" si="6"/>
        <v>0.60062317580571523</v>
      </c>
      <c r="V141" s="125">
        <v>1604.74500111771</v>
      </c>
      <c r="W141" s="99">
        <v>10</v>
      </c>
      <c r="Y141" s="128" t="s">
        <v>83</v>
      </c>
      <c r="Z141" s="60">
        <v>0</v>
      </c>
      <c r="AA141" s="60">
        <v>305</v>
      </c>
      <c r="AB141" s="107">
        <v>1</v>
      </c>
      <c r="AC141" s="107">
        <v>1</v>
      </c>
      <c r="AD141" s="69"/>
      <c r="AE141" s="69"/>
      <c r="AF141" s="69"/>
      <c r="AG141" s="69"/>
      <c r="AH141" s="54" t="b">
        <v>0</v>
      </c>
      <c r="AI141" s="69"/>
      <c r="AJ141" s="107">
        <v>1</v>
      </c>
      <c r="AK141" s="69"/>
      <c r="AL141" s="99"/>
      <c r="AM141" s="156"/>
      <c r="AN141" s="115"/>
      <c r="AO141" s="116"/>
      <c r="AP141" s="69"/>
      <c r="AQ141" s="69"/>
      <c r="AR141" s="139"/>
      <c r="AS141" s="139"/>
      <c r="AT141" s="19"/>
      <c r="AU141" s="19"/>
    </row>
    <row r="142" spans="1:47" s="17" customFormat="1" ht="20" x14ac:dyDescent="0.2">
      <c r="A142" s="118"/>
      <c r="B142" s="204" t="s">
        <v>838</v>
      </c>
      <c r="C142" s="280" t="s">
        <v>3055</v>
      </c>
      <c r="D142" s="204" t="s">
        <v>106</v>
      </c>
      <c r="E142" s="204" t="s">
        <v>217</v>
      </c>
      <c r="F142" s="119">
        <v>56.014797000000002</v>
      </c>
      <c r="G142" s="119">
        <v>-122.1957438</v>
      </c>
      <c r="H142" s="139" t="s">
        <v>1066</v>
      </c>
      <c r="I142" s="33" t="s">
        <v>2876</v>
      </c>
      <c r="J142" s="150" t="s">
        <v>1699</v>
      </c>
      <c r="K142" s="51" t="s">
        <v>3126</v>
      </c>
      <c r="L142" s="175">
        <v>500</v>
      </c>
      <c r="M142" s="54">
        <v>1968</v>
      </c>
      <c r="N142" s="100">
        <v>2100</v>
      </c>
      <c r="O142" s="33"/>
      <c r="P142" s="67" t="s">
        <v>977</v>
      </c>
      <c r="Q142" s="51" t="s">
        <v>1044</v>
      </c>
      <c r="R142" s="65">
        <v>305</v>
      </c>
      <c r="S142" s="248">
        <f>System!$E$11</f>
        <v>1</v>
      </c>
      <c r="T142" s="247">
        <f t="shared" si="5"/>
        <v>305</v>
      </c>
      <c r="U142" s="114">
        <f t="shared" si="6"/>
        <v>0.60062317580571523</v>
      </c>
      <c r="V142" s="125">
        <v>1604.74500111771</v>
      </c>
      <c r="W142" s="99">
        <v>10</v>
      </c>
      <c r="Y142" s="128" t="s">
        <v>83</v>
      </c>
      <c r="Z142" s="60">
        <v>0</v>
      </c>
      <c r="AA142" s="60">
        <v>305</v>
      </c>
      <c r="AB142" s="107">
        <v>1</v>
      </c>
      <c r="AC142" s="107">
        <v>1</v>
      </c>
      <c r="AD142" s="69"/>
      <c r="AE142" s="69"/>
      <c r="AF142" s="69"/>
      <c r="AG142" s="69"/>
      <c r="AH142" s="54" t="b">
        <v>0</v>
      </c>
      <c r="AI142" s="69"/>
      <c r="AJ142" s="107">
        <v>1</v>
      </c>
      <c r="AK142" s="69"/>
      <c r="AL142" s="99"/>
      <c r="AM142" s="156"/>
      <c r="AN142" s="115"/>
      <c r="AO142" s="116"/>
      <c r="AP142" s="69"/>
      <c r="AQ142" s="69"/>
      <c r="AR142" s="139"/>
      <c r="AS142" s="139"/>
      <c r="AT142" s="19"/>
      <c r="AU142" s="19"/>
    </row>
    <row r="143" spans="1:47" s="17" customFormat="1" ht="20" x14ac:dyDescent="0.2">
      <c r="A143" s="118"/>
      <c r="B143" s="204" t="s">
        <v>839</v>
      </c>
      <c r="C143" s="280" t="s">
        <v>3066</v>
      </c>
      <c r="D143" s="204" t="s">
        <v>106</v>
      </c>
      <c r="E143" s="204" t="s">
        <v>217</v>
      </c>
      <c r="F143" s="119">
        <v>56.014797000000002</v>
      </c>
      <c r="G143" s="119">
        <v>-122.1957438</v>
      </c>
      <c r="H143" s="139" t="s">
        <v>1066</v>
      </c>
      <c r="I143" s="33" t="s">
        <v>2876</v>
      </c>
      <c r="J143" s="150" t="s">
        <v>1699</v>
      </c>
      <c r="K143" s="51" t="s">
        <v>3126</v>
      </c>
      <c r="L143" s="175">
        <v>500</v>
      </c>
      <c r="M143" s="54">
        <v>1968</v>
      </c>
      <c r="N143" s="100">
        <v>2100</v>
      </c>
      <c r="O143" s="33"/>
      <c r="P143" s="67" t="s">
        <v>977</v>
      </c>
      <c r="Q143" s="51" t="s">
        <v>1044</v>
      </c>
      <c r="R143" s="65">
        <v>305</v>
      </c>
      <c r="S143" s="248">
        <f>System!$E$11</f>
        <v>1</v>
      </c>
      <c r="T143" s="247">
        <f t="shared" si="5"/>
        <v>305</v>
      </c>
      <c r="U143" s="114">
        <f t="shared" si="6"/>
        <v>0.60062317580571523</v>
      </c>
      <c r="V143" s="125">
        <v>1604.74500111771</v>
      </c>
      <c r="W143" s="99">
        <v>10</v>
      </c>
      <c r="Y143" s="128" t="s">
        <v>83</v>
      </c>
      <c r="Z143" s="60">
        <v>0</v>
      </c>
      <c r="AA143" s="60">
        <v>305</v>
      </c>
      <c r="AB143" s="107">
        <v>1</v>
      </c>
      <c r="AC143" s="107">
        <v>1</v>
      </c>
      <c r="AD143" s="69"/>
      <c r="AE143" s="69"/>
      <c r="AF143" s="69"/>
      <c r="AG143" s="69"/>
      <c r="AH143" s="54" t="b">
        <v>0</v>
      </c>
      <c r="AI143" s="69"/>
      <c r="AJ143" s="107">
        <v>1</v>
      </c>
      <c r="AK143" s="69"/>
      <c r="AL143" s="99"/>
      <c r="AM143" s="156"/>
      <c r="AN143" s="115"/>
      <c r="AO143" s="116"/>
      <c r="AP143" s="69"/>
      <c r="AQ143" s="69"/>
      <c r="AR143" s="139"/>
      <c r="AS143" s="139"/>
      <c r="AT143" s="19"/>
      <c r="AU143" s="19"/>
    </row>
    <row r="144" spans="1:47" s="17" customFormat="1" ht="20" x14ac:dyDescent="0.2">
      <c r="A144" s="118"/>
      <c r="B144" s="204" t="s">
        <v>840</v>
      </c>
      <c r="C144" s="280" t="s">
        <v>3073</v>
      </c>
      <c r="D144" s="204" t="s">
        <v>106</v>
      </c>
      <c r="E144" s="204" t="s">
        <v>217</v>
      </c>
      <c r="F144" s="119">
        <v>56.014797000000002</v>
      </c>
      <c r="G144" s="119">
        <v>-122.1957438</v>
      </c>
      <c r="H144" s="139" t="s">
        <v>1066</v>
      </c>
      <c r="I144" s="33" t="s">
        <v>2876</v>
      </c>
      <c r="J144" s="150" t="s">
        <v>1699</v>
      </c>
      <c r="K144" s="51" t="s">
        <v>3126</v>
      </c>
      <c r="L144" s="175">
        <v>500</v>
      </c>
      <c r="M144" s="54">
        <v>1968</v>
      </c>
      <c r="N144" s="100">
        <v>2100</v>
      </c>
      <c r="O144" s="33"/>
      <c r="P144" s="67" t="s">
        <v>977</v>
      </c>
      <c r="Q144" s="51" t="s">
        <v>1044</v>
      </c>
      <c r="R144" s="65">
        <v>305</v>
      </c>
      <c r="S144" s="248">
        <f>System!$E$11</f>
        <v>1</v>
      </c>
      <c r="T144" s="247">
        <f t="shared" si="5"/>
        <v>305</v>
      </c>
      <c r="U144" s="114">
        <f t="shared" si="6"/>
        <v>0.60062317580571523</v>
      </c>
      <c r="V144" s="125">
        <v>1604.74500111771</v>
      </c>
      <c r="W144" s="99">
        <v>10</v>
      </c>
      <c r="Y144" s="128" t="s">
        <v>83</v>
      </c>
      <c r="Z144" s="60">
        <v>0</v>
      </c>
      <c r="AA144" s="60">
        <v>305</v>
      </c>
      <c r="AB144" s="107">
        <v>1</v>
      </c>
      <c r="AC144" s="107">
        <v>1</v>
      </c>
      <c r="AD144" s="69"/>
      <c r="AE144" s="69"/>
      <c r="AF144" s="69"/>
      <c r="AG144" s="69"/>
      <c r="AH144" s="54" t="b">
        <v>0</v>
      </c>
      <c r="AI144" s="69"/>
      <c r="AJ144" s="107">
        <v>1</v>
      </c>
      <c r="AK144" s="69"/>
      <c r="AL144" s="99"/>
      <c r="AM144" s="156"/>
      <c r="AN144" s="115"/>
      <c r="AO144" s="116"/>
      <c r="AP144" s="69"/>
      <c r="AQ144" s="69"/>
      <c r="AR144" s="139"/>
      <c r="AS144" s="139"/>
      <c r="AT144" s="19"/>
      <c r="AU144" s="19"/>
    </row>
    <row r="145" spans="1:47" s="17" customFormat="1" ht="20" x14ac:dyDescent="0.2">
      <c r="A145" s="118"/>
      <c r="B145" s="204" t="s">
        <v>841</v>
      </c>
      <c r="C145" s="280" t="s">
        <v>3079</v>
      </c>
      <c r="D145" s="204" t="s">
        <v>106</v>
      </c>
      <c r="E145" s="204" t="s">
        <v>217</v>
      </c>
      <c r="F145" s="119">
        <v>56.014797000000002</v>
      </c>
      <c r="G145" s="119">
        <v>-122.1957438</v>
      </c>
      <c r="H145" s="139" t="s">
        <v>1066</v>
      </c>
      <c r="I145" s="33" t="s">
        <v>2876</v>
      </c>
      <c r="J145" s="150" t="s">
        <v>1699</v>
      </c>
      <c r="K145" s="51" t="s">
        <v>3126</v>
      </c>
      <c r="L145" s="175">
        <v>500</v>
      </c>
      <c r="M145" s="54">
        <v>1968</v>
      </c>
      <c r="N145" s="100">
        <v>2100</v>
      </c>
      <c r="O145" s="33"/>
      <c r="P145" s="67" t="s">
        <v>977</v>
      </c>
      <c r="Q145" s="51" t="s">
        <v>1044</v>
      </c>
      <c r="R145" s="65">
        <v>305</v>
      </c>
      <c r="S145" s="248">
        <f>System!$E$11</f>
        <v>1</v>
      </c>
      <c r="T145" s="247">
        <f t="shared" si="5"/>
        <v>305</v>
      </c>
      <c r="U145" s="114">
        <f t="shared" si="6"/>
        <v>0.60062317580571523</v>
      </c>
      <c r="V145" s="125">
        <v>1604.74500111771</v>
      </c>
      <c r="W145" s="99">
        <v>10</v>
      </c>
      <c r="Y145" s="128" t="s">
        <v>83</v>
      </c>
      <c r="Z145" s="60">
        <v>0</v>
      </c>
      <c r="AA145" s="60">
        <v>305</v>
      </c>
      <c r="AB145" s="107">
        <v>1</v>
      </c>
      <c r="AC145" s="107">
        <v>1</v>
      </c>
      <c r="AD145" s="69"/>
      <c r="AE145" s="69"/>
      <c r="AF145" s="69"/>
      <c r="AG145" s="69"/>
      <c r="AH145" s="54" t="b">
        <v>0</v>
      </c>
      <c r="AI145" s="69"/>
      <c r="AJ145" s="107">
        <v>1</v>
      </c>
      <c r="AK145" s="69"/>
      <c r="AL145" s="99"/>
      <c r="AM145" s="156"/>
      <c r="AN145" s="115"/>
      <c r="AO145" s="116"/>
      <c r="AP145" s="69"/>
      <c r="AQ145" s="69"/>
      <c r="AR145" s="139"/>
      <c r="AS145" s="139"/>
      <c r="AT145" s="19"/>
      <c r="AU145" s="19"/>
    </row>
    <row r="146" spans="1:47" s="17" customFormat="1" ht="20" x14ac:dyDescent="0.2">
      <c r="A146" s="118"/>
      <c r="B146" s="204" t="s">
        <v>842</v>
      </c>
      <c r="C146" s="280" t="s">
        <v>3082</v>
      </c>
      <c r="D146" s="204" t="s">
        <v>106</v>
      </c>
      <c r="E146" s="204" t="s">
        <v>217</v>
      </c>
      <c r="F146" s="119">
        <v>56.014797000000002</v>
      </c>
      <c r="G146" s="119">
        <v>-122.1957438</v>
      </c>
      <c r="H146" s="139" t="s">
        <v>1066</v>
      </c>
      <c r="I146" s="33" t="s">
        <v>2876</v>
      </c>
      <c r="J146" s="150" t="s">
        <v>1699</v>
      </c>
      <c r="K146" s="51" t="s">
        <v>3126</v>
      </c>
      <c r="L146" s="175">
        <v>500</v>
      </c>
      <c r="M146" s="54">
        <v>1968</v>
      </c>
      <c r="N146" s="100">
        <v>2100</v>
      </c>
      <c r="O146" s="33"/>
      <c r="P146" s="67" t="s">
        <v>977</v>
      </c>
      <c r="Q146" s="51" t="s">
        <v>1044</v>
      </c>
      <c r="R146" s="65">
        <v>305</v>
      </c>
      <c r="S146" s="248">
        <f>System!$E$11</f>
        <v>1</v>
      </c>
      <c r="T146" s="247">
        <f t="shared" si="5"/>
        <v>305</v>
      </c>
      <c r="U146" s="114">
        <f t="shared" si="6"/>
        <v>0.60062317580571523</v>
      </c>
      <c r="V146" s="125">
        <v>1604.74500111771</v>
      </c>
      <c r="W146" s="99">
        <v>10</v>
      </c>
      <c r="Y146" s="128" t="s">
        <v>83</v>
      </c>
      <c r="Z146" s="60">
        <v>0</v>
      </c>
      <c r="AA146" s="60">
        <v>305</v>
      </c>
      <c r="AB146" s="107">
        <v>1</v>
      </c>
      <c r="AC146" s="107">
        <v>1</v>
      </c>
      <c r="AD146" s="69"/>
      <c r="AE146" s="69"/>
      <c r="AF146" s="69"/>
      <c r="AG146" s="69"/>
      <c r="AH146" s="54" t="b">
        <v>0</v>
      </c>
      <c r="AI146" s="69"/>
      <c r="AJ146" s="107">
        <v>1</v>
      </c>
      <c r="AK146" s="69"/>
      <c r="AL146" s="99"/>
      <c r="AM146" s="156"/>
      <c r="AN146" s="115"/>
      <c r="AO146" s="116"/>
      <c r="AP146" s="69"/>
      <c r="AQ146" s="69"/>
      <c r="AR146" s="139"/>
      <c r="AS146" s="139"/>
      <c r="AT146" s="19"/>
      <c r="AU146" s="19"/>
    </row>
    <row r="147" spans="1:47" s="17" customFormat="1" ht="20" x14ac:dyDescent="0.2">
      <c r="A147" s="118"/>
      <c r="B147" s="204" t="s">
        <v>843</v>
      </c>
      <c r="C147" s="280" t="s">
        <v>3085</v>
      </c>
      <c r="D147" s="204" t="s">
        <v>106</v>
      </c>
      <c r="E147" s="204" t="s">
        <v>217</v>
      </c>
      <c r="F147" s="119">
        <v>56.014797000000002</v>
      </c>
      <c r="G147" s="119">
        <v>-122.1957438</v>
      </c>
      <c r="H147" s="139" t="s">
        <v>1066</v>
      </c>
      <c r="I147" s="33" t="s">
        <v>2876</v>
      </c>
      <c r="J147" s="150" t="s">
        <v>1699</v>
      </c>
      <c r="K147" s="51" t="s">
        <v>3126</v>
      </c>
      <c r="L147" s="175">
        <v>500</v>
      </c>
      <c r="M147" s="54">
        <v>1968</v>
      </c>
      <c r="N147" s="100">
        <v>2100</v>
      </c>
      <c r="O147" s="33"/>
      <c r="P147" s="67" t="s">
        <v>977</v>
      </c>
      <c r="Q147" s="51" t="s">
        <v>1044</v>
      </c>
      <c r="R147" s="65">
        <v>305</v>
      </c>
      <c r="S147" s="248">
        <f>System!$E$11</f>
        <v>1</v>
      </c>
      <c r="T147" s="247">
        <f t="shared" si="5"/>
        <v>305</v>
      </c>
      <c r="U147" s="114">
        <f t="shared" si="6"/>
        <v>0.60062317580571523</v>
      </c>
      <c r="V147" s="125">
        <v>1604.74500111771</v>
      </c>
      <c r="W147" s="99">
        <v>10</v>
      </c>
      <c r="Y147" s="128" t="s">
        <v>83</v>
      </c>
      <c r="Z147" s="60">
        <v>0</v>
      </c>
      <c r="AA147" s="60">
        <v>305</v>
      </c>
      <c r="AB147" s="107">
        <v>1</v>
      </c>
      <c r="AC147" s="107">
        <v>1</v>
      </c>
      <c r="AD147" s="69"/>
      <c r="AE147" s="69"/>
      <c r="AF147" s="69"/>
      <c r="AG147" s="69"/>
      <c r="AH147" s="54" t="b">
        <v>0</v>
      </c>
      <c r="AI147" s="69"/>
      <c r="AJ147" s="107">
        <v>1</v>
      </c>
      <c r="AK147" s="69"/>
      <c r="AL147" s="99"/>
      <c r="AM147" s="156"/>
      <c r="AN147" s="115"/>
      <c r="AO147" s="116"/>
      <c r="AP147" s="69"/>
      <c r="AQ147" s="69"/>
      <c r="AR147" s="139"/>
      <c r="AS147" s="139"/>
      <c r="AT147" s="19"/>
      <c r="AU147" s="19"/>
    </row>
    <row r="148" spans="1:47" s="17" customFormat="1" ht="20" x14ac:dyDescent="0.2">
      <c r="A148" s="118"/>
      <c r="B148" s="204" t="s">
        <v>844</v>
      </c>
      <c r="C148" s="280" t="s">
        <v>2932</v>
      </c>
      <c r="D148" s="204" t="s">
        <v>106</v>
      </c>
      <c r="E148" s="204" t="s">
        <v>217</v>
      </c>
      <c r="F148" s="119">
        <v>56.014797000000002</v>
      </c>
      <c r="G148" s="119">
        <v>-122.1957438</v>
      </c>
      <c r="H148" s="139" t="s">
        <v>1066</v>
      </c>
      <c r="I148" s="33" t="s">
        <v>2876</v>
      </c>
      <c r="J148" s="150" t="s">
        <v>1699</v>
      </c>
      <c r="K148" s="51" t="s">
        <v>3126</v>
      </c>
      <c r="L148" s="175">
        <v>500</v>
      </c>
      <c r="M148" s="54">
        <v>1968</v>
      </c>
      <c r="N148" s="100">
        <v>2100</v>
      </c>
      <c r="O148" s="33"/>
      <c r="P148" s="67" t="s">
        <v>977</v>
      </c>
      <c r="Q148" s="51" t="s">
        <v>1044</v>
      </c>
      <c r="R148" s="65">
        <v>305</v>
      </c>
      <c r="S148" s="248">
        <f>System!$E$11</f>
        <v>1</v>
      </c>
      <c r="T148" s="247">
        <f t="shared" si="5"/>
        <v>305</v>
      </c>
      <c r="U148" s="114">
        <f t="shared" si="6"/>
        <v>0.60062317580571523</v>
      </c>
      <c r="V148" s="125">
        <v>1604.74500111771</v>
      </c>
      <c r="W148" s="99">
        <v>10</v>
      </c>
      <c r="Y148" s="128" t="s">
        <v>83</v>
      </c>
      <c r="Z148" s="60">
        <v>0</v>
      </c>
      <c r="AA148" s="60">
        <v>305</v>
      </c>
      <c r="AB148" s="107">
        <v>1</v>
      </c>
      <c r="AC148" s="107">
        <v>1</v>
      </c>
      <c r="AD148" s="69"/>
      <c r="AE148" s="69"/>
      <c r="AF148" s="69"/>
      <c r="AG148" s="69"/>
      <c r="AH148" s="54" t="b">
        <v>0</v>
      </c>
      <c r="AI148" s="69"/>
      <c r="AJ148" s="107">
        <v>1</v>
      </c>
      <c r="AK148" s="69"/>
      <c r="AL148" s="99"/>
      <c r="AM148" s="156"/>
      <c r="AN148" s="115"/>
      <c r="AO148" s="116"/>
      <c r="AP148" s="69"/>
      <c r="AQ148" s="69"/>
      <c r="AR148" s="139"/>
      <c r="AS148" s="139"/>
      <c r="AT148" s="19"/>
      <c r="AU148" s="19"/>
    </row>
    <row r="149" spans="1:47" s="17" customFormat="1" ht="20" x14ac:dyDescent="0.2">
      <c r="A149" s="118"/>
      <c r="B149" s="206" t="s">
        <v>854</v>
      </c>
      <c r="C149" s="280" t="s">
        <v>2963</v>
      </c>
      <c r="D149" s="206" t="s">
        <v>243</v>
      </c>
      <c r="E149" s="206" t="s">
        <v>244</v>
      </c>
      <c r="F149" s="119">
        <v>53.563171400000002</v>
      </c>
      <c r="G149" s="119">
        <v>-127.94255579999999</v>
      </c>
      <c r="H149" s="139" t="s">
        <v>1066</v>
      </c>
      <c r="I149" s="33" t="s">
        <v>2876</v>
      </c>
      <c r="J149" s="150" t="s">
        <v>2348</v>
      </c>
      <c r="K149" s="51" t="s">
        <v>3134</v>
      </c>
      <c r="L149" s="175">
        <v>287</v>
      </c>
      <c r="M149" s="54">
        <v>1949</v>
      </c>
      <c r="N149" s="33">
        <v>2050</v>
      </c>
      <c r="O149" s="33"/>
      <c r="P149" s="63" t="s">
        <v>977</v>
      </c>
      <c r="Q149" s="51" t="s">
        <v>1044</v>
      </c>
      <c r="R149" s="65">
        <v>112.5</v>
      </c>
      <c r="S149" s="248">
        <f>System!$E$11</f>
        <v>1</v>
      </c>
      <c r="T149" s="247">
        <f t="shared" si="5"/>
        <v>112.5</v>
      </c>
      <c r="U149" s="114">
        <f t="shared" si="6"/>
        <v>0.41945712836123794</v>
      </c>
      <c r="V149" s="105">
        <v>413.375</v>
      </c>
      <c r="W149" s="99">
        <v>8</v>
      </c>
      <c r="Y149" s="128" t="s">
        <v>83</v>
      </c>
      <c r="Z149" s="60">
        <v>0</v>
      </c>
      <c r="AA149" s="60">
        <v>112.5</v>
      </c>
      <c r="AB149" s="107">
        <v>1</v>
      </c>
      <c r="AC149" s="107">
        <v>1</v>
      </c>
      <c r="AD149" s="69"/>
      <c r="AE149" s="69"/>
      <c r="AF149" s="69"/>
      <c r="AG149" s="69"/>
      <c r="AH149" s="54" t="b">
        <v>0</v>
      </c>
      <c r="AI149" s="69"/>
      <c r="AJ149" s="107">
        <v>1</v>
      </c>
      <c r="AK149" s="69"/>
      <c r="AL149" s="99"/>
      <c r="AN149" s="115"/>
      <c r="AO149" s="116"/>
      <c r="AP149" s="69"/>
      <c r="AQ149" s="69"/>
      <c r="AR149" s="139"/>
      <c r="AS149" s="139"/>
      <c r="AT149" s="19"/>
      <c r="AU149" s="19"/>
    </row>
    <row r="150" spans="1:47" s="17" customFormat="1" ht="20" x14ac:dyDescent="0.2">
      <c r="A150" s="118"/>
      <c r="B150" s="206" t="s">
        <v>855</v>
      </c>
      <c r="C150" s="280" t="s">
        <v>3005</v>
      </c>
      <c r="D150" s="206" t="s">
        <v>243</v>
      </c>
      <c r="E150" s="206" t="s">
        <v>244</v>
      </c>
      <c r="F150" s="119">
        <v>53.563171400000002</v>
      </c>
      <c r="G150" s="119">
        <v>-127.94255579999999</v>
      </c>
      <c r="H150" s="139" t="s">
        <v>1066</v>
      </c>
      <c r="I150" s="33" t="s">
        <v>2876</v>
      </c>
      <c r="J150" s="150" t="s">
        <v>2348</v>
      </c>
      <c r="K150" s="51" t="s">
        <v>3134</v>
      </c>
      <c r="L150" s="175">
        <v>287</v>
      </c>
      <c r="M150" s="54">
        <v>1949</v>
      </c>
      <c r="N150" s="33">
        <v>2050</v>
      </c>
      <c r="O150" s="33"/>
      <c r="P150" s="63" t="s">
        <v>977</v>
      </c>
      <c r="Q150" s="51" t="s">
        <v>1044</v>
      </c>
      <c r="R150" s="65">
        <v>112.5</v>
      </c>
      <c r="S150" s="248">
        <f>System!$E$11</f>
        <v>1</v>
      </c>
      <c r="T150" s="247">
        <f t="shared" si="5"/>
        <v>112.5</v>
      </c>
      <c r="U150" s="114">
        <f t="shared" si="6"/>
        <v>0.41945712836123794</v>
      </c>
      <c r="V150" s="105">
        <v>413.375</v>
      </c>
      <c r="W150" s="99">
        <v>8</v>
      </c>
      <c r="Y150" s="128" t="s">
        <v>83</v>
      </c>
      <c r="Z150" s="60">
        <v>0</v>
      </c>
      <c r="AA150" s="60">
        <v>112.5</v>
      </c>
      <c r="AB150" s="107">
        <v>1</v>
      </c>
      <c r="AC150" s="107">
        <v>1</v>
      </c>
      <c r="AD150" s="69"/>
      <c r="AE150" s="69"/>
      <c r="AF150" s="69"/>
      <c r="AG150" s="69"/>
      <c r="AH150" s="54" t="b">
        <v>0</v>
      </c>
      <c r="AI150" s="69"/>
      <c r="AJ150" s="107">
        <v>1</v>
      </c>
      <c r="AK150" s="69"/>
      <c r="AL150" s="99"/>
      <c r="AN150" s="115"/>
      <c r="AO150" s="116"/>
      <c r="AP150" s="69"/>
      <c r="AQ150" s="69"/>
      <c r="AR150" s="139"/>
      <c r="AS150" s="139"/>
      <c r="AT150" s="19"/>
      <c r="AU150" s="19"/>
    </row>
    <row r="151" spans="1:47" s="17" customFormat="1" ht="20" x14ac:dyDescent="0.2">
      <c r="A151" s="118"/>
      <c r="B151" s="206" t="s">
        <v>856</v>
      </c>
      <c r="C151" s="280" t="s">
        <v>3038</v>
      </c>
      <c r="D151" s="206" t="s">
        <v>243</v>
      </c>
      <c r="E151" s="206" t="s">
        <v>244</v>
      </c>
      <c r="F151" s="119">
        <v>53.563171400000002</v>
      </c>
      <c r="G151" s="119">
        <v>-127.94255579999999</v>
      </c>
      <c r="H151" s="139" t="s">
        <v>1066</v>
      </c>
      <c r="I151" s="33" t="s">
        <v>2876</v>
      </c>
      <c r="J151" s="150" t="s">
        <v>2348</v>
      </c>
      <c r="K151" s="51" t="s">
        <v>3134</v>
      </c>
      <c r="L151" s="175">
        <v>287</v>
      </c>
      <c r="M151" s="54">
        <v>1949</v>
      </c>
      <c r="N151" s="33">
        <v>2050</v>
      </c>
      <c r="O151" s="33"/>
      <c r="P151" s="63" t="s">
        <v>977</v>
      </c>
      <c r="Q151" s="51" t="s">
        <v>1044</v>
      </c>
      <c r="R151" s="65">
        <v>112.5</v>
      </c>
      <c r="S151" s="248">
        <f>System!$E$11</f>
        <v>1</v>
      </c>
      <c r="T151" s="247">
        <f t="shared" si="5"/>
        <v>112.5</v>
      </c>
      <c r="U151" s="114">
        <f t="shared" si="6"/>
        <v>0.41945712836123794</v>
      </c>
      <c r="V151" s="105">
        <v>413.375</v>
      </c>
      <c r="W151" s="99">
        <v>8</v>
      </c>
      <c r="Y151" s="128" t="s">
        <v>83</v>
      </c>
      <c r="Z151" s="60">
        <v>0</v>
      </c>
      <c r="AA151" s="60">
        <v>112.5</v>
      </c>
      <c r="AB151" s="107">
        <v>1</v>
      </c>
      <c r="AC151" s="107">
        <v>1</v>
      </c>
      <c r="AD151" s="69"/>
      <c r="AE151" s="69"/>
      <c r="AF151" s="69"/>
      <c r="AG151" s="69"/>
      <c r="AH151" s="54" t="b">
        <v>0</v>
      </c>
      <c r="AI151" s="69"/>
      <c r="AJ151" s="107">
        <v>1</v>
      </c>
      <c r="AK151" s="69"/>
      <c r="AL151" s="99"/>
      <c r="AN151" s="115"/>
      <c r="AO151" s="116"/>
      <c r="AP151" s="69"/>
      <c r="AQ151" s="69"/>
      <c r="AR151" s="139"/>
      <c r="AS151" s="139"/>
      <c r="AT151" s="19"/>
      <c r="AU151" s="19"/>
    </row>
    <row r="152" spans="1:47" s="17" customFormat="1" ht="20" x14ac:dyDescent="0.2">
      <c r="A152" s="118"/>
      <c r="B152" s="206" t="s">
        <v>857</v>
      </c>
      <c r="C152" s="280" t="s">
        <v>3056</v>
      </c>
      <c r="D152" s="206" t="s">
        <v>243</v>
      </c>
      <c r="E152" s="206" t="s">
        <v>244</v>
      </c>
      <c r="F152" s="119">
        <v>53.563171400000002</v>
      </c>
      <c r="G152" s="119">
        <v>-127.94255579999999</v>
      </c>
      <c r="H152" s="139" t="s">
        <v>1066</v>
      </c>
      <c r="I152" s="33" t="s">
        <v>2876</v>
      </c>
      <c r="J152" s="150" t="s">
        <v>2348</v>
      </c>
      <c r="K152" s="51" t="s">
        <v>3134</v>
      </c>
      <c r="L152" s="175">
        <v>287</v>
      </c>
      <c r="M152" s="54">
        <v>1949</v>
      </c>
      <c r="N152" s="33">
        <v>2050</v>
      </c>
      <c r="O152" s="33"/>
      <c r="P152" s="63" t="s">
        <v>977</v>
      </c>
      <c r="Q152" s="51" t="s">
        <v>1044</v>
      </c>
      <c r="R152" s="65">
        <v>112.5</v>
      </c>
      <c r="S152" s="248">
        <f>System!$E$11</f>
        <v>1</v>
      </c>
      <c r="T152" s="247">
        <f t="shared" si="5"/>
        <v>112.5</v>
      </c>
      <c r="U152" s="114">
        <f t="shared" si="6"/>
        <v>0.41945712836123794</v>
      </c>
      <c r="V152" s="105">
        <v>413.375</v>
      </c>
      <c r="W152" s="99">
        <v>8</v>
      </c>
      <c r="Y152" s="128" t="s">
        <v>83</v>
      </c>
      <c r="Z152" s="60">
        <v>0</v>
      </c>
      <c r="AA152" s="60">
        <v>112.5</v>
      </c>
      <c r="AB152" s="107">
        <v>1</v>
      </c>
      <c r="AC152" s="107">
        <v>1</v>
      </c>
      <c r="AD152" s="69"/>
      <c r="AE152" s="69"/>
      <c r="AF152" s="69"/>
      <c r="AG152" s="69"/>
      <c r="AH152" s="54" t="b">
        <v>0</v>
      </c>
      <c r="AI152" s="69"/>
      <c r="AJ152" s="107">
        <v>1</v>
      </c>
      <c r="AK152" s="69"/>
      <c r="AL152" s="99"/>
      <c r="AN152" s="115"/>
      <c r="AO152" s="116"/>
      <c r="AP152" s="69"/>
      <c r="AQ152" s="69"/>
      <c r="AR152" s="139"/>
      <c r="AS152" s="139"/>
      <c r="AT152" s="19"/>
      <c r="AU152" s="19"/>
    </row>
    <row r="153" spans="1:47" s="17" customFormat="1" ht="20" x14ac:dyDescent="0.2">
      <c r="A153" s="118"/>
      <c r="B153" s="206" t="s">
        <v>858</v>
      </c>
      <c r="C153" s="280" t="s">
        <v>3067</v>
      </c>
      <c r="D153" s="206" t="s">
        <v>243</v>
      </c>
      <c r="E153" s="206" t="s">
        <v>244</v>
      </c>
      <c r="F153" s="119">
        <v>53.563171400000002</v>
      </c>
      <c r="G153" s="119">
        <v>-127.94255579999999</v>
      </c>
      <c r="H153" s="139" t="s">
        <v>1066</v>
      </c>
      <c r="I153" s="33" t="s">
        <v>2876</v>
      </c>
      <c r="J153" s="150" t="s">
        <v>2348</v>
      </c>
      <c r="K153" s="51" t="s">
        <v>3134</v>
      </c>
      <c r="L153" s="175">
        <v>287</v>
      </c>
      <c r="M153" s="54">
        <v>1949</v>
      </c>
      <c r="N153" s="33">
        <v>2050</v>
      </c>
      <c r="O153" s="33"/>
      <c r="P153" s="63" t="s">
        <v>977</v>
      </c>
      <c r="Q153" s="51" t="s">
        <v>1044</v>
      </c>
      <c r="R153" s="65">
        <v>112.5</v>
      </c>
      <c r="S153" s="248">
        <f>System!$E$11</f>
        <v>1</v>
      </c>
      <c r="T153" s="247">
        <f t="shared" si="5"/>
        <v>112.5</v>
      </c>
      <c r="U153" s="114">
        <f t="shared" si="6"/>
        <v>0.41945712836123794</v>
      </c>
      <c r="V153" s="105">
        <v>413.375</v>
      </c>
      <c r="W153" s="99">
        <v>8</v>
      </c>
      <c r="Y153" s="128" t="s">
        <v>83</v>
      </c>
      <c r="Z153" s="60">
        <v>0</v>
      </c>
      <c r="AA153" s="60">
        <v>112.5</v>
      </c>
      <c r="AB153" s="107">
        <v>1</v>
      </c>
      <c r="AC153" s="107">
        <v>1</v>
      </c>
      <c r="AD153" s="69"/>
      <c r="AE153" s="69"/>
      <c r="AF153" s="69"/>
      <c r="AG153" s="69"/>
      <c r="AH153" s="54" t="b">
        <v>0</v>
      </c>
      <c r="AI153" s="69"/>
      <c r="AJ153" s="107">
        <v>1</v>
      </c>
      <c r="AK153" s="69"/>
      <c r="AL153" s="99"/>
      <c r="AN153" s="115"/>
      <c r="AO153" s="116"/>
      <c r="AP153" s="69"/>
      <c r="AQ153" s="69"/>
      <c r="AR153" s="139"/>
      <c r="AS153" s="139"/>
      <c r="AT153" s="19"/>
      <c r="AU153" s="19"/>
    </row>
    <row r="154" spans="1:47" s="17" customFormat="1" ht="20" x14ac:dyDescent="0.2">
      <c r="A154" s="118"/>
      <c r="B154" s="206" t="s">
        <v>859</v>
      </c>
      <c r="C154" s="280" t="s">
        <v>3074</v>
      </c>
      <c r="D154" s="206" t="s">
        <v>243</v>
      </c>
      <c r="E154" s="206" t="s">
        <v>244</v>
      </c>
      <c r="F154" s="119">
        <v>53.563171400000002</v>
      </c>
      <c r="G154" s="119">
        <v>-127.94255579999999</v>
      </c>
      <c r="H154" s="139" t="s">
        <v>1066</v>
      </c>
      <c r="I154" s="33" t="s">
        <v>2876</v>
      </c>
      <c r="J154" s="150" t="s">
        <v>2348</v>
      </c>
      <c r="K154" s="51" t="s">
        <v>3134</v>
      </c>
      <c r="L154" s="175">
        <v>287</v>
      </c>
      <c r="M154" s="54">
        <v>1949</v>
      </c>
      <c r="N154" s="33">
        <v>2050</v>
      </c>
      <c r="O154" s="33"/>
      <c r="P154" s="63" t="s">
        <v>977</v>
      </c>
      <c r="Q154" s="51" t="s">
        <v>1044</v>
      </c>
      <c r="R154" s="65">
        <v>112.5</v>
      </c>
      <c r="S154" s="248">
        <f>System!$E$11</f>
        <v>1</v>
      </c>
      <c r="T154" s="247">
        <f t="shared" si="5"/>
        <v>112.5</v>
      </c>
      <c r="U154" s="114">
        <f t="shared" si="6"/>
        <v>0.41945712836123794</v>
      </c>
      <c r="V154" s="105">
        <v>413.375</v>
      </c>
      <c r="W154" s="99">
        <v>8</v>
      </c>
      <c r="Y154" s="128" t="s">
        <v>83</v>
      </c>
      <c r="Z154" s="60">
        <v>0</v>
      </c>
      <c r="AA154" s="60">
        <v>112.5</v>
      </c>
      <c r="AB154" s="107">
        <v>1</v>
      </c>
      <c r="AC154" s="107">
        <v>1</v>
      </c>
      <c r="AD154" s="69"/>
      <c r="AE154" s="69"/>
      <c r="AF154" s="69"/>
      <c r="AG154" s="69"/>
      <c r="AH154" s="54" t="b">
        <v>0</v>
      </c>
      <c r="AI154" s="69"/>
      <c r="AJ154" s="107">
        <v>1</v>
      </c>
      <c r="AK154" s="69"/>
      <c r="AL154" s="99"/>
      <c r="AN154" s="115"/>
      <c r="AO154" s="116"/>
      <c r="AP154" s="69"/>
      <c r="AQ154" s="69"/>
      <c r="AR154" s="139"/>
      <c r="AS154" s="139"/>
      <c r="AT154" s="19"/>
      <c r="AU154" s="19"/>
    </row>
    <row r="155" spans="1:47" s="17" customFormat="1" ht="20" x14ac:dyDescent="0.2">
      <c r="A155" s="118"/>
      <c r="B155" s="206" t="s">
        <v>860</v>
      </c>
      <c r="C155" s="280" t="s">
        <v>3080</v>
      </c>
      <c r="D155" s="206" t="s">
        <v>243</v>
      </c>
      <c r="E155" s="206" t="s">
        <v>244</v>
      </c>
      <c r="F155" s="119">
        <v>53.563171400000002</v>
      </c>
      <c r="G155" s="119">
        <v>-127.94255579999999</v>
      </c>
      <c r="H155" s="139" t="s">
        <v>1066</v>
      </c>
      <c r="I155" s="33" t="s">
        <v>2876</v>
      </c>
      <c r="J155" s="150" t="s">
        <v>2348</v>
      </c>
      <c r="K155" s="51" t="s">
        <v>3134</v>
      </c>
      <c r="L155" s="175">
        <v>287</v>
      </c>
      <c r="M155" s="54">
        <v>1949</v>
      </c>
      <c r="N155" s="33">
        <v>2050</v>
      </c>
      <c r="O155" s="33"/>
      <c r="P155" s="63" t="s">
        <v>977</v>
      </c>
      <c r="Q155" s="51" t="s">
        <v>1044</v>
      </c>
      <c r="R155" s="65">
        <v>112.5</v>
      </c>
      <c r="S155" s="248">
        <f>System!$E$11</f>
        <v>1</v>
      </c>
      <c r="T155" s="247">
        <f t="shared" si="5"/>
        <v>112.5</v>
      </c>
      <c r="U155" s="114">
        <f t="shared" si="6"/>
        <v>0.41945712836123794</v>
      </c>
      <c r="V155" s="105">
        <v>413.375</v>
      </c>
      <c r="W155" s="99">
        <v>8</v>
      </c>
      <c r="Y155" s="128" t="s">
        <v>83</v>
      </c>
      <c r="Z155" s="60">
        <v>0</v>
      </c>
      <c r="AA155" s="60">
        <v>112.5</v>
      </c>
      <c r="AB155" s="107">
        <v>1</v>
      </c>
      <c r="AC155" s="107">
        <v>1</v>
      </c>
      <c r="AD155" s="69"/>
      <c r="AE155" s="69"/>
      <c r="AF155" s="69"/>
      <c r="AG155" s="69"/>
      <c r="AH155" s="54" t="b">
        <v>0</v>
      </c>
      <c r="AI155" s="69"/>
      <c r="AJ155" s="107">
        <v>1</v>
      </c>
      <c r="AK155" s="69"/>
      <c r="AL155" s="99"/>
      <c r="AN155" s="115"/>
      <c r="AO155" s="116"/>
      <c r="AP155" s="69"/>
      <c r="AQ155" s="69"/>
      <c r="AR155" s="139"/>
      <c r="AS155" s="139"/>
      <c r="AT155" s="19"/>
      <c r="AU155" s="19"/>
    </row>
    <row r="156" spans="1:47" s="17" customFormat="1" ht="20" x14ac:dyDescent="0.2">
      <c r="A156" s="118"/>
      <c r="B156" s="206" t="s">
        <v>861</v>
      </c>
      <c r="C156" s="280" t="s">
        <v>3083</v>
      </c>
      <c r="D156" s="206" t="s">
        <v>243</v>
      </c>
      <c r="E156" s="206" t="s">
        <v>244</v>
      </c>
      <c r="F156" s="119">
        <v>53.563171400000002</v>
      </c>
      <c r="G156" s="119">
        <v>-127.94255579999999</v>
      </c>
      <c r="H156" s="139" t="s">
        <v>1066</v>
      </c>
      <c r="I156" s="33" t="s">
        <v>2876</v>
      </c>
      <c r="J156" s="150" t="s">
        <v>2348</v>
      </c>
      <c r="K156" s="51" t="s">
        <v>3134</v>
      </c>
      <c r="L156" s="175">
        <v>287</v>
      </c>
      <c r="M156" s="54">
        <v>1949</v>
      </c>
      <c r="N156" s="33">
        <v>2050</v>
      </c>
      <c r="O156" s="33"/>
      <c r="P156" s="63" t="s">
        <v>977</v>
      </c>
      <c r="Q156" s="51" t="s">
        <v>1044</v>
      </c>
      <c r="R156" s="65">
        <v>112.5</v>
      </c>
      <c r="S156" s="248">
        <f>System!$E$11</f>
        <v>1</v>
      </c>
      <c r="T156" s="247">
        <f t="shared" si="5"/>
        <v>112.5</v>
      </c>
      <c r="U156" s="114">
        <f t="shared" si="6"/>
        <v>0.41945712836123794</v>
      </c>
      <c r="V156" s="105">
        <v>413.375</v>
      </c>
      <c r="W156" s="99">
        <v>8</v>
      </c>
      <c r="Y156" s="128" t="s">
        <v>83</v>
      </c>
      <c r="Z156" s="60">
        <v>0</v>
      </c>
      <c r="AA156" s="60">
        <v>112.5</v>
      </c>
      <c r="AB156" s="107">
        <v>1</v>
      </c>
      <c r="AC156" s="107">
        <v>1</v>
      </c>
      <c r="AD156" s="69"/>
      <c r="AE156" s="69"/>
      <c r="AF156" s="69"/>
      <c r="AG156" s="69"/>
      <c r="AH156" s="54" t="b">
        <v>0</v>
      </c>
      <c r="AI156" s="69"/>
      <c r="AJ156" s="107">
        <v>1</v>
      </c>
      <c r="AK156" s="69"/>
      <c r="AL156" s="99"/>
      <c r="AN156" s="115"/>
      <c r="AO156" s="116"/>
      <c r="AP156" s="69"/>
      <c r="AQ156" s="69"/>
      <c r="AR156" s="139"/>
      <c r="AS156" s="139"/>
      <c r="AT156" s="19"/>
      <c r="AU156" s="19"/>
    </row>
    <row r="157" spans="1:47" s="17" customFormat="1" ht="20" x14ac:dyDescent="0.2">
      <c r="A157" s="118"/>
      <c r="B157" s="204" t="s">
        <v>871</v>
      </c>
      <c r="C157" s="280" t="s">
        <v>2969</v>
      </c>
      <c r="D157" s="204" t="s">
        <v>106</v>
      </c>
      <c r="E157" s="204" t="s">
        <v>192</v>
      </c>
      <c r="F157" s="119">
        <v>52.075871999999997</v>
      </c>
      <c r="G157" s="119">
        <v>-118.57051490000001</v>
      </c>
      <c r="H157" s="139" t="s">
        <v>1066</v>
      </c>
      <c r="I157" s="33" t="s">
        <v>2876</v>
      </c>
      <c r="J157" s="150" t="s">
        <v>1777</v>
      </c>
      <c r="K157" s="51" t="s">
        <v>3143</v>
      </c>
      <c r="L157" s="175">
        <v>500</v>
      </c>
      <c r="M157" s="54">
        <v>1976</v>
      </c>
      <c r="N157" s="100">
        <v>2100</v>
      </c>
      <c r="O157" s="33"/>
      <c r="P157" s="67" t="s">
        <v>977</v>
      </c>
      <c r="Q157" s="51" t="s">
        <v>1044</v>
      </c>
      <c r="R157" s="65">
        <v>492</v>
      </c>
      <c r="S157" s="248">
        <f>System!$E$11</f>
        <v>1</v>
      </c>
      <c r="T157" s="247">
        <f t="shared" si="5"/>
        <v>492</v>
      </c>
      <c r="U157" s="114">
        <f t="shared" si="6"/>
        <v>0.44938069638087946</v>
      </c>
      <c r="V157" s="125">
        <v>1936.7948509458799</v>
      </c>
      <c r="W157" s="99">
        <v>6</v>
      </c>
      <c r="Y157" s="128" t="s">
        <v>83</v>
      </c>
      <c r="Z157" s="60">
        <v>0</v>
      </c>
      <c r="AA157" s="60">
        <v>492</v>
      </c>
      <c r="AB157" s="107">
        <v>1</v>
      </c>
      <c r="AC157" s="107">
        <v>1</v>
      </c>
      <c r="AD157" s="69"/>
      <c r="AE157" s="69"/>
      <c r="AF157" s="69"/>
      <c r="AG157" s="69"/>
      <c r="AH157" s="54" t="b">
        <v>0</v>
      </c>
      <c r="AI157" s="69"/>
      <c r="AJ157" s="107">
        <v>1</v>
      </c>
      <c r="AK157" s="69"/>
      <c r="AL157" s="99"/>
      <c r="AN157" s="115"/>
      <c r="AO157" s="116"/>
      <c r="AP157" s="69"/>
      <c r="AQ157" s="69"/>
      <c r="AR157" s="139"/>
      <c r="AS157" s="139"/>
      <c r="AT157" s="19"/>
      <c r="AU157" s="19"/>
    </row>
    <row r="158" spans="1:47" s="17" customFormat="1" ht="20" x14ac:dyDescent="0.2">
      <c r="A158" s="118"/>
      <c r="B158" s="204" t="s">
        <v>872</v>
      </c>
      <c r="C158" s="280" t="s">
        <v>3011</v>
      </c>
      <c r="D158" s="204" t="s">
        <v>106</v>
      </c>
      <c r="E158" s="204" t="s">
        <v>192</v>
      </c>
      <c r="F158" s="119">
        <v>52.075871999999997</v>
      </c>
      <c r="G158" s="119">
        <v>-118.57051490000001</v>
      </c>
      <c r="H158" s="139" t="s">
        <v>1066</v>
      </c>
      <c r="I158" s="33" t="s">
        <v>2876</v>
      </c>
      <c r="J158" s="150" t="s">
        <v>1777</v>
      </c>
      <c r="K158" s="51" t="s">
        <v>3143</v>
      </c>
      <c r="L158" s="175">
        <v>500</v>
      </c>
      <c r="M158" s="54">
        <v>1976</v>
      </c>
      <c r="N158" s="100">
        <v>2100</v>
      </c>
      <c r="O158" s="33"/>
      <c r="P158" s="67" t="s">
        <v>977</v>
      </c>
      <c r="Q158" s="51" t="s">
        <v>1044</v>
      </c>
      <c r="R158" s="65">
        <v>492</v>
      </c>
      <c r="S158" s="248">
        <f>System!$E$11</f>
        <v>1</v>
      </c>
      <c r="T158" s="247">
        <f t="shared" si="5"/>
        <v>492</v>
      </c>
      <c r="U158" s="114">
        <f t="shared" si="6"/>
        <v>0.44938069638087946</v>
      </c>
      <c r="V158" s="125">
        <v>1936.7948509458799</v>
      </c>
      <c r="W158" s="99">
        <v>6</v>
      </c>
      <c r="Y158" s="128" t="s">
        <v>83</v>
      </c>
      <c r="Z158" s="60">
        <v>0</v>
      </c>
      <c r="AA158" s="60">
        <v>492</v>
      </c>
      <c r="AB158" s="107">
        <v>1</v>
      </c>
      <c r="AC158" s="107">
        <v>1</v>
      </c>
      <c r="AD158" s="69"/>
      <c r="AE158" s="69"/>
      <c r="AF158" s="69"/>
      <c r="AG158" s="69"/>
      <c r="AH158" s="54" t="b">
        <v>0</v>
      </c>
      <c r="AI158" s="69"/>
      <c r="AJ158" s="107">
        <v>1</v>
      </c>
      <c r="AK158" s="69"/>
      <c r="AL158" s="99"/>
      <c r="AN158" s="115"/>
      <c r="AO158" s="116"/>
      <c r="AP158" s="69"/>
      <c r="AQ158" s="69"/>
      <c r="AR158" s="139"/>
      <c r="AS158" s="139"/>
      <c r="AT158" s="19"/>
      <c r="AU158" s="19"/>
    </row>
    <row r="159" spans="1:47" s="17" customFormat="1" ht="20" x14ac:dyDescent="0.2">
      <c r="A159" s="118"/>
      <c r="B159" s="204" t="s">
        <v>873</v>
      </c>
      <c r="C159" s="280" t="s">
        <v>3041</v>
      </c>
      <c r="D159" s="204" t="s">
        <v>106</v>
      </c>
      <c r="E159" s="204" t="s">
        <v>192</v>
      </c>
      <c r="F159" s="119">
        <v>52.075871999999997</v>
      </c>
      <c r="G159" s="119">
        <v>-118.57051490000001</v>
      </c>
      <c r="H159" s="139" t="s">
        <v>1066</v>
      </c>
      <c r="I159" s="33" t="s">
        <v>2876</v>
      </c>
      <c r="J159" s="150" t="s">
        <v>1777</v>
      </c>
      <c r="K159" s="51" t="s">
        <v>3143</v>
      </c>
      <c r="L159" s="175">
        <v>500</v>
      </c>
      <c r="M159" s="54">
        <v>1976</v>
      </c>
      <c r="N159" s="100">
        <v>2100</v>
      </c>
      <c r="O159" s="33"/>
      <c r="P159" s="67" t="s">
        <v>977</v>
      </c>
      <c r="Q159" s="51" t="s">
        <v>1044</v>
      </c>
      <c r="R159" s="65">
        <v>493.5</v>
      </c>
      <c r="S159" s="248">
        <f>System!$E$11</f>
        <v>1</v>
      </c>
      <c r="T159" s="247">
        <f t="shared" si="5"/>
        <v>493.5</v>
      </c>
      <c r="U159" s="114">
        <f t="shared" si="6"/>
        <v>0.44938028384635886</v>
      </c>
      <c r="V159" s="65">
        <v>1942.6979298848401</v>
      </c>
      <c r="W159" s="99">
        <v>6</v>
      </c>
      <c r="Y159" s="128" t="s">
        <v>83</v>
      </c>
      <c r="Z159" s="60">
        <v>0</v>
      </c>
      <c r="AA159" s="60">
        <v>493.5</v>
      </c>
      <c r="AB159" s="107">
        <v>1</v>
      </c>
      <c r="AC159" s="107">
        <v>1</v>
      </c>
      <c r="AD159" s="69"/>
      <c r="AE159" s="69"/>
      <c r="AF159" s="69"/>
      <c r="AG159" s="69"/>
      <c r="AH159" s="54" t="b">
        <v>0</v>
      </c>
      <c r="AI159" s="69"/>
      <c r="AJ159" s="107">
        <v>1</v>
      </c>
      <c r="AK159" s="69"/>
      <c r="AL159" s="99"/>
      <c r="AN159" s="115"/>
      <c r="AO159" s="116"/>
      <c r="AP159" s="69"/>
      <c r="AQ159" s="69"/>
      <c r="AR159" s="139"/>
      <c r="AS159" s="139"/>
      <c r="AT159" s="19"/>
      <c r="AU159" s="19"/>
    </row>
    <row r="160" spans="1:47" s="17" customFormat="1" ht="20" x14ac:dyDescent="0.2">
      <c r="A160" s="118"/>
      <c r="B160" s="204" t="s">
        <v>874</v>
      </c>
      <c r="C160" s="280" t="s">
        <v>3058</v>
      </c>
      <c r="D160" s="204" t="s">
        <v>106</v>
      </c>
      <c r="E160" s="204" t="s">
        <v>192</v>
      </c>
      <c r="F160" s="119">
        <v>52.075871999999997</v>
      </c>
      <c r="G160" s="119">
        <v>-118.57051490000001</v>
      </c>
      <c r="H160" s="139" t="s">
        <v>1066</v>
      </c>
      <c r="I160" s="33" t="s">
        <v>2876</v>
      </c>
      <c r="J160" s="150" t="s">
        <v>1777</v>
      </c>
      <c r="K160" s="51" t="s">
        <v>3143</v>
      </c>
      <c r="L160" s="175">
        <v>500</v>
      </c>
      <c r="M160" s="54">
        <v>1976</v>
      </c>
      <c r="N160" s="100">
        <v>2100</v>
      </c>
      <c r="O160" s="33"/>
      <c r="P160" s="67" t="s">
        <v>977</v>
      </c>
      <c r="Q160" s="51" t="s">
        <v>1044</v>
      </c>
      <c r="R160" s="65">
        <v>493.5</v>
      </c>
      <c r="S160" s="248">
        <f>System!$E$11</f>
        <v>1</v>
      </c>
      <c r="T160" s="247">
        <f t="shared" si="5"/>
        <v>493.5</v>
      </c>
      <c r="U160" s="114">
        <f t="shared" si="6"/>
        <v>0.44938028384635886</v>
      </c>
      <c r="V160" s="65">
        <v>1942.6979298848401</v>
      </c>
      <c r="W160" s="99">
        <v>6</v>
      </c>
      <c r="Y160" s="128" t="s">
        <v>83</v>
      </c>
      <c r="Z160" s="60">
        <v>0</v>
      </c>
      <c r="AA160" s="60">
        <v>493.5</v>
      </c>
      <c r="AB160" s="107">
        <v>1</v>
      </c>
      <c r="AC160" s="107">
        <v>1</v>
      </c>
      <c r="AD160" s="69"/>
      <c r="AE160" s="69"/>
      <c r="AF160" s="69"/>
      <c r="AG160" s="69"/>
      <c r="AH160" s="54" t="b">
        <v>0</v>
      </c>
      <c r="AI160" s="69"/>
      <c r="AJ160" s="107">
        <v>1</v>
      </c>
      <c r="AK160" s="69"/>
      <c r="AL160" s="99"/>
      <c r="AN160" s="115"/>
      <c r="AO160" s="116"/>
      <c r="AP160" s="69"/>
      <c r="AQ160" s="69"/>
      <c r="AR160" s="139"/>
      <c r="AS160" s="139"/>
      <c r="AT160" s="19"/>
      <c r="AU160" s="19"/>
    </row>
    <row r="161" spans="1:47" s="17" customFormat="1" ht="20" x14ac:dyDescent="0.2">
      <c r="A161" s="118"/>
      <c r="B161" s="204" t="s">
        <v>875</v>
      </c>
      <c r="C161" s="280" t="s">
        <v>3068</v>
      </c>
      <c r="D161" s="204" t="s">
        <v>106</v>
      </c>
      <c r="E161" s="204" t="s">
        <v>192</v>
      </c>
      <c r="F161" s="119">
        <v>52.075871999999997</v>
      </c>
      <c r="G161" s="119">
        <v>-118.57051490000001</v>
      </c>
      <c r="H161" s="139" t="s">
        <v>1066</v>
      </c>
      <c r="I161" s="33" t="s">
        <v>2876</v>
      </c>
      <c r="J161" s="150" t="s">
        <v>1777</v>
      </c>
      <c r="K161" s="51" t="s">
        <v>3143</v>
      </c>
      <c r="L161" s="175">
        <v>500</v>
      </c>
      <c r="M161" s="54">
        <v>2014</v>
      </c>
      <c r="N161" s="100">
        <v>2100</v>
      </c>
      <c r="O161" s="33"/>
      <c r="P161" s="67" t="s">
        <v>977</v>
      </c>
      <c r="Q161" s="51" t="s">
        <v>1044</v>
      </c>
      <c r="R161" s="65">
        <v>500</v>
      </c>
      <c r="S161" s="248">
        <f>System!$E$11</f>
        <v>1</v>
      </c>
      <c r="T161" s="247">
        <f t="shared" si="5"/>
        <v>500</v>
      </c>
      <c r="U161" s="114">
        <f t="shared" si="6"/>
        <v>0.44941843785625119</v>
      </c>
      <c r="V161" s="125">
        <v>1968.45275781038</v>
      </c>
      <c r="W161" s="99">
        <v>6</v>
      </c>
      <c r="Y161" s="128" t="s">
        <v>83</v>
      </c>
      <c r="Z161" s="60">
        <v>0</v>
      </c>
      <c r="AA161" s="60">
        <v>500</v>
      </c>
      <c r="AB161" s="107">
        <v>1</v>
      </c>
      <c r="AC161" s="107">
        <v>1</v>
      </c>
      <c r="AD161" s="69"/>
      <c r="AE161" s="69"/>
      <c r="AF161" s="69"/>
      <c r="AG161" s="69"/>
      <c r="AH161" s="54" t="b">
        <v>0</v>
      </c>
      <c r="AI161" s="69"/>
      <c r="AJ161" s="107">
        <v>1</v>
      </c>
      <c r="AK161" s="69"/>
      <c r="AL161" s="99"/>
      <c r="AN161" s="115"/>
      <c r="AO161" s="116"/>
      <c r="AP161" s="69"/>
      <c r="AQ161" s="69"/>
      <c r="AR161" s="139"/>
      <c r="AS161" s="139"/>
      <c r="AT161" s="19"/>
      <c r="AU161" s="19"/>
    </row>
    <row r="162" spans="1:47" s="117" customFormat="1" ht="20" x14ac:dyDescent="0.2">
      <c r="B162" s="204" t="s">
        <v>876</v>
      </c>
      <c r="C162" s="280" t="s">
        <v>3075</v>
      </c>
      <c r="D162" s="204" t="s">
        <v>106</v>
      </c>
      <c r="E162" s="204" t="s">
        <v>192</v>
      </c>
      <c r="F162" s="119">
        <v>52.075871999999997</v>
      </c>
      <c r="G162" s="119">
        <v>-118.57051490000001</v>
      </c>
      <c r="H162" s="139" t="s">
        <v>1066</v>
      </c>
      <c r="I162" s="33" t="s">
        <v>2876</v>
      </c>
      <c r="J162" s="150" t="s">
        <v>1777</v>
      </c>
      <c r="K162" s="51" t="s">
        <v>3143</v>
      </c>
      <c r="L162" s="175">
        <v>500</v>
      </c>
      <c r="M162" s="54">
        <v>2015</v>
      </c>
      <c r="N162" s="100">
        <v>2100</v>
      </c>
      <c r="O162" s="33"/>
      <c r="P162" s="67" t="s">
        <v>977</v>
      </c>
      <c r="Q162" s="51" t="s">
        <v>1044</v>
      </c>
      <c r="R162" s="65">
        <v>500</v>
      </c>
      <c r="S162" s="248">
        <f>System!$E$11</f>
        <v>1</v>
      </c>
      <c r="T162" s="247">
        <f t="shared" si="5"/>
        <v>500</v>
      </c>
      <c r="U162" s="114">
        <f t="shared" si="6"/>
        <v>0.44941780821917809</v>
      </c>
      <c r="V162" s="309">
        <v>1968.45</v>
      </c>
      <c r="W162" s="99">
        <v>6</v>
      </c>
      <c r="X162" s="17"/>
      <c r="Y162" s="128" t="s">
        <v>83</v>
      </c>
      <c r="Z162" s="60">
        <v>0</v>
      </c>
      <c r="AA162" s="60">
        <v>500</v>
      </c>
      <c r="AB162" s="162">
        <v>1</v>
      </c>
      <c r="AC162" s="162">
        <v>1</v>
      </c>
      <c r="AD162" s="69"/>
      <c r="AE162" s="69"/>
      <c r="AF162" s="69"/>
      <c r="AG162" s="69"/>
      <c r="AH162" s="54" t="b">
        <v>0</v>
      </c>
      <c r="AI162" s="69"/>
      <c r="AJ162" s="107">
        <v>1</v>
      </c>
      <c r="AK162" s="69"/>
      <c r="AL162" s="99"/>
      <c r="AM162" s="17"/>
      <c r="AN162" s="115"/>
      <c r="AO162" s="116"/>
      <c r="AP162" s="69"/>
      <c r="AQ162" s="69"/>
      <c r="AR162" s="139"/>
      <c r="AS162" s="139"/>
      <c r="AT162" s="19"/>
      <c r="AU162" s="19"/>
    </row>
    <row r="163" spans="1:47" s="17" customFormat="1" ht="20" x14ac:dyDescent="0.2">
      <c r="A163" s="118"/>
      <c r="B163" s="204" t="s">
        <v>904</v>
      </c>
      <c r="C163" s="280" t="s">
        <v>2970</v>
      </c>
      <c r="D163" s="204" t="s">
        <v>106</v>
      </c>
      <c r="E163" s="204" t="s">
        <v>217</v>
      </c>
      <c r="F163" s="119">
        <v>55.982571200000002</v>
      </c>
      <c r="G163" s="119">
        <v>-121.99496980000001</v>
      </c>
      <c r="H163" s="139" t="s">
        <v>1066</v>
      </c>
      <c r="I163" s="33" t="s">
        <v>2876</v>
      </c>
      <c r="J163" s="150" t="s">
        <v>1828</v>
      </c>
      <c r="K163" s="51" t="s">
        <v>3149</v>
      </c>
      <c r="L163" s="175">
        <v>500</v>
      </c>
      <c r="M163" s="54">
        <v>1980</v>
      </c>
      <c r="N163" s="100">
        <v>2100</v>
      </c>
      <c r="O163" s="33"/>
      <c r="P163" s="67" t="s">
        <v>977</v>
      </c>
      <c r="Q163" s="51" t="s">
        <v>1044</v>
      </c>
      <c r="R163" s="65">
        <v>175</v>
      </c>
      <c r="S163" s="248">
        <f>System!$E$11</f>
        <v>1</v>
      </c>
      <c r="T163" s="247">
        <f t="shared" si="5"/>
        <v>175</v>
      </c>
      <c r="U163" s="114">
        <f t="shared" si="6"/>
        <v>0.62205022831050227</v>
      </c>
      <c r="V163" s="65">
        <v>953.60299999999995</v>
      </c>
      <c r="W163" s="99">
        <v>4</v>
      </c>
      <c r="Y163" s="128" t="s">
        <v>83</v>
      </c>
      <c r="Z163" s="60">
        <v>0</v>
      </c>
      <c r="AA163" s="60">
        <v>175</v>
      </c>
      <c r="AB163" s="107">
        <v>1</v>
      </c>
      <c r="AC163" s="107">
        <v>1</v>
      </c>
      <c r="AD163" s="69"/>
      <c r="AE163" s="69"/>
      <c r="AF163" s="69"/>
      <c r="AG163" s="69"/>
      <c r="AH163" s="54" t="b">
        <v>0</v>
      </c>
      <c r="AI163" s="69"/>
      <c r="AJ163" s="107">
        <v>1</v>
      </c>
      <c r="AK163" s="69"/>
      <c r="AL163" s="99"/>
      <c r="AN163" s="115"/>
      <c r="AO163" s="116"/>
      <c r="AP163" s="69"/>
      <c r="AQ163" s="69"/>
      <c r="AR163" s="139"/>
      <c r="AS163" s="139"/>
      <c r="AT163" s="19"/>
      <c r="AU163" s="19"/>
    </row>
    <row r="164" spans="1:47" s="17" customFormat="1" ht="20" x14ac:dyDescent="0.2">
      <c r="A164" s="118"/>
      <c r="B164" s="204" t="s">
        <v>905</v>
      </c>
      <c r="C164" s="280" t="s">
        <v>3012</v>
      </c>
      <c r="D164" s="204" t="s">
        <v>106</v>
      </c>
      <c r="E164" s="204" t="s">
        <v>217</v>
      </c>
      <c r="F164" s="119">
        <v>55.982571200000002</v>
      </c>
      <c r="G164" s="119">
        <v>-121.99496980000001</v>
      </c>
      <c r="H164" s="139" t="s">
        <v>1066</v>
      </c>
      <c r="I164" s="33" t="s">
        <v>2876</v>
      </c>
      <c r="J164" s="150" t="s">
        <v>1828</v>
      </c>
      <c r="K164" s="51" t="s">
        <v>3149</v>
      </c>
      <c r="L164" s="175">
        <v>500</v>
      </c>
      <c r="M164" s="54">
        <v>1980</v>
      </c>
      <c r="N164" s="100">
        <v>2100</v>
      </c>
      <c r="O164" s="33"/>
      <c r="P164" s="67" t="s">
        <v>977</v>
      </c>
      <c r="Q164" s="51" t="s">
        <v>1044</v>
      </c>
      <c r="R164" s="65">
        <v>175</v>
      </c>
      <c r="S164" s="248">
        <f>System!$E$11</f>
        <v>1</v>
      </c>
      <c r="T164" s="247">
        <f t="shared" si="5"/>
        <v>175</v>
      </c>
      <c r="U164" s="114">
        <f t="shared" si="6"/>
        <v>0.62205022831050227</v>
      </c>
      <c r="V164" s="65">
        <v>953.60299999999995</v>
      </c>
      <c r="W164" s="99">
        <v>4</v>
      </c>
      <c r="Y164" s="128" t="s">
        <v>83</v>
      </c>
      <c r="Z164" s="60">
        <v>0</v>
      </c>
      <c r="AA164" s="60">
        <v>175</v>
      </c>
      <c r="AB164" s="107">
        <v>1</v>
      </c>
      <c r="AC164" s="107">
        <v>1</v>
      </c>
      <c r="AD164" s="69"/>
      <c r="AE164" s="69"/>
      <c r="AF164" s="69"/>
      <c r="AG164" s="69"/>
      <c r="AH164" s="54" t="b">
        <v>0</v>
      </c>
      <c r="AI164" s="69"/>
      <c r="AJ164" s="107">
        <v>1</v>
      </c>
      <c r="AK164" s="69"/>
      <c r="AL164" s="99"/>
      <c r="AN164" s="115"/>
      <c r="AO164" s="116"/>
      <c r="AP164" s="69"/>
      <c r="AQ164" s="69"/>
      <c r="AR164" s="139"/>
      <c r="AS164" s="139"/>
      <c r="AT164" s="19"/>
      <c r="AU164" s="19"/>
    </row>
    <row r="165" spans="1:47" s="17" customFormat="1" ht="20" x14ac:dyDescent="0.2">
      <c r="A165" s="118"/>
      <c r="B165" s="204" t="s">
        <v>906</v>
      </c>
      <c r="C165" s="280" t="s">
        <v>3042</v>
      </c>
      <c r="D165" s="204" t="s">
        <v>106</v>
      </c>
      <c r="E165" s="204" t="s">
        <v>217</v>
      </c>
      <c r="F165" s="119">
        <v>55.982571200000002</v>
      </c>
      <c r="G165" s="119">
        <v>-121.99496980000001</v>
      </c>
      <c r="H165" s="139" t="s">
        <v>1066</v>
      </c>
      <c r="I165" s="33" t="s">
        <v>2876</v>
      </c>
      <c r="J165" s="150" t="s">
        <v>1828</v>
      </c>
      <c r="K165" s="51" t="s">
        <v>3149</v>
      </c>
      <c r="L165" s="175">
        <v>500</v>
      </c>
      <c r="M165" s="54">
        <v>1980</v>
      </c>
      <c r="N165" s="100">
        <v>2100</v>
      </c>
      <c r="O165" s="33"/>
      <c r="P165" s="67" t="s">
        <v>977</v>
      </c>
      <c r="Q165" s="51" t="s">
        <v>1044</v>
      </c>
      <c r="R165" s="65">
        <v>175</v>
      </c>
      <c r="S165" s="248">
        <f>System!$E$11</f>
        <v>1</v>
      </c>
      <c r="T165" s="247">
        <f t="shared" si="5"/>
        <v>175</v>
      </c>
      <c r="U165" s="114">
        <f t="shared" si="6"/>
        <v>0.62205022831050227</v>
      </c>
      <c r="V165" s="65">
        <v>953.60299999999995</v>
      </c>
      <c r="W165" s="99">
        <v>4</v>
      </c>
      <c r="Y165" s="128" t="s">
        <v>83</v>
      </c>
      <c r="Z165" s="60">
        <v>0</v>
      </c>
      <c r="AA165" s="60">
        <v>175</v>
      </c>
      <c r="AB165" s="107">
        <v>1</v>
      </c>
      <c r="AC165" s="107">
        <v>1</v>
      </c>
      <c r="AD165" s="69"/>
      <c r="AE165" s="69"/>
      <c r="AF165" s="69"/>
      <c r="AG165" s="69"/>
      <c r="AH165" s="54" t="b">
        <v>0</v>
      </c>
      <c r="AI165" s="69"/>
      <c r="AJ165" s="107">
        <v>1</v>
      </c>
      <c r="AK165" s="69"/>
      <c r="AL165" s="99"/>
      <c r="AN165" s="115"/>
      <c r="AO165" s="116"/>
      <c r="AP165" s="69"/>
      <c r="AQ165" s="69"/>
      <c r="AR165" s="139"/>
      <c r="AS165" s="139"/>
      <c r="AT165" s="19"/>
      <c r="AU165" s="19"/>
    </row>
    <row r="166" spans="1:47" s="17" customFormat="1" ht="20" x14ac:dyDescent="0.2">
      <c r="A166" s="118"/>
      <c r="B166" s="204" t="s">
        <v>907</v>
      </c>
      <c r="C166" s="280" t="s">
        <v>3059</v>
      </c>
      <c r="D166" s="204" t="s">
        <v>106</v>
      </c>
      <c r="E166" s="204" t="s">
        <v>217</v>
      </c>
      <c r="F166" s="119">
        <v>55.982571200000002</v>
      </c>
      <c r="G166" s="119">
        <v>-121.99496980000001</v>
      </c>
      <c r="H166" s="139" t="s">
        <v>1066</v>
      </c>
      <c r="I166" s="33" t="s">
        <v>2876</v>
      </c>
      <c r="J166" s="150" t="s">
        <v>1828</v>
      </c>
      <c r="K166" s="51" t="s">
        <v>3149</v>
      </c>
      <c r="L166" s="175">
        <v>500</v>
      </c>
      <c r="M166" s="54">
        <v>1980</v>
      </c>
      <c r="N166" s="100">
        <v>2100</v>
      </c>
      <c r="O166" s="33"/>
      <c r="P166" s="67" t="s">
        <v>977</v>
      </c>
      <c r="Q166" s="51" t="s">
        <v>1044</v>
      </c>
      <c r="R166" s="65">
        <v>175</v>
      </c>
      <c r="S166" s="248">
        <f>System!$E$11</f>
        <v>1</v>
      </c>
      <c r="T166" s="247">
        <f t="shared" si="5"/>
        <v>175</v>
      </c>
      <c r="U166" s="114">
        <f t="shared" si="6"/>
        <v>0.62205022831050227</v>
      </c>
      <c r="V166" s="125">
        <v>953.60299999999995</v>
      </c>
      <c r="W166" s="99">
        <v>4</v>
      </c>
      <c r="Y166" s="128" t="s">
        <v>83</v>
      </c>
      <c r="Z166" s="60">
        <v>0</v>
      </c>
      <c r="AA166" s="60">
        <v>175</v>
      </c>
      <c r="AB166" s="107">
        <v>1</v>
      </c>
      <c r="AC166" s="107">
        <v>1</v>
      </c>
      <c r="AD166" s="69"/>
      <c r="AE166" s="69"/>
      <c r="AF166" s="69"/>
      <c r="AG166" s="69"/>
      <c r="AH166" s="54" t="b">
        <v>0</v>
      </c>
      <c r="AI166" s="69"/>
      <c r="AJ166" s="107">
        <v>1</v>
      </c>
      <c r="AK166" s="69"/>
      <c r="AL166" s="99"/>
      <c r="AM166" s="156"/>
      <c r="AN166" s="115"/>
      <c r="AO166" s="116"/>
      <c r="AP166" s="69"/>
      <c r="AQ166" s="69"/>
      <c r="AR166" s="139"/>
      <c r="AS166" s="139"/>
      <c r="AT166" s="19"/>
      <c r="AU166" s="19"/>
    </row>
    <row r="167" spans="1:47" s="17" customFormat="1" ht="20" x14ac:dyDescent="0.2">
      <c r="A167" s="118"/>
      <c r="B167" s="204" t="s">
        <v>877</v>
      </c>
      <c r="C167" s="280" t="s">
        <v>2974</v>
      </c>
      <c r="D167" s="204" t="s">
        <v>106</v>
      </c>
      <c r="E167" s="204" t="s">
        <v>192</v>
      </c>
      <c r="F167" s="119">
        <v>51.048563100000003</v>
      </c>
      <c r="G167" s="119">
        <v>-118.1939447</v>
      </c>
      <c r="H167" s="139" t="s">
        <v>1066</v>
      </c>
      <c r="I167" s="33" t="s">
        <v>2876</v>
      </c>
      <c r="J167" s="150" t="s">
        <v>1855</v>
      </c>
      <c r="K167" s="51" t="s">
        <v>3152</v>
      </c>
      <c r="L167" s="175">
        <v>500</v>
      </c>
      <c r="M167" s="54">
        <v>1984</v>
      </c>
      <c r="N167" s="100">
        <v>2100</v>
      </c>
      <c r="O167" s="33"/>
      <c r="P167" s="67" t="s">
        <v>977</v>
      </c>
      <c r="Q167" s="51" t="s">
        <v>1044</v>
      </c>
      <c r="R167" s="65">
        <v>500</v>
      </c>
      <c r="S167" s="248">
        <f>System!$E$11</f>
        <v>1</v>
      </c>
      <c r="T167" s="247">
        <f t="shared" si="5"/>
        <v>500</v>
      </c>
      <c r="U167" s="114">
        <f t="shared" si="6"/>
        <v>0.40181963470319637</v>
      </c>
      <c r="V167" s="125">
        <v>1759.97</v>
      </c>
      <c r="W167" s="99">
        <v>5</v>
      </c>
      <c r="Y167" s="128" t="s">
        <v>83</v>
      </c>
      <c r="Z167" s="60">
        <v>0</v>
      </c>
      <c r="AA167" s="60">
        <v>500</v>
      </c>
      <c r="AB167" s="107">
        <v>1</v>
      </c>
      <c r="AC167" s="107">
        <v>1</v>
      </c>
      <c r="AD167" s="69"/>
      <c r="AE167" s="69"/>
      <c r="AF167" s="69"/>
      <c r="AG167" s="69"/>
      <c r="AH167" s="54" t="b">
        <v>0</v>
      </c>
      <c r="AI167" s="69"/>
      <c r="AJ167" s="107">
        <v>1</v>
      </c>
      <c r="AK167" s="69"/>
      <c r="AL167" s="99"/>
      <c r="AM167" s="156"/>
      <c r="AN167" s="115"/>
      <c r="AO167" s="116"/>
      <c r="AP167" s="69"/>
      <c r="AQ167" s="69"/>
      <c r="AR167" s="139"/>
      <c r="AS167" s="139"/>
      <c r="AT167" s="19"/>
      <c r="AU167" s="19"/>
    </row>
    <row r="168" spans="1:47" s="17" customFormat="1" ht="20" x14ac:dyDescent="0.2">
      <c r="A168" s="118"/>
      <c r="B168" s="204" t="s">
        <v>878</v>
      </c>
      <c r="C168" s="280" t="s">
        <v>3016</v>
      </c>
      <c r="D168" s="204" t="s">
        <v>106</v>
      </c>
      <c r="E168" s="204" t="s">
        <v>192</v>
      </c>
      <c r="F168" s="119">
        <v>51.048563100000003</v>
      </c>
      <c r="G168" s="119">
        <v>-118.1939447</v>
      </c>
      <c r="H168" s="139" t="s">
        <v>1066</v>
      </c>
      <c r="I168" s="33" t="s">
        <v>2876</v>
      </c>
      <c r="J168" s="150" t="s">
        <v>1855</v>
      </c>
      <c r="K168" s="51" t="s">
        <v>3152</v>
      </c>
      <c r="L168" s="175">
        <v>500</v>
      </c>
      <c r="M168" s="54">
        <v>1984</v>
      </c>
      <c r="N168" s="100">
        <v>2100</v>
      </c>
      <c r="O168" s="33"/>
      <c r="P168" s="67" t="s">
        <v>977</v>
      </c>
      <c r="Q168" s="51" t="s">
        <v>1044</v>
      </c>
      <c r="R168" s="65">
        <v>500</v>
      </c>
      <c r="S168" s="248">
        <f>System!$E$11</f>
        <v>1</v>
      </c>
      <c r="T168" s="247">
        <f t="shared" si="5"/>
        <v>500</v>
      </c>
      <c r="U168" s="114">
        <f t="shared" si="6"/>
        <v>0.40181963470319637</v>
      </c>
      <c r="V168" s="125">
        <v>1759.97</v>
      </c>
      <c r="W168" s="99">
        <v>5</v>
      </c>
      <c r="Y168" s="128" t="s">
        <v>83</v>
      </c>
      <c r="Z168" s="60">
        <v>0</v>
      </c>
      <c r="AA168" s="60">
        <v>500</v>
      </c>
      <c r="AB168" s="107">
        <v>1</v>
      </c>
      <c r="AC168" s="107">
        <v>1</v>
      </c>
      <c r="AD168" s="69"/>
      <c r="AE168" s="69"/>
      <c r="AF168" s="69"/>
      <c r="AG168" s="69"/>
      <c r="AH168" s="54" t="b">
        <v>0</v>
      </c>
      <c r="AI168" s="69"/>
      <c r="AJ168" s="107">
        <v>1</v>
      </c>
      <c r="AK168" s="69"/>
      <c r="AL168" s="99"/>
      <c r="AN168" s="115"/>
      <c r="AO168" s="116"/>
      <c r="AP168" s="69"/>
      <c r="AQ168" s="69"/>
      <c r="AR168" s="139"/>
      <c r="AS168" s="139"/>
      <c r="AT168" s="19"/>
      <c r="AU168" s="19"/>
    </row>
    <row r="169" spans="1:47" s="17" customFormat="1" ht="20" x14ac:dyDescent="0.2">
      <c r="A169" s="118"/>
      <c r="B169" s="204" t="s">
        <v>879</v>
      </c>
      <c r="C169" s="280" t="s">
        <v>3043</v>
      </c>
      <c r="D169" s="204" t="s">
        <v>106</v>
      </c>
      <c r="E169" s="204" t="s">
        <v>192</v>
      </c>
      <c r="F169" s="119">
        <v>51.048563100000003</v>
      </c>
      <c r="G169" s="119">
        <v>-118.1939447</v>
      </c>
      <c r="H169" s="139" t="s">
        <v>1066</v>
      </c>
      <c r="I169" s="33" t="s">
        <v>2876</v>
      </c>
      <c r="J169" s="150" t="s">
        <v>1855</v>
      </c>
      <c r="K169" s="51" t="s">
        <v>3152</v>
      </c>
      <c r="L169" s="175">
        <v>500</v>
      </c>
      <c r="M169" s="54">
        <v>1984</v>
      </c>
      <c r="N169" s="100">
        <v>2100</v>
      </c>
      <c r="O169" s="33"/>
      <c r="P169" s="67" t="s">
        <v>977</v>
      </c>
      <c r="Q169" s="51" t="s">
        <v>1044</v>
      </c>
      <c r="R169" s="65">
        <v>500</v>
      </c>
      <c r="S169" s="248">
        <f>System!$E$11</f>
        <v>1</v>
      </c>
      <c r="T169" s="247">
        <f t="shared" si="5"/>
        <v>500</v>
      </c>
      <c r="U169" s="114">
        <f t="shared" si="6"/>
        <v>0.40181963470319637</v>
      </c>
      <c r="V169" s="125">
        <v>1759.97</v>
      </c>
      <c r="W169" s="99">
        <v>5</v>
      </c>
      <c r="Y169" s="128" t="s">
        <v>83</v>
      </c>
      <c r="Z169" s="60">
        <v>0</v>
      </c>
      <c r="AA169" s="60">
        <v>500</v>
      </c>
      <c r="AB169" s="107">
        <v>1</v>
      </c>
      <c r="AC169" s="107">
        <v>1</v>
      </c>
      <c r="AD169" s="69"/>
      <c r="AE169" s="69"/>
      <c r="AF169" s="69"/>
      <c r="AG169" s="69"/>
      <c r="AH169" s="54" t="b">
        <v>0</v>
      </c>
      <c r="AI169" s="69"/>
      <c r="AJ169" s="107">
        <v>1</v>
      </c>
      <c r="AK169" s="69"/>
      <c r="AL169" s="99"/>
      <c r="AN169" s="115"/>
      <c r="AO169" s="116"/>
      <c r="AP169" s="69"/>
      <c r="AQ169" s="69"/>
      <c r="AR169" s="139"/>
      <c r="AS169" s="139"/>
      <c r="AT169" s="19"/>
      <c r="AU169" s="19"/>
    </row>
    <row r="170" spans="1:47" s="17" customFormat="1" ht="20" x14ac:dyDescent="0.2">
      <c r="A170" s="118"/>
      <c r="B170" s="204" t="s">
        <v>880</v>
      </c>
      <c r="C170" s="280" t="s">
        <v>3060</v>
      </c>
      <c r="D170" s="204" t="s">
        <v>106</v>
      </c>
      <c r="E170" s="204" t="s">
        <v>192</v>
      </c>
      <c r="F170" s="119">
        <v>51.048563100000003</v>
      </c>
      <c r="G170" s="119">
        <v>-118.1939447</v>
      </c>
      <c r="H170" s="139" t="s">
        <v>1066</v>
      </c>
      <c r="I170" s="33" t="s">
        <v>2876</v>
      </c>
      <c r="J170" s="150" t="s">
        <v>1855</v>
      </c>
      <c r="K170" s="51" t="s">
        <v>3152</v>
      </c>
      <c r="L170" s="175">
        <v>500</v>
      </c>
      <c r="M170" s="54">
        <v>1984</v>
      </c>
      <c r="N170" s="100">
        <v>2100</v>
      </c>
      <c r="O170" s="33"/>
      <c r="P170" s="67" t="s">
        <v>977</v>
      </c>
      <c r="Q170" s="51" t="s">
        <v>1044</v>
      </c>
      <c r="R170" s="65">
        <v>500</v>
      </c>
      <c r="S170" s="248">
        <f>System!$E$11</f>
        <v>1</v>
      </c>
      <c r="T170" s="247">
        <f t="shared" si="5"/>
        <v>500</v>
      </c>
      <c r="U170" s="114">
        <f t="shared" si="6"/>
        <v>0.40181963470319637</v>
      </c>
      <c r="V170" s="125">
        <v>1759.97</v>
      </c>
      <c r="W170" s="99">
        <v>5</v>
      </c>
      <c r="Y170" s="128" t="s">
        <v>83</v>
      </c>
      <c r="Z170" s="60">
        <v>0</v>
      </c>
      <c r="AA170" s="60">
        <v>500</v>
      </c>
      <c r="AB170" s="107">
        <v>1</v>
      </c>
      <c r="AC170" s="107">
        <v>1</v>
      </c>
      <c r="AD170" s="69"/>
      <c r="AE170" s="69"/>
      <c r="AF170" s="69"/>
      <c r="AG170" s="69"/>
      <c r="AH170" s="54" t="b">
        <v>0</v>
      </c>
      <c r="AI170" s="69"/>
      <c r="AJ170" s="107">
        <v>1</v>
      </c>
      <c r="AK170" s="69"/>
      <c r="AL170" s="99"/>
      <c r="AN170" s="115"/>
      <c r="AO170" s="116"/>
      <c r="AP170" s="69"/>
      <c r="AQ170" s="69"/>
      <c r="AR170" s="139"/>
      <c r="AS170" s="139"/>
      <c r="AT170" s="19"/>
      <c r="AU170" s="19"/>
    </row>
    <row r="171" spans="1:47" s="17" customFormat="1" ht="20" x14ac:dyDescent="0.2">
      <c r="A171" s="118"/>
      <c r="B171" s="204" t="s">
        <v>881</v>
      </c>
      <c r="C171" s="280" t="s">
        <v>3069</v>
      </c>
      <c r="D171" s="204" t="s">
        <v>106</v>
      </c>
      <c r="E171" s="204" t="s">
        <v>192</v>
      </c>
      <c r="F171" s="119">
        <v>51.048563100000003</v>
      </c>
      <c r="G171" s="119">
        <v>-118.1939447</v>
      </c>
      <c r="H171" s="139" t="s">
        <v>1066</v>
      </c>
      <c r="I171" s="33" t="s">
        <v>2876</v>
      </c>
      <c r="J171" s="150" t="s">
        <v>1855</v>
      </c>
      <c r="K171" s="51" t="s">
        <v>3152</v>
      </c>
      <c r="L171" s="175">
        <v>500</v>
      </c>
      <c r="M171" s="54">
        <v>2010</v>
      </c>
      <c r="N171" s="100">
        <v>2100</v>
      </c>
      <c r="O171" s="33"/>
      <c r="P171" s="67" t="s">
        <v>977</v>
      </c>
      <c r="Q171" s="51" t="s">
        <v>1044</v>
      </c>
      <c r="R171" s="65">
        <v>500</v>
      </c>
      <c r="S171" s="248">
        <f>System!$E$11</f>
        <v>1</v>
      </c>
      <c r="T171" s="247">
        <f t="shared" si="5"/>
        <v>500</v>
      </c>
      <c r="U171" s="114">
        <f t="shared" si="6"/>
        <v>0.40181963470319637</v>
      </c>
      <c r="V171" s="125">
        <v>1759.97</v>
      </c>
      <c r="W171" s="99">
        <v>5</v>
      </c>
      <c r="Y171" s="128" t="s">
        <v>83</v>
      </c>
      <c r="Z171" s="60">
        <v>0</v>
      </c>
      <c r="AA171" s="60">
        <v>500</v>
      </c>
      <c r="AB171" s="107">
        <v>1</v>
      </c>
      <c r="AC171" s="107">
        <v>1</v>
      </c>
      <c r="AD171" s="69"/>
      <c r="AE171" s="69"/>
      <c r="AF171" s="69"/>
      <c r="AG171" s="69"/>
      <c r="AH171" s="54" t="b">
        <v>0</v>
      </c>
      <c r="AI171" s="69"/>
      <c r="AJ171" s="107">
        <v>1</v>
      </c>
      <c r="AK171" s="69"/>
      <c r="AL171" s="99"/>
      <c r="AN171" s="115"/>
      <c r="AO171" s="116"/>
      <c r="AP171" s="69"/>
      <c r="AQ171" s="69"/>
      <c r="AR171" s="139"/>
      <c r="AS171" s="139"/>
      <c r="AT171" s="19"/>
      <c r="AU171" s="19"/>
    </row>
    <row r="172" spans="1:47" s="17" customFormat="1" ht="20" x14ac:dyDescent="0.2">
      <c r="A172" s="118"/>
      <c r="B172" s="204" t="s">
        <v>882</v>
      </c>
      <c r="C172" s="280" t="s">
        <v>2977</v>
      </c>
      <c r="D172" s="204" t="s">
        <v>106</v>
      </c>
      <c r="E172" s="204" t="s">
        <v>217</v>
      </c>
      <c r="F172" s="126">
        <v>56.196553999999999</v>
      </c>
      <c r="G172" s="126">
        <v>-120.913957</v>
      </c>
      <c r="H172" s="139" t="s">
        <v>1066</v>
      </c>
      <c r="I172" s="33" t="s">
        <v>2876</v>
      </c>
      <c r="J172" s="150" t="s">
        <v>2327</v>
      </c>
      <c r="K172" s="51" t="s">
        <v>3164</v>
      </c>
      <c r="L172" s="175">
        <v>500</v>
      </c>
      <c r="M172" s="67">
        <v>2025</v>
      </c>
      <c r="N172" s="100">
        <v>2100</v>
      </c>
      <c r="O172" s="33"/>
      <c r="P172" s="67" t="s">
        <v>977</v>
      </c>
      <c r="Q172" s="51" t="s">
        <v>1044</v>
      </c>
      <c r="R172" s="65">
        <v>188.66666666666666</v>
      </c>
      <c r="S172" s="248">
        <f>System!$E$11</f>
        <v>1</v>
      </c>
      <c r="T172" s="247">
        <f t="shared" si="5"/>
        <v>188.66666666666666</v>
      </c>
      <c r="U172" s="114">
        <f t="shared" si="6"/>
        <v>0.54096903971535348</v>
      </c>
      <c r="V172" s="125">
        <v>894.07035131835903</v>
      </c>
      <c r="W172" s="99">
        <v>6</v>
      </c>
      <c r="Y172" s="128" t="s">
        <v>83</v>
      </c>
      <c r="Z172" s="60">
        <v>0</v>
      </c>
      <c r="AA172" s="60">
        <v>183.3</v>
      </c>
      <c r="AB172" s="107">
        <v>1</v>
      </c>
      <c r="AC172" s="107">
        <v>1</v>
      </c>
      <c r="AD172" s="69"/>
      <c r="AE172" s="69"/>
      <c r="AF172" s="69"/>
      <c r="AG172" s="69"/>
      <c r="AH172" s="54" t="b">
        <v>0</v>
      </c>
      <c r="AI172" s="69"/>
      <c r="AJ172" s="107">
        <v>1</v>
      </c>
      <c r="AK172" s="69"/>
      <c r="AL172" s="99"/>
      <c r="AN172" s="115"/>
      <c r="AO172" s="116"/>
      <c r="AP172" s="69"/>
      <c r="AQ172" s="69"/>
      <c r="AR172" s="139"/>
      <c r="AS172" s="139"/>
      <c r="AT172" s="19"/>
      <c r="AU172" s="19"/>
    </row>
    <row r="173" spans="1:47" s="117" customFormat="1" ht="20" x14ac:dyDescent="0.2">
      <c r="B173" s="204" t="s">
        <v>883</v>
      </c>
      <c r="C173" s="280" t="s">
        <v>3019</v>
      </c>
      <c r="D173" s="204" t="s">
        <v>106</v>
      </c>
      <c r="E173" s="204" t="s">
        <v>217</v>
      </c>
      <c r="F173" s="126">
        <v>56.196553999999999</v>
      </c>
      <c r="G173" s="126">
        <v>-120.913957</v>
      </c>
      <c r="H173" s="139" t="s">
        <v>1066</v>
      </c>
      <c r="I173" s="33" t="s">
        <v>2876</v>
      </c>
      <c r="J173" s="150" t="s">
        <v>2327</v>
      </c>
      <c r="K173" s="51" t="s">
        <v>3164</v>
      </c>
      <c r="L173" s="175">
        <v>500</v>
      </c>
      <c r="M173" s="67">
        <v>2025</v>
      </c>
      <c r="N173" s="100">
        <v>2100</v>
      </c>
      <c r="O173" s="33"/>
      <c r="P173" s="67" t="s">
        <v>977</v>
      </c>
      <c r="Q173" s="51" t="s">
        <v>1044</v>
      </c>
      <c r="R173" s="65">
        <v>188.66666666666666</v>
      </c>
      <c r="S173" s="248">
        <f>System!$E$11</f>
        <v>1</v>
      </c>
      <c r="T173" s="247">
        <f t="shared" si="5"/>
        <v>188.66666666666666</v>
      </c>
      <c r="U173" s="114">
        <f t="shared" si="6"/>
        <v>0.54096903971535348</v>
      </c>
      <c r="V173" s="65">
        <v>894.07035131835903</v>
      </c>
      <c r="W173" s="99">
        <v>6</v>
      </c>
      <c r="X173" s="17"/>
      <c r="Y173" s="128" t="s">
        <v>83</v>
      </c>
      <c r="Z173" s="60">
        <v>0</v>
      </c>
      <c r="AA173" s="60">
        <v>183.3</v>
      </c>
      <c r="AB173" s="107">
        <v>1</v>
      </c>
      <c r="AC173" s="107">
        <v>1</v>
      </c>
      <c r="AD173" s="69"/>
      <c r="AE173" s="69"/>
      <c r="AF173" s="69"/>
      <c r="AG173" s="69"/>
      <c r="AH173" s="54" t="b">
        <v>0</v>
      </c>
      <c r="AI173" s="69"/>
      <c r="AJ173" s="107">
        <v>1</v>
      </c>
      <c r="AK173" s="69"/>
      <c r="AL173" s="99"/>
      <c r="AM173" s="17"/>
      <c r="AN173" s="115"/>
      <c r="AO173" s="116"/>
      <c r="AP173" s="69"/>
      <c r="AQ173" s="69"/>
      <c r="AR173" s="139"/>
      <c r="AS173" s="139"/>
      <c r="AT173" s="19"/>
      <c r="AU173" s="19"/>
    </row>
    <row r="174" spans="1:47" s="17" customFormat="1" ht="20" x14ac:dyDescent="0.2">
      <c r="A174" s="118"/>
      <c r="B174" s="204" t="s">
        <v>884</v>
      </c>
      <c r="C174" s="280" t="s">
        <v>3046</v>
      </c>
      <c r="D174" s="204" t="s">
        <v>106</v>
      </c>
      <c r="E174" s="204" t="s">
        <v>217</v>
      </c>
      <c r="F174" s="126">
        <v>56.196553999999999</v>
      </c>
      <c r="G174" s="126">
        <v>-120.913957</v>
      </c>
      <c r="H174" s="139" t="s">
        <v>1066</v>
      </c>
      <c r="I174" s="33" t="s">
        <v>2876</v>
      </c>
      <c r="J174" s="150" t="s">
        <v>2327</v>
      </c>
      <c r="K174" s="51" t="s">
        <v>3164</v>
      </c>
      <c r="L174" s="175">
        <v>500</v>
      </c>
      <c r="M174" s="67">
        <v>2025</v>
      </c>
      <c r="N174" s="100">
        <v>2100</v>
      </c>
      <c r="O174" s="33"/>
      <c r="P174" s="67" t="s">
        <v>977</v>
      </c>
      <c r="Q174" s="51" t="s">
        <v>1044</v>
      </c>
      <c r="R174" s="65">
        <v>188.66666666666666</v>
      </c>
      <c r="S174" s="248">
        <f>System!$E$11</f>
        <v>1</v>
      </c>
      <c r="T174" s="247">
        <f t="shared" si="5"/>
        <v>188.66666666666666</v>
      </c>
      <c r="U174" s="114">
        <f t="shared" si="6"/>
        <v>0.54096903971535348</v>
      </c>
      <c r="V174" s="65">
        <v>894.07035131835903</v>
      </c>
      <c r="W174" s="99">
        <v>6</v>
      </c>
      <c r="Y174" s="128" t="s">
        <v>83</v>
      </c>
      <c r="Z174" s="60">
        <v>0</v>
      </c>
      <c r="AA174" s="60">
        <v>183.3</v>
      </c>
      <c r="AB174" s="107">
        <v>1</v>
      </c>
      <c r="AC174" s="107">
        <v>1</v>
      </c>
      <c r="AD174" s="69"/>
      <c r="AE174" s="69"/>
      <c r="AF174" s="69"/>
      <c r="AG174" s="69"/>
      <c r="AH174" s="54" t="b">
        <v>0</v>
      </c>
      <c r="AI174" s="69"/>
      <c r="AJ174" s="107">
        <v>1</v>
      </c>
      <c r="AK174" s="69"/>
      <c r="AL174" s="99"/>
      <c r="AN174" s="115"/>
      <c r="AO174" s="116"/>
      <c r="AP174" s="69"/>
      <c r="AQ174" s="69"/>
      <c r="AR174" s="139"/>
      <c r="AS174" s="139"/>
      <c r="AT174" s="19"/>
      <c r="AU174" s="19"/>
    </row>
    <row r="175" spans="1:47" s="17" customFormat="1" ht="20" x14ac:dyDescent="0.2">
      <c r="A175" s="118"/>
      <c r="B175" s="204" t="s">
        <v>885</v>
      </c>
      <c r="C175" s="280" t="s">
        <v>3062</v>
      </c>
      <c r="D175" s="204" t="s">
        <v>106</v>
      </c>
      <c r="E175" s="204" t="s">
        <v>217</v>
      </c>
      <c r="F175" s="126">
        <v>56.196553999999999</v>
      </c>
      <c r="G175" s="126">
        <v>-120.913957</v>
      </c>
      <c r="H175" s="139" t="s">
        <v>1066</v>
      </c>
      <c r="I175" s="33" t="s">
        <v>2876</v>
      </c>
      <c r="J175" s="150" t="s">
        <v>2327</v>
      </c>
      <c r="K175" s="51" t="s">
        <v>3164</v>
      </c>
      <c r="L175" s="175">
        <v>500</v>
      </c>
      <c r="M175" s="67">
        <v>2025</v>
      </c>
      <c r="N175" s="100">
        <v>2100</v>
      </c>
      <c r="O175" s="33"/>
      <c r="P175" s="67" t="s">
        <v>977</v>
      </c>
      <c r="Q175" s="51" t="s">
        <v>1044</v>
      </c>
      <c r="R175" s="65">
        <v>188.66666666666666</v>
      </c>
      <c r="S175" s="248">
        <f>System!$E$11</f>
        <v>1</v>
      </c>
      <c r="T175" s="247">
        <f t="shared" si="5"/>
        <v>188.66666666666666</v>
      </c>
      <c r="U175" s="114">
        <f t="shared" si="6"/>
        <v>0.54096914846880173</v>
      </c>
      <c r="V175" s="65">
        <v>894.07053105735804</v>
      </c>
      <c r="W175" s="99">
        <v>6</v>
      </c>
      <c r="Y175" s="128" t="s">
        <v>83</v>
      </c>
      <c r="Z175" s="60">
        <v>0</v>
      </c>
      <c r="AA175" s="60">
        <v>183.3</v>
      </c>
      <c r="AB175" s="107">
        <v>1</v>
      </c>
      <c r="AC175" s="107">
        <v>1</v>
      </c>
      <c r="AD175" s="69"/>
      <c r="AE175" s="69"/>
      <c r="AF175" s="69"/>
      <c r="AG175" s="69"/>
      <c r="AH175" s="54" t="b">
        <v>0</v>
      </c>
      <c r="AI175" s="69"/>
      <c r="AJ175" s="107">
        <v>1</v>
      </c>
      <c r="AK175" s="69"/>
      <c r="AL175" s="99"/>
      <c r="AN175" s="115"/>
      <c r="AO175" s="116"/>
      <c r="AP175" s="69"/>
      <c r="AQ175" s="69"/>
      <c r="AR175" s="139"/>
      <c r="AS175" s="139"/>
      <c r="AT175" s="19"/>
      <c r="AU175" s="19"/>
    </row>
    <row r="176" spans="1:47" s="17" customFormat="1" ht="20" x14ac:dyDescent="0.2">
      <c r="A176" s="118"/>
      <c r="B176" s="204" t="s">
        <v>886</v>
      </c>
      <c r="C176" s="280" t="s">
        <v>3070</v>
      </c>
      <c r="D176" s="204" t="s">
        <v>106</v>
      </c>
      <c r="E176" s="204" t="s">
        <v>217</v>
      </c>
      <c r="F176" s="126">
        <v>56.196553999999999</v>
      </c>
      <c r="G176" s="126">
        <v>-120.913957</v>
      </c>
      <c r="H176" s="139" t="s">
        <v>1066</v>
      </c>
      <c r="I176" s="33" t="s">
        <v>2876</v>
      </c>
      <c r="J176" s="150" t="s">
        <v>2327</v>
      </c>
      <c r="K176" s="51" t="s">
        <v>3164</v>
      </c>
      <c r="L176" s="175">
        <v>500</v>
      </c>
      <c r="M176" s="67">
        <v>2025</v>
      </c>
      <c r="N176" s="100">
        <v>2100</v>
      </c>
      <c r="O176" s="33"/>
      <c r="P176" s="67" t="s">
        <v>977</v>
      </c>
      <c r="Q176" s="51" t="s">
        <v>1044</v>
      </c>
      <c r="R176" s="65">
        <v>188.66666666666666</v>
      </c>
      <c r="S176" s="248">
        <f>System!$E$11</f>
        <v>1</v>
      </c>
      <c r="T176" s="247">
        <f t="shared" si="5"/>
        <v>188.66666666666666</v>
      </c>
      <c r="U176" s="114">
        <f t="shared" si="6"/>
        <v>0.54096914846880173</v>
      </c>
      <c r="V176" s="125">
        <v>894.07053105735804</v>
      </c>
      <c r="W176" s="99">
        <v>6</v>
      </c>
      <c r="Y176" s="128" t="s">
        <v>83</v>
      </c>
      <c r="Z176" s="60">
        <v>0</v>
      </c>
      <c r="AA176" s="60">
        <v>183.3</v>
      </c>
      <c r="AB176" s="107">
        <v>1</v>
      </c>
      <c r="AC176" s="107">
        <v>1</v>
      </c>
      <c r="AD176" s="69"/>
      <c r="AE176" s="69"/>
      <c r="AF176" s="69"/>
      <c r="AG176" s="69"/>
      <c r="AH176" s="54" t="b">
        <v>0</v>
      </c>
      <c r="AI176" s="69"/>
      <c r="AJ176" s="107">
        <v>1</v>
      </c>
      <c r="AK176" s="69"/>
      <c r="AL176" s="99"/>
      <c r="AM176" s="156"/>
      <c r="AN176" s="115"/>
      <c r="AO176" s="116"/>
      <c r="AP176" s="69"/>
      <c r="AQ176" s="69"/>
      <c r="AR176" s="139"/>
      <c r="AS176" s="139"/>
      <c r="AT176" s="19"/>
      <c r="AU176" s="19"/>
    </row>
    <row r="177" spans="1:47" s="17" customFormat="1" ht="20" x14ac:dyDescent="0.2">
      <c r="A177" s="118"/>
      <c r="B177" s="204" t="s">
        <v>887</v>
      </c>
      <c r="C177" s="280" t="s">
        <v>3076</v>
      </c>
      <c r="D177" s="204" t="s">
        <v>106</v>
      </c>
      <c r="E177" s="204" t="s">
        <v>217</v>
      </c>
      <c r="F177" s="126">
        <v>56.196553999999999</v>
      </c>
      <c r="G177" s="126">
        <v>-120.913957</v>
      </c>
      <c r="H177" s="139" t="s">
        <v>1066</v>
      </c>
      <c r="I177" s="33" t="s">
        <v>2876</v>
      </c>
      <c r="J177" s="150" t="s">
        <v>2327</v>
      </c>
      <c r="K177" s="51" t="s">
        <v>3164</v>
      </c>
      <c r="L177" s="175">
        <v>500</v>
      </c>
      <c r="M177" s="67">
        <v>2025</v>
      </c>
      <c r="N177" s="100">
        <v>2100</v>
      </c>
      <c r="O177" s="33"/>
      <c r="P177" s="67" t="s">
        <v>977</v>
      </c>
      <c r="Q177" s="51" t="s">
        <v>1044</v>
      </c>
      <c r="R177" s="65">
        <v>188.66666666666666</v>
      </c>
      <c r="S177" s="248">
        <f>System!$E$11</f>
        <v>1</v>
      </c>
      <c r="T177" s="247">
        <f t="shared" si="5"/>
        <v>188.66666666666666</v>
      </c>
      <c r="U177" s="114">
        <f t="shared" si="6"/>
        <v>0.54096914846880173</v>
      </c>
      <c r="V177" s="125">
        <v>894.07053105735804</v>
      </c>
      <c r="W177" s="99">
        <v>6</v>
      </c>
      <c r="Y177" s="128" t="s">
        <v>83</v>
      </c>
      <c r="Z177" s="60">
        <v>0</v>
      </c>
      <c r="AA177" s="60">
        <v>183.3</v>
      </c>
      <c r="AB177" s="162">
        <v>1</v>
      </c>
      <c r="AC177" s="162">
        <v>1</v>
      </c>
      <c r="AD177" s="69"/>
      <c r="AE177" s="69"/>
      <c r="AF177" s="69"/>
      <c r="AG177" s="69"/>
      <c r="AH177" s="54" t="b">
        <v>0</v>
      </c>
      <c r="AI177" s="69"/>
      <c r="AJ177" s="107">
        <v>1</v>
      </c>
      <c r="AK177" s="69"/>
      <c r="AL177" s="99"/>
      <c r="AM177" s="156"/>
      <c r="AN177" s="115"/>
      <c r="AO177" s="116"/>
      <c r="AP177" s="69"/>
      <c r="AQ177" s="69"/>
      <c r="AR177" s="139"/>
      <c r="AS177" s="139"/>
      <c r="AT177" s="19"/>
      <c r="AU177" s="19"/>
    </row>
    <row r="178" spans="1:47" s="17" customFormat="1" ht="20" x14ac:dyDescent="0.2">
      <c r="A178" s="118"/>
      <c r="B178" s="206" t="s">
        <v>108</v>
      </c>
      <c r="C178" s="280" t="s">
        <v>3745</v>
      </c>
      <c r="D178" s="206" t="s">
        <v>109</v>
      </c>
      <c r="E178" s="206" t="s">
        <v>110</v>
      </c>
      <c r="F178" s="126">
        <v>50.822699999999998</v>
      </c>
      <c r="G178" s="126">
        <v>-118.0295</v>
      </c>
      <c r="H178" s="139" t="s">
        <v>1066</v>
      </c>
      <c r="I178" s="33" t="s">
        <v>2876</v>
      </c>
      <c r="J178" s="150" t="s">
        <v>1729</v>
      </c>
      <c r="K178" s="51" t="s">
        <v>3202</v>
      </c>
      <c r="L178" s="175">
        <v>69</v>
      </c>
      <c r="M178" s="54">
        <v>1995</v>
      </c>
      <c r="N178" s="33">
        <f>M178+40</f>
        <v>2035</v>
      </c>
      <c r="O178" s="33"/>
      <c r="P178" s="63" t="s">
        <v>1019</v>
      </c>
      <c r="Q178" s="51" t="s">
        <v>1045</v>
      </c>
      <c r="R178" s="65">
        <v>10</v>
      </c>
      <c r="S178" s="248">
        <f>System!$E$9</f>
        <v>0.32219999999999999</v>
      </c>
      <c r="T178" s="247">
        <f t="shared" si="5"/>
        <v>3.222</v>
      </c>
      <c r="U178" s="114">
        <f t="shared" si="6"/>
        <v>0.46232876712328769</v>
      </c>
      <c r="V178" s="105">
        <v>40.5</v>
      </c>
      <c r="W178" s="99">
        <v>1</v>
      </c>
      <c r="Y178" s="128" t="s">
        <v>83</v>
      </c>
      <c r="Z178" s="60">
        <v>0</v>
      </c>
      <c r="AA178" s="60">
        <v>10</v>
      </c>
      <c r="AB178" s="107">
        <v>1</v>
      </c>
      <c r="AC178" s="107">
        <v>1</v>
      </c>
      <c r="AD178" s="69"/>
      <c r="AE178" s="69"/>
      <c r="AF178" s="69"/>
      <c r="AG178" s="69"/>
      <c r="AH178" s="54" t="b">
        <v>0</v>
      </c>
      <c r="AI178" s="69"/>
      <c r="AJ178" s="107">
        <v>1</v>
      </c>
      <c r="AK178" s="69"/>
      <c r="AL178" s="99"/>
      <c r="AM178" s="156"/>
      <c r="AN178" s="115"/>
      <c r="AO178" s="116"/>
      <c r="AP178" s="69"/>
      <c r="AQ178" s="69"/>
      <c r="AR178" s="139"/>
      <c r="AS178" s="139"/>
      <c r="AT178" s="19"/>
      <c r="AU178" s="19"/>
    </row>
    <row r="179" spans="1:47" s="17" customFormat="1" ht="20" x14ac:dyDescent="0.2">
      <c r="A179" s="118"/>
      <c r="B179" s="206" t="s">
        <v>2765</v>
      </c>
      <c r="C179" s="280" t="s">
        <v>3748</v>
      </c>
      <c r="D179" s="206" t="s">
        <v>119</v>
      </c>
      <c r="E179" s="206" t="s">
        <v>120</v>
      </c>
      <c r="F179" s="119">
        <v>49.914338299999997</v>
      </c>
      <c r="G179" s="119">
        <v>-123.3250321</v>
      </c>
      <c r="H179" s="139" t="s">
        <v>1066</v>
      </c>
      <c r="I179" s="33" t="s">
        <v>2876</v>
      </c>
      <c r="J179" s="150" t="s">
        <v>1574</v>
      </c>
      <c r="K179" s="51" t="s">
        <v>3091</v>
      </c>
      <c r="L179" s="175">
        <v>230</v>
      </c>
      <c r="M179" s="54">
        <v>2009</v>
      </c>
      <c r="N179" s="33">
        <f>M179+40</f>
        <v>2049</v>
      </c>
      <c r="O179" s="33"/>
      <c r="P179" s="63" t="s">
        <v>1019</v>
      </c>
      <c r="Q179" s="51" t="s">
        <v>1045</v>
      </c>
      <c r="R179" s="65">
        <v>49.9</v>
      </c>
      <c r="S179" s="248">
        <f>System!$E$9</f>
        <v>0.32219999999999999</v>
      </c>
      <c r="T179" s="247">
        <f t="shared" si="5"/>
        <v>16.077780000000001</v>
      </c>
      <c r="U179" s="114">
        <f t="shared" si="6"/>
        <v>0.61469971907284893</v>
      </c>
      <c r="V179" s="105">
        <v>268.7</v>
      </c>
      <c r="W179" s="99">
        <v>1</v>
      </c>
      <c r="Y179" s="128" t="s">
        <v>83</v>
      </c>
      <c r="Z179" s="60">
        <v>0</v>
      </c>
      <c r="AA179" s="60">
        <v>49.9</v>
      </c>
      <c r="AB179" s="107">
        <v>1</v>
      </c>
      <c r="AC179" s="107">
        <v>1</v>
      </c>
      <c r="AD179" s="69"/>
      <c r="AE179" s="69"/>
      <c r="AF179" s="69"/>
      <c r="AG179" s="69"/>
      <c r="AH179" s="54" t="b">
        <v>0</v>
      </c>
      <c r="AI179" s="69"/>
      <c r="AJ179" s="107">
        <v>1</v>
      </c>
      <c r="AK179" s="69"/>
      <c r="AL179" s="99"/>
      <c r="AN179" s="115"/>
      <c r="AO179" s="116"/>
      <c r="AP179" s="69"/>
      <c r="AQ179" s="69"/>
      <c r="AR179" s="139"/>
      <c r="AS179" s="139"/>
      <c r="AT179" s="19"/>
      <c r="AU179" s="19"/>
    </row>
    <row r="180" spans="1:47" s="17" customFormat="1" ht="20" x14ac:dyDescent="0.2">
      <c r="A180" s="118"/>
      <c r="B180" s="206" t="s">
        <v>121</v>
      </c>
      <c r="C180" s="280" t="s">
        <v>3749</v>
      </c>
      <c r="D180" s="206" t="s">
        <v>122</v>
      </c>
      <c r="E180" s="206" t="s">
        <v>123</v>
      </c>
      <c r="F180" s="119">
        <v>49.9278142</v>
      </c>
      <c r="G180" s="119">
        <v>-126.76023600000001</v>
      </c>
      <c r="H180" s="139" t="s">
        <v>1066</v>
      </c>
      <c r="I180" s="33" t="s">
        <v>2876</v>
      </c>
      <c r="J180" s="150" t="s">
        <v>1921</v>
      </c>
      <c r="K180" s="51" t="s">
        <v>3181</v>
      </c>
      <c r="L180" s="175">
        <v>138</v>
      </c>
      <c r="M180" s="54">
        <v>2012</v>
      </c>
      <c r="N180" s="33">
        <f>M180+40</f>
        <v>2052</v>
      </c>
      <c r="O180" s="33"/>
      <c r="P180" s="63" t="s">
        <v>1019</v>
      </c>
      <c r="Q180" s="51" t="s">
        <v>1045</v>
      </c>
      <c r="R180" s="65">
        <v>4</v>
      </c>
      <c r="S180" s="248">
        <f>System!$E$9</f>
        <v>0.32219999999999999</v>
      </c>
      <c r="T180" s="247">
        <f t="shared" si="5"/>
        <v>1.2887999999999999</v>
      </c>
      <c r="U180" s="114">
        <f t="shared" si="6"/>
        <v>0.45662100456621002</v>
      </c>
      <c r="V180" s="105">
        <v>16</v>
      </c>
      <c r="W180" s="99">
        <v>1</v>
      </c>
      <c r="Y180" s="128" t="s">
        <v>83</v>
      </c>
      <c r="Z180" s="60">
        <v>0</v>
      </c>
      <c r="AA180" s="60">
        <v>4</v>
      </c>
      <c r="AB180" s="107">
        <v>1</v>
      </c>
      <c r="AC180" s="107">
        <v>1</v>
      </c>
      <c r="AD180" s="69"/>
      <c r="AE180" s="69"/>
      <c r="AF180" s="69"/>
      <c r="AG180" s="69"/>
      <c r="AH180" s="54" t="b">
        <v>0</v>
      </c>
      <c r="AI180" s="69"/>
      <c r="AJ180" s="107">
        <v>1</v>
      </c>
      <c r="AK180" s="69"/>
      <c r="AL180" s="99"/>
      <c r="AN180" s="115"/>
      <c r="AO180" s="116"/>
      <c r="AP180" s="69"/>
      <c r="AQ180" s="69"/>
      <c r="AR180" s="139"/>
      <c r="AS180" s="139"/>
      <c r="AT180" s="19"/>
      <c r="AU180" s="19"/>
    </row>
    <row r="181" spans="1:47" s="17" customFormat="1" ht="20" x14ac:dyDescent="0.2">
      <c r="A181" s="118"/>
      <c r="B181" s="206" t="s">
        <v>2774</v>
      </c>
      <c r="C181" s="280" t="s">
        <v>3751</v>
      </c>
      <c r="D181" s="206" t="s">
        <v>126</v>
      </c>
      <c r="E181" s="206" t="s">
        <v>127</v>
      </c>
      <c r="F181" s="119">
        <v>49.693044999999998</v>
      </c>
      <c r="G181" s="119">
        <v>-121.859106</v>
      </c>
      <c r="H181" s="139" t="s">
        <v>1066</v>
      </c>
      <c r="I181" s="33" t="s">
        <v>2876</v>
      </c>
      <c r="J181" s="151" t="s">
        <v>2297</v>
      </c>
      <c r="K181" s="51" t="s">
        <v>3103</v>
      </c>
      <c r="L181" s="175">
        <v>138</v>
      </c>
      <c r="M181" s="54">
        <v>2016</v>
      </c>
      <c r="N181" s="33">
        <f>M181+40</f>
        <v>2056</v>
      </c>
      <c r="O181" s="33"/>
      <c r="P181" s="63" t="s">
        <v>1019</v>
      </c>
      <c r="Q181" s="51" t="s">
        <v>1045</v>
      </c>
      <c r="R181" s="65">
        <v>40.6</v>
      </c>
      <c r="S181" s="248">
        <f>System!$E$9</f>
        <v>0.32219999999999999</v>
      </c>
      <c r="T181" s="247">
        <f t="shared" si="5"/>
        <v>13.08132</v>
      </c>
      <c r="U181" s="114">
        <f t="shared" si="6"/>
        <v>0.44599275704613445</v>
      </c>
      <c r="V181" s="105">
        <v>158.62</v>
      </c>
      <c r="W181" s="99">
        <v>1</v>
      </c>
      <c r="Y181" s="128" t="s">
        <v>83</v>
      </c>
      <c r="Z181" s="60">
        <v>0</v>
      </c>
      <c r="AA181" s="60">
        <v>40.6</v>
      </c>
      <c r="AB181" s="107">
        <v>1</v>
      </c>
      <c r="AC181" s="107">
        <v>1</v>
      </c>
      <c r="AD181" s="69"/>
      <c r="AE181" s="69"/>
      <c r="AF181" s="69"/>
      <c r="AG181" s="69"/>
      <c r="AH181" s="54" t="b">
        <v>0</v>
      </c>
      <c r="AI181" s="69"/>
      <c r="AJ181" s="107">
        <v>1</v>
      </c>
      <c r="AK181" s="69"/>
      <c r="AL181" s="99"/>
      <c r="AM181" s="156"/>
      <c r="AN181" s="115"/>
      <c r="AO181" s="116"/>
      <c r="AP181" s="69"/>
      <c r="AQ181" s="69"/>
      <c r="AR181" s="139"/>
      <c r="AS181" s="139"/>
      <c r="AT181" s="19"/>
      <c r="AU181" s="19"/>
    </row>
    <row r="182" spans="1:47" s="17" customFormat="1" ht="20" x14ac:dyDescent="0.2">
      <c r="A182" s="118"/>
      <c r="B182" s="206" t="s">
        <v>1587</v>
      </c>
      <c r="C182" s="280" t="s">
        <v>3752</v>
      </c>
      <c r="D182" s="206" t="s">
        <v>128</v>
      </c>
      <c r="E182" s="206" t="s">
        <v>129</v>
      </c>
      <c r="F182" s="119">
        <v>52.255329600000003</v>
      </c>
      <c r="G182" s="119">
        <v>-119.1808297</v>
      </c>
      <c r="H182" s="139" t="s">
        <v>1066</v>
      </c>
      <c r="I182" s="33" t="s">
        <v>2876</v>
      </c>
      <c r="J182" s="151" t="s">
        <v>1597</v>
      </c>
      <c r="K182" s="51" t="s">
        <v>3096</v>
      </c>
      <c r="L182" s="175">
        <v>138</v>
      </c>
      <c r="M182" s="54">
        <v>2011</v>
      </c>
      <c r="N182" s="33">
        <f>M182+40</f>
        <v>2051</v>
      </c>
      <c r="O182" s="33"/>
      <c r="P182" s="63" t="s">
        <v>1019</v>
      </c>
      <c r="Q182" s="51" t="s">
        <v>1045</v>
      </c>
      <c r="R182" s="65">
        <v>20</v>
      </c>
      <c r="S182" s="248">
        <f>System!$E$9</f>
        <v>0.32219999999999999</v>
      </c>
      <c r="T182" s="247">
        <f t="shared" si="5"/>
        <v>6.444</v>
      </c>
      <c r="U182" s="114">
        <f t="shared" si="6"/>
        <v>0.46232876712328769</v>
      </c>
      <c r="V182" s="105">
        <v>81</v>
      </c>
      <c r="W182" s="99">
        <v>1</v>
      </c>
      <c r="Y182" s="128" t="s">
        <v>83</v>
      </c>
      <c r="Z182" s="60">
        <v>0</v>
      </c>
      <c r="AA182" s="60">
        <v>20</v>
      </c>
      <c r="AB182" s="107">
        <v>1</v>
      </c>
      <c r="AC182" s="107">
        <v>1</v>
      </c>
      <c r="AD182" s="69"/>
      <c r="AE182" s="69"/>
      <c r="AF182" s="69"/>
      <c r="AG182" s="69"/>
      <c r="AH182" s="54" t="b">
        <v>0</v>
      </c>
      <c r="AI182" s="69"/>
      <c r="AJ182" s="107">
        <v>1</v>
      </c>
      <c r="AK182" s="69"/>
      <c r="AL182" s="99"/>
      <c r="AN182" s="115"/>
      <c r="AO182" s="116"/>
      <c r="AP182" s="69"/>
      <c r="AQ182" s="69"/>
      <c r="AR182" s="139"/>
      <c r="AS182" s="139"/>
      <c r="AT182" s="19"/>
      <c r="AU182" s="19"/>
    </row>
    <row r="183" spans="1:47" s="17" customFormat="1" ht="20" x14ac:dyDescent="0.2">
      <c r="A183" s="118"/>
      <c r="B183" s="206" t="s">
        <v>804</v>
      </c>
      <c r="C183" s="280" t="s">
        <v>3753</v>
      </c>
      <c r="D183" s="206" t="s">
        <v>818</v>
      </c>
      <c r="E183" s="206" t="s">
        <v>259</v>
      </c>
      <c r="F183" s="119">
        <v>49.458201899999999</v>
      </c>
      <c r="G183" s="119">
        <v>-117.4854103</v>
      </c>
      <c r="H183" s="139" t="s">
        <v>1066</v>
      </c>
      <c r="I183" s="33" t="s">
        <v>2876</v>
      </c>
      <c r="J183" s="230" t="s">
        <v>2719</v>
      </c>
      <c r="K183" s="51" t="s">
        <v>3182</v>
      </c>
      <c r="L183" s="231">
        <v>63</v>
      </c>
      <c r="M183" s="100">
        <v>2000</v>
      </c>
      <c r="N183" s="100">
        <v>2100</v>
      </c>
      <c r="O183" s="99"/>
      <c r="P183" s="120" t="s">
        <v>1019</v>
      </c>
      <c r="Q183" s="51" t="s">
        <v>1045</v>
      </c>
      <c r="R183" s="121">
        <v>16.2</v>
      </c>
      <c r="S183" s="248">
        <f>System!$E$9</f>
        <v>0.32219999999999999</v>
      </c>
      <c r="T183" s="247">
        <f t="shared" si="5"/>
        <v>5.2196399999999992</v>
      </c>
      <c r="U183" s="114">
        <f t="shared" si="6"/>
        <v>0.54125091606065734</v>
      </c>
      <c r="V183" s="121">
        <v>76.81</v>
      </c>
      <c r="W183" s="99">
        <v>1</v>
      </c>
      <c r="X183" s="117"/>
      <c r="Y183" s="128" t="s">
        <v>83</v>
      </c>
      <c r="Z183" s="157">
        <v>0</v>
      </c>
      <c r="AA183" s="121">
        <v>16.2</v>
      </c>
      <c r="AB183" s="157">
        <v>1</v>
      </c>
      <c r="AC183" s="157">
        <v>1</v>
      </c>
      <c r="AD183" s="69"/>
      <c r="AE183" s="69"/>
      <c r="AF183" s="69"/>
      <c r="AG183" s="69"/>
      <c r="AH183" s="120" t="b">
        <v>0</v>
      </c>
      <c r="AI183" s="69"/>
      <c r="AJ183" s="157">
        <v>1</v>
      </c>
      <c r="AK183" s="69"/>
      <c r="AL183" s="99"/>
      <c r="AM183" s="117"/>
      <c r="AN183" s="115"/>
      <c r="AO183" s="116"/>
      <c r="AP183" s="69"/>
      <c r="AQ183" s="69"/>
      <c r="AR183" s="139"/>
      <c r="AS183" s="139"/>
      <c r="AT183" s="19"/>
      <c r="AU183" s="19"/>
    </row>
    <row r="184" spans="1:47" s="17" customFormat="1" ht="20" x14ac:dyDescent="0.2">
      <c r="A184" s="118"/>
      <c r="B184" s="206" t="s">
        <v>130</v>
      </c>
      <c r="C184" s="280" t="s">
        <v>3754</v>
      </c>
      <c r="D184" s="206" t="s">
        <v>131</v>
      </c>
      <c r="E184" s="206" t="s">
        <v>130</v>
      </c>
      <c r="F184" s="119">
        <v>49.811343399999998</v>
      </c>
      <c r="G184" s="119">
        <v>-121.4584751</v>
      </c>
      <c r="H184" s="139" t="s">
        <v>1066</v>
      </c>
      <c r="I184" s="33" t="s">
        <v>2876</v>
      </c>
      <c r="J184" s="150" t="s">
        <v>3693</v>
      </c>
      <c r="K184" s="51" t="s">
        <v>3719</v>
      </c>
      <c r="L184" s="175">
        <v>69</v>
      </c>
      <c r="M184" s="54">
        <v>1994</v>
      </c>
      <c r="N184" s="33">
        <f t="shared" ref="N184:N218" si="7">M184+40</f>
        <v>2034</v>
      </c>
      <c r="O184" s="33"/>
      <c r="P184" s="63" t="s">
        <v>1019</v>
      </c>
      <c r="Q184" s="51" t="s">
        <v>1045</v>
      </c>
      <c r="R184" s="65">
        <v>6</v>
      </c>
      <c r="S184" s="248">
        <f>System!$E$9</f>
        <v>0.32219999999999999</v>
      </c>
      <c r="T184" s="247">
        <f t="shared" si="5"/>
        <v>1.9331999999999998</v>
      </c>
      <c r="U184" s="114">
        <f t="shared" si="6"/>
        <v>0.70395738203957381</v>
      </c>
      <c r="V184" s="64">
        <v>37</v>
      </c>
      <c r="W184" s="99">
        <v>1</v>
      </c>
      <c r="Y184" s="128" t="s">
        <v>83</v>
      </c>
      <c r="Z184" s="60">
        <v>0</v>
      </c>
      <c r="AA184" s="60">
        <v>6</v>
      </c>
      <c r="AB184" s="107">
        <v>1</v>
      </c>
      <c r="AC184" s="107">
        <v>1</v>
      </c>
      <c r="AD184" s="69"/>
      <c r="AE184" s="69"/>
      <c r="AF184" s="69"/>
      <c r="AG184" s="69"/>
      <c r="AH184" s="54" t="b">
        <v>0</v>
      </c>
      <c r="AI184" s="69"/>
      <c r="AJ184" s="107">
        <v>1</v>
      </c>
      <c r="AK184" s="69"/>
      <c r="AL184" s="99"/>
      <c r="AM184" s="156"/>
      <c r="AN184" s="115"/>
      <c r="AO184" s="116"/>
      <c r="AP184" s="69"/>
      <c r="AQ184" s="69"/>
      <c r="AR184" s="139"/>
      <c r="AS184" s="139"/>
      <c r="AT184" s="19"/>
      <c r="AU184" s="19"/>
    </row>
    <row r="185" spans="1:47" s="17" customFormat="1" ht="20" x14ac:dyDescent="0.2">
      <c r="A185" s="118"/>
      <c r="B185" s="206" t="s">
        <v>132</v>
      </c>
      <c r="C185" s="280" t="s">
        <v>3755</v>
      </c>
      <c r="D185" s="206" t="s">
        <v>133</v>
      </c>
      <c r="E185" s="206" t="s">
        <v>134</v>
      </c>
      <c r="F185" s="119">
        <v>50.634999999999998</v>
      </c>
      <c r="G185" s="119">
        <v>-123.405</v>
      </c>
      <c r="H185" s="139" t="s">
        <v>1066</v>
      </c>
      <c r="I185" s="33" t="s">
        <v>2876</v>
      </c>
      <c r="J185" s="150" t="s">
        <v>2291</v>
      </c>
      <c r="K185" s="51" t="s">
        <v>3092</v>
      </c>
      <c r="L185" s="175">
        <v>230</v>
      </c>
      <c r="M185" s="54">
        <v>2015</v>
      </c>
      <c r="N185" s="33">
        <f t="shared" si="7"/>
        <v>2055</v>
      </c>
      <c r="O185" s="33"/>
      <c r="P185" s="63" t="s">
        <v>1019</v>
      </c>
      <c r="Q185" s="51" t="s">
        <v>1045</v>
      </c>
      <c r="R185" s="65">
        <v>25</v>
      </c>
      <c r="S185" s="248">
        <f>System!$E$9</f>
        <v>0.32219999999999999</v>
      </c>
      <c r="T185" s="247">
        <f t="shared" si="5"/>
        <v>8.0549999999999997</v>
      </c>
      <c r="U185" s="114">
        <f t="shared" si="6"/>
        <v>0.4214611872146119</v>
      </c>
      <c r="V185" s="105">
        <v>92.3</v>
      </c>
      <c r="W185" s="99">
        <v>1</v>
      </c>
      <c r="Y185" s="128" t="s">
        <v>83</v>
      </c>
      <c r="Z185" s="60">
        <v>0</v>
      </c>
      <c r="AA185" s="60">
        <v>25</v>
      </c>
      <c r="AB185" s="107">
        <v>1</v>
      </c>
      <c r="AC185" s="107">
        <v>1</v>
      </c>
      <c r="AD185" s="69"/>
      <c r="AE185" s="69"/>
      <c r="AF185" s="69"/>
      <c r="AG185" s="69"/>
      <c r="AH185" s="54" t="b">
        <v>0</v>
      </c>
      <c r="AI185" s="69"/>
      <c r="AJ185" s="107">
        <v>1</v>
      </c>
      <c r="AK185" s="69"/>
      <c r="AL185" s="99"/>
      <c r="AN185" s="115"/>
      <c r="AO185" s="116"/>
      <c r="AP185" s="69"/>
      <c r="AQ185" s="69"/>
      <c r="AR185" s="139"/>
      <c r="AS185" s="139"/>
      <c r="AT185" s="19"/>
      <c r="AU185" s="19"/>
    </row>
    <row r="186" spans="1:47" s="17" customFormat="1" ht="20" x14ac:dyDescent="0.2">
      <c r="A186" s="118"/>
      <c r="B186" s="206" t="s">
        <v>135</v>
      </c>
      <c r="C186" s="280" t="s">
        <v>3756</v>
      </c>
      <c r="D186" s="206" t="s">
        <v>136</v>
      </c>
      <c r="E186" s="206" t="s">
        <v>137</v>
      </c>
      <c r="F186" s="119">
        <v>49.600617700000001</v>
      </c>
      <c r="G186" s="119">
        <v>-123.426733</v>
      </c>
      <c r="H186" s="139" t="s">
        <v>1066</v>
      </c>
      <c r="I186" s="33" t="s">
        <v>2876</v>
      </c>
      <c r="J186" s="151" t="s">
        <v>2289</v>
      </c>
      <c r="K186" s="51" t="s">
        <v>3097</v>
      </c>
      <c r="L186" s="175">
        <v>138</v>
      </c>
      <c r="M186" s="54">
        <v>2015</v>
      </c>
      <c r="N186" s="33">
        <f t="shared" si="7"/>
        <v>2055</v>
      </c>
      <c r="O186" s="33"/>
      <c r="P186" s="63" t="s">
        <v>1019</v>
      </c>
      <c r="Q186" s="51" t="s">
        <v>1045</v>
      </c>
      <c r="R186" s="65">
        <v>14.7</v>
      </c>
      <c r="S186" s="248">
        <f>System!$E$9</f>
        <v>0.32219999999999999</v>
      </c>
      <c r="T186" s="247">
        <f t="shared" si="5"/>
        <v>4.7363399999999993</v>
      </c>
      <c r="U186" s="114">
        <f t="shared" si="6"/>
        <v>0.36809244245643463</v>
      </c>
      <c r="V186" s="105">
        <v>47.4</v>
      </c>
      <c r="W186" s="99">
        <v>1</v>
      </c>
      <c r="Y186" s="128" t="s">
        <v>83</v>
      </c>
      <c r="Z186" s="60">
        <v>0</v>
      </c>
      <c r="AA186" s="60">
        <v>14.7</v>
      </c>
      <c r="AB186" s="107">
        <v>1</v>
      </c>
      <c r="AC186" s="107">
        <v>1</v>
      </c>
      <c r="AD186" s="69"/>
      <c r="AE186" s="69"/>
      <c r="AF186" s="69"/>
      <c r="AG186" s="69"/>
      <c r="AH186" s="54" t="b">
        <v>0</v>
      </c>
      <c r="AI186" s="69"/>
      <c r="AJ186" s="107">
        <v>1</v>
      </c>
      <c r="AK186" s="69"/>
      <c r="AL186" s="99"/>
      <c r="AN186" s="115"/>
      <c r="AO186" s="116"/>
      <c r="AP186" s="69"/>
      <c r="AQ186" s="69"/>
      <c r="AR186" s="139"/>
      <c r="AS186" s="139"/>
      <c r="AT186" s="19"/>
      <c r="AU186" s="19"/>
    </row>
    <row r="187" spans="1:47" s="17" customFormat="1" ht="20" x14ac:dyDescent="0.2">
      <c r="A187" s="118"/>
      <c r="B187" s="206" t="s">
        <v>2766</v>
      </c>
      <c r="C187" s="280" t="s">
        <v>3757</v>
      </c>
      <c r="D187" s="206" t="s">
        <v>138</v>
      </c>
      <c r="E187" s="206" t="s">
        <v>139</v>
      </c>
      <c r="F187" s="119">
        <v>49.978254100000001</v>
      </c>
      <c r="G187" s="119">
        <v>-123.1417333</v>
      </c>
      <c r="H187" s="139" t="s">
        <v>1066</v>
      </c>
      <c r="I187" s="33" t="s">
        <v>2876</v>
      </c>
      <c r="J187" s="150" t="s">
        <v>1671</v>
      </c>
      <c r="K187" s="51" t="s">
        <v>3183</v>
      </c>
      <c r="L187" s="175">
        <v>230</v>
      </c>
      <c r="M187" s="54">
        <v>2003</v>
      </c>
      <c r="N187" s="33">
        <f t="shared" si="7"/>
        <v>2043</v>
      </c>
      <c r="O187" s="33"/>
      <c r="P187" s="63" t="s">
        <v>1019</v>
      </c>
      <c r="Q187" s="51" t="s">
        <v>1045</v>
      </c>
      <c r="R187" s="65">
        <v>7.6</v>
      </c>
      <c r="S187" s="248">
        <f>System!$E$9</f>
        <v>0.32219999999999999</v>
      </c>
      <c r="T187" s="247">
        <f t="shared" si="5"/>
        <v>2.4487199999999998</v>
      </c>
      <c r="U187" s="114">
        <f t="shared" si="6"/>
        <v>0.51219658735880802</v>
      </c>
      <c r="V187" s="105">
        <v>34.1</v>
      </c>
      <c r="W187" s="99">
        <v>1</v>
      </c>
      <c r="Y187" s="128" t="s">
        <v>83</v>
      </c>
      <c r="Z187" s="60">
        <v>0</v>
      </c>
      <c r="AA187" s="60">
        <v>7.6</v>
      </c>
      <c r="AB187" s="107">
        <v>1</v>
      </c>
      <c r="AC187" s="107">
        <v>1</v>
      </c>
      <c r="AD187" s="69"/>
      <c r="AE187" s="69"/>
      <c r="AF187" s="69"/>
      <c r="AG187" s="69"/>
      <c r="AH187" s="54" t="b">
        <v>0</v>
      </c>
      <c r="AI187" s="69"/>
      <c r="AJ187" s="107">
        <v>1</v>
      </c>
      <c r="AK187" s="69"/>
      <c r="AL187" s="99"/>
      <c r="AM187" s="156"/>
      <c r="AN187" s="115"/>
      <c r="AO187" s="116"/>
      <c r="AP187" s="69"/>
      <c r="AQ187" s="69"/>
      <c r="AR187" s="139"/>
      <c r="AS187" s="139"/>
      <c r="AT187" s="19"/>
      <c r="AU187" s="19"/>
    </row>
    <row r="188" spans="1:47" s="17" customFormat="1" ht="20" x14ac:dyDescent="0.2">
      <c r="A188" s="118"/>
      <c r="B188" s="206" t="s">
        <v>2775</v>
      </c>
      <c r="C188" s="280" t="s">
        <v>3761</v>
      </c>
      <c r="D188" s="206" t="s">
        <v>152</v>
      </c>
      <c r="E188" s="206" t="s">
        <v>153</v>
      </c>
      <c r="F188" s="119">
        <v>49.1769186</v>
      </c>
      <c r="G188" s="119">
        <v>-125.39557240000001</v>
      </c>
      <c r="H188" s="139" t="s">
        <v>1066</v>
      </c>
      <c r="I188" s="33" t="s">
        <v>2876</v>
      </c>
      <c r="J188" s="150" t="s">
        <v>1628</v>
      </c>
      <c r="K188" s="51" t="s">
        <v>3107</v>
      </c>
      <c r="L188" s="175">
        <v>69</v>
      </c>
      <c r="M188" s="54">
        <v>2010</v>
      </c>
      <c r="N188" s="33">
        <f t="shared" si="7"/>
        <v>2050</v>
      </c>
      <c r="O188" s="33"/>
      <c r="P188" s="63" t="s">
        <v>1019</v>
      </c>
      <c r="Q188" s="51" t="s">
        <v>1045</v>
      </c>
      <c r="R188" s="65">
        <v>5.5</v>
      </c>
      <c r="S188" s="248">
        <f>System!$E$9</f>
        <v>0.32219999999999999</v>
      </c>
      <c r="T188" s="247">
        <f t="shared" si="5"/>
        <v>1.7721</v>
      </c>
      <c r="U188" s="114">
        <f t="shared" si="6"/>
        <v>0.33623910336239105</v>
      </c>
      <c r="V188" s="105">
        <v>16.2</v>
      </c>
      <c r="W188" s="99">
        <v>1</v>
      </c>
      <c r="Y188" s="128" t="s">
        <v>83</v>
      </c>
      <c r="Z188" s="60">
        <v>0</v>
      </c>
      <c r="AA188" s="60">
        <v>5.5</v>
      </c>
      <c r="AB188" s="107">
        <v>1</v>
      </c>
      <c r="AC188" s="107">
        <v>1</v>
      </c>
      <c r="AD188" s="69"/>
      <c r="AE188" s="69"/>
      <c r="AF188" s="69"/>
      <c r="AG188" s="69"/>
      <c r="AH188" s="54" t="b">
        <v>0</v>
      </c>
      <c r="AI188" s="69"/>
      <c r="AJ188" s="107">
        <v>1</v>
      </c>
      <c r="AK188" s="69"/>
      <c r="AL188" s="99"/>
      <c r="AM188" s="156"/>
      <c r="AN188" s="115"/>
      <c r="AO188" s="116"/>
      <c r="AP188" s="69"/>
      <c r="AQ188" s="69"/>
      <c r="AR188" s="139"/>
      <c r="AS188" s="139"/>
      <c r="AT188" s="19"/>
      <c r="AU188" s="19"/>
    </row>
    <row r="189" spans="1:47" s="117" customFormat="1" ht="20" x14ac:dyDescent="0.2">
      <c r="B189" s="206" t="s">
        <v>2776</v>
      </c>
      <c r="C189" s="280" t="s">
        <v>3763</v>
      </c>
      <c r="D189" s="206" t="s">
        <v>158</v>
      </c>
      <c r="E189" s="206" t="s">
        <v>159</v>
      </c>
      <c r="F189" s="119">
        <v>53.109166700000003</v>
      </c>
      <c r="G189" s="119">
        <v>-120.1941667</v>
      </c>
      <c r="H189" s="139" t="s">
        <v>1066</v>
      </c>
      <c r="I189" s="33" t="s">
        <v>2876</v>
      </c>
      <c r="J189" s="150" t="s">
        <v>1854</v>
      </c>
      <c r="K189" s="51" t="s">
        <v>3185</v>
      </c>
      <c r="L189" s="175">
        <v>138</v>
      </c>
      <c r="M189" s="54">
        <v>2014</v>
      </c>
      <c r="N189" s="33">
        <f t="shared" si="7"/>
        <v>2054</v>
      </c>
      <c r="O189" s="33"/>
      <c r="P189" s="63" t="s">
        <v>1019</v>
      </c>
      <c r="Q189" s="51" t="s">
        <v>1045</v>
      </c>
      <c r="R189" s="65">
        <v>6</v>
      </c>
      <c r="S189" s="248">
        <f>System!$E$9</f>
        <v>0.32219999999999999</v>
      </c>
      <c r="T189" s="247">
        <f t="shared" si="5"/>
        <v>1.9331999999999998</v>
      </c>
      <c r="U189" s="114">
        <f t="shared" si="6"/>
        <v>0.64687975646879758</v>
      </c>
      <c r="V189" s="64">
        <v>34</v>
      </c>
      <c r="W189" s="99">
        <v>1</v>
      </c>
      <c r="X189" s="17"/>
      <c r="Y189" s="128" t="s">
        <v>83</v>
      </c>
      <c r="Z189" s="60">
        <v>0</v>
      </c>
      <c r="AA189" s="60">
        <v>6</v>
      </c>
      <c r="AB189" s="107">
        <v>1</v>
      </c>
      <c r="AC189" s="107">
        <v>1</v>
      </c>
      <c r="AD189" s="69"/>
      <c r="AE189" s="69"/>
      <c r="AF189" s="69"/>
      <c r="AG189" s="69"/>
      <c r="AH189" s="54" t="b">
        <v>0</v>
      </c>
      <c r="AI189" s="69"/>
      <c r="AJ189" s="107">
        <v>1</v>
      </c>
      <c r="AK189" s="69"/>
      <c r="AL189" s="99"/>
      <c r="AM189" s="156"/>
      <c r="AN189" s="115"/>
      <c r="AO189" s="116"/>
      <c r="AP189" s="69"/>
      <c r="AQ189" s="69"/>
      <c r="AR189" s="139"/>
      <c r="AS189" s="139"/>
      <c r="AT189" s="19"/>
      <c r="AU189" s="19" t="s">
        <v>2777</v>
      </c>
    </row>
    <row r="190" spans="1:47" s="17" customFormat="1" ht="20" x14ac:dyDescent="0.2">
      <c r="A190" s="118"/>
      <c r="B190" s="206" t="s">
        <v>2773</v>
      </c>
      <c r="C190" s="280" t="s">
        <v>3768</v>
      </c>
      <c r="D190" s="206" t="s">
        <v>166</v>
      </c>
      <c r="E190" s="206" t="s">
        <v>167</v>
      </c>
      <c r="F190" s="119">
        <v>49.185605500000001</v>
      </c>
      <c r="G190" s="119">
        <v>-124.7394651</v>
      </c>
      <c r="H190" s="139" t="s">
        <v>1066</v>
      </c>
      <c r="I190" s="33" t="s">
        <v>2876</v>
      </c>
      <c r="J190" s="150" t="s">
        <v>167</v>
      </c>
      <c r="K190" s="51" t="s">
        <v>3186</v>
      </c>
      <c r="L190" s="175">
        <v>138</v>
      </c>
      <c r="M190" s="54">
        <v>2005</v>
      </c>
      <c r="N190" s="33">
        <f t="shared" si="7"/>
        <v>2045</v>
      </c>
      <c r="O190" s="33"/>
      <c r="P190" s="63" t="s">
        <v>1019</v>
      </c>
      <c r="Q190" s="51" t="s">
        <v>1045</v>
      </c>
      <c r="R190" s="65">
        <v>6.3</v>
      </c>
      <c r="S190" s="248">
        <f>System!$E$9</f>
        <v>0.32219999999999999</v>
      </c>
      <c r="T190" s="247">
        <f t="shared" si="5"/>
        <v>2.0298599999999998</v>
      </c>
      <c r="U190" s="114">
        <f t="shared" si="6"/>
        <v>0.44810466043342756</v>
      </c>
      <c r="V190" s="105">
        <v>24.73</v>
      </c>
      <c r="W190" s="99">
        <v>1</v>
      </c>
      <c r="Y190" s="128" t="s">
        <v>83</v>
      </c>
      <c r="Z190" s="60">
        <v>0</v>
      </c>
      <c r="AA190" s="60">
        <v>6.3</v>
      </c>
      <c r="AB190" s="107">
        <v>1</v>
      </c>
      <c r="AC190" s="107">
        <v>1</v>
      </c>
      <c r="AD190" s="69"/>
      <c r="AE190" s="69"/>
      <c r="AF190" s="69"/>
      <c r="AG190" s="69"/>
      <c r="AH190" s="54" t="b">
        <v>0</v>
      </c>
      <c r="AI190" s="69"/>
      <c r="AJ190" s="107">
        <v>1</v>
      </c>
      <c r="AK190" s="69"/>
      <c r="AL190" s="99"/>
      <c r="AM190" s="156"/>
      <c r="AN190" s="115"/>
      <c r="AO190" s="116"/>
      <c r="AP190" s="69"/>
      <c r="AQ190" s="69"/>
      <c r="AR190" s="139"/>
      <c r="AS190" s="139"/>
      <c r="AT190" s="19"/>
      <c r="AU190" s="19"/>
    </row>
    <row r="191" spans="1:47" s="17" customFormat="1" ht="20" x14ac:dyDescent="0.2">
      <c r="A191" s="118"/>
      <c r="B191" s="206" t="s">
        <v>175</v>
      </c>
      <c r="C191" s="280" t="s">
        <v>3771</v>
      </c>
      <c r="D191" s="206" t="s">
        <v>176</v>
      </c>
      <c r="E191" s="206" t="s">
        <v>110</v>
      </c>
      <c r="F191" s="119">
        <v>50.771577000000001</v>
      </c>
      <c r="G191" s="119">
        <v>-118.1041359</v>
      </c>
      <c r="H191" s="139" t="s">
        <v>1066</v>
      </c>
      <c r="I191" s="33" t="s">
        <v>2876</v>
      </c>
      <c r="J191" s="150" t="s">
        <v>2320</v>
      </c>
      <c r="K191" s="51" t="s">
        <v>3110</v>
      </c>
      <c r="L191" s="175">
        <v>69</v>
      </c>
      <c r="M191" s="54">
        <v>2008</v>
      </c>
      <c r="N191" s="33">
        <f t="shared" si="7"/>
        <v>2048</v>
      </c>
      <c r="O191" s="33"/>
      <c r="P191" s="63" t="s">
        <v>1019</v>
      </c>
      <c r="Q191" s="51" t="s">
        <v>1045</v>
      </c>
      <c r="R191" s="65">
        <v>11.5</v>
      </c>
      <c r="S191" s="248">
        <f>System!$E$9</f>
        <v>0.32219999999999999</v>
      </c>
      <c r="T191" s="247">
        <f t="shared" si="5"/>
        <v>3.7052999999999998</v>
      </c>
      <c r="U191" s="114">
        <f t="shared" si="6"/>
        <v>8.9338892197736747E-2</v>
      </c>
      <c r="V191" s="105">
        <v>9</v>
      </c>
      <c r="W191" s="99">
        <v>1</v>
      </c>
      <c r="Y191" s="128" t="s">
        <v>83</v>
      </c>
      <c r="Z191" s="60">
        <v>0</v>
      </c>
      <c r="AA191" s="60">
        <v>11.5</v>
      </c>
      <c r="AB191" s="162">
        <v>1</v>
      </c>
      <c r="AC191" s="162">
        <v>1</v>
      </c>
      <c r="AD191" s="69"/>
      <c r="AE191" s="69"/>
      <c r="AF191" s="69"/>
      <c r="AG191" s="69"/>
      <c r="AH191" s="54" t="b">
        <v>0</v>
      </c>
      <c r="AI191" s="69"/>
      <c r="AJ191" s="107">
        <v>1</v>
      </c>
      <c r="AK191" s="69"/>
      <c r="AL191" s="99"/>
      <c r="AN191" s="115"/>
      <c r="AO191" s="116"/>
      <c r="AP191" s="69"/>
      <c r="AQ191" s="69"/>
      <c r="AR191" s="139"/>
      <c r="AS191" s="139"/>
      <c r="AT191" s="19"/>
      <c r="AU191" s="19"/>
    </row>
    <row r="192" spans="1:47" s="17" customFormat="1" ht="20" x14ac:dyDescent="0.2">
      <c r="A192" s="118"/>
      <c r="B192" s="206" t="s">
        <v>180</v>
      </c>
      <c r="C192" s="280" t="s">
        <v>3773</v>
      </c>
      <c r="D192" s="206" t="s">
        <v>181</v>
      </c>
      <c r="E192" s="206" t="s">
        <v>120</v>
      </c>
      <c r="F192" s="119">
        <v>49.8771816</v>
      </c>
      <c r="G192" s="119">
        <v>-123.1598934</v>
      </c>
      <c r="H192" s="139" t="s">
        <v>1066</v>
      </c>
      <c r="I192" s="33" t="s">
        <v>2876</v>
      </c>
      <c r="J192" s="150" t="s">
        <v>1640</v>
      </c>
      <c r="K192" s="51" t="s">
        <v>3113</v>
      </c>
      <c r="L192" s="175">
        <v>69</v>
      </c>
      <c r="M192" s="54">
        <v>2014</v>
      </c>
      <c r="N192" s="33">
        <f t="shared" si="7"/>
        <v>2054</v>
      </c>
      <c r="O192" s="33"/>
      <c r="P192" s="63" t="s">
        <v>1019</v>
      </c>
      <c r="Q192" s="51" t="s">
        <v>1045</v>
      </c>
      <c r="R192" s="65">
        <v>15</v>
      </c>
      <c r="S192" s="248">
        <f>System!$E$9</f>
        <v>0.32219999999999999</v>
      </c>
      <c r="T192" s="247">
        <f t="shared" si="5"/>
        <v>4.8330000000000002</v>
      </c>
      <c r="U192" s="114">
        <f t="shared" si="6"/>
        <v>0.5624809741248098</v>
      </c>
      <c r="V192" s="105">
        <v>73.91</v>
      </c>
      <c r="W192" s="99">
        <v>1</v>
      </c>
      <c r="Y192" s="128" t="s">
        <v>83</v>
      </c>
      <c r="Z192" s="60">
        <v>0</v>
      </c>
      <c r="AA192" s="60">
        <v>15</v>
      </c>
      <c r="AB192" s="107">
        <v>1</v>
      </c>
      <c r="AC192" s="107">
        <v>1</v>
      </c>
      <c r="AD192" s="69"/>
      <c r="AE192" s="69"/>
      <c r="AF192" s="69"/>
      <c r="AG192" s="69"/>
      <c r="AH192" s="54" t="b">
        <v>0</v>
      </c>
      <c r="AI192" s="69"/>
      <c r="AJ192" s="107">
        <v>1</v>
      </c>
      <c r="AK192" s="69"/>
      <c r="AL192" s="99"/>
      <c r="AN192" s="115"/>
      <c r="AO192" s="116"/>
      <c r="AP192" s="69"/>
      <c r="AQ192" s="69"/>
      <c r="AR192" s="139"/>
      <c r="AS192" s="139"/>
      <c r="AT192" s="19"/>
      <c r="AU192" s="19"/>
    </row>
    <row r="193" spans="1:47" s="17" customFormat="1" ht="20" x14ac:dyDescent="0.2">
      <c r="A193" s="118"/>
      <c r="B193" s="206" t="s">
        <v>182</v>
      </c>
      <c r="C193" s="280" t="s">
        <v>3774</v>
      </c>
      <c r="D193" s="206" t="s">
        <v>183</v>
      </c>
      <c r="E193" s="206" t="s">
        <v>184</v>
      </c>
      <c r="F193" s="119">
        <v>49.842748499999999</v>
      </c>
      <c r="G193" s="119">
        <v>-126.1276611</v>
      </c>
      <c r="H193" s="139" t="s">
        <v>1066</v>
      </c>
      <c r="I193" s="33" t="s">
        <v>2876</v>
      </c>
      <c r="J193" s="150" t="s">
        <v>184</v>
      </c>
      <c r="K193" s="51" t="s">
        <v>3253</v>
      </c>
      <c r="L193" s="175">
        <v>138</v>
      </c>
      <c r="M193" s="54">
        <v>2009</v>
      </c>
      <c r="N193" s="33">
        <f t="shared" si="7"/>
        <v>2049</v>
      </c>
      <c r="O193" s="33"/>
      <c r="P193" s="63" t="s">
        <v>1019</v>
      </c>
      <c r="Q193" s="51" t="s">
        <v>1045</v>
      </c>
      <c r="R193" s="65">
        <v>2.83</v>
      </c>
      <c r="S193" s="248">
        <f>System!$E$9</f>
        <v>0.32219999999999999</v>
      </c>
      <c r="T193" s="247">
        <f t="shared" si="5"/>
        <v>0.91182600000000003</v>
      </c>
      <c r="U193" s="114">
        <f t="shared" si="6"/>
        <v>0.4997821772593059</v>
      </c>
      <c r="V193" s="105">
        <v>12.39</v>
      </c>
      <c r="W193" s="99">
        <v>1</v>
      </c>
      <c r="Y193" s="128" t="s">
        <v>83</v>
      </c>
      <c r="Z193" s="60">
        <v>0</v>
      </c>
      <c r="AA193" s="60">
        <v>2.83</v>
      </c>
      <c r="AB193" s="107">
        <v>1</v>
      </c>
      <c r="AC193" s="107">
        <v>1</v>
      </c>
      <c r="AD193" s="69"/>
      <c r="AE193" s="69"/>
      <c r="AF193" s="69"/>
      <c r="AG193" s="69"/>
      <c r="AH193" s="54" t="b">
        <v>0</v>
      </c>
      <c r="AI193" s="69"/>
      <c r="AJ193" s="107">
        <v>1</v>
      </c>
      <c r="AK193" s="69"/>
      <c r="AL193" s="99"/>
      <c r="AM193" s="156"/>
      <c r="AN193" s="115"/>
      <c r="AO193" s="116"/>
      <c r="AP193" s="69"/>
      <c r="AQ193" s="69"/>
      <c r="AR193" s="139"/>
      <c r="AS193" s="139"/>
      <c r="AT193" s="19"/>
      <c r="AU193" s="19"/>
    </row>
    <row r="194" spans="1:47" s="17" customFormat="1" ht="20" x14ac:dyDescent="0.2">
      <c r="A194" s="118"/>
      <c r="B194" s="206" t="s">
        <v>2927</v>
      </c>
      <c r="C194" s="280" t="s">
        <v>3775</v>
      </c>
      <c r="D194" s="206" t="s">
        <v>829</v>
      </c>
      <c r="E194" s="206" t="s">
        <v>185</v>
      </c>
      <c r="F194" s="119">
        <v>54.383480499999997</v>
      </c>
      <c r="G194" s="119">
        <v>-128.91485299999999</v>
      </c>
      <c r="H194" s="139" t="s">
        <v>1066</v>
      </c>
      <c r="I194" s="33" t="s">
        <v>2876</v>
      </c>
      <c r="J194" s="150" t="s">
        <v>2305</v>
      </c>
      <c r="K194" s="51" t="s">
        <v>3116</v>
      </c>
      <c r="L194" s="175">
        <v>69</v>
      </c>
      <c r="M194" s="54">
        <v>2014</v>
      </c>
      <c r="N194" s="33">
        <f t="shared" si="7"/>
        <v>2054</v>
      </c>
      <c r="O194" s="33"/>
      <c r="P194" s="63" t="s">
        <v>1019</v>
      </c>
      <c r="Q194" s="51" t="s">
        <v>1045</v>
      </c>
      <c r="R194" s="65">
        <v>20</v>
      </c>
      <c r="S194" s="248">
        <f>System!$E$9</f>
        <v>0.32219999999999999</v>
      </c>
      <c r="T194" s="247">
        <f t="shared" si="5"/>
        <v>6.444</v>
      </c>
      <c r="U194" s="114">
        <f t="shared" si="6"/>
        <v>0.46158675799086757</v>
      </c>
      <c r="V194" s="105">
        <v>80.87</v>
      </c>
      <c r="W194" s="99">
        <v>1</v>
      </c>
      <c r="Y194" s="128" t="s">
        <v>83</v>
      </c>
      <c r="Z194" s="60">
        <v>0</v>
      </c>
      <c r="AA194" s="60">
        <v>20</v>
      </c>
      <c r="AB194" s="107">
        <v>1</v>
      </c>
      <c r="AC194" s="107">
        <v>1</v>
      </c>
      <c r="AD194" s="69"/>
      <c r="AE194" s="69"/>
      <c r="AF194" s="69"/>
      <c r="AG194" s="69"/>
      <c r="AH194" s="54" t="b">
        <v>0</v>
      </c>
      <c r="AI194" s="69"/>
      <c r="AJ194" s="107">
        <v>1</v>
      </c>
      <c r="AK194" s="69"/>
      <c r="AL194" s="99"/>
      <c r="AN194" s="115"/>
      <c r="AO194" s="116"/>
      <c r="AP194" s="69"/>
      <c r="AQ194" s="69"/>
      <c r="AR194" s="139"/>
      <c r="AS194" s="139"/>
      <c r="AT194" s="19"/>
      <c r="AU194" s="19"/>
    </row>
    <row r="195" spans="1:47" s="17" customFormat="1" ht="20" x14ac:dyDescent="0.2">
      <c r="A195" s="118"/>
      <c r="B195" s="206" t="s">
        <v>187</v>
      </c>
      <c r="C195" s="280" t="s">
        <v>3777</v>
      </c>
      <c r="D195" s="206" t="s">
        <v>188</v>
      </c>
      <c r="E195" s="206" t="s">
        <v>167</v>
      </c>
      <c r="F195" s="119">
        <v>49.2964269</v>
      </c>
      <c r="G195" s="119">
        <v>-125.2755331</v>
      </c>
      <c r="H195" s="139" t="s">
        <v>1066</v>
      </c>
      <c r="I195" s="33" t="s">
        <v>2876</v>
      </c>
      <c r="J195" s="150" t="s">
        <v>1653</v>
      </c>
      <c r="K195" s="51" t="s">
        <v>3117</v>
      </c>
      <c r="L195" s="175">
        <v>69</v>
      </c>
      <c r="M195" s="54">
        <v>1996</v>
      </c>
      <c r="N195" s="33">
        <f t="shared" si="7"/>
        <v>2036</v>
      </c>
      <c r="O195" s="33"/>
      <c r="P195" s="63" t="s">
        <v>1019</v>
      </c>
      <c r="Q195" s="51" t="s">
        <v>1045</v>
      </c>
      <c r="R195" s="65">
        <v>5.6</v>
      </c>
      <c r="S195" s="248">
        <f>System!$E$9</f>
        <v>0.32219999999999999</v>
      </c>
      <c r="T195" s="247">
        <f t="shared" si="5"/>
        <v>1.8043199999999997</v>
      </c>
      <c r="U195" s="114">
        <f t="shared" si="6"/>
        <v>0.55039138943248533</v>
      </c>
      <c r="V195" s="105">
        <v>27</v>
      </c>
      <c r="W195" s="99">
        <v>1</v>
      </c>
      <c r="Y195" s="128" t="s">
        <v>83</v>
      </c>
      <c r="Z195" s="60">
        <v>0</v>
      </c>
      <c r="AA195" s="60">
        <v>5.6</v>
      </c>
      <c r="AB195" s="107">
        <v>1</v>
      </c>
      <c r="AC195" s="107">
        <v>1</v>
      </c>
      <c r="AD195" s="69"/>
      <c r="AE195" s="69"/>
      <c r="AF195" s="69"/>
      <c r="AG195" s="69"/>
      <c r="AH195" s="54" t="b">
        <v>0</v>
      </c>
      <c r="AI195" s="69"/>
      <c r="AJ195" s="107">
        <v>1</v>
      </c>
      <c r="AK195" s="69"/>
      <c r="AL195" s="99"/>
      <c r="AM195" s="156"/>
      <c r="AN195" s="115"/>
      <c r="AO195" s="116"/>
      <c r="AP195" s="69"/>
      <c r="AQ195" s="69"/>
      <c r="AR195" s="139"/>
      <c r="AS195" s="139"/>
      <c r="AT195" s="19"/>
      <c r="AU195" s="19"/>
    </row>
    <row r="196" spans="1:47" s="17" customFormat="1" ht="20" x14ac:dyDescent="0.2">
      <c r="A196" s="118"/>
      <c r="B196" s="206" t="s">
        <v>2786</v>
      </c>
      <c r="C196" s="280" t="s">
        <v>3778</v>
      </c>
      <c r="D196" s="206" t="s">
        <v>189</v>
      </c>
      <c r="E196" s="206" t="s">
        <v>190</v>
      </c>
      <c r="F196" s="119">
        <v>49.7675628</v>
      </c>
      <c r="G196" s="119">
        <v>-122.1509539</v>
      </c>
      <c r="H196" s="139" t="s">
        <v>1066</v>
      </c>
      <c r="I196" s="33" t="s">
        <v>2876</v>
      </c>
      <c r="J196" s="151" t="s">
        <v>2303</v>
      </c>
      <c r="K196" s="51" t="s">
        <v>3114</v>
      </c>
      <c r="L196" s="175">
        <v>138</v>
      </c>
      <c r="M196" s="54">
        <v>2009</v>
      </c>
      <c r="N196" s="33">
        <f t="shared" si="7"/>
        <v>2049</v>
      </c>
      <c r="O196" s="33"/>
      <c r="P196" s="63" t="s">
        <v>1019</v>
      </c>
      <c r="Q196" s="51" t="s">
        <v>1045</v>
      </c>
      <c r="R196" s="65">
        <v>28.76</v>
      </c>
      <c r="S196" s="248">
        <f>System!$E$9</f>
        <v>0.32219999999999999</v>
      </c>
      <c r="T196" s="247">
        <f t="shared" ref="T196:T259" si="8">R196*S196</f>
        <v>9.2664720000000003</v>
      </c>
      <c r="U196" s="114">
        <f t="shared" ref="U196:U259" si="9">V196*1000/(24*365*R196)</f>
        <v>0.56734085714784299</v>
      </c>
      <c r="V196" s="125">
        <v>142.93449393177042</v>
      </c>
      <c r="W196" s="99">
        <v>1</v>
      </c>
      <c r="Y196" s="128" t="s">
        <v>83</v>
      </c>
      <c r="Z196" s="60">
        <v>0</v>
      </c>
      <c r="AA196" s="60">
        <v>28.76</v>
      </c>
      <c r="AB196" s="107">
        <v>1</v>
      </c>
      <c r="AC196" s="107">
        <v>1</v>
      </c>
      <c r="AD196" s="69"/>
      <c r="AE196" s="69"/>
      <c r="AF196" s="69"/>
      <c r="AG196" s="69"/>
      <c r="AH196" s="54" t="b">
        <v>0</v>
      </c>
      <c r="AI196" s="69"/>
      <c r="AJ196" s="107">
        <v>1</v>
      </c>
      <c r="AK196" s="69"/>
      <c r="AL196" s="99"/>
      <c r="AN196" s="115"/>
      <c r="AO196" s="116"/>
      <c r="AP196" s="69"/>
      <c r="AQ196" s="69"/>
      <c r="AR196" s="139"/>
      <c r="AS196" s="139"/>
      <c r="AT196" s="19"/>
      <c r="AU196" s="19"/>
    </row>
    <row r="197" spans="1:47" s="17" customFormat="1" ht="20" x14ac:dyDescent="0.2">
      <c r="A197" s="118"/>
      <c r="B197" s="206" t="s">
        <v>2782</v>
      </c>
      <c r="C197" s="280" t="s">
        <v>3779</v>
      </c>
      <c r="D197" s="206" t="s">
        <v>193</v>
      </c>
      <c r="E197" s="206" t="s">
        <v>194</v>
      </c>
      <c r="F197" s="119">
        <v>50.675080800000003</v>
      </c>
      <c r="G197" s="119">
        <v>-123.9602757</v>
      </c>
      <c r="H197" s="139" t="s">
        <v>1066</v>
      </c>
      <c r="I197" s="33" t="s">
        <v>2876</v>
      </c>
      <c r="J197" s="151" t="s">
        <v>2306</v>
      </c>
      <c r="K197" s="51" t="s">
        <v>3119</v>
      </c>
      <c r="L197" s="175">
        <v>230</v>
      </c>
      <c r="M197" s="54">
        <v>2010</v>
      </c>
      <c r="N197" s="33">
        <f t="shared" si="7"/>
        <v>2050</v>
      </c>
      <c r="O197" s="33"/>
      <c r="P197" s="63" t="s">
        <v>1019</v>
      </c>
      <c r="Q197" s="51" t="s">
        <v>1045</v>
      </c>
      <c r="R197" s="65">
        <v>147.30000000000001</v>
      </c>
      <c r="S197" s="248">
        <f>System!$E$9</f>
        <v>0.32219999999999999</v>
      </c>
      <c r="T197" s="247">
        <f t="shared" si="8"/>
        <v>47.460059999999999</v>
      </c>
      <c r="U197" s="114">
        <f t="shared" si="9"/>
        <v>0.56734085557203484</v>
      </c>
      <c r="V197" s="65">
        <v>732.067138305664</v>
      </c>
      <c r="W197" s="99">
        <v>2</v>
      </c>
      <c r="Y197" s="128" t="s">
        <v>83</v>
      </c>
      <c r="Z197" s="60">
        <v>0</v>
      </c>
      <c r="AA197" s="60">
        <v>147.30000000000001</v>
      </c>
      <c r="AB197" s="107">
        <v>1</v>
      </c>
      <c r="AC197" s="107">
        <v>1</v>
      </c>
      <c r="AD197" s="69"/>
      <c r="AE197" s="69"/>
      <c r="AF197" s="69"/>
      <c r="AG197" s="69"/>
      <c r="AH197" s="54" t="b">
        <v>0</v>
      </c>
      <c r="AI197" s="69"/>
      <c r="AJ197" s="107">
        <v>1</v>
      </c>
      <c r="AK197" s="69"/>
      <c r="AL197" s="99"/>
      <c r="AM197" s="156"/>
      <c r="AN197" s="115"/>
      <c r="AO197" s="116"/>
      <c r="AP197" s="69"/>
      <c r="AQ197" s="69"/>
      <c r="AR197" s="139"/>
      <c r="AS197" s="139"/>
      <c r="AT197" s="19"/>
      <c r="AU197" s="19"/>
    </row>
    <row r="198" spans="1:47" s="17" customFormat="1" ht="20" x14ac:dyDescent="0.2">
      <c r="A198" s="118"/>
      <c r="B198" s="206" t="s">
        <v>2781</v>
      </c>
      <c r="C198" s="280" t="s">
        <v>3780</v>
      </c>
      <c r="D198" s="206" t="s">
        <v>195</v>
      </c>
      <c r="E198" s="206" t="s">
        <v>159</v>
      </c>
      <c r="F198" s="119">
        <v>53.458136199999998</v>
      </c>
      <c r="G198" s="119">
        <v>-120.3833946</v>
      </c>
      <c r="H198" s="139" t="s">
        <v>1066</v>
      </c>
      <c r="I198" s="33" t="s">
        <v>2876</v>
      </c>
      <c r="J198" s="150" t="s">
        <v>1854</v>
      </c>
      <c r="K198" s="33" t="s">
        <v>3185</v>
      </c>
      <c r="L198" s="175">
        <v>69</v>
      </c>
      <c r="M198" s="54">
        <v>1991</v>
      </c>
      <c r="N198" s="33">
        <f t="shared" si="7"/>
        <v>2031</v>
      </c>
      <c r="O198" s="33"/>
      <c r="P198" s="63" t="s">
        <v>1019</v>
      </c>
      <c r="Q198" s="51" t="s">
        <v>1045</v>
      </c>
      <c r="R198" s="65">
        <v>1.6</v>
      </c>
      <c r="S198" s="248">
        <f>System!$E$9</f>
        <v>0.32219999999999999</v>
      </c>
      <c r="T198" s="247">
        <f t="shared" si="8"/>
        <v>0.51551999999999998</v>
      </c>
      <c r="U198" s="114">
        <f t="shared" si="9"/>
        <v>0.42808219178082191</v>
      </c>
      <c r="V198" s="105">
        <v>6</v>
      </c>
      <c r="W198" s="99">
        <v>1</v>
      </c>
      <c r="Y198" s="128" t="s">
        <v>83</v>
      </c>
      <c r="Z198" s="60">
        <v>0</v>
      </c>
      <c r="AA198" s="60">
        <v>1.6</v>
      </c>
      <c r="AB198" s="107">
        <v>1</v>
      </c>
      <c r="AC198" s="107">
        <v>1</v>
      </c>
      <c r="AD198" s="69"/>
      <c r="AE198" s="69"/>
      <c r="AF198" s="69"/>
      <c r="AG198" s="69"/>
      <c r="AH198" s="54" t="b">
        <v>0</v>
      </c>
      <c r="AI198" s="69"/>
      <c r="AJ198" s="107">
        <v>1</v>
      </c>
      <c r="AK198" s="69"/>
      <c r="AL198" s="99"/>
      <c r="AN198" s="115"/>
      <c r="AO198" s="116"/>
      <c r="AP198" s="69"/>
      <c r="AQ198" s="69"/>
      <c r="AR198" s="139"/>
      <c r="AS198" s="139"/>
      <c r="AT198" s="19"/>
      <c r="AU198" s="19"/>
    </row>
    <row r="199" spans="1:47" s="17" customFormat="1" ht="20" x14ac:dyDescent="0.2">
      <c r="A199" s="118"/>
      <c r="B199" s="206" t="s">
        <v>2787</v>
      </c>
      <c r="C199" s="280" t="s">
        <v>3782</v>
      </c>
      <c r="D199" s="206" t="s">
        <v>189</v>
      </c>
      <c r="E199" s="206" t="s">
        <v>190</v>
      </c>
      <c r="F199" s="119">
        <v>49.783363299999998</v>
      </c>
      <c r="G199" s="119">
        <v>-122.2346636</v>
      </c>
      <c r="H199" s="139" t="s">
        <v>1066</v>
      </c>
      <c r="I199" s="33" t="s">
        <v>2876</v>
      </c>
      <c r="J199" s="151" t="s">
        <v>2308</v>
      </c>
      <c r="K199" s="51" t="s">
        <v>3124</v>
      </c>
      <c r="L199" s="175">
        <v>138</v>
      </c>
      <c r="M199" s="54">
        <v>2009</v>
      </c>
      <c r="N199" s="33">
        <f t="shared" si="7"/>
        <v>2049</v>
      </c>
      <c r="O199" s="33"/>
      <c r="P199" s="63" t="s">
        <v>1019</v>
      </c>
      <c r="Q199" s="51" t="s">
        <v>1045</v>
      </c>
      <c r="R199" s="65">
        <v>25.28</v>
      </c>
      <c r="S199" s="248">
        <f>System!$E$9</f>
        <v>0.32219999999999999</v>
      </c>
      <c r="T199" s="247">
        <f t="shared" si="8"/>
        <v>8.1452159999999996</v>
      </c>
      <c r="U199" s="114">
        <f t="shared" si="9"/>
        <v>0.56734086148422325</v>
      </c>
      <c r="V199" s="125">
        <v>125.6392223300934</v>
      </c>
      <c r="W199" s="99">
        <v>1</v>
      </c>
      <c r="Y199" s="128" t="s">
        <v>83</v>
      </c>
      <c r="Z199" s="60">
        <v>0</v>
      </c>
      <c r="AA199" s="60">
        <v>25.28</v>
      </c>
      <c r="AB199" s="107">
        <v>1</v>
      </c>
      <c r="AC199" s="107">
        <v>1</v>
      </c>
      <c r="AD199" s="69"/>
      <c r="AE199" s="69"/>
      <c r="AF199" s="69"/>
      <c r="AG199" s="69"/>
      <c r="AH199" s="54" t="b">
        <v>0</v>
      </c>
      <c r="AI199" s="69"/>
      <c r="AJ199" s="107">
        <v>1</v>
      </c>
      <c r="AK199" s="69"/>
      <c r="AL199" s="99"/>
      <c r="AM199" s="156"/>
      <c r="AN199" s="115"/>
      <c r="AO199" s="116"/>
      <c r="AP199" s="69"/>
      <c r="AQ199" s="69"/>
      <c r="AR199" s="139"/>
      <c r="AS199" s="139"/>
      <c r="AT199" s="19"/>
      <c r="AU199" s="19"/>
    </row>
    <row r="200" spans="1:47" s="17" customFormat="1" ht="20" x14ac:dyDescent="0.2">
      <c r="A200" s="118"/>
      <c r="B200" s="206" t="s">
        <v>202</v>
      </c>
      <c r="C200" s="280" t="s">
        <v>3783</v>
      </c>
      <c r="D200" s="206" t="s">
        <v>830</v>
      </c>
      <c r="E200" s="206" t="s">
        <v>139</v>
      </c>
      <c r="F200" s="119">
        <v>50.105636099999998</v>
      </c>
      <c r="G200" s="119">
        <v>-122.9448135</v>
      </c>
      <c r="H200" s="139" t="s">
        <v>1066</v>
      </c>
      <c r="I200" s="33" t="s">
        <v>2876</v>
      </c>
      <c r="J200" s="150" t="s">
        <v>1617</v>
      </c>
      <c r="K200" s="51" t="s">
        <v>3189</v>
      </c>
      <c r="L200" s="175">
        <v>138</v>
      </c>
      <c r="M200" s="54">
        <v>2010</v>
      </c>
      <c r="N200" s="33">
        <f t="shared" si="7"/>
        <v>2050</v>
      </c>
      <c r="O200" s="33"/>
      <c r="P200" s="63" t="s">
        <v>1019</v>
      </c>
      <c r="Q200" s="51" t="s">
        <v>1045</v>
      </c>
      <c r="R200" s="65">
        <v>8</v>
      </c>
      <c r="S200" s="248">
        <f>System!$E$9</f>
        <v>0.32219999999999999</v>
      </c>
      <c r="T200" s="247">
        <f t="shared" si="8"/>
        <v>2.5775999999999999</v>
      </c>
      <c r="U200" s="114">
        <f t="shared" si="9"/>
        <v>0.51369863013698636</v>
      </c>
      <c r="V200" s="105">
        <v>36</v>
      </c>
      <c r="W200" s="99">
        <v>1</v>
      </c>
      <c r="Y200" s="128" t="s">
        <v>83</v>
      </c>
      <c r="Z200" s="60">
        <v>0</v>
      </c>
      <c r="AA200" s="60">
        <v>8</v>
      </c>
      <c r="AB200" s="107">
        <v>1</v>
      </c>
      <c r="AC200" s="107">
        <v>1</v>
      </c>
      <c r="AD200" s="69"/>
      <c r="AE200" s="69"/>
      <c r="AF200" s="69"/>
      <c r="AG200" s="69"/>
      <c r="AH200" s="54" t="b">
        <v>0</v>
      </c>
      <c r="AI200" s="69"/>
      <c r="AJ200" s="107">
        <v>1</v>
      </c>
      <c r="AK200" s="69"/>
      <c r="AL200" s="99"/>
      <c r="AM200" s="156"/>
      <c r="AN200" s="115"/>
      <c r="AO200" s="116"/>
      <c r="AP200" s="69"/>
      <c r="AQ200" s="69"/>
      <c r="AR200" s="139"/>
      <c r="AS200" s="139"/>
      <c r="AT200" s="19"/>
      <c r="AU200" s="19"/>
    </row>
    <row r="201" spans="1:47" s="17" customFormat="1" ht="20" x14ac:dyDescent="0.2">
      <c r="A201" s="118"/>
      <c r="B201" s="206" t="s">
        <v>845</v>
      </c>
      <c r="C201" s="280" t="s">
        <v>2956</v>
      </c>
      <c r="D201" s="206" t="s">
        <v>203</v>
      </c>
      <c r="E201" s="206" t="s">
        <v>204</v>
      </c>
      <c r="F201" s="119">
        <v>56.7171618</v>
      </c>
      <c r="G201" s="119">
        <v>-130.6866014</v>
      </c>
      <c r="H201" s="139" t="s">
        <v>1066</v>
      </c>
      <c r="I201" s="33" t="s">
        <v>2876</v>
      </c>
      <c r="J201" s="151" t="s">
        <v>2307</v>
      </c>
      <c r="K201" s="51" t="s">
        <v>3121</v>
      </c>
      <c r="L201" s="175">
        <v>287</v>
      </c>
      <c r="M201" s="54">
        <v>2014</v>
      </c>
      <c r="N201" s="33">
        <f t="shared" si="7"/>
        <v>2054</v>
      </c>
      <c r="O201" s="33"/>
      <c r="P201" s="63" t="s">
        <v>1019</v>
      </c>
      <c r="Q201" s="51" t="s">
        <v>1045</v>
      </c>
      <c r="R201" s="65">
        <v>23.5</v>
      </c>
      <c r="S201" s="248">
        <f>System!$E$9</f>
        <v>0.32219999999999999</v>
      </c>
      <c r="T201" s="247">
        <f t="shared" si="8"/>
        <v>7.5716999999999999</v>
      </c>
      <c r="U201" s="114">
        <f t="shared" si="9"/>
        <v>0.56734188283299325</v>
      </c>
      <c r="V201" s="125">
        <v>116.79300000000001</v>
      </c>
      <c r="W201" s="99">
        <v>9</v>
      </c>
      <c r="Y201" s="128" t="s">
        <v>83</v>
      </c>
      <c r="Z201" s="60">
        <v>0</v>
      </c>
      <c r="AA201" s="60">
        <v>23.5</v>
      </c>
      <c r="AB201" s="107">
        <v>1</v>
      </c>
      <c r="AC201" s="107">
        <v>1</v>
      </c>
      <c r="AD201" s="69"/>
      <c r="AE201" s="69"/>
      <c r="AF201" s="69"/>
      <c r="AG201" s="69"/>
      <c r="AH201" s="54" t="b">
        <v>0</v>
      </c>
      <c r="AI201" s="69"/>
      <c r="AJ201" s="107">
        <v>1</v>
      </c>
      <c r="AK201" s="69"/>
      <c r="AL201" s="99"/>
      <c r="AN201" s="115"/>
      <c r="AO201" s="116"/>
      <c r="AP201" s="69"/>
      <c r="AQ201" s="69"/>
      <c r="AR201" s="139"/>
      <c r="AS201" s="139"/>
      <c r="AT201" s="19"/>
      <c r="AU201" s="19"/>
    </row>
    <row r="202" spans="1:47" s="17" customFormat="1" ht="20" x14ac:dyDescent="0.2">
      <c r="A202" s="118"/>
      <c r="B202" s="206" t="s">
        <v>846</v>
      </c>
      <c r="C202" s="280" t="s">
        <v>2998</v>
      </c>
      <c r="D202" s="206" t="s">
        <v>203</v>
      </c>
      <c r="E202" s="206" t="s">
        <v>204</v>
      </c>
      <c r="F202" s="119">
        <v>56.7171618</v>
      </c>
      <c r="G202" s="119">
        <v>-130.6866014</v>
      </c>
      <c r="H202" s="139" t="s">
        <v>1066</v>
      </c>
      <c r="I202" s="33" t="s">
        <v>2876</v>
      </c>
      <c r="J202" s="151" t="s">
        <v>2307</v>
      </c>
      <c r="K202" s="51" t="s">
        <v>3121</v>
      </c>
      <c r="L202" s="175">
        <v>287</v>
      </c>
      <c r="M202" s="54">
        <v>2014</v>
      </c>
      <c r="N202" s="33">
        <f t="shared" si="7"/>
        <v>2054</v>
      </c>
      <c r="O202" s="33"/>
      <c r="P202" s="63" t="s">
        <v>1019</v>
      </c>
      <c r="Q202" s="51" t="s">
        <v>1045</v>
      </c>
      <c r="R202" s="65">
        <v>23.5</v>
      </c>
      <c r="S202" s="248">
        <f>System!$E$9</f>
        <v>0.32219999999999999</v>
      </c>
      <c r="T202" s="247">
        <f t="shared" si="8"/>
        <v>7.5716999999999999</v>
      </c>
      <c r="U202" s="114">
        <f t="shared" si="9"/>
        <v>0.56734188283299325</v>
      </c>
      <c r="V202" s="125">
        <v>116.79300000000001</v>
      </c>
      <c r="W202" s="99">
        <v>9</v>
      </c>
      <c r="Y202" s="128" t="s">
        <v>83</v>
      </c>
      <c r="Z202" s="60">
        <v>0</v>
      </c>
      <c r="AA202" s="60">
        <v>23.5</v>
      </c>
      <c r="AB202" s="107">
        <v>1</v>
      </c>
      <c r="AC202" s="107">
        <v>1</v>
      </c>
      <c r="AD202" s="69"/>
      <c r="AE202" s="69"/>
      <c r="AF202" s="69"/>
      <c r="AG202" s="69"/>
      <c r="AH202" s="54" t="b">
        <v>0</v>
      </c>
      <c r="AI202" s="69"/>
      <c r="AJ202" s="107">
        <v>1</v>
      </c>
      <c r="AK202" s="69"/>
      <c r="AL202" s="99"/>
      <c r="AN202" s="115"/>
      <c r="AO202" s="116"/>
      <c r="AP202" s="69"/>
      <c r="AQ202" s="69"/>
      <c r="AR202" s="139"/>
      <c r="AS202" s="139"/>
      <c r="AT202" s="19"/>
      <c r="AU202" s="19"/>
    </row>
    <row r="203" spans="1:47" s="17" customFormat="1" ht="20" x14ac:dyDescent="0.2">
      <c r="A203" s="118"/>
      <c r="B203" s="206" t="s">
        <v>847</v>
      </c>
      <c r="C203" s="280" t="s">
        <v>3034</v>
      </c>
      <c r="D203" s="206" t="s">
        <v>203</v>
      </c>
      <c r="E203" s="206" t="s">
        <v>204</v>
      </c>
      <c r="F203" s="119">
        <v>56.7171618</v>
      </c>
      <c r="G203" s="119">
        <v>-130.6866014</v>
      </c>
      <c r="H203" s="139" t="s">
        <v>1066</v>
      </c>
      <c r="I203" s="33" t="s">
        <v>2876</v>
      </c>
      <c r="J203" s="151" t="s">
        <v>2307</v>
      </c>
      <c r="K203" s="51" t="s">
        <v>3121</v>
      </c>
      <c r="L203" s="175">
        <v>287</v>
      </c>
      <c r="M203" s="54">
        <v>2014</v>
      </c>
      <c r="N203" s="33">
        <f t="shared" si="7"/>
        <v>2054</v>
      </c>
      <c r="O203" s="33"/>
      <c r="P203" s="63" t="s">
        <v>1019</v>
      </c>
      <c r="Q203" s="51" t="s">
        <v>1045</v>
      </c>
      <c r="R203" s="65">
        <v>23.5</v>
      </c>
      <c r="S203" s="248">
        <f>System!$E$9</f>
        <v>0.32219999999999999</v>
      </c>
      <c r="T203" s="247">
        <f t="shared" si="8"/>
        <v>7.5716999999999999</v>
      </c>
      <c r="U203" s="114">
        <f t="shared" si="9"/>
        <v>0.56734188283299325</v>
      </c>
      <c r="V203" s="125">
        <v>116.79300000000001</v>
      </c>
      <c r="W203" s="99">
        <v>9</v>
      </c>
      <c r="Y203" s="128" t="s">
        <v>83</v>
      </c>
      <c r="Z203" s="60">
        <v>0</v>
      </c>
      <c r="AA203" s="60">
        <v>23.5</v>
      </c>
      <c r="AB203" s="107">
        <v>1</v>
      </c>
      <c r="AC203" s="107">
        <v>1</v>
      </c>
      <c r="AD203" s="69"/>
      <c r="AE203" s="69"/>
      <c r="AF203" s="69"/>
      <c r="AG203" s="69"/>
      <c r="AH203" s="54" t="b">
        <v>0</v>
      </c>
      <c r="AI203" s="69"/>
      <c r="AJ203" s="107">
        <v>1</v>
      </c>
      <c r="AK203" s="69"/>
      <c r="AL203" s="99"/>
      <c r="AN203" s="115"/>
      <c r="AO203" s="116"/>
      <c r="AP203" s="69"/>
      <c r="AQ203" s="69"/>
      <c r="AR203" s="139"/>
      <c r="AS203" s="139"/>
      <c r="AT203" s="19"/>
      <c r="AU203" s="19"/>
    </row>
    <row r="204" spans="1:47" s="17" customFormat="1" ht="20" x14ac:dyDescent="0.2">
      <c r="A204" s="118"/>
      <c r="B204" s="206" t="s">
        <v>848</v>
      </c>
      <c r="C204" s="280" t="s">
        <v>3054</v>
      </c>
      <c r="D204" s="206" t="s">
        <v>203</v>
      </c>
      <c r="E204" s="206" t="s">
        <v>204</v>
      </c>
      <c r="F204" s="119">
        <v>56.7171618</v>
      </c>
      <c r="G204" s="119">
        <v>-130.6866014</v>
      </c>
      <c r="H204" s="139" t="s">
        <v>1066</v>
      </c>
      <c r="I204" s="33" t="s">
        <v>2876</v>
      </c>
      <c r="J204" s="151" t="s">
        <v>2307</v>
      </c>
      <c r="K204" s="51" t="s">
        <v>3121</v>
      </c>
      <c r="L204" s="175">
        <v>287</v>
      </c>
      <c r="M204" s="54">
        <v>2014</v>
      </c>
      <c r="N204" s="33">
        <f t="shared" si="7"/>
        <v>2054</v>
      </c>
      <c r="O204" s="33"/>
      <c r="P204" s="63" t="s">
        <v>1019</v>
      </c>
      <c r="Q204" s="51" t="s">
        <v>1045</v>
      </c>
      <c r="R204" s="65">
        <v>23.5</v>
      </c>
      <c r="S204" s="248">
        <f>System!$E$9</f>
        <v>0.32219999999999999</v>
      </c>
      <c r="T204" s="247">
        <f t="shared" si="8"/>
        <v>7.5716999999999999</v>
      </c>
      <c r="U204" s="114">
        <f t="shared" si="9"/>
        <v>0.56734188283299325</v>
      </c>
      <c r="V204" s="125">
        <v>116.79300000000001</v>
      </c>
      <c r="W204" s="99">
        <v>9</v>
      </c>
      <c r="Y204" s="128" t="s">
        <v>83</v>
      </c>
      <c r="Z204" s="60">
        <v>0</v>
      </c>
      <c r="AA204" s="60">
        <v>23.5</v>
      </c>
      <c r="AB204" s="107">
        <v>1</v>
      </c>
      <c r="AC204" s="107">
        <v>1</v>
      </c>
      <c r="AD204" s="69"/>
      <c r="AE204" s="69"/>
      <c r="AF204" s="69"/>
      <c r="AG204" s="69"/>
      <c r="AH204" s="54" t="b">
        <v>0</v>
      </c>
      <c r="AI204" s="69"/>
      <c r="AJ204" s="107">
        <v>1</v>
      </c>
      <c r="AK204" s="69"/>
      <c r="AL204" s="99"/>
      <c r="AN204" s="115"/>
      <c r="AO204" s="116"/>
      <c r="AP204" s="69"/>
      <c r="AQ204" s="69"/>
      <c r="AR204" s="139"/>
      <c r="AS204" s="139"/>
      <c r="AT204" s="19"/>
      <c r="AU204" s="19"/>
    </row>
    <row r="205" spans="1:47" s="17" customFormat="1" ht="20" x14ac:dyDescent="0.2">
      <c r="A205" s="118"/>
      <c r="B205" s="206" t="s">
        <v>849</v>
      </c>
      <c r="C205" s="280" t="s">
        <v>3065</v>
      </c>
      <c r="D205" s="206" t="s">
        <v>203</v>
      </c>
      <c r="E205" s="206" t="s">
        <v>204</v>
      </c>
      <c r="F205" s="119">
        <v>56.7171618</v>
      </c>
      <c r="G205" s="119">
        <v>-130.6866014</v>
      </c>
      <c r="H205" s="139" t="s">
        <v>1066</v>
      </c>
      <c r="I205" s="33" t="s">
        <v>2876</v>
      </c>
      <c r="J205" s="151" t="s">
        <v>2307</v>
      </c>
      <c r="K205" s="51" t="s">
        <v>3121</v>
      </c>
      <c r="L205" s="175">
        <v>287</v>
      </c>
      <c r="M205" s="54">
        <v>2014</v>
      </c>
      <c r="N205" s="33">
        <f t="shared" si="7"/>
        <v>2054</v>
      </c>
      <c r="O205" s="33"/>
      <c r="P205" s="63" t="s">
        <v>1019</v>
      </c>
      <c r="Q205" s="51" t="s">
        <v>1045</v>
      </c>
      <c r="R205" s="65">
        <v>23.5</v>
      </c>
      <c r="S205" s="248">
        <f>System!$E$9</f>
        <v>0.32219999999999999</v>
      </c>
      <c r="T205" s="247">
        <f t="shared" si="8"/>
        <v>7.5716999999999999</v>
      </c>
      <c r="U205" s="114">
        <f t="shared" si="9"/>
        <v>0.56734188283299325</v>
      </c>
      <c r="V205" s="125">
        <v>116.79300000000001</v>
      </c>
      <c r="W205" s="99">
        <v>9</v>
      </c>
      <c r="Y205" s="128" t="s">
        <v>83</v>
      </c>
      <c r="Z205" s="60">
        <v>0</v>
      </c>
      <c r="AA205" s="60">
        <v>23.5</v>
      </c>
      <c r="AB205" s="107">
        <v>1</v>
      </c>
      <c r="AC205" s="107">
        <v>1</v>
      </c>
      <c r="AD205" s="69"/>
      <c r="AE205" s="69"/>
      <c r="AF205" s="69"/>
      <c r="AG205" s="69"/>
      <c r="AH205" s="54" t="b">
        <v>0</v>
      </c>
      <c r="AI205" s="69"/>
      <c r="AJ205" s="107">
        <v>1</v>
      </c>
      <c r="AK205" s="69"/>
      <c r="AL205" s="99"/>
      <c r="AN205" s="115"/>
      <c r="AO205" s="116"/>
      <c r="AP205" s="69"/>
      <c r="AQ205" s="69"/>
      <c r="AR205" s="139"/>
      <c r="AS205" s="139"/>
      <c r="AT205" s="19"/>
      <c r="AU205" s="19"/>
    </row>
    <row r="206" spans="1:47" s="17" customFormat="1" ht="20" x14ac:dyDescent="0.2">
      <c r="A206" s="118"/>
      <c r="B206" s="206" t="s">
        <v>850</v>
      </c>
      <c r="C206" s="280" t="s">
        <v>3072</v>
      </c>
      <c r="D206" s="206" t="s">
        <v>203</v>
      </c>
      <c r="E206" s="206" t="s">
        <v>204</v>
      </c>
      <c r="F206" s="119">
        <v>56.7171618</v>
      </c>
      <c r="G206" s="119">
        <v>-130.6866014</v>
      </c>
      <c r="H206" s="139" t="s">
        <v>1066</v>
      </c>
      <c r="I206" s="33" t="s">
        <v>2876</v>
      </c>
      <c r="J206" s="151" t="s">
        <v>2307</v>
      </c>
      <c r="K206" s="51" t="s">
        <v>3121</v>
      </c>
      <c r="L206" s="175">
        <v>287</v>
      </c>
      <c r="M206" s="54">
        <v>2014</v>
      </c>
      <c r="N206" s="33">
        <f t="shared" si="7"/>
        <v>2054</v>
      </c>
      <c r="O206" s="33"/>
      <c r="P206" s="63" t="s">
        <v>1019</v>
      </c>
      <c r="Q206" s="51" t="s">
        <v>1045</v>
      </c>
      <c r="R206" s="65">
        <v>23.5</v>
      </c>
      <c r="S206" s="248">
        <f>System!$E$9</f>
        <v>0.32219999999999999</v>
      </c>
      <c r="T206" s="247">
        <f t="shared" si="8"/>
        <v>7.5716999999999999</v>
      </c>
      <c r="U206" s="114">
        <f t="shared" si="9"/>
        <v>0.56734188283299325</v>
      </c>
      <c r="V206" s="125">
        <v>116.79300000000001</v>
      </c>
      <c r="W206" s="99">
        <v>9</v>
      </c>
      <c r="Y206" s="128" t="s">
        <v>83</v>
      </c>
      <c r="Z206" s="60">
        <v>0</v>
      </c>
      <c r="AA206" s="60">
        <v>23.5</v>
      </c>
      <c r="AB206" s="107">
        <v>1</v>
      </c>
      <c r="AC206" s="107">
        <v>1</v>
      </c>
      <c r="AD206" s="69"/>
      <c r="AE206" s="69"/>
      <c r="AF206" s="69"/>
      <c r="AG206" s="69"/>
      <c r="AH206" s="54" t="b">
        <v>0</v>
      </c>
      <c r="AI206" s="69"/>
      <c r="AJ206" s="107">
        <v>1</v>
      </c>
      <c r="AK206" s="69"/>
      <c r="AL206" s="99"/>
      <c r="AN206" s="115"/>
      <c r="AO206" s="116"/>
      <c r="AP206" s="69"/>
      <c r="AQ206" s="69"/>
      <c r="AR206" s="139"/>
      <c r="AS206" s="139"/>
      <c r="AT206" s="19"/>
      <c r="AU206" s="19"/>
    </row>
    <row r="207" spans="1:47" s="117" customFormat="1" ht="20" x14ac:dyDescent="0.2">
      <c r="B207" s="206" t="s">
        <v>851</v>
      </c>
      <c r="C207" s="280" t="s">
        <v>3078</v>
      </c>
      <c r="D207" s="206" t="s">
        <v>203</v>
      </c>
      <c r="E207" s="206" t="s">
        <v>204</v>
      </c>
      <c r="F207" s="119">
        <v>56.7171618</v>
      </c>
      <c r="G207" s="119">
        <v>-130.6866014</v>
      </c>
      <c r="H207" s="139" t="s">
        <v>1066</v>
      </c>
      <c r="I207" s="33" t="s">
        <v>2876</v>
      </c>
      <c r="J207" s="151" t="s">
        <v>2307</v>
      </c>
      <c r="K207" s="51" t="s">
        <v>3121</v>
      </c>
      <c r="L207" s="175">
        <v>287</v>
      </c>
      <c r="M207" s="54">
        <v>2014</v>
      </c>
      <c r="N207" s="33">
        <f t="shared" si="7"/>
        <v>2054</v>
      </c>
      <c r="O207" s="33"/>
      <c r="P207" s="63" t="s">
        <v>1019</v>
      </c>
      <c r="Q207" s="51" t="s">
        <v>1045</v>
      </c>
      <c r="R207" s="65">
        <v>23.5</v>
      </c>
      <c r="S207" s="248">
        <f>System!$E$9</f>
        <v>0.32219999999999999</v>
      </c>
      <c r="T207" s="247">
        <f t="shared" si="8"/>
        <v>7.5716999999999999</v>
      </c>
      <c r="U207" s="114">
        <f t="shared" si="9"/>
        <v>0.56734188283299325</v>
      </c>
      <c r="V207" s="125">
        <v>116.79300000000001</v>
      </c>
      <c r="W207" s="99">
        <v>9</v>
      </c>
      <c r="X207" s="17"/>
      <c r="Y207" s="128" t="s">
        <v>83</v>
      </c>
      <c r="Z207" s="60">
        <v>0</v>
      </c>
      <c r="AA207" s="60">
        <v>23.5</v>
      </c>
      <c r="AB207" s="107">
        <v>1</v>
      </c>
      <c r="AC207" s="107">
        <v>1</v>
      </c>
      <c r="AD207" s="69"/>
      <c r="AE207" s="69"/>
      <c r="AF207" s="69"/>
      <c r="AG207" s="69"/>
      <c r="AH207" s="54" t="b">
        <v>0</v>
      </c>
      <c r="AI207" s="69"/>
      <c r="AJ207" s="107">
        <v>1</v>
      </c>
      <c r="AK207" s="69"/>
      <c r="AL207" s="99"/>
      <c r="AM207" s="17"/>
      <c r="AN207" s="115"/>
      <c r="AO207" s="116"/>
      <c r="AP207" s="69"/>
      <c r="AQ207" s="69"/>
      <c r="AR207" s="139"/>
      <c r="AS207" s="139"/>
      <c r="AT207" s="19"/>
      <c r="AU207" s="19"/>
    </row>
    <row r="208" spans="1:47" s="17" customFormat="1" ht="20" x14ac:dyDescent="0.2">
      <c r="A208" s="118"/>
      <c r="B208" s="206" t="s">
        <v>852</v>
      </c>
      <c r="C208" s="280" t="s">
        <v>3081</v>
      </c>
      <c r="D208" s="206" t="s">
        <v>203</v>
      </c>
      <c r="E208" s="206" t="s">
        <v>204</v>
      </c>
      <c r="F208" s="119">
        <v>56.7171618</v>
      </c>
      <c r="G208" s="119">
        <v>-130.6866014</v>
      </c>
      <c r="H208" s="139" t="s">
        <v>1066</v>
      </c>
      <c r="I208" s="33" t="s">
        <v>2876</v>
      </c>
      <c r="J208" s="151" t="s">
        <v>2307</v>
      </c>
      <c r="K208" s="51" t="s">
        <v>3121</v>
      </c>
      <c r="L208" s="175">
        <v>287</v>
      </c>
      <c r="M208" s="54">
        <v>2014</v>
      </c>
      <c r="N208" s="33">
        <f t="shared" si="7"/>
        <v>2054</v>
      </c>
      <c r="O208" s="33"/>
      <c r="P208" s="63" t="s">
        <v>1019</v>
      </c>
      <c r="Q208" s="51" t="s">
        <v>1045</v>
      </c>
      <c r="R208" s="65">
        <v>23.5</v>
      </c>
      <c r="S208" s="248">
        <f>System!$E$9</f>
        <v>0.32219999999999999</v>
      </c>
      <c r="T208" s="247">
        <f t="shared" si="8"/>
        <v>7.5716999999999999</v>
      </c>
      <c r="U208" s="114">
        <f t="shared" si="9"/>
        <v>0.56734188283299325</v>
      </c>
      <c r="V208" s="125">
        <v>116.79300000000001</v>
      </c>
      <c r="W208" s="99">
        <v>9</v>
      </c>
      <c r="Y208" s="128" t="s">
        <v>83</v>
      </c>
      <c r="Z208" s="60">
        <v>0</v>
      </c>
      <c r="AA208" s="60">
        <v>23.5</v>
      </c>
      <c r="AB208" s="107">
        <v>1</v>
      </c>
      <c r="AC208" s="107">
        <v>1</v>
      </c>
      <c r="AD208" s="69"/>
      <c r="AE208" s="69"/>
      <c r="AF208" s="69"/>
      <c r="AG208" s="69"/>
      <c r="AH208" s="54" t="b">
        <v>0</v>
      </c>
      <c r="AI208" s="69"/>
      <c r="AJ208" s="107">
        <v>1</v>
      </c>
      <c r="AK208" s="69"/>
      <c r="AL208" s="99"/>
      <c r="AN208" s="115"/>
      <c r="AO208" s="116"/>
      <c r="AP208" s="69"/>
      <c r="AQ208" s="69"/>
      <c r="AR208" s="139"/>
      <c r="AS208" s="139"/>
      <c r="AT208" s="19"/>
      <c r="AU208" s="19"/>
    </row>
    <row r="209" spans="1:47" s="17" customFormat="1" ht="20" x14ac:dyDescent="0.2">
      <c r="A209" s="118"/>
      <c r="B209" s="206" t="s">
        <v>853</v>
      </c>
      <c r="C209" s="280" t="s">
        <v>3084</v>
      </c>
      <c r="D209" s="206" t="s">
        <v>203</v>
      </c>
      <c r="E209" s="206" t="s">
        <v>204</v>
      </c>
      <c r="F209" s="119">
        <v>56.7171618</v>
      </c>
      <c r="G209" s="119">
        <v>-130.6866014</v>
      </c>
      <c r="H209" s="139" t="s">
        <v>1066</v>
      </c>
      <c r="I209" s="33" t="s">
        <v>2876</v>
      </c>
      <c r="J209" s="151" t="s">
        <v>2307</v>
      </c>
      <c r="K209" s="51" t="s">
        <v>3121</v>
      </c>
      <c r="L209" s="175">
        <v>287</v>
      </c>
      <c r="M209" s="54">
        <v>2014</v>
      </c>
      <c r="N209" s="33">
        <f t="shared" si="7"/>
        <v>2054</v>
      </c>
      <c r="O209" s="33"/>
      <c r="P209" s="63" t="s">
        <v>1019</v>
      </c>
      <c r="Q209" s="51" t="s">
        <v>1045</v>
      </c>
      <c r="R209" s="65">
        <v>23.5</v>
      </c>
      <c r="S209" s="248">
        <f>System!$E$9</f>
        <v>0.32219999999999999</v>
      </c>
      <c r="T209" s="247">
        <f t="shared" si="8"/>
        <v>7.5716999999999999</v>
      </c>
      <c r="U209" s="114">
        <f t="shared" si="9"/>
        <v>0.56734188283299325</v>
      </c>
      <c r="V209" s="125">
        <v>116.79300000000001</v>
      </c>
      <c r="W209" s="99">
        <v>9</v>
      </c>
      <c r="Y209" s="128" t="s">
        <v>83</v>
      </c>
      <c r="Z209" s="60">
        <v>0</v>
      </c>
      <c r="AA209" s="60">
        <v>23.5</v>
      </c>
      <c r="AB209" s="107">
        <v>1</v>
      </c>
      <c r="AC209" s="107">
        <v>1</v>
      </c>
      <c r="AD209" s="69"/>
      <c r="AE209" s="69"/>
      <c r="AF209" s="69"/>
      <c r="AG209" s="69"/>
      <c r="AH209" s="54" t="b">
        <v>0</v>
      </c>
      <c r="AI209" s="69"/>
      <c r="AJ209" s="107">
        <v>1</v>
      </c>
      <c r="AK209" s="69"/>
      <c r="AL209" s="99"/>
      <c r="AN209" s="115"/>
      <c r="AO209" s="116"/>
      <c r="AP209" s="69"/>
      <c r="AQ209" s="69"/>
      <c r="AR209" s="139"/>
      <c r="AS209" s="139"/>
      <c r="AT209" s="19"/>
      <c r="AU209" s="19"/>
    </row>
    <row r="210" spans="1:47" s="117" customFormat="1" ht="20" x14ac:dyDescent="0.2">
      <c r="B210" s="206" t="s">
        <v>213</v>
      </c>
      <c r="C210" s="280" t="s">
        <v>3786</v>
      </c>
      <c r="D210" s="206" t="s">
        <v>214</v>
      </c>
      <c r="E210" s="206" t="s">
        <v>215</v>
      </c>
      <c r="F210" s="119">
        <v>49.579287899999997</v>
      </c>
      <c r="G210" s="119">
        <v>-123.2019765</v>
      </c>
      <c r="H210" s="139" t="s">
        <v>1066</v>
      </c>
      <c r="I210" s="33" t="s">
        <v>2876</v>
      </c>
      <c r="J210" s="150" t="s">
        <v>1685</v>
      </c>
      <c r="K210" s="51" t="s">
        <v>3125</v>
      </c>
      <c r="L210" s="175">
        <v>69</v>
      </c>
      <c r="M210" s="54">
        <v>2004</v>
      </c>
      <c r="N210" s="33">
        <f t="shared" si="7"/>
        <v>2044</v>
      </c>
      <c r="O210" s="33"/>
      <c r="P210" s="63" t="s">
        <v>1019</v>
      </c>
      <c r="Q210" s="51" t="s">
        <v>1045</v>
      </c>
      <c r="R210" s="65">
        <v>10.4</v>
      </c>
      <c r="S210" s="248">
        <f>System!$E$9</f>
        <v>0.32219999999999999</v>
      </c>
      <c r="T210" s="247">
        <f t="shared" si="8"/>
        <v>3.3508800000000001</v>
      </c>
      <c r="U210" s="114">
        <f t="shared" si="9"/>
        <v>0.43357042500878118</v>
      </c>
      <c r="V210" s="307">
        <v>39.5</v>
      </c>
      <c r="W210" s="99">
        <v>1</v>
      </c>
      <c r="X210" s="17"/>
      <c r="Y210" s="128" t="s">
        <v>83</v>
      </c>
      <c r="Z210" s="60">
        <v>0</v>
      </c>
      <c r="AA210" s="60">
        <v>10.4</v>
      </c>
      <c r="AB210" s="107">
        <v>1</v>
      </c>
      <c r="AC210" s="107">
        <v>1</v>
      </c>
      <c r="AD210" s="69"/>
      <c r="AE210" s="69"/>
      <c r="AF210" s="69"/>
      <c r="AG210" s="69"/>
      <c r="AH210" s="54" t="b">
        <v>0</v>
      </c>
      <c r="AI210" s="69"/>
      <c r="AJ210" s="107">
        <v>1</v>
      </c>
      <c r="AK210" s="69"/>
      <c r="AL210" s="99"/>
      <c r="AM210" s="156"/>
      <c r="AN210" s="115"/>
      <c r="AO210" s="116"/>
      <c r="AP210" s="69"/>
      <c r="AQ210" s="69"/>
      <c r="AR210" s="139"/>
      <c r="AS210" s="139"/>
      <c r="AT210" s="19"/>
      <c r="AU210" s="19"/>
    </row>
    <row r="211" spans="1:47" s="17" customFormat="1" ht="20" x14ac:dyDescent="0.2">
      <c r="A211" s="118"/>
      <c r="B211" s="206" t="s">
        <v>2790</v>
      </c>
      <c r="C211" s="280" t="s">
        <v>3789</v>
      </c>
      <c r="D211" s="206" t="s">
        <v>218</v>
      </c>
      <c r="E211" s="206" t="s">
        <v>153</v>
      </c>
      <c r="F211" s="119">
        <v>49.247922899999999</v>
      </c>
      <c r="G211" s="119">
        <v>-125.3836702</v>
      </c>
      <c r="H211" s="139" t="s">
        <v>1066</v>
      </c>
      <c r="I211" s="33" t="s">
        <v>2876</v>
      </c>
      <c r="J211" s="151" t="s">
        <v>1708</v>
      </c>
      <c r="K211" s="51" t="s">
        <v>3599</v>
      </c>
      <c r="L211" s="175">
        <v>69</v>
      </c>
      <c r="M211" s="54">
        <v>2015</v>
      </c>
      <c r="N211" s="33">
        <f t="shared" si="7"/>
        <v>2055</v>
      </c>
      <c r="O211" s="33"/>
      <c r="P211" s="63" t="s">
        <v>1019</v>
      </c>
      <c r="Q211" s="51" t="s">
        <v>1045</v>
      </c>
      <c r="R211" s="64">
        <v>6</v>
      </c>
      <c r="S211" s="248">
        <f>System!$E$9</f>
        <v>0.32219999999999999</v>
      </c>
      <c r="T211" s="247">
        <f t="shared" si="8"/>
        <v>1.9331999999999998</v>
      </c>
      <c r="U211" s="114">
        <f t="shared" si="9"/>
        <v>0.39003044140030441</v>
      </c>
      <c r="V211" s="105">
        <v>20.5</v>
      </c>
      <c r="W211" s="99">
        <v>1</v>
      </c>
      <c r="Y211" s="128" t="s">
        <v>83</v>
      </c>
      <c r="Z211" s="60">
        <v>0</v>
      </c>
      <c r="AA211" s="60">
        <v>6</v>
      </c>
      <c r="AB211" s="107">
        <v>1</v>
      </c>
      <c r="AC211" s="107">
        <v>1</v>
      </c>
      <c r="AD211" s="69"/>
      <c r="AE211" s="69"/>
      <c r="AF211" s="69"/>
      <c r="AG211" s="69"/>
      <c r="AH211" s="54" t="b">
        <v>0</v>
      </c>
      <c r="AI211" s="69"/>
      <c r="AJ211" s="107">
        <v>1</v>
      </c>
      <c r="AK211" s="69"/>
      <c r="AL211" s="99"/>
      <c r="AN211" s="115"/>
      <c r="AO211" s="116"/>
      <c r="AP211" s="69"/>
      <c r="AQ211" s="69"/>
      <c r="AR211" s="139"/>
      <c r="AS211" s="139"/>
      <c r="AT211" s="19"/>
      <c r="AU211" s="19"/>
    </row>
    <row r="212" spans="1:47" s="17" customFormat="1" ht="20" x14ac:dyDescent="0.2">
      <c r="A212" s="118"/>
      <c r="B212" s="206" t="s">
        <v>1106</v>
      </c>
      <c r="C212" s="280" t="s">
        <v>3792</v>
      </c>
      <c r="D212" s="206" t="s">
        <v>222</v>
      </c>
      <c r="E212" s="206" t="s">
        <v>223</v>
      </c>
      <c r="F212" s="119">
        <v>52.934166699999999</v>
      </c>
      <c r="G212" s="119">
        <v>-119.45618330000001</v>
      </c>
      <c r="H212" s="139" t="s">
        <v>1066</v>
      </c>
      <c r="I212" s="33" t="s">
        <v>2876</v>
      </c>
      <c r="J212" s="150" t="s">
        <v>1854</v>
      </c>
      <c r="K212" s="51" t="s">
        <v>3185</v>
      </c>
      <c r="L212" s="175">
        <v>138</v>
      </c>
      <c r="M212" s="54">
        <v>2007</v>
      </c>
      <c r="N212" s="33">
        <f t="shared" si="7"/>
        <v>2047</v>
      </c>
      <c r="O212" s="33"/>
      <c r="P212" s="63" t="s">
        <v>1019</v>
      </c>
      <c r="Q212" s="51" t="s">
        <v>1045</v>
      </c>
      <c r="R212" s="65">
        <v>2.4</v>
      </c>
      <c r="S212" s="248">
        <f>System!$E$9</f>
        <v>0.32219999999999999</v>
      </c>
      <c r="T212" s="247">
        <f t="shared" si="8"/>
        <v>0.77327999999999997</v>
      </c>
      <c r="U212" s="114">
        <f t="shared" si="9"/>
        <v>0.594558599695586</v>
      </c>
      <c r="V212" s="105">
        <v>12.5</v>
      </c>
      <c r="W212" s="99">
        <v>1</v>
      </c>
      <c r="Y212" s="128" t="s">
        <v>83</v>
      </c>
      <c r="Z212" s="60">
        <v>0</v>
      </c>
      <c r="AA212" s="60">
        <v>2.4</v>
      </c>
      <c r="AB212" s="107">
        <v>1</v>
      </c>
      <c r="AC212" s="107">
        <v>1</v>
      </c>
      <c r="AD212" s="69"/>
      <c r="AE212" s="69"/>
      <c r="AF212" s="69"/>
      <c r="AG212" s="69"/>
      <c r="AH212" s="54" t="b">
        <v>0</v>
      </c>
      <c r="AI212" s="69"/>
      <c r="AJ212" s="107">
        <v>1</v>
      </c>
      <c r="AK212" s="69"/>
      <c r="AL212" s="99"/>
      <c r="AN212" s="115"/>
      <c r="AO212" s="116"/>
      <c r="AP212" s="69"/>
      <c r="AQ212" s="69"/>
      <c r="AR212" s="139"/>
      <c r="AS212" s="139"/>
      <c r="AT212" s="19"/>
      <c r="AU212" s="19"/>
    </row>
    <row r="213" spans="1:47" s="17" customFormat="1" ht="20" x14ac:dyDescent="0.2">
      <c r="A213" s="118"/>
      <c r="B213" s="206" t="s">
        <v>2792</v>
      </c>
      <c r="C213" s="280" t="s">
        <v>3794</v>
      </c>
      <c r="D213" s="206" t="s">
        <v>227</v>
      </c>
      <c r="E213" s="206" t="s">
        <v>228</v>
      </c>
      <c r="F213" s="126">
        <v>49.364823999999999</v>
      </c>
      <c r="G213" s="126">
        <v>-121.57136300000001</v>
      </c>
      <c r="H213" s="139" t="s">
        <v>1066</v>
      </c>
      <c r="I213" s="33" t="s">
        <v>2876</v>
      </c>
      <c r="J213" s="150" t="s">
        <v>228</v>
      </c>
      <c r="K213" s="33" t="s">
        <v>3195</v>
      </c>
      <c r="L213" s="175">
        <v>69</v>
      </c>
      <c r="M213" s="54">
        <v>2018</v>
      </c>
      <c r="N213" s="33">
        <f t="shared" si="7"/>
        <v>2058</v>
      </c>
      <c r="O213" s="33"/>
      <c r="P213" s="63" t="s">
        <v>1019</v>
      </c>
      <c r="Q213" s="51" t="s">
        <v>1045</v>
      </c>
      <c r="R213" s="64">
        <v>11</v>
      </c>
      <c r="S213" s="248">
        <f>System!$E$9</f>
        <v>0.32219999999999999</v>
      </c>
      <c r="T213" s="247">
        <f t="shared" si="8"/>
        <v>3.5442</v>
      </c>
      <c r="U213" s="114">
        <f t="shared" si="9"/>
        <v>0.38397675383976754</v>
      </c>
      <c r="V213" s="105">
        <v>37</v>
      </c>
      <c r="W213" s="99">
        <v>1</v>
      </c>
      <c r="Y213" s="128" t="s">
        <v>83</v>
      </c>
      <c r="Z213" s="60">
        <v>0</v>
      </c>
      <c r="AA213" s="131">
        <v>11</v>
      </c>
      <c r="AB213" s="107">
        <v>1.1000000000000001</v>
      </c>
      <c r="AC213" s="107">
        <v>1.1000000000000001</v>
      </c>
      <c r="AD213" s="69"/>
      <c r="AE213" s="69"/>
      <c r="AF213" s="69"/>
      <c r="AG213" s="69"/>
      <c r="AH213" s="54" t="b">
        <v>0</v>
      </c>
      <c r="AI213" s="69"/>
      <c r="AJ213" s="107">
        <v>1</v>
      </c>
      <c r="AK213" s="69"/>
      <c r="AL213" s="99"/>
      <c r="AN213" s="115"/>
      <c r="AO213" s="116"/>
      <c r="AP213" s="69"/>
      <c r="AQ213" s="69"/>
      <c r="AR213" s="139"/>
      <c r="AS213" s="139"/>
      <c r="AT213" s="19"/>
      <c r="AU213" s="19"/>
    </row>
    <row r="214" spans="1:47" s="17" customFormat="1" ht="20" x14ac:dyDescent="0.2">
      <c r="A214" s="118"/>
      <c r="B214" s="206" t="s">
        <v>2793</v>
      </c>
      <c r="C214" s="280" t="s">
        <v>3795</v>
      </c>
      <c r="D214" s="206" t="s">
        <v>195</v>
      </c>
      <c r="E214" s="206" t="s">
        <v>223</v>
      </c>
      <c r="F214" s="119">
        <v>52.841270799999997</v>
      </c>
      <c r="G214" s="119">
        <v>-119.35239660000001</v>
      </c>
      <c r="H214" s="139" t="s">
        <v>1066</v>
      </c>
      <c r="I214" s="33" t="s">
        <v>2876</v>
      </c>
      <c r="J214" s="150" t="s">
        <v>223</v>
      </c>
      <c r="K214" s="51" t="s">
        <v>3348</v>
      </c>
      <c r="L214" s="175">
        <v>138</v>
      </c>
      <c r="M214" s="54">
        <v>2002</v>
      </c>
      <c r="N214" s="33">
        <f t="shared" si="7"/>
        <v>2042</v>
      </c>
      <c r="O214" s="33"/>
      <c r="P214" s="63" t="s">
        <v>1019</v>
      </c>
      <c r="Q214" s="51" t="s">
        <v>1045</v>
      </c>
      <c r="R214" s="65">
        <v>6</v>
      </c>
      <c r="S214" s="248">
        <f>System!$E$9</f>
        <v>0.32219999999999999</v>
      </c>
      <c r="T214" s="247">
        <f t="shared" si="8"/>
        <v>1.9331999999999998</v>
      </c>
      <c r="U214" s="114">
        <f t="shared" si="9"/>
        <v>0.38051750380517502</v>
      </c>
      <c r="V214" s="105">
        <v>20</v>
      </c>
      <c r="W214" s="99">
        <v>1</v>
      </c>
      <c r="Y214" s="128" t="s">
        <v>83</v>
      </c>
      <c r="Z214" s="60">
        <v>0</v>
      </c>
      <c r="AA214" s="60">
        <v>6</v>
      </c>
      <c r="AB214" s="107">
        <v>1</v>
      </c>
      <c r="AC214" s="107">
        <v>1</v>
      </c>
      <c r="AD214" s="69"/>
      <c r="AE214" s="69"/>
      <c r="AF214" s="69"/>
      <c r="AG214" s="69"/>
      <c r="AH214" s="54" t="b">
        <v>0</v>
      </c>
      <c r="AI214" s="69"/>
      <c r="AJ214" s="107">
        <v>1</v>
      </c>
      <c r="AK214" s="69"/>
      <c r="AL214" s="99"/>
      <c r="AN214" s="115"/>
      <c r="AO214" s="116"/>
      <c r="AP214" s="69"/>
      <c r="AQ214" s="69"/>
      <c r="AR214" s="139"/>
      <c r="AS214" s="139"/>
      <c r="AT214" s="19"/>
      <c r="AU214" s="19"/>
    </row>
    <row r="215" spans="1:47" s="17" customFormat="1" ht="20" x14ac:dyDescent="0.2">
      <c r="A215" s="118"/>
      <c r="B215" s="206" t="s">
        <v>235</v>
      </c>
      <c r="C215" s="280" t="s">
        <v>3799</v>
      </c>
      <c r="D215" s="206" t="s">
        <v>236</v>
      </c>
      <c r="E215" s="206" t="s">
        <v>237</v>
      </c>
      <c r="F215" s="119">
        <v>50.828210400000003</v>
      </c>
      <c r="G215" s="119">
        <v>-123.05682</v>
      </c>
      <c r="H215" s="139" t="s">
        <v>1066</v>
      </c>
      <c r="I215" s="33" t="s">
        <v>2876</v>
      </c>
      <c r="J215" s="150" t="s">
        <v>1736</v>
      </c>
      <c r="K215" s="51" t="s">
        <v>3130</v>
      </c>
      <c r="L215" s="175">
        <v>69</v>
      </c>
      <c r="M215" s="54">
        <v>2014</v>
      </c>
      <c r="N215" s="33">
        <f t="shared" si="7"/>
        <v>2054</v>
      </c>
      <c r="O215" s="33"/>
      <c r="P215" s="63" t="s">
        <v>1019</v>
      </c>
      <c r="Q215" s="51" t="s">
        <v>1045</v>
      </c>
      <c r="R215" s="65">
        <v>21.34</v>
      </c>
      <c r="S215" s="248">
        <f>System!$E$9</f>
        <v>0.32219999999999999</v>
      </c>
      <c r="T215" s="247">
        <f t="shared" si="8"/>
        <v>6.8757479999999997</v>
      </c>
      <c r="U215" s="114">
        <f t="shared" si="9"/>
        <v>0.39767110449217496</v>
      </c>
      <c r="V215" s="105">
        <v>74.34</v>
      </c>
      <c r="W215" s="99">
        <v>1</v>
      </c>
      <c r="Y215" s="128" t="s">
        <v>83</v>
      </c>
      <c r="Z215" s="60">
        <v>0</v>
      </c>
      <c r="AA215" s="60">
        <v>21.34</v>
      </c>
      <c r="AB215" s="107">
        <v>1</v>
      </c>
      <c r="AC215" s="107">
        <v>1</v>
      </c>
      <c r="AD215" s="69"/>
      <c r="AE215" s="69"/>
      <c r="AF215" s="69"/>
      <c r="AG215" s="69"/>
      <c r="AH215" s="54" t="b">
        <v>0</v>
      </c>
      <c r="AI215" s="69"/>
      <c r="AJ215" s="107">
        <v>1</v>
      </c>
      <c r="AK215" s="69"/>
      <c r="AL215" s="99"/>
      <c r="AN215" s="115"/>
      <c r="AO215" s="116"/>
      <c r="AP215" s="69"/>
      <c r="AQ215" s="69"/>
      <c r="AR215" s="139"/>
      <c r="AS215" s="139"/>
      <c r="AT215" s="19"/>
      <c r="AU215" s="19"/>
    </row>
    <row r="216" spans="1:47" s="17" customFormat="1" ht="20" x14ac:dyDescent="0.2">
      <c r="A216" s="118"/>
      <c r="B216" s="206" t="s">
        <v>2794</v>
      </c>
      <c r="C216" s="280" t="s">
        <v>3800</v>
      </c>
      <c r="D216" s="206" t="s">
        <v>238</v>
      </c>
      <c r="E216" s="206" t="s">
        <v>194</v>
      </c>
      <c r="F216" s="119">
        <v>50.604008200000003</v>
      </c>
      <c r="G216" s="119">
        <v>-124.02489129999999</v>
      </c>
      <c r="H216" s="139" t="s">
        <v>1066</v>
      </c>
      <c r="I216" s="33" t="s">
        <v>2876</v>
      </c>
      <c r="J216" s="151" t="s">
        <v>2309</v>
      </c>
      <c r="K216" s="51" t="s">
        <v>3129</v>
      </c>
      <c r="L216" s="175">
        <v>230</v>
      </c>
      <c r="M216" s="54">
        <v>2016</v>
      </c>
      <c r="N216" s="33">
        <f t="shared" si="7"/>
        <v>2056</v>
      </c>
      <c r="O216" s="33"/>
      <c r="P216" s="63" t="s">
        <v>1019</v>
      </c>
      <c r="Q216" s="51" t="s">
        <v>1045</v>
      </c>
      <c r="R216" s="65">
        <v>66.2</v>
      </c>
      <c r="S216" s="248">
        <f>System!$E$9</f>
        <v>0.32219999999999999</v>
      </c>
      <c r="T216" s="247">
        <f t="shared" si="8"/>
        <v>21.329640000000001</v>
      </c>
      <c r="U216" s="114">
        <f t="shared" si="9"/>
        <v>0.56734086251600591</v>
      </c>
      <c r="V216" s="65">
        <v>329.00777426338203</v>
      </c>
      <c r="W216" s="99">
        <v>1</v>
      </c>
      <c r="Y216" s="128" t="s">
        <v>83</v>
      </c>
      <c r="Z216" s="60">
        <v>0</v>
      </c>
      <c r="AA216" s="60">
        <v>66.2</v>
      </c>
      <c r="AB216" s="107">
        <v>1</v>
      </c>
      <c r="AC216" s="107">
        <v>1</v>
      </c>
      <c r="AD216" s="69"/>
      <c r="AE216" s="69"/>
      <c r="AF216" s="69"/>
      <c r="AG216" s="69"/>
      <c r="AH216" s="54" t="b">
        <v>0</v>
      </c>
      <c r="AI216" s="69"/>
      <c r="AJ216" s="107">
        <v>1</v>
      </c>
      <c r="AK216" s="69"/>
      <c r="AL216" s="99"/>
      <c r="AN216" s="115"/>
      <c r="AO216" s="116"/>
      <c r="AP216" s="69"/>
      <c r="AQ216" s="69"/>
      <c r="AR216" s="139"/>
      <c r="AS216" s="139"/>
      <c r="AT216" s="19"/>
      <c r="AU216" s="19"/>
    </row>
    <row r="217" spans="1:47" s="17" customFormat="1" ht="20" x14ac:dyDescent="0.2">
      <c r="A217" s="118"/>
      <c r="B217" s="206" t="s">
        <v>245</v>
      </c>
      <c r="C217" s="280" t="s">
        <v>3871</v>
      </c>
      <c r="D217" s="206" t="s">
        <v>246</v>
      </c>
      <c r="E217" s="206" t="s">
        <v>247</v>
      </c>
      <c r="F217" s="119">
        <v>50.519857100000003</v>
      </c>
      <c r="G217" s="119">
        <v>-126.87551089999999</v>
      </c>
      <c r="H217" s="139" t="s">
        <v>1066</v>
      </c>
      <c r="I217" s="33" t="s">
        <v>2876</v>
      </c>
      <c r="J217" s="150" t="s">
        <v>2312</v>
      </c>
      <c r="K217" s="51" t="s">
        <v>3133</v>
      </c>
      <c r="L217" s="175">
        <v>138</v>
      </c>
      <c r="M217" s="54">
        <v>2014</v>
      </c>
      <c r="N217" s="33">
        <f t="shared" si="7"/>
        <v>2054</v>
      </c>
      <c r="O217" s="33"/>
      <c r="P217" s="63" t="s">
        <v>1019</v>
      </c>
      <c r="Q217" s="51" t="s">
        <v>1045</v>
      </c>
      <c r="R217" s="65">
        <v>45</v>
      </c>
      <c r="S217" s="248">
        <f>System!$E$9</f>
        <v>0.32219999999999999</v>
      </c>
      <c r="T217" s="247">
        <f t="shared" si="8"/>
        <v>14.498999999999999</v>
      </c>
      <c r="U217" s="114">
        <f t="shared" si="9"/>
        <v>0.44375951293759514</v>
      </c>
      <c r="V217" s="105">
        <v>174.93</v>
      </c>
      <c r="W217" s="99">
        <v>1</v>
      </c>
      <c r="Y217" s="128" t="s">
        <v>83</v>
      </c>
      <c r="Z217" s="60">
        <v>0</v>
      </c>
      <c r="AA217" s="60">
        <v>45</v>
      </c>
      <c r="AB217" s="107">
        <v>1</v>
      </c>
      <c r="AC217" s="107">
        <v>1</v>
      </c>
      <c r="AD217" s="69"/>
      <c r="AE217" s="69"/>
      <c r="AF217" s="69"/>
      <c r="AG217" s="69"/>
      <c r="AH217" s="54" t="b">
        <v>0</v>
      </c>
      <c r="AI217" s="69"/>
      <c r="AJ217" s="107">
        <v>1</v>
      </c>
      <c r="AK217" s="69"/>
      <c r="AL217" s="99"/>
      <c r="AN217" s="115"/>
      <c r="AO217" s="116"/>
      <c r="AP217" s="69"/>
      <c r="AQ217" s="69"/>
      <c r="AR217" s="139"/>
      <c r="AS217" s="139"/>
      <c r="AT217" s="19"/>
      <c r="AU217" s="19"/>
    </row>
    <row r="218" spans="1:47" s="17" customFormat="1" ht="20" x14ac:dyDescent="0.2">
      <c r="A218" s="118"/>
      <c r="B218" s="206" t="s">
        <v>2796</v>
      </c>
      <c r="C218" s="280" t="s">
        <v>3803</v>
      </c>
      <c r="D218" s="206" t="s">
        <v>249</v>
      </c>
      <c r="E218" s="206" t="s">
        <v>250</v>
      </c>
      <c r="F218" s="119">
        <v>50.105063399999999</v>
      </c>
      <c r="G218" s="119">
        <v>-121.5671347</v>
      </c>
      <c r="H218" s="139" t="s">
        <v>1066</v>
      </c>
      <c r="I218" s="33" t="s">
        <v>2876</v>
      </c>
      <c r="J218" s="150" t="s">
        <v>2311</v>
      </c>
      <c r="K218" s="51" t="s">
        <v>3131</v>
      </c>
      <c r="L218" s="175">
        <v>138</v>
      </c>
      <c r="M218" s="54">
        <v>2013</v>
      </c>
      <c r="N218" s="33">
        <f t="shared" si="7"/>
        <v>2053</v>
      </c>
      <c r="O218" s="33"/>
      <c r="P218" s="63" t="s">
        <v>1019</v>
      </c>
      <c r="Q218" s="51" t="s">
        <v>1045</v>
      </c>
      <c r="R218" s="65">
        <v>50</v>
      </c>
      <c r="S218" s="248">
        <f>System!$E$9</f>
        <v>0.32219999999999999</v>
      </c>
      <c r="T218" s="247">
        <f t="shared" si="8"/>
        <v>16.11</v>
      </c>
      <c r="U218" s="114">
        <f t="shared" si="9"/>
        <v>0.51</v>
      </c>
      <c r="V218" s="64">
        <v>223.38</v>
      </c>
      <c r="W218" s="99">
        <v>1</v>
      </c>
      <c r="Y218" s="128" t="s">
        <v>83</v>
      </c>
      <c r="Z218" s="60">
        <v>0</v>
      </c>
      <c r="AA218" s="60">
        <v>50</v>
      </c>
      <c r="AB218" s="107">
        <v>1</v>
      </c>
      <c r="AC218" s="107">
        <v>1</v>
      </c>
      <c r="AD218" s="69"/>
      <c r="AE218" s="69"/>
      <c r="AF218" s="69"/>
      <c r="AG218" s="69"/>
      <c r="AH218" s="54" t="b">
        <v>0</v>
      </c>
      <c r="AI218" s="69"/>
      <c r="AJ218" s="107">
        <v>1</v>
      </c>
      <c r="AK218" s="69"/>
      <c r="AL218" s="99"/>
      <c r="AN218" s="115"/>
      <c r="AO218" s="116"/>
      <c r="AP218" s="69"/>
      <c r="AQ218" s="69"/>
      <c r="AR218" s="139"/>
      <c r="AS218" s="139"/>
      <c r="AT218" s="19"/>
      <c r="AU218" s="19"/>
    </row>
    <row r="219" spans="1:47" s="117" customFormat="1" ht="20" x14ac:dyDescent="0.2">
      <c r="B219" s="206" t="s">
        <v>810</v>
      </c>
      <c r="C219" s="280" t="s">
        <v>3806</v>
      </c>
      <c r="D219" s="206" t="s">
        <v>827</v>
      </c>
      <c r="E219" s="206" t="s">
        <v>811</v>
      </c>
      <c r="F219" s="119">
        <v>49.7699018</v>
      </c>
      <c r="G219" s="119">
        <v>-124.3169893</v>
      </c>
      <c r="H219" s="139" t="s">
        <v>1066</v>
      </c>
      <c r="I219" s="33" t="s">
        <v>2876</v>
      </c>
      <c r="J219" s="150" t="s">
        <v>1867</v>
      </c>
      <c r="K219" s="51" t="s">
        <v>3196</v>
      </c>
      <c r="L219" s="175">
        <v>138</v>
      </c>
      <c r="M219" s="100">
        <v>2000</v>
      </c>
      <c r="N219" s="100">
        <v>2100</v>
      </c>
      <c r="O219" s="48"/>
      <c r="P219" s="120" t="s">
        <v>1019</v>
      </c>
      <c r="Q219" s="51" t="s">
        <v>1045</v>
      </c>
      <c r="R219" s="121">
        <v>37</v>
      </c>
      <c r="S219" s="248">
        <f>System!$E$9</f>
        <v>0.32219999999999999</v>
      </c>
      <c r="T219" s="247">
        <f t="shared" si="8"/>
        <v>11.9214</v>
      </c>
      <c r="U219" s="114">
        <f t="shared" si="9"/>
        <v>0.54128100703443172</v>
      </c>
      <c r="V219" s="289">
        <v>175.44</v>
      </c>
      <c r="W219" s="99">
        <v>1</v>
      </c>
      <c r="Y219" s="128" t="s">
        <v>83</v>
      </c>
      <c r="Z219" s="121">
        <v>0</v>
      </c>
      <c r="AA219" s="121">
        <v>37</v>
      </c>
      <c r="AB219" s="157">
        <v>1</v>
      </c>
      <c r="AC219" s="157">
        <v>1</v>
      </c>
      <c r="AD219" s="69"/>
      <c r="AE219" s="69"/>
      <c r="AF219" s="69"/>
      <c r="AG219" s="69"/>
      <c r="AH219" s="120" t="b">
        <v>0</v>
      </c>
      <c r="AI219" s="69"/>
      <c r="AJ219" s="157">
        <v>1</v>
      </c>
      <c r="AK219" s="69"/>
      <c r="AL219" s="99"/>
      <c r="AN219" s="115"/>
      <c r="AO219" s="116"/>
      <c r="AP219" s="69"/>
      <c r="AQ219" s="69"/>
      <c r="AR219" s="139"/>
      <c r="AS219" s="139"/>
      <c r="AT219" s="19"/>
      <c r="AU219" s="19"/>
    </row>
    <row r="220" spans="1:47" s="117" customFormat="1" ht="20" x14ac:dyDescent="0.2">
      <c r="B220" s="206" t="s">
        <v>2800</v>
      </c>
      <c r="C220" s="280" t="s">
        <v>3807</v>
      </c>
      <c r="D220" s="206" t="s">
        <v>254</v>
      </c>
      <c r="E220" s="206" t="s">
        <v>255</v>
      </c>
      <c r="F220" s="119">
        <v>49.327713699999997</v>
      </c>
      <c r="G220" s="119">
        <v>-121.6012527</v>
      </c>
      <c r="H220" s="139" t="s">
        <v>1066</v>
      </c>
      <c r="I220" s="33" t="s">
        <v>2876</v>
      </c>
      <c r="J220" s="150" t="s">
        <v>228</v>
      </c>
      <c r="K220" s="33" t="s">
        <v>3195</v>
      </c>
      <c r="L220" s="175">
        <v>69</v>
      </c>
      <c r="M220" s="54">
        <v>2016</v>
      </c>
      <c r="N220" s="33">
        <f t="shared" ref="N220:N233" si="10">M220+40</f>
        <v>2056</v>
      </c>
      <c r="O220" s="33"/>
      <c r="P220" s="63" t="s">
        <v>1019</v>
      </c>
      <c r="Q220" s="51" t="s">
        <v>1045</v>
      </c>
      <c r="R220" s="64">
        <v>3.2</v>
      </c>
      <c r="S220" s="248">
        <f>System!$E$9</f>
        <v>0.32219999999999999</v>
      </c>
      <c r="T220" s="247">
        <f t="shared" si="8"/>
        <v>1.03104</v>
      </c>
      <c r="U220" s="114">
        <f t="shared" si="9"/>
        <v>0.3677939497716895</v>
      </c>
      <c r="V220" s="64">
        <v>10.31</v>
      </c>
      <c r="W220" s="99">
        <v>1</v>
      </c>
      <c r="X220" s="17"/>
      <c r="Y220" s="128" t="s">
        <v>83</v>
      </c>
      <c r="Z220" s="60">
        <v>0</v>
      </c>
      <c r="AA220" s="60">
        <v>3.2</v>
      </c>
      <c r="AB220" s="107">
        <v>1.1000000000000001</v>
      </c>
      <c r="AC220" s="107">
        <v>1.1000000000000001</v>
      </c>
      <c r="AD220" s="69"/>
      <c r="AE220" s="69"/>
      <c r="AF220" s="69"/>
      <c r="AG220" s="69"/>
      <c r="AH220" s="54" t="b">
        <v>0</v>
      </c>
      <c r="AI220" s="69"/>
      <c r="AJ220" s="107">
        <v>1</v>
      </c>
      <c r="AK220" s="69"/>
      <c r="AL220" s="99"/>
      <c r="AM220" s="17"/>
      <c r="AN220" s="115"/>
      <c r="AO220" s="116"/>
      <c r="AP220" s="69"/>
      <c r="AQ220" s="69"/>
      <c r="AR220" s="139"/>
      <c r="AS220" s="139"/>
      <c r="AT220" s="19"/>
      <c r="AU220" s="19"/>
    </row>
    <row r="221" spans="1:47" s="17" customFormat="1" ht="20" x14ac:dyDescent="0.2">
      <c r="A221" s="118"/>
      <c r="B221" s="206" t="s">
        <v>2767</v>
      </c>
      <c r="C221" s="280" t="s">
        <v>3808</v>
      </c>
      <c r="D221" s="206" t="s">
        <v>256</v>
      </c>
      <c r="E221" s="206" t="s">
        <v>257</v>
      </c>
      <c r="F221" s="119">
        <v>49.748007999999999</v>
      </c>
      <c r="G221" s="119">
        <v>-123.5159238</v>
      </c>
      <c r="H221" s="139" t="s">
        <v>1066</v>
      </c>
      <c r="I221" s="33" t="s">
        <v>2876</v>
      </c>
      <c r="J221" s="150" t="s">
        <v>2292</v>
      </c>
      <c r="K221" s="51" t="s">
        <v>3093</v>
      </c>
      <c r="L221" s="175">
        <v>138</v>
      </c>
      <c r="M221" s="54">
        <v>2011</v>
      </c>
      <c r="N221" s="33">
        <f t="shared" si="10"/>
        <v>2051</v>
      </c>
      <c r="O221" s="33"/>
      <c r="P221" s="63" t="s">
        <v>1019</v>
      </c>
      <c r="Q221" s="51" t="s">
        <v>1045</v>
      </c>
      <c r="R221" s="65">
        <v>10</v>
      </c>
      <c r="S221" s="248">
        <f>System!$E$9</f>
        <v>0.32219999999999999</v>
      </c>
      <c r="T221" s="247">
        <f t="shared" si="8"/>
        <v>3.222</v>
      </c>
      <c r="U221" s="114">
        <f t="shared" si="9"/>
        <v>0.5273972602739726</v>
      </c>
      <c r="V221" s="105">
        <v>46.2</v>
      </c>
      <c r="W221" s="99">
        <v>1</v>
      </c>
      <c r="Y221" s="128" t="s">
        <v>83</v>
      </c>
      <c r="Z221" s="60">
        <v>0</v>
      </c>
      <c r="AA221" s="60">
        <v>10</v>
      </c>
      <c r="AB221" s="107">
        <v>1</v>
      </c>
      <c r="AC221" s="107">
        <v>1</v>
      </c>
      <c r="AD221" s="69"/>
      <c r="AE221" s="69"/>
      <c r="AF221" s="69"/>
      <c r="AG221" s="69"/>
      <c r="AH221" s="54" t="b">
        <v>0</v>
      </c>
      <c r="AI221" s="69"/>
      <c r="AJ221" s="107">
        <v>1</v>
      </c>
      <c r="AK221" s="69"/>
      <c r="AL221" s="99"/>
      <c r="AN221" s="115"/>
      <c r="AO221" s="116"/>
      <c r="AP221" s="69"/>
      <c r="AQ221" s="69"/>
      <c r="AR221" s="139"/>
      <c r="AS221" s="139"/>
      <c r="AT221" s="19"/>
      <c r="AU221" s="19"/>
    </row>
    <row r="222" spans="1:47" s="17" customFormat="1" ht="20" x14ac:dyDescent="0.2">
      <c r="A222" s="118"/>
      <c r="B222" s="206" t="s">
        <v>260</v>
      </c>
      <c r="C222" s="280" t="s">
        <v>3809</v>
      </c>
      <c r="D222" s="206" t="s">
        <v>261</v>
      </c>
      <c r="E222" s="206" t="s">
        <v>257</v>
      </c>
      <c r="F222" s="119">
        <v>49.817606400000003</v>
      </c>
      <c r="G222" s="119">
        <v>-123.3973405</v>
      </c>
      <c r="H222" s="139" t="s">
        <v>1066</v>
      </c>
      <c r="I222" s="33" t="s">
        <v>2876</v>
      </c>
      <c r="J222" s="150" t="s">
        <v>3699</v>
      </c>
      <c r="K222" s="51" t="s">
        <v>3138</v>
      </c>
      <c r="L222" s="175">
        <v>138</v>
      </c>
      <c r="M222" s="54">
        <v>2010</v>
      </c>
      <c r="N222" s="33">
        <f t="shared" si="10"/>
        <v>2050</v>
      </c>
      <c r="O222" s="33"/>
      <c r="P222" s="63" t="s">
        <v>1019</v>
      </c>
      <c r="Q222" s="51" t="s">
        <v>1045</v>
      </c>
      <c r="R222" s="65">
        <v>10.99</v>
      </c>
      <c r="S222" s="248">
        <f>System!$E$9</f>
        <v>0.32219999999999999</v>
      </c>
      <c r="T222" s="247">
        <f t="shared" si="8"/>
        <v>3.540978</v>
      </c>
      <c r="U222" s="114">
        <f t="shared" si="9"/>
        <v>0.49858526431251321</v>
      </c>
      <c r="V222" s="105">
        <v>48</v>
      </c>
      <c r="W222" s="99">
        <v>1</v>
      </c>
      <c r="Y222" s="128" t="s">
        <v>83</v>
      </c>
      <c r="Z222" s="60">
        <v>0</v>
      </c>
      <c r="AA222" s="60">
        <v>10.99</v>
      </c>
      <c r="AB222" s="107">
        <v>1</v>
      </c>
      <c r="AC222" s="107">
        <v>1</v>
      </c>
      <c r="AD222" s="69"/>
      <c r="AE222" s="69"/>
      <c r="AF222" s="69"/>
      <c r="AG222" s="69"/>
      <c r="AH222" s="54" t="b">
        <v>0</v>
      </c>
      <c r="AI222" s="69"/>
      <c r="AJ222" s="107">
        <v>1</v>
      </c>
      <c r="AK222" s="69"/>
      <c r="AL222" s="99"/>
      <c r="AN222" s="115"/>
      <c r="AO222" s="116"/>
      <c r="AP222" s="69"/>
      <c r="AQ222" s="69"/>
      <c r="AR222" s="139"/>
      <c r="AS222" s="139"/>
      <c r="AT222" s="19"/>
      <c r="AU222" s="19"/>
    </row>
    <row r="223" spans="1:47" s="17" customFormat="1" ht="20" x14ac:dyDescent="0.2">
      <c r="A223" s="118"/>
      <c r="B223" s="206" t="s">
        <v>2801</v>
      </c>
      <c r="C223" s="280" t="s">
        <v>3810</v>
      </c>
      <c r="D223" s="206" t="s">
        <v>264</v>
      </c>
      <c r="E223" s="206" t="s">
        <v>120</v>
      </c>
      <c r="F223" s="119">
        <v>49.721443299999997</v>
      </c>
      <c r="G223" s="119">
        <v>-123.0918942</v>
      </c>
      <c r="H223" s="139" t="s">
        <v>1066</v>
      </c>
      <c r="I223" s="33" t="s">
        <v>2876</v>
      </c>
      <c r="J223" s="151" t="s">
        <v>1775</v>
      </c>
      <c r="K223" s="51" t="s">
        <v>3142</v>
      </c>
      <c r="L223" s="175">
        <v>69</v>
      </c>
      <c r="M223" s="54">
        <v>1996</v>
      </c>
      <c r="N223" s="33">
        <f t="shared" si="10"/>
        <v>2036</v>
      </c>
      <c r="O223" s="33"/>
      <c r="P223" s="63" t="s">
        <v>1019</v>
      </c>
      <c r="Q223" s="51" t="s">
        <v>1045</v>
      </c>
      <c r="R223" s="65">
        <v>58</v>
      </c>
      <c r="S223" s="248">
        <f>System!$E$9</f>
        <v>0.32219999999999999</v>
      </c>
      <c r="T223" s="247">
        <f t="shared" si="8"/>
        <v>18.6876</v>
      </c>
      <c r="U223" s="114">
        <f t="shared" si="9"/>
        <v>0.4920484962997953</v>
      </c>
      <c r="V223" s="105">
        <v>250</v>
      </c>
      <c r="W223" s="99">
        <v>1</v>
      </c>
      <c r="Y223" s="128" t="s">
        <v>83</v>
      </c>
      <c r="Z223" s="60">
        <v>0</v>
      </c>
      <c r="AA223" s="60">
        <v>58</v>
      </c>
      <c r="AB223" s="107">
        <v>1</v>
      </c>
      <c r="AC223" s="107">
        <v>1</v>
      </c>
      <c r="AD223" s="69"/>
      <c r="AE223" s="69"/>
      <c r="AF223" s="69"/>
      <c r="AG223" s="69"/>
      <c r="AH223" s="54" t="b">
        <v>0</v>
      </c>
      <c r="AI223" s="69"/>
      <c r="AJ223" s="107">
        <v>1</v>
      </c>
      <c r="AK223" s="69"/>
      <c r="AL223" s="99"/>
      <c r="AM223" s="156"/>
      <c r="AN223" s="115"/>
      <c r="AO223" s="116"/>
      <c r="AP223" s="69"/>
      <c r="AQ223" s="69"/>
      <c r="AR223" s="139"/>
      <c r="AS223" s="139"/>
      <c r="AT223" s="19"/>
      <c r="AU223" s="19"/>
    </row>
    <row r="224" spans="1:47" s="17" customFormat="1" ht="20" x14ac:dyDescent="0.2">
      <c r="A224" s="118"/>
      <c r="B224" s="206" t="s">
        <v>265</v>
      </c>
      <c r="C224" s="280" t="s">
        <v>3811</v>
      </c>
      <c r="D224" s="206" t="s">
        <v>266</v>
      </c>
      <c r="E224" s="206" t="s">
        <v>167</v>
      </c>
      <c r="F224" s="119">
        <v>49.234214799999997</v>
      </c>
      <c r="G224" s="119">
        <v>-125.356863</v>
      </c>
      <c r="H224" s="139" t="s">
        <v>1066</v>
      </c>
      <c r="I224" s="33" t="s">
        <v>2876</v>
      </c>
      <c r="J224" s="150" t="s">
        <v>1774</v>
      </c>
      <c r="K224" s="51" t="s">
        <v>3141</v>
      </c>
      <c r="L224" s="175">
        <v>69</v>
      </c>
      <c r="M224" s="54">
        <v>2005</v>
      </c>
      <c r="N224" s="33">
        <f t="shared" si="10"/>
        <v>2045</v>
      </c>
      <c r="O224" s="33"/>
      <c r="P224" s="63" t="s">
        <v>1019</v>
      </c>
      <c r="Q224" s="51" t="s">
        <v>1045</v>
      </c>
      <c r="R224" s="65">
        <v>4.5999999999999996</v>
      </c>
      <c r="S224" s="248">
        <f>System!$E$9</f>
        <v>0.32219999999999999</v>
      </c>
      <c r="T224" s="247">
        <f t="shared" si="8"/>
        <v>1.4821199999999999</v>
      </c>
      <c r="U224" s="114">
        <f t="shared" si="9"/>
        <v>0.43428628151677584</v>
      </c>
      <c r="V224" s="105">
        <v>17.5</v>
      </c>
      <c r="W224" s="99">
        <v>1</v>
      </c>
      <c r="Y224" s="128" t="s">
        <v>83</v>
      </c>
      <c r="Z224" s="60">
        <v>0</v>
      </c>
      <c r="AA224" s="60">
        <v>4.5999999999999996</v>
      </c>
      <c r="AB224" s="107">
        <v>1</v>
      </c>
      <c r="AC224" s="107">
        <v>1</v>
      </c>
      <c r="AD224" s="69"/>
      <c r="AE224" s="69"/>
      <c r="AF224" s="69"/>
      <c r="AG224" s="69"/>
      <c r="AH224" s="54" t="b">
        <v>0</v>
      </c>
      <c r="AI224" s="69"/>
      <c r="AJ224" s="107">
        <v>1</v>
      </c>
      <c r="AK224" s="69"/>
      <c r="AL224" s="99"/>
      <c r="AN224" s="115"/>
      <c r="AO224" s="116"/>
      <c r="AP224" s="69"/>
      <c r="AQ224" s="69"/>
      <c r="AR224" s="139"/>
      <c r="AS224" s="139"/>
      <c r="AT224" s="19"/>
      <c r="AU224" s="19"/>
    </row>
    <row r="225" spans="1:47" s="17" customFormat="1" ht="20" x14ac:dyDescent="0.2">
      <c r="A225" s="118"/>
      <c r="B225" s="206" t="s">
        <v>2809</v>
      </c>
      <c r="C225" s="280" t="s">
        <v>3812</v>
      </c>
      <c r="D225" s="206" t="s">
        <v>267</v>
      </c>
      <c r="E225" s="206" t="s">
        <v>159</v>
      </c>
      <c r="F225" s="119">
        <v>53.368676000000001</v>
      </c>
      <c r="G225" s="119">
        <v>-120.37539599999999</v>
      </c>
      <c r="H225" s="139" t="s">
        <v>1066</v>
      </c>
      <c r="I225" s="33" t="s">
        <v>2876</v>
      </c>
      <c r="J225" s="150" t="s">
        <v>1854</v>
      </c>
      <c r="K225" s="51" t="s">
        <v>3185</v>
      </c>
      <c r="L225" s="175">
        <v>138</v>
      </c>
      <c r="M225" s="54">
        <v>2010</v>
      </c>
      <c r="N225" s="33">
        <f t="shared" si="10"/>
        <v>2050</v>
      </c>
      <c r="O225" s="33"/>
      <c r="P225" s="63" t="s">
        <v>1019</v>
      </c>
      <c r="Q225" s="51" t="s">
        <v>1045</v>
      </c>
      <c r="R225" s="64">
        <v>1.2</v>
      </c>
      <c r="S225" s="248">
        <f>System!$E$9</f>
        <v>0.32219999999999999</v>
      </c>
      <c r="T225" s="247">
        <f t="shared" si="8"/>
        <v>0.38663999999999998</v>
      </c>
      <c r="U225" s="114">
        <f t="shared" si="9"/>
        <v>0.39288432267884321</v>
      </c>
      <c r="V225" s="105">
        <v>4.13</v>
      </c>
      <c r="W225" s="99">
        <v>1</v>
      </c>
      <c r="Y225" s="128" t="s">
        <v>83</v>
      </c>
      <c r="Z225" s="60">
        <v>0</v>
      </c>
      <c r="AA225" s="60">
        <v>1.2</v>
      </c>
      <c r="AB225" s="107">
        <v>1</v>
      </c>
      <c r="AC225" s="107">
        <v>1</v>
      </c>
      <c r="AD225" s="69"/>
      <c r="AE225" s="69"/>
      <c r="AF225" s="69"/>
      <c r="AG225" s="69"/>
      <c r="AH225" s="54" t="b">
        <v>0</v>
      </c>
      <c r="AI225" s="69"/>
      <c r="AJ225" s="107">
        <v>1</v>
      </c>
      <c r="AK225" s="69"/>
      <c r="AL225" s="99"/>
      <c r="AN225" s="115"/>
      <c r="AO225" s="116"/>
      <c r="AP225" s="69"/>
      <c r="AQ225" s="69"/>
      <c r="AR225" s="139"/>
      <c r="AS225" s="139"/>
      <c r="AT225" s="19"/>
      <c r="AU225" s="19"/>
    </row>
    <row r="226" spans="1:47" s="17" customFormat="1" ht="20" x14ac:dyDescent="0.2">
      <c r="A226" s="118"/>
      <c r="B226" s="206" t="s">
        <v>268</v>
      </c>
      <c r="C226" s="280" t="s">
        <v>3813</v>
      </c>
      <c r="D226" s="206" t="s">
        <v>203</v>
      </c>
      <c r="E226" s="206" t="s">
        <v>204</v>
      </c>
      <c r="F226" s="119">
        <v>56.687197300000001</v>
      </c>
      <c r="G226" s="119">
        <v>-130.7974519</v>
      </c>
      <c r="H226" s="139" t="s">
        <v>1066</v>
      </c>
      <c r="I226" s="33" t="s">
        <v>2876</v>
      </c>
      <c r="J226" s="151" t="s">
        <v>2307</v>
      </c>
      <c r="K226" s="51" t="s">
        <v>3121</v>
      </c>
      <c r="L226" s="175">
        <v>287</v>
      </c>
      <c r="M226" s="54">
        <v>2015</v>
      </c>
      <c r="N226" s="33">
        <f t="shared" si="10"/>
        <v>2055</v>
      </c>
      <c r="O226" s="33"/>
      <c r="P226" s="63" t="s">
        <v>1019</v>
      </c>
      <c r="Q226" s="51" t="s">
        <v>1045</v>
      </c>
      <c r="R226" s="65">
        <v>66</v>
      </c>
      <c r="S226" s="248">
        <f>System!$E$9</f>
        <v>0.32219999999999999</v>
      </c>
      <c r="T226" s="247">
        <f t="shared" si="8"/>
        <v>21.2652</v>
      </c>
      <c r="U226" s="114">
        <f t="shared" si="9"/>
        <v>0.42272035422720355</v>
      </c>
      <c r="V226" s="64">
        <v>244.4</v>
      </c>
      <c r="W226" s="99">
        <v>1</v>
      </c>
      <c r="Y226" s="128" t="s">
        <v>83</v>
      </c>
      <c r="Z226" s="60">
        <v>0</v>
      </c>
      <c r="AA226" s="60">
        <v>66</v>
      </c>
      <c r="AB226" s="107">
        <v>1</v>
      </c>
      <c r="AC226" s="107">
        <v>1</v>
      </c>
      <c r="AD226" s="69"/>
      <c r="AE226" s="69"/>
      <c r="AF226" s="69"/>
      <c r="AG226" s="69"/>
      <c r="AH226" s="54" t="b">
        <v>0</v>
      </c>
      <c r="AI226" s="69"/>
      <c r="AJ226" s="107">
        <v>1</v>
      </c>
      <c r="AK226" s="69"/>
      <c r="AL226" s="99"/>
      <c r="AN226" s="115"/>
      <c r="AO226" s="116"/>
      <c r="AP226" s="69"/>
      <c r="AQ226" s="69"/>
      <c r="AR226" s="139"/>
      <c r="AS226" s="139"/>
      <c r="AT226" s="19"/>
      <c r="AU226" s="19"/>
    </row>
    <row r="227" spans="1:47" s="117" customFormat="1" ht="20" x14ac:dyDescent="0.2">
      <c r="B227" s="206" t="s">
        <v>2802</v>
      </c>
      <c r="C227" s="280" t="s">
        <v>3814</v>
      </c>
      <c r="D227" s="206" t="s">
        <v>271</v>
      </c>
      <c r="E227" s="206" t="s">
        <v>257</v>
      </c>
      <c r="F227" s="119">
        <v>49.515817300000002</v>
      </c>
      <c r="G227" s="119">
        <v>-123.5015484</v>
      </c>
      <c r="H227" s="139" t="s">
        <v>1066</v>
      </c>
      <c r="I227" s="33" t="s">
        <v>2876</v>
      </c>
      <c r="J227" s="150" t="s">
        <v>1694</v>
      </c>
      <c r="K227" s="51" t="s">
        <v>3197</v>
      </c>
      <c r="L227" s="175">
        <v>138</v>
      </c>
      <c r="M227" s="54">
        <v>2004</v>
      </c>
      <c r="N227" s="33">
        <f t="shared" si="10"/>
        <v>2044</v>
      </c>
      <c r="O227" s="33"/>
      <c r="P227" s="63" t="s">
        <v>1019</v>
      </c>
      <c r="Q227" s="51" t="s">
        <v>1045</v>
      </c>
      <c r="R227" s="65">
        <v>9.8000000000000007</v>
      </c>
      <c r="S227" s="248">
        <f>System!$E$9</f>
        <v>0.32219999999999999</v>
      </c>
      <c r="T227" s="247">
        <f t="shared" si="8"/>
        <v>3.1575600000000001</v>
      </c>
      <c r="U227" s="114">
        <f t="shared" si="9"/>
        <v>0.44264281054887711</v>
      </c>
      <c r="V227" s="105">
        <v>38</v>
      </c>
      <c r="W227" s="99">
        <v>1</v>
      </c>
      <c r="X227" s="17"/>
      <c r="Y227" s="128" t="s">
        <v>83</v>
      </c>
      <c r="Z227" s="60">
        <v>0</v>
      </c>
      <c r="AA227" s="60">
        <v>9.8000000000000007</v>
      </c>
      <c r="AB227" s="107">
        <v>1</v>
      </c>
      <c r="AC227" s="107">
        <v>1</v>
      </c>
      <c r="AD227" s="69"/>
      <c r="AE227" s="69"/>
      <c r="AF227" s="69"/>
      <c r="AG227" s="69"/>
      <c r="AH227" s="54" t="b">
        <v>0</v>
      </c>
      <c r="AI227" s="69"/>
      <c r="AJ227" s="107">
        <v>1</v>
      </c>
      <c r="AK227" s="69"/>
      <c r="AL227" s="99"/>
      <c r="AM227" s="17"/>
      <c r="AN227" s="115"/>
      <c r="AO227" s="116"/>
      <c r="AP227" s="69"/>
      <c r="AQ227" s="69"/>
      <c r="AR227" s="139"/>
      <c r="AS227" s="139"/>
      <c r="AT227" s="19"/>
      <c r="AU227" s="19"/>
    </row>
    <row r="228" spans="1:47" s="17" customFormat="1" ht="20" x14ac:dyDescent="0.2">
      <c r="A228" s="118"/>
      <c r="B228" s="206" t="s">
        <v>272</v>
      </c>
      <c r="C228" s="280" t="s">
        <v>3815</v>
      </c>
      <c r="D228" s="206" t="s">
        <v>183</v>
      </c>
      <c r="E228" s="206" t="s">
        <v>184</v>
      </c>
      <c r="F228" s="119">
        <v>49.872035500000003</v>
      </c>
      <c r="G228" s="119">
        <v>-126.2135782</v>
      </c>
      <c r="H228" s="139" t="s">
        <v>1066</v>
      </c>
      <c r="I228" s="33" t="s">
        <v>2876</v>
      </c>
      <c r="J228" s="150" t="s">
        <v>1702</v>
      </c>
      <c r="K228" s="51" t="s">
        <v>3650</v>
      </c>
      <c r="L228" s="175">
        <v>230</v>
      </c>
      <c r="M228" s="54">
        <v>2004</v>
      </c>
      <c r="N228" s="33">
        <f t="shared" si="10"/>
        <v>2044</v>
      </c>
      <c r="O228" s="33"/>
      <c r="P228" s="63" t="s">
        <v>1019</v>
      </c>
      <c r="Q228" s="51" t="s">
        <v>1045</v>
      </c>
      <c r="R228" s="65">
        <v>3.8</v>
      </c>
      <c r="S228" s="248">
        <f>System!$E$9</f>
        <v>0.32219999999999999</v>
      </c>
      <c r="T228" s="247">
        <f t="shared" si="8"/>
        <v>1.2243599999999999</v>
      </c>
      <c r="U228" s="114">
        <f t="shared" si="9"/>
        <v>0.58579668348954583</v>
      </c>
      <c r="V228" s="64">
        <v>19.5</v>
      </c>
      <c r="W228" s="99">
        <v>1</v>
      </c>
      <c r="Y228" s="128" t="s">
        <v>83</v>
      </c>
      <c r="Z228" s="60">
        <v>0</v>
      </c>
      <c r="AA228" s="60">
        <v>3.8</v>
      </c>
      <c r="AB228" s="107">
        <v>1</v>
      </c>
      <c r="AC228" s="107">
        <v>1</v>
      </c>
      <c r="AD228" s="69"/>
      <c r="AE228" s="69"/>
      <c r="AF228" s="69"/>
      <c r="AG228" s="69"/>
      <c r="AH228" s="54" t="b">
        <v>0</v>
      </c>
      <c r="AI228" s="69"/>
      <c r="AJ228" s="107">
        <v>1</v>
      </c>
      <c r="AK228" s="69"/>
      <c r="AL228" s="99"/>
      <c r="AN228" s="115"/>
      <c r="AO228" s="116"/>
      <c r="AP228" s="69"/>
      <c r="AQ228" s="69"/>
      <c r="AR228" s="139"/>
      <c r="AS228" s="139"/>
      <c r="AT228" s="19"/>
      <c r="AU228" s="19"/>
    </row>
    <row r="229" spans="1:47" s="17" customFormat="1" ht="20" x14ac:dyDescent="0.2">
      <c r="A229" s="118"/>
      <c r="B229" s="206" t="s">
        <v>279</v>
      </c>
      <c r="C229" s="280" t="s">
        <v>3818</v>
      </c>
      <c r="D229" s="206" t="s">
        <v>146</v>
      </c>
      <c r="E229" s="206" t="s">
        <v>134</v>
      </c>
      <c r="F229" s="119">
        <v>50.3498831</v>
      </c>
      <c r="G229" s="119">
        <v>-122.87135170000001</v>
      </c>
      <c r="H229" s="139" t="s">
        <v>1066</v>
      </c>
      <c r="I229" s="33" t="s">
        <v>2876</v>
      </c>
      <c r="J229" s="150" t="s">
        <v>1913</v>
      </c>
      <c r="K229" s="51" t="s">
        <v>3198</v>
      </c>
      <c r="L229" s="175">
        <v>230</v>
      </c>
      <c r="M229" s="54">
        <v>2003</v>
      </c>
      <c r="N229" s="33">
        <f t="shared" si="10"/>
        <v>2043</v>
      </c>
      <c r="O229" s="33"/>
      <c r="P229" s="63" t="s">
        <v>1019</v>
      </c>
      <c r="Q229" s="51" t="s">
        <v>1045</v>
      </c>
      <c r="R229" s="65">
        <v>29.5</v>
      </c>
      <c r="S229" s="248">
        <f>System!$E$9</f>
        <v>0.32219999999999999</v>
      </c>
      <c r="T229" s="247">
        <f t="shared" si="8"/>
        <v>9.5048999999999992</v>
      </c>
      <c r="U229" s="114">
        <f t="shared" si="9"/>
        <v>0.45662100456621002</v>
      </c>
      <c r="V229" s="105">
        <v>118</v>
      </c>
      <c r="W229" s="99">
        <v>1</v>
      </c>
      <c r="Y229" s="128" t="s">
        <v>83</v>
      </c>
      <c r="Z229" s="60">
        <v>0</v>
      </c>
      <c r="AA229" s="60">
        <v>29.5</v>
      </c>
      <c r="AB229" s="107">
        <v>1</v>
      </c>
      <c r="AC229" s="107">
        <v>1</v>
      </c>
      <c r="AD229" s="69"/>
      <c r="AE229" s="69"/>
      <c r="AF229" s="69"/>
      <c r="AG229" s="69"/>
      <c r="AH229" s="54" t="b">
        <v>0</v>
      </c>
      <c r="AI229" s="69"/>
      <c r="AJ229" s="107">
        <v>1</v>
      </c>
      <c r="AK229" s="69"/>
      <c r="AL229" s="99"/>
      <c r="AN229" s="115"/>
      <c r="AO229" s="116"/>
      <c r="AP229" s="69"/>
      <c r="AQ229" s="69"/>
      <c r="AR229" s="139"/>
      <c r="AS229" s="139"/>
      <c r="AT229" s="19"/>
      <c r="AU229" s="19"/>
    </row>
    <row r="230" spans="1:47" s="17" customFormat="1" ht="20" x14ac:dyDescent="0.2">
      <c r="A230" s="118"/>
      <c r="B230" s="206" t="s">
        <v>2783</v>
      </c>
      <c r="C230" s="280" t="s">
        <v>3819</v>
      </c>
      <c r="D230" s="206" t="s">
        <v>193</v>
      </c>
      <c r="E230" s="206" t="s">
        <v>194</v>
      </c>
      <c r="F230" s="119">
        <v>50.623136199999998</v>
      </c>
      <c r="G230" s="119">
        <v>-124.1873317</v>
      </c>
      <c r="H230" s="139" t="s">
        <v>1066</v>
      </c>
      <c r="I230" s="33" t="s">
        <v>2876</v>
      </c>
      <c r="J230" s="151" t="s">
        <v>2318</v>
      </c>
      <c r="K230" s="51" t="s">
        <v>3601</v>
      </c>
      <c r="L230" s="175">
        <v>230</v>
      </c>
      <c r="M230" s="54">
        <v>2010</v>
      </c>
      <c r="N230" s="33">
        <f t="shared" si="10"/>
        <v>2050</v>
      </c>
      <c r="O230" s="33"/>
      <c r="P230" s="63" t="s">
        <v>1019</v>
      </c>
      <c r="Q230" s="51" t="s">
        <v>1045</v>
      </c>
      <c r="R230" s="65">
        <v>77.900000000000006</v>
      </c>
      <c r="S230" s="248">
        <f>System!$E$9</f>
        <v>0.32219999999999999</v>
      </c>
      <c r="T230" s="247">
        <f t="shared" si="8"/>
        <v>25.09938</v>
      </c>
      <c r="U230" s="114">
        <f t="shared" si="9"/>
        <v>0.64017024175977277</v>
      </c>
      <c r="V230" s="125">
        <v>436.85473365783599</v>
      </c>
      <c r="W230" s="99">
        <v>2</v>
      </c>
      <c r="Y230" s="128" t="s">
        <v>83</v>
      </c>
      <c r="Z230" s="60">
        <v>0</v>
      </c>
      <c r="AA230" s="60">
        <v>77.900000000000006</v>
      </c>
      <c r="AB230" s="107">
        <v>1</v>
      </c>
      <c r="AC230" s="107">
        <v>1</v>
      </c>
      <c r="AD230" s="69"/>
      <c r="AE230" s="69"/>
      <c r="AF230" s="69"/>
      <c r="AG230" s="69"/>
      <c r="AH230" s="54" t="b">
        <v>0</v>
      </c>
      <c r="AI230" s="69"/>
      <c r="AJ230" s="107">
        <v>1</v>
      </c>
      <c r="AK230" s="69"/>
      <c r="AL230" s="99"/>
      <c r="AN230" s="115"/>
      <c r="AO230" s="116"/>
      <c r="AP230" s="69"/>
      <c r="AQ230" s="69"/>
      <c r="AR230" s="139"/>
      <c r="AS230" s="139"/>
      <c r="AT230" s="19"/>
      <c r="AU230" s="19"/>
    </row>
    <row r="231" spans="1:47" s="17" customFormat="1" ht="20" x14ac:dyDescent="0.2">
      <c r="A231" s="118"/>
      <c r="B231" s="206" t="s">
        <v>1021</v>
      </c>
      <c r="C231" s="280" t="s">
        <v>3821</v>
      </c>
      <c r="D231" s="206" t="s">
        <v>1022</v>
      </c>
      <c r="E231" s="206" t="s">
        <v>257</v>
      </c>
      <c r="F231" s="126">
        <v>49.829455000000003</v>
      </c>
      <c r="G231" s="126">
        <v>-123.664242</v>
      </c>
      <c r="H231" s="139" t="s">
        <v>1066</v>
      </c>
      <c r="I231" s="33" t="s">
        <v>2876</v>
      </c>
      <c r="J231" s="150" t="s">
        <v>1795</v>
      </c>
      <c r="K231" s="51" t="s">
        <v>3199</v>
      </c>
      <c r="L231" s="175">
        <v>138</v>
      </c>
      <c r="M231" s="63">
        <v>2019</v>
      </c>
      <c r="N231" s="33">
        <f t="shared" si="10"/>
        <v>2059</v>
      </c>
      <c r="O231" s="33"/>
      <c r="P231" s="63" t="s">
        <v>1019</v>
      </c>
      <c r="Q231" s="51" t="s">
        <v>1045</v>
      </c>
      <c r="R231" s="64">
        <v>33</v>
      </c>
      <c r="S231" s="248">
        <f>System!$E$9</f>
        <v>0.32219999999999999</v>
      </c>
      <c r="T231" s="247">
        <f t="shared" si="8"/>
        <v>10.6326</v>
      </c>
      <c r="U231" s="114">
        <f t="shared" si="9"/>
        <v>0.51100041511000416</v>
      </c>
      <c r="V231" s="105">
        <v>147.72</v>
      </c>
      <c r="W231" s="99">
        <v>1</v>
      </c>
      <c r="Y231" s="128" t="s">
        <v>83</v>
      </c>
      <c r="Z231" s="60">
        <v>0</v>
      </c>
      <c r="AA231" s="60">
        <v>33</v>
      </c>
      <c r="AB231" s="162">
        <v>1</v>
      </c>
      <c r="AC231" s="162">
        <v>1</v>
      </c>
      <c r="AD231" s="69"/>
      <c r="AE231" s="69"/>
      <c r="AF231" s="69"/>
      <c r="AG231" s="69"/>
      <c r="AH231" s="54" t="b">
        <v>0</v>
      </c>
      <c r="AI231" s="69"/>
      <c r="AJ231" s="107">
        <v>1</v>
      </c>
      <c r="AK231" s="69"/>
      <c r="AL231" s="99"/>
      <c r="AN231" s="115"/>
      <c r="AO231" s="116"/>
      <c r="AP231" s="69"/>
      <c r="AQ231" s="69"/>
      <c r="AR231" s="139"/>
      <c r="AS231" s="139"/>
      <c r="AT231" s="19"/>
      <c r="AU231" s="19"/>
    </row>
    <row r="232" spans="1:47" s="17" customFormat="1" ht="20" x14ac:dyDescent="0.2">
      <c r="A232" s="118"/>
      <c r="B232" s="206" t="s">
        <v>281</v>
      </c>
      <c r="C232" s="280" t="s">
        <v>3823</v>
      </c>
      <c r="D232" s="206" t="s">
        <v>282</v>
      </c>
      <c r="E232" s="206" t="s">
        <v>190</v>
      </c>
      <c r="F232" s="119">
        <v>49.628056299999997</v>
      </c>
      <c r="G232" s="119">
        <v>-122.46253230000001</v>
      </c>
      <c r="H232" s="139" t="s">
        <v>1066</v>
      </c>
      <c r="I232" s="33" t="s">
        <v>2876</v>
      </c>
      <c r="J232" s="151" t="s">
        <v>2319</v>
      </c>
      <c r="K232" s="51" t="s">
        <v>3148</v>
      </c>
      <c r="L232" s="175">
        <v>138</v>
      </c>
      <c r="M232" s="54">
        <v>2013</v>
      </c>
      <c r="N232" s="33">
        <f t="shared" si="10"/>
        <v>2053</v>
      </c>
      <c r="O232" s="33"/>
      <c r="P232" s="63" t="s">
        <v>1019</v>
      </c>
      <c r="Q232" s="51" t="s">
        <v>1045</v>
      </c>
      <c r="R232" s="65">
        <v>17.5</v>
      </c>
      <c r="S232" s="248">
        <f>System!$E$9</f>
        <v>0.32219999999999999</v>
      </c>
      <c r="T232" s="247">
        <f t="shared" si="8"/>
        <v>5.6384999999999996</v>
      </c>
      <c r="U232" s="114">
        <f t="shared" si="9"/>
        <v>0.42185257664709719</v>
      </c>
      <c r="V232" s="105">
        <v>64.67</v>
      </c>
      <c r="W232" s="99">
        <v>1</v>
      </c>
      <c r="Y232" s="128" t="s">
        <v>83</v>
      </c>
      <c r="Z232" s="60">
        <v>0</v>
      </c>
      <c r="AA232" s="60">
        <v>17.5</v>
      </c>
      <c r="AB232" s="107">
        <v>1</v>
      </c>
      <c r="AC232" s="107">
        <v>1</v>
      </c>
      <c r="AD232" s="69"/>
      <c r="AE232" s="69"/>
      <c r="AF232" s="69"/>
      <c r="AG232" s="69"/>
      <c r="AH232" s="54" t="b">
        <v>0</v>
      </c>
      <c r="AI232" s="69"/>
      <c r="AJ232" s="107">
        <v>1</v>
      </c>
      <c r="AK232" s="69"/>
      <c r="AL232" s="99"/>
      <c r="AN232" s="115"/>
      <c r="AO232" s="116"/>
      <c r="AP232" s="69"/>
      <c r="AQ232" s="69"/>
      <c r="AR232" s="139"/>
      <c r="AS232" s="139"/>
      <c r="AT232" s="19"/>
      <c r="AU232" s="19"/>
    </row>
    <row r="233" spans="1:47" s="17" customFormat="1" ht="20" x14ac:dyDescent="0.2">
      <c r="A233" s="118"/>
      <c r="B233" s="206" t="s">
        <v>289</v>
      </c>
      <c r="C233" s="280" t="s">
        <v>3828</v>
      </c>
      <c r="D233" s="206" t="s">
        <v>290</v>
      </c>
      <c r="E233" s="206" t="s">
        <v>110</v>
      </c>
      <c r="F233" s="119">
        <v>50.5500653</v>
      </c>
      <c r="G233" s="119">
        <v>-117.9484147</v>
      </c>
      <c r="H233" s="139" t="s">
        <v>1066</v>
      </c>
      <c r="I233" s="33" t="s">
        <v>2876</v>
      </c>
      <c r="J233" s="150" t="s">
        <v>2320</v>
      </c>
      <c r="K233" s="51" t="s">
        <v>3110</v>
      </c>
      <c r="L233" s="175">
        <v>69</v>
      </c>
      <c r="M233" s="54">
        <v>2003</v>
      </c>
      <c r="N233" s="33">
        <f t="shared" si="10"/>
        <v>2043</v>
      </c>
      <c r="O233" s="33"/>
      <c r="P233" s="63" t="s">
        <v>1019</v>
      </c>
      <c r="Q233" s="51" t="s">
        <v>1045</v>
      </c>
      <c r="R233" s="65">
        <v>45</v>
      </c>
      <c r="S233" s="248">
        <f>System!$E$9</f>
        <v>0.32219999999999999</v>
      </c>
      <c r="T233" s="247">
        <f t="shared" si="8"/>
        <v>14.498999999999999</v>
      </c>
      <c r="U233" s="114">
        <f t="shared" si="9"/>
        <v>0.48959918822932519</v>
      </c>
      <c r="V233" s="105">
        <v>193</v>
      </c>
      <c r="W233" s="99">
        <v>1</v>
      </c>
      <c r="Y233" s="128" t="s">
        <v>83</v>
      </c>
      <c r="Z233" s="60">
        <v>0</v>
      </c>
      <c r="AA233" s="60">
        <v>45</v>
      </c>
      <c r="AB233" s="107">
        <v>1</v>
      </c>
      <c r="AC233" s="107">
        <v>1</v>
      </c>
      <c r="AD233" s="69"/>
      <c r="AE233" s="69"/>
      <c r="AF233" s="69"/>
      <c r="AG233" s="69"/>
      <c r="AH233" s="54" t="b">
        <v>0</v>
      </c>
      <c r="AI233" s="69"/>
      <c r="AJ233" s="107">
        <v>1</v>
      </c>
      <c r="AK233" s="69"/>
      <c r="AL233" s="99"/>
      <c r="AN233" s="115"/>
      <c r="AO233" s="116"/>
      <c r="AP233" s="69"/>
      <c r="AQ233" s="69"/>
      <c r="AR233" s="139"/>
      <c r="AS233" s="139"/>
      <c r="AT233" s="19"/>
      <c r="AU233" s="19"/>
    </row>
    <row r="234" spans="1:47" s="17" customFormat="1" ht="20" x14ac:dyDescent="0.2">
      <c r="A234" s="118"/>
      <c r="B234" s="206" t="s">
        <v>814</v>
      </c>
      <c r="C234" s="280" t="s">
        <v>3830</v>
      </c>
      <c r="D234" s="206" t="s">
        <v>828</v>
      </c>
      <c r="E234" s="206" t="s">
        <v>814</v>
      </c>
      <c r="F234" s="119">
        <v>49.8723478</v>
      </c>
      <c r="G234" s="119">
        <v>-124.55770390000001</v>
      </c>
      <c r="H234" s="139" t="s">
        <v>1066</v>
      </c>
      <c r="I234" s="33" t="s">
        <v>2876</v>
      </c>
      <c r="J234" s="150" t="s">
        <v>1837</v>
      </c>
      <c r="K234" s="51" t="s">
        <v>3432</v>
      </c>
      <c r="L234" s="175">
        <v>138</v>
      </c>
      <c r="M234" s="100">
        <v>2000</v>
      </c>
      <c r="N234" s="100">
        <v>2100</v>
      </c>
      <c r="O234" s="48"/>
      <c r="P234" s="120" t="s">
        <v>1019</v>
      </c>
      <c r="Q234" s="51" t="s">
        <v>1045</v>
      </c>
      <c r="R234" s="121">
        <v>38</v>
      </c>
      <c r="S234" s="248">
        <f>System!$E$9</f>
        <v>0.32219999999999999</v>
      </c>
      <c r="T234" s="247">
        <f t="shared" si="8"/>
        <v>12.243599999999999</v>
      </c>
      <c r="U234" s="114">
        <f t="shared" si="9"/>
        <v>0.54127613554434029</v>
      </c>
      <c r="V234" s="121">
        <v>180.18</v>
      </c>
      <c r="W234" s="99">
        <v>1</v>
      </c>
      <c r="X234" s="117"/>
      <c r="Y234" s="128" t="s">
        <v>83</v>
      </c>
      <c r="Z234" s="121">
        <v>0</v>
      </c>
      <c r="AA234" s="121">
        <v>38</v>
      </c>
      <c r="AB234" s="160">
        <v>1</v>
      </c>
      <c r="AC234" s="160">
        <v>1</v>
      </c>
      <c r="AD234" s="69"/>
      <c r="AE234" s="69"/>
      <c r="AF234" s="69"/>
      <c r="AG234" s="69"/>
      <c r="AH234" s="120" t="b">
        <v>0</v>
      </c>
      <c r="AI234" s="69"/>
      <c r="AJ234" s="157">
        <v>1</v>
      </c>
      <c r="AK234" s="69"/>
      <c r="AL234" s="99"/>
      <c r="AM234" s="117"/>
      <c r="AN234" s="115"/>
      <c r="AO234" s="116"/>
      <c r="AP234" s="69"/>
      <c r="AQ234" s="69"/>
      <c r="AR234" s="139"/>
      <c r="AS234" s="139"/>
      <c r="AT234" s="19"/>
      <c r="AU234" s="19"/>
    </row>
    <row r="235" spans="1:47" s="17" customFormat="1" ht="20" x14ac:dyDescent="0.2">
      <c r="A235" s="118"/>
      <c r="B235" s="206" t="s">
        <v>2808</v>
      </c>
      <c r="C235" s="280" t="s">
        <v>3831</v>
      </c>
      <c r="D235" s="206" t="s">
        <v>291</v>
      </c>
      <c r="E235" s="206" t="s">
        <v>159</v>
      </c>
      <c r="F235" s="119">
        <v>53.678542999999998</v>
      </c>
      <c r="G235" s="119">
        <v>-120.91099579999999</v>
      </c>
      <c r="H235" s="139" t="s">
        <v>1066</v>
      </c>
      <c r="I235" s="33" t="s">
        <v>2876</v>
      </c>
      <c r="J235" s="150" t="s">
        <v>1854</v>
      </c>
      <c r="K235" s="33" t="s">
        <v>3185</v>
      </c>
      <c r="L235" s="175">
        <v>69</v>
      </c>
      <c r="M235" s="54">
        <v>1993</v>
      </c>
      <c r="N235" s="33">
        <f>M235+40</f>
        <v>2033</v>
      </c>
      <c r="O235" s="33"/>
      <c r="P235" s="63" t="s">
        <v>1019</v>
      </c>
      <c r="Q235" s="51" t="s">
        <v>1045</v>
      </c>
      <c r="R235" s="65">
        <v>4.8</v>
      </c>
      <c r="S235" s="248">
        <f>System!$E$9</f>
        <v>0.32219999999999999</v>
      </c>
      <c r="T235" s="247">
        <f t="shared" si="8"/>
        <v>1.5465599999999999</v>
      </c>
      <c r="U235" s="114">
        <f t="shared" si="9"/>
        <v>0.62785388127853881</v>
      </c>
      <c r="V235" s="64">
        <v>26.4</v>
      </c>
      <c r="W235" s="99">
        <v>1</v>
      </c>
      <c r="Y235" s="128" t="s">
        <v>83</v>
      </c>
      <c r="Z235" s="60">
        <v>0</v>
      </c>
      <c r="AA235" s="60">
        <v>4.8</v>
      </c>
      <c r="AB235" s="107">
        <v>1</v>
      </c>
      <c r="AC235" s="107">
        <v>1</v>
      </c>
      <c r="AD235" s="69"/>
      <c r="AE235" s="69"/>
      <c r="AF235" s="69"/>
      <c r="AG235" s="69"/>
      <c r="AH235" s="54" t="b">
        <v>0</v>
      </c>
      <c r="AI235" s="69"/>
      <c r="AJ235" s="107">
        <v>1</v>
      </c>
      <c r="AK235" s="69"/>
      <c r="AL235" s="99"/>
      <c r="AM235" s="156"/>
      <c r="AN235" s="115"/>
      <c r="AO235" s="116"/>
      <c r="AP235" s="69"/>
      <c r="AQ235" s="69"/>
      <c r="AR235" s="139"/>
      <c r="AS235" s="139"/>
      <c r="AT235" s="19"/>
      <c r="AU235" s="19" t="s">
        <v>2371</v>
      </c>
    </row>
    <row r="236" spans="1:47" s="17" customFormat="1" ht="20" x14ac:dyDescent="0.2">
      <c r="A236" s="118"/>
      <c r="B236" s="206" t="s">
        <v>2813</v>
      </c>
      <c r="C236" s="280" t="s">
        <v>3835</v>
      </c>
      <c r="D236" s="206" t="s">
        <v>298</v>
      </c>
      <c r="E236" s="206" t="s">
        <v>134</v>
      </c>
      <c r="F236" s="119">
        <v>50.272697100000002</v>
      </c>
      <c r="G236" s="119">
        <v>-122.8669537</v>
      </c>
      <c r="H236" s="139" t="s">
        <v>1066</v>
      </c>
      <c r="I236" s="33" t="s">
        <v>2876</v>
      </c>
      <c r="J236" s="150" t="s">
        <v>2323</v>
      </c>
      <c r="K236" s="51" t="s">
        <v>3155</v>
      </c>
      <c r="L236" s="175">
        <v>230</v>
      </c>
      <c r="M236" s="54">
        <v>2004</v>
      </c>
      <c r="N236" s="33">
        <f>M236+40</f>
        <v>2044</v>
      </c>
      <c r="O236" s="33"/>
      <c r="P236" s="63" t="s">
        <v>1019</v>
      </c>
      <c r="Q236" s="51" t="s">
        <v>1045</v>
      </c>
      <c r="R236" s="65">
        <v>50</v>
      </c>
      <c r="S236" s="248">
        <f>System!$E$9</f>
        <v>0.32219999999999999</v>
      </c>
      <c r="T236" s="247">
        <f t="shared" si="8"/>
        <v>16.11</v>
      </c>
      <c r="U236" s="114">
        <f t="shared" si="9"/>
        <v>0.39269406392694062</v>
      </c>
      <c r="V236" s="105">
        <v>172</v>
      </c>
      <c r="W236" s="99">
        <v>1</v>
      </c>
      <c r="Y236" s="128" t="s">
        <v>83</v>
      </c>
      <c r="Z236" s="60">
        <v>0</v>
      </c>
      <c r="AA236" s="60">
        <v>50</v>
      </c>
      <c r="AB236" s="107">
        <v>1</v>
      </c>
      <c r="AC236" s="107">
        <v>1</v>
      </c>
      <c r="AD236" s="69"/>
      <c r="AE236" s="69"/>
      <c r="AF236" s="69"/>
      <c r="AG236" s="69"/>
      <c r="AH236" s="54" t="b">
        <v>0</v>
      </c>
      <c r="AI236" s="69"/>
      <c r="AJ236" s="107">
        <v>1</v>
      </c>
      <c r="AK236" s="69"/>
      <c r="AL236" s="99"/>
      <c r="AN236" s="115"/>
      <c r="AO236" s="116"/>
      <c r="AP236" s="69"/>
      <c r="AQ236" s="69"/>
      <c r="AR236" s="139"/>
      <c r="AS236" s="139"/>
      <c r="AT236" s="19"/>
      <c r="AU236" s="19"/>
    </row>
    <row r="237" spans="1:47" s="17" customFormat="1" ht="20" x14ac:dyDescent="0.2">
      <c r="A237" s="118"/>
      <c r="B237" s="206" t="s">
        <v>2816</v>
      </c>
      <c r="C237" s="280" t="s">
        <v>3836</v>
      </c>
      <c r="D237" s="206" t="s">
        <v>299</v>
      </c>
      <c r="E237" s="206" t="s">
        <v>300</v>
      </c>
      <c r="F237" s="119">
        <v>49.332616700000003</v>
      </c>
      <c r="G237" s="119">
        <v>-121.880117</v>
      </c>
      <c r="H237" s="139" t="s">
        <v>1066</v>
      </c>
      <c r="I237" s="33" t="s">
        <v>2876</v>
      </c>
      <c r="J237" s="150" t="s">
        <v>1858</v>
      </c>
      <c r="K237" s="51" t="s">
        <v>3203</v>
      </c>
      <c r="L237" s="175">
        <v>360</v>
      </c>
      <c r="M237" s="54">
        <v>2014</v>
      </c>
      <c r="N237" s="33">
        <f>M237+40</f>
        <v>2054</v>
      </c>
      <c r="O237" s="33"/>
      <c r="P237" s="63" t="s">
        <v>1019</v>
      </c>
      <c r="Q237" s="51" t="s">
        <v>1045</v>
      </c>
      <c r="R237" s="65">
        <v>6</v>
      </c>
      <c r="S237" s="248">
        <f>System!$E$9</f>
        <v>0.32219999999999999</v>
      </c>
      <c r="T237" s="247">
        <f t="shared" si="8"/>
        <v>1.9331999999999998</v>
      </c>
      <c r="U237" s="114">
        <f t="shared" si="9"/>
        <v>0.3995433789954338</v>
      </c>
      <c r="V237" s="105">
        <v>21</v>
      </c>
      <c r="W237" s="99">
        <v>1</v>
      </c>
      <c r="Y237" s="128" t="s">
        <v>83</v>
      </c>
      <c r="Z237" s="60">
        <v>0</v>
      </c>
      <c r="AA237" s="60">
        <v>6</v>
      </c>
      <c r="AB237" s="107">
        <v>1</v>
      </c>
      <c r="AC237" s="107">
        <v>1</v>
      </c>
      <c r="AD237" s="69"/>
      <c r="AE237" s="69"/>
      <c r="AF237" s="69"/>
      <c r="AG237" s="69"/>
      <c r="AH237" s="54" t="b">
        <v>0</v>
      </c>
      <c r="AI237" s="69"/>
      <c r="AJ237" s="107">
        <v>1</v>
      </c>
      <c r="AK237" s="69"/>
      <c r="AL237" s="99"/>
      <c r="AN237" s="115"/>
      <c r="AO237" s="116"/>
      <c r="AP237" s="69"/>
      <c r="AQ237" s="69"/>
      <c r="AR237" s="139"/>
      <c r="AS237" s="139"/>
      <c r="AT237" s="19"/>
      <c r="AU237" s="19"/>
    </row>
    <row r="238" spans="1:47" s="17" customFormat="1" ht="20" x14ac:dyDescent="0.2">
      <c r="A238" s="118"/>
      <c r="B238" s="206" t="s">
        <v>3608</v>
      </c>
      <c r="C238" s="280" t="s">
        <v>3838</v>
      </c>
      <c r="D238" s="206" t="s">
        <v>3609</v>
      </c>
      <c r="E238" s="206" t="s">
        <v>257</v>
      </c>
      <c r="F238" s="126">
        <v>49.677481865232799</v>
      </c>
      <c r="G238" s="126">
        <v>-123.548070101096</v>
      </c>
      <c r="H238" s="139" t="s">
        <v>1066</v>
      </c>
      <c r="I238" s="33" t="s">
        <v>2876</v>
      </c>
      <c r="J238" s="151" t="s">
        <v>1871</v>
      </c>
      <c r="K238" s="51" t="s">
        <v>3603</v>
      </c>
      <c r="L238" s="175">
        <v>138</v>
      </c>
      <c r="M238" s="63">
        <v>2018</v>
      </c>
      <c r="N238" s="33">
        <v>2058</v>
      </c>
      <c r="O238" s="33"/>
      <c r="P238" s="63" t="s">
        <v>1019</v>
      </c>
      <c r="Q238" s="51" t="s">
        <v>1045</v>
      </c>
      <c r="R238" s="65">
        <v>16.600000000000001</v>
      </c>
      <c r="S238" s="248">
        <f>System!$E$9</f>
        <v>0.32219999999999999</v>
      </c>
      <c r="T238" s="247">
        <f t="shared" si="8"/>
        <v>5.3485200000000006</v>
      </c>
      <c r="U238" s="114">
        <f t="shared" si="9"/>
        <v>0.58177917148044234</v>
      </c>
      <c r="V238" s="105">
        <v>84.6</v>
      </c>
      <c r="W238" s="99"/>
      <c r="Y238" s="128"/>
      <c r="Z238" s="60">
        <v>0</v>
      </c>
      <c r="AA238" s="60">
        <v>16.600000000000001</v>
      </c>
      <c r="AB238" s="107">
        <v>1</v>
      </c>
      <c r="AC238" s="107">
        <v>1</v>
      </c>
      <c r="AD238" s="69"/>
      <c r="AE238" s="69"/>
      <c r="AF238" s="69"/>
      <c r="AG238" s="69"/>
      <c r="AH238" s="54" t="b">
        <v>0</v>
      </c>
      <c r="AI238" s="69"/>
      <c r="AJ238" s="107">
        <v>1</v>
      </c>
      <c r="AK238" s="69"/>
      <c r="AL238" s="99"/>
      <c r="AN238" s="115"/>
      <c r="AO238" s="139"/>
      <c r="AP238" s="69"/>
      <c r="AQ238" s="69"/>
      <c r="AR238" s="139"/>
      <c r="AS238" s="139"/>
      <c r="AT238" s="19"/>
      <c r="AU238" s="19"/>
    </row>
    <row r="239" spans="1:47" s="17" customFormat="1" ht="20" x14ac:dyDescent="0.2">
      <c r="A239" s="118"/>
      <c r="B239" s="206" t="s">
        <v>2814</v>
      </c>
      <c r="C239" s="280" t="s">
        <v>3843</v>
      </c>
      <c r="D239" s="206" t="s">
        <v>311</v>
      </c>
      <c r="E239" s="206" t="s">
        <v>120</v>
      </c>
      <c r="F239" s="119">
        <v>49.7204719</v>
      </c>
      <c r="G239" s="119">
        <v>-122.9955731</v>
      </c>
      <c r="H239" s="139" t="s">
        <v>1066</v>
      </c>
      <c r="I239" s="33" t="s">
        <v>2876</v>
      </c>
      <c r="J239" s="150" t="s">
        <v>1886</v>
      </c>
      <c r="K239" s="51" t="s">
        <v>3161</v>
      </c>
      <c r="L239" s="175">
        <v>138</v>
      </c>
      <c r="M239" s="54">
        <v>2014</v>
      </c>
      <c r="N239" s="33">
        <v>2054</v>
      </c>
      <c r="O239" s="33"/>
      <c r="P239" s="63" t="s">
        <v>1019</v>
      </c>
      <c r="Q239" s="51" t="s">
        <v>1045</v>
      </c>
      <c r="R239" s="65">
        <v>29.2</v>
      </c>
      <c r="S239" s="248">
        <f>System!$E$9</f>
        <v>0.32219999999999999</v>
      </c>
      <c r="T239" s="247">
        <f t="shared" si="8"/>
        <v>9.4082399999999993</v>
      </c>
      <c r="U239" s="114">
        <f t="shared" si="9"/>
        <v>0.39876149371364233</v>
      </c>
      <c r="V239" s="105">
        <v>102</v>
      </c>
      <c r="W239" s="99">
        <v>1</v>
      </c>
      <c r="Y239" s="128" t="s">
        <v>83</v>
      </c>
      <c r="Z239" s="60">
        <v>0</v>
      </c>
      <c r="AA239" s="60">
        <v>29.2</v>
      </c>
      <c r="AB239" s="107">
        <v>1</v>
      </c>
      <c r="AC239" s="107">
        <v>1</v>
      </c>
      <c r="AD239" s="69"/>
      <c r="AE239" s="69"/>
      <c r="AF239" s="69"/>
      <c r="AG239" s="69"/>
      <c r="AH239" s="54" t="b">
        <v>0</v>
      </c>
      <c r="AI239" s="69"/>
      <c r="AJ239" s="107">
        <v>1</v>
      </c>
      <c r="AK239" s="69"/>
      <c r="AL239" s="99"/>
      <c r="AN239" s="115"/>
      <c r="AO239" s="116"/>
      <c r="AP239" s="69"/>
      <c r="AQ239" s="69"/>
      <c r="AR239" s="139"/>
      <c r="AS239" s="139"/>
      <c r="AT239" s="19"/>
      <c r="AU239" s="19" t="s">
        <v>2815</v>
      </c>
    </row>
    <row r="240" spans="1:47" s="17" customFormat="1" ht="20" x14ac:dyDescent="0.2">
      <c r="A240" s="118"/>
      <c r="B240" s="206" t="s">
        <v>314</v>
      </c>
      <c r="C240" s="280" t="s">
        <v>3845</v>
      </c>
      <c r="D240" s="206" t="s">
        <v>290</v>
      </c>
      <c r="E240" s="206" t="s">
        <v>139</v>
      </c>
      <c r="F240" s="119">
        <v>50.284227600000001</v>
      </c>
      <c r="G240" s="119">
        <v>-122.977625</v>
      </c>
      <c r="H240" s="139" t="s">
        <v>1066</v>
      </c>
      <c r="I240" s="33" t="s">
        <v>2876</v>
      </c>
      <c r="J240" s="150" t="s">
        <v>1913</v>
      </c>
      <c r="K240" s="51" t="s">
        <v>3198</v>
      </c>
      <c r="L240" s="175">
        <v>230</v>
      </c>
      <c r="M240" s="54">
        <v>1994</v>
      </c>
      <c r="N240" s="33">
        <f>M240+40</f>
        <v>2034</v>
      </c>
      <c r="O240" s="33"/>
      <c r="P240" s="63" t="s">
        <v>1019</v>
      </c>
      <c r="Q240" s="51" t="s">
        <v>1045</v>
      </c>
      <c r="R240" s="65">
        <v>13.3</v>
      </c>
      <c r="S240" s="248">
        <f>System!$E$9</f>
        <v>0.32219999999999999</v>
      </c>
      <c r="T240" s="247">
        <f t="shared" si="8"/>
        <v>4.2852600000000001</v>
      </c>
      <c r="U240" s="114">
        <f t="shared" si="9"/>
        <v>0.67034023414701138</v>
      </c>
      <c r="V240" s="64">
        <v>78.099999999999994</v>
      </c>
      <c r="W240" s="99">
        <v>1</v>
      </c>
      <c r="Y240" s="128" t="s">
        <v>83</v>
      </c>
      <c r="Z240" s="60">
        <v>0</v>
      </c>
      <c r="AA240" s="60">
        <v>13.3</v>
      </c>
      <c r="AB240" s="107">
        <v>1</v>
      </c>
      <c r="AC240" s="107">
        <v>1</v>
      </c>
      <c r="AD240" s="69"/>
      <c r="AE240" s="69"/>
      <c r="AF240" s="69"/>
      <c r="AG240" s="69"/>
      <c r="AH240" s="54" t="b">
        <v>0</v>
      </c>
      <c r="AI240" s="69"/>
      <c r="AJ240" s="107">
        <v>1</v>
      </c>
      <c r="AK240" s="69"/>
      <c r="AL240" s="99"/>
      <c r="AM240" s="156"/>
      <c r="AN240" s="115"/>
      <c r="AO240" s="116"/>
      <c r="AP240" s="69"/>
      <c r="AQ240" s="69"/>
      <c r="AR240" s="139"/>
      <c r="AS240" s="139"/>
      <c r="AT240" s="19"/>
      <c r="AU240" s="19"/>
    </row>
    <row r="241" spans="1:47" s="17" customFormat="1" ht="20" x14ac:dyDescent="0.2">
      <c r="A241" s="118"/>
      <c r="B241" s="206" t="s">
        <v>953</v>
      </c>
      <c r="C241" s="280" t="s">
        <v>3846</v>
      </c>
      <c r="D241" s="206" t="s">
        <v>315</v>
      </c>
      <c r="E241" s="206" t="s">
        <v>110</v>
      </c>
      <c r="F241" s="119">
        <v>50.771577000000001</v>
      </c>
      <c r="G241" s="119">
        <v>-118.1041359</v>
      </c>
      <c r="H241" s="139" t="s">
        <v>1066</v>
      </c>
      <c r="I241" s="33" t="s">
        <v>2876</v>
      </c>
      <c r="J241" s="150" t="s">
        <v>1870</v>
      </c>
      <c r="K241" s="51" t="s">
        <v>3157</v>
      </c>
      <c r="L241" s="175">
        <v>69</v>
      </c>
      <c r="M241" s="54">
        <v>2008</v>
      </c>
      <c r="N241" s="33">
        <f>M241+40</f>
        <v>2048</v>
      </c>
      <c r="O241" s="33"/>
      <c r="P241" s="63" t="s">
        <v>1019</v>
      </c>
      <c r="Q241" s="51" t="s">
        <v>1045</v>
      </c>
      <c r="R241" s="65">
        <v>11.5</v>
      </c>
      <c r="S241" s="248">
        <f>System!$E$9</f>
        <v>0.32219999999999999</v>
      </c>
      <c r="T241" s="247">
        <f t="shared" si="8"/>
        <v>3.7052999999999998</v>
      </c>
      <c r="U241" s="114">
        <f t="shared" si="9"/>
        <v>0.26166368870359341</v>
      </c>
      <c r="V241" s="64">
        <v>26.36</v>
      </c>
      <c r="W241" s="99">
        <v>1</v>
      </c>
      <c r="Y241" s="128" t="s">
        <v>83</v>
      </c>
      <c r="Z241" s="60">
        <v>0</v>
      </c>
      <c r="AA241" s="60">
        <v>11.5</v>
      </c>
      <c r="AB241" s="162">
        <v>1</v>
      </c>
      <c r="AC241" s="162">
        <v>1</v>
      </c>
      <c r="AD241" s="69"/>
      <c r="AE241" s="69"/>
      <c r="AF241" s="69"/>
      <c r="AG241" s="69"/>
      <c r="AH241" s="54" t="b">
        <v>0</v>
      </c>
      <c r="AI241" s="69"/>
      <c r="AJ241" s="107">
        <v>1</v>
      </c>
      <c r="AK241" s="69"/>
      <c r="AL241" s="99"/>
      <c r="AN241" s="115"/>
      <c r="AO241" s="116"/>
      <c r="AP241" s="69"/>
      <c r="AQ241" s="69"/>
      <c r="AR241" s="139"/>
      <c r="AS241" s="139"/>
      <c r="AT241" s="19"/>
      <c r="AU241" s="19"/>
    </row>
    <row r="242" spans="1:47" s="17" customFormat="1" ht="20" x14ac:dyDescent="0.2">
      <c r="A242" s="118"/>
      <c r="B242" s="206" t="s">
        <v>317</v>
      </c>
      <c r="C242" s="280" t="s">
        <v>3847</v>
      </c>
      <c r="D242" s="206" t="s">
        <v>318</v>
      </c>
      <c r="E242" s="206" t="s">
        <v>167</v>
      </c>
      <c r="F242" s="119">
        <v>49.287611499999997</v>
      </c>
      <c r="G242" s="119">
        <v>-125.3092113</v>
      </c>
      <c r="H242" s="139" t="s">
        <v>1066</v>
      </c>
      <c r="I242" s="33" t="s">
        <v>2876</v>
      </c>
      <c r="J242" s="150" t="s">
        <v>2385</v>
      </c>
      <c r="K242" s="51" t="s">
        <v>3163</v>
      </c>
      <c r="L242" s="175">
        <v>69</v>
      </c>
      <c r="M242" s="54">
        <v>2005</v>
      </c>
      <c r="N242" s="33">
        <f>M242+40</f>
        <v>2045</v>
      </c>
      <c r="O242" s="33"/>
      <c r="P242" s="63" t="s">
        <v>1019</v>
      </c>
      <c r="Q242" s="51" t="s">
        <v>1045</v>
      </c>
      <c r="R242" s="65">
        <v>4.9000000000000004</v>
      </c>
      <c r="S242" s="248">
        <f>System!$E$9</f>
        <v>0.32219999999999999</v>
      </c>
      <c r="T242" s="247">
        <f t="shared" si="8"/>
        <v>1.5787800000000001</v>
      </c>
      <c r="U242" s="114">
        <f t="shared" si="9"/>
        <v>0.60572174075109497</v>
      </c>
      <c r="V242" s="105">
        <v>26</v>
      </c>
      <c r="W242" s="99">
        <v>1</v>
      </c>
      <c r="Y242" s="128" t="s">
        <v>83</v>
      </c>
      <c r="Z242" s="60">
        <v>0</v>
      </c>
      <c r="AA242" s="60">
        <v>4.9000000000000004</v>
      </c>
      <c r="AB242" s="107">
        <v>1</v>
      </c>
      <c r="AC242" s="107">
        <v>1</v>
      </c>
      <c r="AD242" s="69"/>
      <c r="AE242" s="69"/>
      <c r="AF242" s="69"/>
      <c r="AG242" s="69"/>
      <c r="AH242" s="54" t="b">
        <v>0</v>
      </c>
      <c r="AI242" s="69"/>
      <c r="AJ242" s="107">
        <v>1</v>
      </c>
      <c r="AK242" s="69"/>
      <c r="AL242" s="99"/>
      <c r="AN242" s="115"/>
      <c r="AO242" s="116"/>
      <c r="AP242" s="69"/>
      <c r="AQ242" s="69"/>
      <c r="AR242" s="139"/>
      <c r="AS242" s="139"/>
      <c r="AT242" s="19"/>
      <c r="AU242" s="19"/>
    </row>
    <row r="243" spans="1:47" s="17" customFormat="1" ht="20" x14ac:dyDescent="0.2">
      <c r="A243" s="118"/>
      <c r="B243" s="204" t="s">
        <v>319</v>
      </c>
      <c r="C243" s="280" t="s">
        <v>3848</v>
      </c>
      <c r="D243" s="204" t="s">
        <v>106</v>
      </c>
      <c r="E243" s="204" t="s">
        <v>192</v>
      </c>
      <c r="F243" s="119">
        <v>50.903362100000002</v>
      </c>
      <c r="G243" s="119">
        <v>-116.4089432</v>
      </c>
      <c r="H243" s="139" t="s">
        <v>1066</v>
      </c>
      <c r="I243" s="33" t="s">
        <v>2876</v>
      </c>
      <c r="J243" s="151" t="s">
        <v>1897</v>
      </c>
      <c r="K243" s="51" t="s">
        <v>3726</v>
      </c>
      <c r="L243" s="175">
        <v>69</v>
      </c>
      <c r="M243" s="54">
        <v>1954</v>
      </c>
      <c r="N243" s="100">
        <v>2100</v>
      </c>
      <c r="O243" s="33"/>
      <c r="P243" s="67" t="s">
        <v>1019</v>
      </c>
      <c r="Q243" s="51" t="s">
        <v>1045</v>
      </c>
      <c r="R243" s="65">
        <v>4.8</v>
      </c>
      <c r="S243" s="248">
        <f>System!$E$9</f>
        <v>0.32219999999999999</v>
      </c>
      <c r="T243" s="247">
        <f t="shared" si="8"/>
        <v>1.5465599999999999</v>
      </c>
      <c r="U243" s="114">
        <f t="shared" si="9"/>
        <v>0.20697424639478595</v>
      </c>
      <c r="V243" s="125">
        <v>8.7028531124079596</v>
      </c>
      <c r="W243" s="99">
        <v>1</v>
      </c>
      <c r="Y243" s="128" t="s">
        <v>83</v>
      </c>
      <c r="Z243" s="60">
        <v>0</v>
      </c>
      <c r="AA243" s="60">
        <v>4.8</v>
      </c>
      <c r="AB243" s="107">
        <v>1</v>
      </c>
      <c r="AC243" s="107">
        <v>1</v>
      </c>
      <c r="AD243" s="69"/>
      <c r="AE243" s="69"/>
      <c r="AF243" s="69"/>
      <c r="AG243" s="69"/>
      <c r="AH243" s="54" t="b">
        <v>0</v>
      </c>
      <c r="AI243" s="69"/>
      <c r="AJ243" s="107">
        <v>1</v>
      </c>
      <c r="AK243" s="69"/>
      <c r="AL243" s="99"/>
      <c r="AN243" s="115"/>
      <c r="AO243" s="116"/>
      <c r="AP243" s="69"/>
      <c r="AQ243" s="69"/>
      <c r="AR243" s="139"/>
      <c r="AS243" s="139"/>
      <c r="AT243" s="19"/>
      <c r="AU243" s="19"/>
    </row>
    <row r="244" spans="1:47" s="17" customFormat="1" ht="20" x14ac:dyDescent="0.2">
      <c r="A244" s="118"/>
      <c r="B244" s="206" t="s">
        <v>2788</v>
      </c>
      <c r="C244" s="280" t="s">
        <v>3850</v>
      </c>
      <c r="D244" s="206" t="s">
        <v>189</v>
      </c>
      <c r="E244" s="206" t="s">
        <v>190</v>
      </c>
      <c r="F244" s="119">
        <v>49.711062200000001</v>
      </c>
      <c r="G244" s="119">
        <v>-122.0342551</v>
      </c>
      <c r="H244" s="139" t="s">
        <v>1066</v>
      </c>
      <c r="I244" s="33" t="s">
        <v>2876</v>
      </c>
      <c r="J244" s="151" t="s">
        <v>2325</v>
      </c>
      <c r="K244" s="51" t="s">
        <v>3160</v>
      </c>
      <c r="L244" s="175">
        <v>138</v>
      </c>
      <c r="M244" s="54">
        <v>2009</v>
      </c>
      <c r="N244" s="33">
        <f t="shared" ref="N244:N256" si="11">M244+40</f>
        <v>2049</v>
      </c>
      <c r="O244" s="33"/>
      <c r="P244" s="63" t="s">
        <v>1019</v>
      </c>
      <c r="Q244" s="51" t="s">
        <v>1045</v>
      </c>
      <c r="R244" s="65">
        <v>22.04</v>
      </c>
      <c r="S244" s="248">
        <f>System!$E$9</f>
        <v>0.32219999999999999</v>
      </c>
      <c r="T244" s="247">
        <f t="shared" si="8"/>
        <v>7.1012879999999994</v>
      </c>
      <c r="U244" s="114">
        <f t="shared" si="9"/>
        <v>0.56734086873088363</v>
      </c>
      <c r="V244" s="125">
        <v>109.5367284622192</v>
      </c>
      <c r="W244" s="99">
        <v>1</v>
      </c>
      <c r="Y244" s="128" t="s">
        <v>83</v>
      </c>
      <c r="Z244" s="60">
        <v>0</v>
      </c>
      <c r="AA244" s="60">
        <v>22.04</v>
      </c>
      <c r="AB244" s="107">
        <v>1</v>
      </c>
      <c r="AC244" s="107">
        <v>1</v>
      </c>
      <c r="AD244" s="69"/>
      <c r="AE244" s="69"/>
      <c r="AF244" s="69"/>
      <c r="AG244" s="69"/>
      <c r="AH244" s="54" t="b">
        <v>0</v>
      </c>
      <c r="AI244" s="69"/>
      <c r="AJ244" s="107">
        <v>1</v>
      </c>
      <c r="AK244" s="69"/>
      <c r="AL244" s="99"/>
      <c r="AN244" s="115"/>
      <c r="AO244" s="116"/>
      <c r="AP244" s="69"/>
      <c r="AQ244" s="69"/>
      <c r="AR244" s="139"/>
      <c r="AS244" s="139"/>
      <c r="AT244" s="19"/>
      <c r="AU244" s="19"/>
    </row>
    <row r="245" spans="1:47" s="17" customFormat="1" ht="20" x14ac:dyDescent="0.2">
      <c r="A245" s="118"/>
      <c r="B245" s="206" t="s">
        <v>2789</v>
      </c>
      <c r="C245" s="280" t="s">
        <v>3852</v>
      </c>
      <c r="D245" s="206" t="s">
        <v>189</v>
      </c>
      <c r="E245" s="206" t="s">
        <v>190</v>
      </c>
      <c r="F245" s="119">
        <v>49.740917799999998</v>
      </c>
      <c r="G245" s="119">
        <v>-122.1622222</v>
      </c>
      <c r="H245" s="139" t="s">
        <v>1066</v>
      </c>
      <c r="I245" s="33" t="s">
        <v>2876</v>
      </c>
      <c r="J245" s="151" t="s">
        <v>2328</v>
      </c>
      <c r="K245" s="51" t="s">
        <v>3166</v>
      </c>
      <c r="L245" s="175">
        <v>138</v>
      </c>
      <c r="M245" s="54">
        <v>2009</v>
      </c>
      <c r="N245" s="33">
        <f t="shared" si="11"/>
        <v>2049</v>
      </c>
      <c r="O245" s="33"/>
      <c r="P245" s="63" t="s">
        <v>1019</v>
      </c>
      <c r="Q245" s="51" t="s">
        <v>1045</v>
      </c>
      <c r="R245" s="65">
        <v>19.36</v>
      </c>
      <c r="S245" s="248">
        <f>System!$E$9</f>
        <v>0.32219999999999999</v>
      </c>
      <c r="T245" s="247">
        <f t="shared" si="8"/>
        <v>6.2377919999999998</v>
      </c>
      <c r="U245" s="114">
        <f t="shared" si="9"/>
        <v>0.56734083536883706</v>
      </c>
      <c r="V245" s="125">
        <v>96.217374697208399</v>
      </c>
      <c r="W245" s="99">
        <v>1</v>
      </c>
      <c r="Y245" s="128" t="s">
        <v>83</v>
      </c>
      <c r="Z245" s="60">
        <v>0</v>
      </c>
      <c r="AA245" s="60">
        <v>19.36</v>
      </c>
      <c r="AB245" s="107">
        <v>1</v>
      </c>
      <c r="AC245" s="107">
        <v>1</v>
      </c>
      <c r="AD245" s="69"/>
      <c r="AE245" s="69"/>
      <c r="AF245" s="69"/>
      <c r="AG245" s="69"/>
      <c r="AH245" s="54" t="b">
        <v>0</v>
      </c>
      <c r="AI245" s="69"/>
      <c r="AJ245" s="107">
        <v>1</v>
      </c>
      <c r="AK245" s="69"/>
      <c r="AL245" s="99"/>
      <c r="AN245" s="115"/>
      <c r="AO245" s="116"/>
      <c r="AP245" s="69"/>
      <c r="AQ245" s="69"/>
      <c r="AR245" s="139"/>
      <c r="AS245" s="139"/>
      <c r="AT245" s="19"/>
      <c r="AU245" s="19"/>
    </row>
    <row r="246" spans="1:47" s="17" customFormat="1" ht="20" x14ac:dyDescent="0.2">
      <c r="A246" s="118"/>
      <c r="B246" s="206" t="s">
        <v>327</v>
      </c>
      <c r="C246" s="280" t="s">
        <v>3855</v>
      </c>
      <c r="D246" s="206" t="s">
        <v>328</v>
      </c>
      <c r="E246" s="206" t="s">
        <v>190</v>
      </c>
      <c r="F246" s="119">
        <v>49.703789999999998</v>
      </c>
      <c r="G246" s="119">
        <v>-122.079577</v>
      </c>
      <c r="H246" s="139" t="s">
        <v>1066</v>
      </c>
      <c r="I246" s="33" t="s">
        <v>2876</v>
      </c>
      <c r="J246" s="151" t="s">
        <v>2329</v>
      </c>
      <c r="K246" s="51" t="s">
        <v>3168</v>
      </c>
      <c r="L246" s="175">
        <v>138</v>
      </c>
      <c r="M246" s="54">
        <v>2015</v>
      </c>
      <c r="N246" s="33">
        <f t="shared" si="11"/>
        <v>2055</v>
      </c>
      <c r="O246" s="33"/>
      <c r="P246" s="63" t="s">
        <v>1019</v>
      </c>
      <c r="Q246" s="51" t="s">
        <v>1045</v>
      </c>
      <c r="R246" s="65">
        <v>21.18</v>
      </c>
      <c r="S246" s="248">
        <f>System!$E$9</f>
        <v>0.32219999999999999</v>
      </c>
      <c r="T246" s="247">
        <f t="shared" si="8"/>
        <v>6.8241959999999997</v>
      </c>
      <c r="U246" s="114">
        <f t="shared" si="9"/>
        <v>0.43495414386795506</v>
      </c>
      <c r="V246" s="105">
        <v>80.7</v>
      </c>
      <c r="W246" s="99">
        <v>1</v>
      </c>
      <c r="Y246" s="128" t="s">
        <v>83</v>
      </c>
      <c r="Z246" s="60">
        <v>0</v>
      </c>
      <c r="AA246" s="60">
        <v>21.18</v>
      </c>
      <c r="AB246" s="107">
        <v>1</v>
      </c>
      <c r="AC246" s="107">
        <v>1</v>
      </c>
      <c r="AD246" s="69"/>
      <c r="AE246" s="69"/>
      <c r="AF246" s="69"/>
      <c r="AG246" s="69"/>
      <c r="AH246" s="54" t="b">
        <v>0</v>
      </c>
      <c r="AI246" s="69"/>
      <c r="AJ246" s="107">
        <v>1</v>
      </c>
      <c r="AK246" s="69"/>
      <c r="AL246" s="99"/>
      <c r="AN246" s="115"/>
      <c r="AO246" s="116"/>
      <c r="AP246" s="69"/>
      <c r="AQ246" s="69"/>
      <c r="AR246" s="139"/>
      <c r="AS246" s="139"/>
      <c r="AT246" s="19"/>
      <c r="AU246" s="19"/>
    </row>
    <row r="247" spans="1:47" s="17" customFormat="1" ht="20" x14ac:dyDescent="0.2">
      <c r="A247" s="118"/>
      <c r="B247" s="206" t="s">
        <v>2373</v>
      </c>
      <c r="C247" s="280" t="s">
        <v>3856</v>
      </c>
      <c r="D247" s="206" t="s">
        <v>189</v>
      </c>
      <c r="E247" s="206" t="s">
        <v>190</v>
      </c>
      <c r="F247" s="119">
        <v>49.628402000000001</v>
      </c>
      <c r="G247" s="119">
        <v>-122.032922</v>
      </c>
      <c r="H247" s="139" t="s">
        <v>1066</v>
      </c>
      <c r="I247" s="33" t="s">
        <v>2876</v>
      </c>
      <c r="J247" s="151" t="s">
        <v>2611</v>
      </c>
      <c r="K247" s="51" t="s">
        <v>3167</v>
      </c>
      <c r="L247" s="175">
        <v>138</v>
      </c>
      <c r="M247" s="54">
        <v>2018</v>
      </c>
      <c r="N247" s="33">
        <f t="shared" si="11"/>
        <v>2058</v>
      </c>
      <c r="O247" s="33"/>
      <c r="P247" s="63" t="s">
        <v>1019</v>
      </c>
      <c r="Q247" s="51" t="s">
        <v>1045</v>
      </c>
      <c r="R247" s="65">
        <v>13.75</v>
      </c>
      <c r="S247" s="248">
        <f>System!$E$9</f>
        <v>0.32219999999999999</v>
      </c>
      <c r="T247" s="247">
        <f t="shared" si="8"/>
        <v>4.43025</v>
      </c>
      <c r="U247" s="114">
        <f t="shared" si="9"/>
        <v>0.66998754669987548</v>
      </c>
      <c r="V247" s="105">
        <v>80.7</v>
      </c>
      <c r="W247" s="99">
        <v>1</v>
      </c>
      <c r="Y247" s="128" t="s">
        <v>83</v>
      </c>
      <c r="Z247" s="60">
        <v>0</v>
      </c>
      <c r="AA247" s="60">
        <v>21.18</v>
      </c>
      <c r="AB247" s="107">
        <v>1</v>
      </c>
      <c r="AC247" s="107">
        <v>1</v>
      </c>
      <c r="AD247" s="69"/>
      <c r="AE247" s="69"/>
      <c r="AF247" s="69"/>
      <c r="AG247" s="69"/>
      <c r="AH247" s="54" t="b">
        <v>0</v>
      </c>
      <c r="AI247" s="69"/>
      <c r="AJ247" s="107">
        <v>1</v>
      </c>
      <c r="AK247" s="69"/>
      <c r="AL247" s="99"/>
      <c r="AN247" s="115"/>
      <c r="AO247" s="116"/>
      <c r="AP247" s="69"/>
      <c r="AQ247" s="69"/>
      <c r="AR247" s="139"/>
      <c r="AS247" s="139"/>
      <c r="AT247" s="19"/>
      <c r="AU247" s="19"/>
    </row>
    <row r="248" spans="1:47" s="17" customFormat="1" ht="20" x14ac:dyDescent="0.2">
      <c r="A248" s="118"/>
      <c r="B248" s="206" t="s">
        <v>2768</v>
      </c>
      <c r="C248" s="280" t="s">
        <v>3860</v>
      </c>
      <c r="D248" s="206" t="s">
        <v>256</v>
      </c>
      <c r="E248" s="206" t="s">
        <v>257</v>
      </c>
      <c r="F248" s="119">
        <v>49.795389399999998</v>
      </c>
      <c r="G248" s="119">
        <v>-123.5720934</v>
      </c>
      <c r="H248" s="139" t="s">
        <v>1066</v>
      </c>
      <c r="I248" s="33" t="s">
        <v>2876</v>
      </c>
      <c r="J248" s="150" t="s">
        <v>2293</v>
      </c>
      <c r="K248" s="51" t="s">
        <v>3094</v>
      </c>
      <c r="L248" s="175">
        <v>138</v>
      </c>
      <c r="M248" s="54">
        <v>2012</v>
      </c>
      <c r="N248" s="33">
        <f t="shared" si="11"/>
        <v>2052</v>
      </c>
      <c r="O248" s="33"/>
      <c r="P248" s="63" t="s">
        <v>1019</v>
      </c>
      <c r="Q248" s="51" t="s">
        <v>1045</v>
      </c>
      <c r="R248" s="65">
        <v>10</v>
      </c>
      <c r="S248" s="248">
        <f>System!$E$9</f>
        <v>0.32219999999999999</v>
      </c>
      <c r="T248" s="247">
        <f t="shared" si="8"/>
        <v>3.222</v>
      </c>
      <c r="U248" s="114">
        <f t="shared" si="9"/>
        <v>0.83675799086757996</v>
      </c>
      <c r="V248" s="105">
        <v>73.3</v>
      </c>
      <c r="W248" s="99">
        <v>1</v>
      </c>
      <c r="Y248" s="128" t="s">
        <v>83</v>
      </c>
      <c r="Z248" s="60">
        <v>0</v>
      </c>
      <c r="AA248" s="60">
        <v>10</v>
      </c>
      <c r="AB248" s="107">
        <v>1</v>
      </c>
      <c r="AC248" s="107">
        <v>1</v>
      </c>
      <c r="AD248" s="69"/>
      <c r="AE248" s="69"/>
      <c r="AF248" s="69"/>
      <c r="AG248" s="69"/>
      <c r="AH248" s="54" t="b">
        <v>0</v>
      </c>
      <c r="AI248" s="69"/>
      <c r="AJ248" s="107">
        <v>1</v>
      </c>
      <c r="AK248" s="69"/>
      <c r="AL248" s="99"/>
      <c r="AN248" s="115"/>
      <c r="AO248" s="116"/>
      <c r="AP248" s="69"/>
      <c r="AQ248" s="69"/>
      <c r="AR248" s="139"/>
      <c r="AS248" s="139"/>
      <c r="AT248" s="19"/>
      <c r="AU248" s="19"/>
    </row>
    <row r="249" spans="1:47" s="17" customFormat="1" ht="20" x14ac:dyDescent="0.2">
      <c r="A249" s="118"/>
      <c r="B249" s="206" t="s">
        <v>331</v>
      </c>
      <c r="C249" s="280" t="s">
        <v>3861</v>
      </c>
      <c r="D249" s="206" t="s">
        <v>261</v>
      </c>
      <c r="E249" s="206" t="s">
        <v>257</v>
      </c>
      <c r="F249" s="119">
        <v>49.8542767</v>
      </c>
      <c r="G249" s="119">
        <v>-123.4461156</v>
      </c>
      <c r="H249" s="139" t="s">
        <v>1066</v>
      </c>
      <c r="I249" s="33" t="s">
        <v>2876</v>
      </c>
      <c r="J249" s="150" t="s">
        <v>3698</v>
      </c>
      <c r="K249" s="51" t="s">
        <v>3170</v>
      </c>
      <c r="L249" s="175">
        <v>138</v>
      </c>
      <c r="M249" s="54">
        <v>2010</v>
      </c>
      <c r="N249" s="33">
        <f t="shared" si="11"/>
        <v>2050</v>
      </c>
      <c r="O249" s="33"/>
      <c r="P249" s="63" t="s">
        <v>1019</v>
      </c>
      <c r="Q249" s="51" t="s">
        <v>1045</v>
      </c>
      <c r="R249" s="65">
        <v>10.99</v>
      </c>
      <c r="S249" s="248">
        <f>System!$E$9</f>
        <v>0.32219999999999999</v>
      </c>
      <c r="T249" s="247">
        <f t="shared" si="8"/>
        <v>3.540978</v>
      </c>
      <c r="U249" s="114">
        <f t="shared" si="9"/>
        <v>0.49858526431251321</v>
      </c>
      <c r="V249" s="105">
        <v>48</v>
      </c>
      <c r="W249" s="99">
        <v>1</v>
      </c>
      <c r="Y249" s="128" t="s">
        <v>83</v>
      </c>
      <c r="Z249" s="60">
        <v>0</v>
      </c>
      <c r="AA249" s="60">
        <v>10.99</v>
      </c>
      <c r="AB249" s="107">
        <v>1</v>
      </c>
      <c r="AC249" s="107">
        <v>1</v>
      </c>
      <c r="AD249" s="69"/>
      <c r="AE249" s="69"/>
      <c r="AF249" s="69"/>
      <c r="AG249" s="69"/>
      <c r="AH249" s="54" t="b">
        <v>0</v>
      </c>
      <c r="AI249" s="69"/>
      <c r="AJ249" s="107">
        <v>1</v>
      </c>
      <c r="AK249" s="69"/>
      <c r="AL249" s="99"/>
      <c r="AN249" s="115"/>
      <c r="AO249" s="116"/>
      <c r="AP249" s="69"/>
      <c r="AQ249" s="69"/>
      <c r="AR249" s="139"/>
      <c r="AS249" s="139"/>
      <c r="AT249" s="19"/>
      <c r="AU249" s="19"/>
    </row>
    <row r="250" spans="1:47" s="17" customFormat="1" ht="20" x14ac:dyDescent="0.2">
      <c r="A250" s="118"/>
      <c r="B250" s="206" t="s">
        <v>332</v>
      </c>
      <c r="C250" s="280" t="s">
        <v>3862</v>
      </c>
      <c r="D250" s="206" t="s">
        <v>333</v>
      </c>
      <c r="E250" s="206" t="s">
        <v>134</v>
      </c>
      <c r="F250" s="119">
        <v>50.656999999999996</v>
      </c>
      <c r="G250" s="119">
        <v>-123.4476355</v>
      </c>
      <c r="H250" s="139" t="s">
        <v>1066</v>
      </c>
      <c r="I250" s="33" t="s">
        <v>2876</v>
      </c>
      <c r="J250" s="150" t="s">
        <v>2330</v>
      </c>
      <c r="K250" s="51" t="s">
        <v>3171</v>
      </c>
      <c r="L250" s="175">
        <v>230</v>
      </c>
      <c r="M250" s="54">
        <v>2016</v>
      </c>
      <c r="N250" s="33">
        <f t="shared" si="11"/>
        <v>2056</v>
      </c>
      <c r="O250" s="33"/>
      <c r="P250" s="63" t="s">
        <v>1019</v>
      </c>
      <c r="Q250" s="51" t="s">
        <v>1045</v>
      </c>
      <c r="R250" s="65">
        <v>74</v>
      </c>
      <c r="S250" s="248">
        <f>System!$E$9</f>
        <v>0.32219999999999999</v>
      </c>
      <c r="T250" s="247">
        <f t="shared" si="8"/>
        <v>23.8428</v>
      </c>
      <c r="U250" s="114">
        <f t="shared" si="9"/>
        <v>0.51496359373071698</v>
      </c>
      <c r="V250" s="64">
        <v>333.82</v>
      </c>
      <c r="W250" s="99">
        <v>1</v>
      </c>
      <c r="Y250" s="128" t="s">
        <v>83</v>
      </c>
      <c r="Z250" s="60">
        <v>0</v>
      </c>
      <c r="AA250" s="60">
        <v>74</v>
      </c>
      <c r="AB250" s="107">
        <v>1</v>
      </c>
      <c r="AC250" s="107">
        <v>1</v>
      </c>
      <c r="AD250" s="69"/>
      <c r="AE250" s="69"/>
      <c r="AF250" s="69"/>
      <c r="AG250" s="69"/>
      <c r="AH250" s="54" t="b">
        <v>0</v>
      </c>
      <c r="AI250" s="69"/>
      <c r="AJ250" s="107">
        <v>1</v>
      </c>
      <c r="AK250" s="69"/>
      <c r="AL250" s="99"/>
      <c r="AN250" s="115"/>
      <c r="AO250" s="116"/>
      <c r="AP250" s="69"/>
      <c r="AQ250" s="69"/>
      <c r="AR250" s="139"/>
      <c r="AS250" s="139"/>
      <c r="AT250" s="19"/>
      <c r="AU250" s="19"/>
    </row>
    <row r="251" spans="1:47" s="17" customFormat="1" ht="20" x14ac:dyDescent="0.2">
      <c r="A251" s="118"/>
      <c r="B251" s="206" t="s">
        <v>2819</v>
      </c>
      <c r="C251" s="280" t="s">
        <v>3863</v>
      </c>
      <c r="D251" s="206" t="s">
        <v>109</v>
      </c>
      <c r="E251" s="206" t="s">
        <v>120</v>
      </c>
      <c r="F251" s="119">
        <v>49.717830999999997</v>
      </c>
      <c r="G251" s="119">
        <v>-123.05463229999999</v>
      </c>
      <c r="H251" s="139" t="s">
        <v>1066</v>
      </c>
      <c r="I251" s="33" t="s">
        <v>2876</v>
      </c>
      <c r="J251" s="151" t="s">
        <v>1927</v>
      </c>
      <c r="K251" s="51" t="s">
        <v>3172</v>
      </c>
      <c r="L251" s="175">
        <v>69</v>
      </c>
      <c r="M251" s="54">
        <v>2005</v>
      </c>
      <c r="N251" s="33">
        <f t="shared" si="11"/>
        <v>2045</v>
      </c>
      <c r="O251" s="33"/>
      <c r="P251" s="63" t="s">
        <v>1019</v>
      </c>
      <c r="Q251" s="51" t="s">
        <v>1045</v>
      </c>
      <c r="R251" s="65">
        <v>25</v>
      </c>
      <c r="S251" s="248">
        <f>System!$E$9</f>
        <v>0.32219999999999999</v>
      </c>
      <c r="T251" s="247">
        <f t="shared" si="8"/>
        <v>8.0549999999999997</v>
      </c>
      <c r="U251" s="114">
        <f t="shared" si="9"/>
        <v>0.49315068493150682</v>
      </c>
      <c r="V251" s="105">
        <v>108</v>
      </c>
      <c r="W251" s="99">
        <v>1</v>
      </c>
      <c r="Y251" s="128" t="s">
        <v>83</v>
      </c>
      <c r="Z251" s="60">
        <v>0</v>
      </c>
      <c r="AA251" s="60">
        <v>25</v>
      </c>
      <c r="AB251" s="107">
        <v>1</v>
      </c>
      <c r="AC251" s="107">
        <v>1</v>
      </c>
      <c r="AD251" s="69"/>
      <c r="AE251" s="69"/>
      <c r="AF251" s="69"/>
      <c r="AG251" s="69"/>
      <c r="AH251" s="54" t="b">
        <v>0</v>
      </c>
      <c r="AI251" s="69"/>
      <c r="AJ251" s="107">
        <v>1</v>
      </c>
      <c r="AK251" s="69"/>
      <c r="AL251" s="99"/>
      <c r="AN251" s="115"/>
      <c r="AO251" s="116"/>
      <c r="AP251" s="69"/>
      <c r="AQ251" s="69"/>
      <c r="AR251" s="139"/>
      <c r="AS251" s="139"/>
      <c r="AT251" s="19"/>
      <c r="AU251" s="19"/>
    </row>
    <row r="252" spans="1:47" s="17" customFormat="1" ht="20" x14ac:dyDescent="0.2">
      <c r="A252" s="118"/>
      <c r="B252" s="206" t="s">
        <v>334</v>
      </c>
      <c r="C252" s="280" t="s">
        <v>3864</v>
      </c>
      <c r="D252" s="206" t="s">
        <v>189</v>
      </c>
      <c r="E252" s="206" t="s">
        <v>190</v>
      </c>
      <c r="F252" s="119">
        <v>49.566046700000001</v>
      </c>
      <c r="G252" s="119">
        <v>-122.3502994</v>
      </c>
      <c r="H252" s="139" t="s">
        <v>1066</v>
      </c>
      <c r="I252" s="33" t="s">
        <v>2876</v>
      </c>
      <c r="J252" s="151" t="s">
        <v>2331</v>
      </c>
      <c r="K252" s="51" t="s">
        <v>3173</v>
      </c>
      <c r="L252" s="175">
        <v>138</v>
      </c>
      <c r="M252" s="54">
        <v>2009</v>
      </c>
      <c r="N252" s="33">
        <f t="shared" si="11"/>
        <v>2049</v>
      </c>
      <c r="O252" s="33"/>
      <c r="P252" s="63" t="s">
        <v>1019</v>
      </c>
      <c r="Q252" s="51" t="s">
        <v>1045</v>
      </c>
      <c r="R252" s="65">
        <v>37.9</v>
      </c>
      <c r="S252" s="248">
        <f>System!$E$9</f>
        <v>0.32219999999999999</v>
      </c>
      <c r="T252" s="247">
        <f t="shared" si="8"/>
        <v>12.211379999999998</v>
      </c>
      <c r="U252" s="114">
        <f t="shared" si="9"/>
        <v>0.5671911955298421</v>
      </c>
      <c r="V252" s="125">
        <v>188.3097456806897</v>
      </c>
      <c r="W252" s="99">
        <v>1</v>
      </c>
      <c r="Y252" s="128" t="s">
        <v>83</v>
      </c>
      <c r="Z252" s="60">
        <v>0</v>
      </c>
      <c r="AA252" s="60">
        <v>37.9</v>
      </c>
      <c r="AB252" s="107">
        <v>1</v>
      </c>
      <c r="AC252" s="107">
        <v>1</v>
      </c>
      <c r="AD252" s="69"/>
      <c r="AE252" s="69"/>
      <c r="AF252" s="69"/>
      <c r="AG252" s="69"/>
      <c r="AH252" s="54" t="b">
        <v>0</v>
      </c>
      <c r="AI252" s="69"/>
      <c r="AJ252" s="107">
        <v>1</v>
      </c>
      <c r="AK252" s="69"/>
      <c r="AL252" s="99"/>
      <c r="AN252" s="115"/>
      <c r="AO252" s="116"/>
      <c r="AP252" s="69"/>
      <c r="AQ252" s="69"/>
      <c r="AR252" s="139"/>
      <c r="AS252" s="139"/>
      <c r="AT252" s="19"/>
      <c r="AU252" s="19"/>
    </row>
    <row r="253" spans="1:47" s="17" customFormat="1" ht="20" x14ac:dyDescent="0.2">
      <c r="A253" s="118"/>
      <c r="B253" s="206" t="s">
        <v>335</v>
      </c>
      <c r="C253" s="280" t="s">
        <v>3024</v>
      </c>
      <c r="D253" s="206" t="s">
        <v>189</v>
      </c>
      <c r="E253" s="206" t="s">
        <v>190</v>
      </c>
      <c r="F253" s="119">
        <v>49.568962300000003</v>
      </c>
      <c r="G253" s="119">
        <v>-122.3445983</v>
      </c>
      <c r="H253" s="139" t="s">
        <v>1066</v>
      </c>
      <c r="I253" s="33" t="s">
        <v>2876</v>
      </c>
      <c r="J253" s="151" t="s">
        <v>1968</v>
      </c>
      <c r="K253" s="51" t="s">
        <v>3590</v>
      </c>
      <c r="L253" s="175">
        <v>138</v>
      </c>
      <c r="M253" s="54">
        <v>2009</v>
      </c>
      <c r="N253" s="33">
        <f t="shared" si="11"/>
        <v>2049</v>
      </c>
      <c r="O253" s="33"/>
      <c r="P253" s="63" t="s">
        <v>1019</v>
      </c>
      <c r="Q253" s="51" t="s">
        <v>1045</v>
      </c>
      <c r="R253" s="65">
        <v>32.520000000000003</v>
      </c>
      <c r="S253" s="248">
        <f>System!$E$9</f>
        <v>0.32219999999999999</v>
      </c>
      <c r="T253" s="247">
        <f t="shared" si="8"/>
        <v>10.477944000000001</v>
      </c>
      <c r="U253" s="114">
        <f t="shared" si="9"/>
        <v>0.56734086497742309</v>
      </c>
      <c r="V253" s="125">
        <v>161.62134237861639</v>
      </c>
      <c r="W253" s="99">
        <v>1</v>
      </c>
      <c r="Y253" s="128" t="s">
        <v>83</v>
      </c>
      <c r="Z253" s="60">
        <v>0</v>
      </c>
      <c r="AA253" s="60">
        <v>32.520000000000003</v>
      </c>
      <c r="AB253" s="107">
        <v>1</v>
      </c>
      <c r="AC253" s="107">
        <v>1</v>
      </c>
      <c r="AD253" s="69"/>
      <c r="AE253" s="69"/>
      <c r="AF253" s="69"/>
      <c r="AG253" s="69"/>
      <c r="AH253" s="54" t="b">
        <v>0</v>
      </c>
      <c r="AI253" s="69"/>
      <c r="AJ253" s="107">
        <v>1</v>
      </c>
      <c r="AK253" s="69"/>
      <c r="AL253" s="99"/>
      <c r="AN253" s="115"/>
      <c r="AO253" s="116"/>
      <c r="AP253" s="69"/>
      <c r="AQ253" s="69"/>
      <c r="AR253" s="139"/>
      <c r="AS253" s="139"/>
      <c r="AT253" s="19"/>
      <c r="AU253" s="19"/>
    </row>
    <row r="254" spans="1:47" s="17" customFormat="1" ht="20" x14ac:dyDescent="0.2">
      <c r="A254" s="118"/>
      <c r="B254" s="206" t="s">
        <v>337</v>
      </c>
      <c r="C254" s="280" t="s">
        <v>3866</v>
      </c>
      <c r="D254" s="206" t="s">
        <v>203</v>
      </c>
      <c r="E254" s="206" t="s">
        <v>204</v>
      </c>
      <c r="F254" s="119">
        <v>56.728911500000002</v>
      </c>
      <c r="G254" s="119">
        <v>-130.59769850000001</v>
      </c>
      <c r="H254" s="139" t="s">
        <v>1066</v>
      </c>
      <c r="I254" s="33" t="s">
        <v>2876</v>
      </c>
      <c r="J254" s="151" t="s">
        <v>2307</v>
      </c>
      <c r="K254" s="51" t="s">
        <v>3121</v>
      </c>
      <c r="L254" s="175">
        <v>287</v>
      </c>
      <c r="M254" s="54">
        <v>2015</v>
      </c>
      <c r="N254" s="33">
        <f t="shared" si="11"/>
        <v>2055</v>
      </c>
      <c r="O254" s="33"/>
      <c r="P254" s="63" t="s">
        <v>1019</v>
      </c>
      <c r="Q254" s="51" t="s">
        <v>1045</v>
      </c>
      <c r="R254" s="65">
        <v>17.8</v>
      </c>
      <c r="S254" s="248">
        <f>System!$E$9</f>
        <v>0.32219999999999999</v>
      </c>
      <c r="T254" s="247">
        <f t="shared" si="8"/>
        <v>5.7351599999999996</v>
      </c>
      <c r="U254" s="114">
        <f t="shared" si="9"/>
        <v>0.32418808680929662</v>
      </c>
      <c r="V254" s="105">
        <v>50.55</v>
      </c>
      <c r="W254" s="99">
        <v>1</v>
      </c>
      <c r="Y254" s="128" t="s">
        <v>83</v>
      </c>
      <c r="Z254" s="60">
        <v>0</v>
      </c>
      <c r="AA254" s="60">
        <v>17.8</v>
      </c>
      <c r="AB254" s="107">
        <v>1</v>
      </c>
      <c r="AC254" s="107">
        <v>1</v>
      </c>
      <c r="AD254" s="69"/>
      <c r="AE254" s="69"/>
      <c r="AF254" s="69"/>
      <c r="AG254" s="69"/>
      <c r="AH254" s="54" t="b">
        <v>0</v>
      </c>
      <c r="AI254" s="69"/>
      <c r="AJ254" s="107">
        <v>1</v>
      </c>
      <c r="AK254" s="69"/>
      <c r="AL254" s="99"/>
      <c r="AN254" s="115"/>
      <c r="AO254" s="116"/>
      <c r="AP254" s="69"/>
      <c r="AQ254" s="69"/>
      <c r="AR254" s="139"/>
      <c r="AS254" s="139"/>
      <c r="AT254" s="19"/>
      <c r="AU254" s="19"/>
    </row>
    <row r="255" spans="1:47" s="17" customFormat="1" ht="20" x14ac:dyDescent="0.2">
      <c r="A255" s="118"/>
      <c r="B255" s="206" t="s">
        <v>338</v>
      </c>
      <c r="C255" s="280" t="s">
        <v>3868</v>
      </c>
      <c r="D255" s="206" t="s">
        <v>339</v>
      </c>
      <c r="E255" s="206" t="s">
        <v>141</v>
      </c>
      <c r="F255" s="119">
        <v>50.660512099999998</v>
      </c>
      <c r="G255" s="119">
        <v>-121.98331</v>
      </c>
      <c r="H255" s="139" t="s">
        <v>1066</v>
      </c>
      <c r="I255" s="33" t="s">
        <v>2876</v>
      </c>
      <c r="J255" s="150" t="s">
        <v>1938</v>
      </c>
      <c r="K255" s="51" t="s">
        <v>3176</v>
      </c>
      <c r="L255" s="175">
        <v>69</v>
      </c>
      <c r="M255" s="54">
        <v>1994</v>
      </c>
      <c r="N255" s="33">
        <f t="shared" si="11"/>
        <v>2034</v>
      </c>
      <c r="O255" s="33"/>
      <c r="P255" s="63" t="s">
        <v>1019</v>
      </c>
      <c r="Q255" s="51" t="s">
        <v>1045</v>
      </c>
      <c r="R255" s="65">
        <v>18</v>
      </c>
      <c r="S255" s="248">
        <f>System!$E$9</f>
        <v>0.32219999999999999</v>
      </c>
      <c r="T255" s="247">
        <f t="shared" si="8"/>
        <v>5.7995999999999999</v>
      </c>
      <c r="U255" s="114">
        <f t="shared" si="9"/>
        <v>0.34246575342465752</v>
      </c>
      <c r="V255" s="64">
        <v>54</v>
      </c>
      <c r="W255" s="99">
        <v>1</v>
      </c>
      <c r="Y255" s="128" t="s">
        <v>83</v>
      </c>
      <c r="Z255" s="60">
        <v>0</v>
      </c>
      <c r="AA255" s="60">
        <v>18</v>
      </c>
      <c r="AB255" s="107">
        <v>1</v>
      </c>
      <c r="AC255" s="107">
        <v>1</v>
      </c>
      <c r="AD255" s="69"/>
      <c r="AE255" s="69"/>
      <c r="AF255" s="69"/>
      <c r="AG255" s="69"/>
      <c r="AH255" s="54" t="b">
        <v>0</v>
      </c>
      <c r="AI255" s="69"/>
      <c r="AJ255" s="107">
        <v>1</v>
      </c>
      <c r="AK255" s="69"/>
      <c r="AL255" s="99"/>
      <c r="AM255" s="156"/>
      <c r="AN255" s="115"/>
      <c r="AO255" s="116"/>
      <c r="AP255" s="69"/>
      <c r="AQ255" s="69"/>
      <c r="AR255" s="139"/>
      <c r="AS255" s="139"/>
      <c r="AT255" s="19"/>
      <c r="AU255" s="19"/>
    </row>
    <row r="256" spans="1:47" s="117" customFormat="1" ht="20" x14ac:dyDescent="0.2">
      <c r="B256" s="206" t="s">
        <v>1025</v>
      </c>
      <c r="C256" s="280" t="s">
        <v>3870</v>
      </c>
      <c r="D256" s="206" t="s">
        <v>1026</v>
      </c>
      <c r="E256" s="206" t="s">
        <v>153</v>
      </c>
      <c r="F256" s="126">
        <v>49.217652999999999</v>
      </c>
      <c r="G256" s="126">
        <v>-125.508224</v>
      </c>
      <c r="H256" s="139" t="s">
        <v>1066</v>
      </c>
      <c r="I256" s="33" t="s">
        <v>2876</v>
      </c>
      <c r="J256" s="150" t="s">
        <v>1692</v>
      </c>
      <c r="K256" s="51" t="s">
        <v>3192</v>
      </c>
      <c r="L256" s="175">
        <v>138</v>
      </c>
      <c r="M256" s="63">
        <v>2019</v>
      </c>
      <c r="N256" s="33">
        <f t="shared" si="11"/>
        <v>2059</v>
      </c>
      <c r="O256" s="33"/>
      <c r="P256" s="63" t="s">
        <v>1019</v>
      </c>
      <c r="Q256" s="51" t="s">
        <v>1045</v>
      </c>
      <c r="R256" s="65">
        <v>4</v>
      </c>
      <c r="S256" s="248">
        <f>System!$E$9</f>
        <v>0.32219999999999999</v>
      </c>
      <c r="T256" s="247">
        <f t="shared" si="8"/>
        <v>1.2887999999999999</v>
      </c>
      <c r="U256" s="114">
        <f t="shared" si="9"/>
        <v>0.31621004566210048</v>
      </c>
      <c r="V256" s="64">
        <v>11.08</v>
      </c>
      <c r="W256" s="99">
        <v>1</v>
      </c>
      <c r="X256" s="17"/>
      <c r="Y256" s="128" t="s">
        <v>83</v>
      </c>
      <c r="Z256" s="60">
        <v>0</v>
      </c>
      <c r="AA256" s="60">
        <v>4</v>
      </c>
      <c r="AB256" s="162">
        <v>1</v>
      </c>
      <c r="AC256" s="162">
        <v>1</v>
      </c>
      <c r="AD256" s="69"/>
      <c r="AE256" s="69"/>
      <c r="AF256" s="69"/>
      <c r="AG256" s="69"/>
      <c r="AH256" s="54" t="b">
        <v>0</v>
      </c>
      <c r="AI256" s="69"/>
      <c r="AJ256" s="107">
        <v>1</v>
      </c>
      <c r="AK256" s="69"/>
      <c r="AL256" s="99"/>
      <c r="AM256" s="156"/>
      <c r="AN256" s="115"/>
      <c r="AO256" s="116"/>
      <c r="AP256" s="69"/>
      <c r="AQ256" s="69"/>
      <c r="AR256" s="139"/>
      <c r="AS256" s="139"/>
      <c r="AT256" s="19"/>
      <c r="AU256" s="19"/>
    </row>
    <row r="257" spans="1:47" s="17" customFormat="1" ht="20" x14ac:dyDescent="0.2">
      <c r="A257" s="118"/>
      <c r="B257" s="204" t="s">
        <v>951</v>
      </c>
      <c r="C257" s="280" t="s">
        <v>2957</v>
      </c>
      <c r="D257" s="204" t="s">
        <v>106</v>
      </c>
      <c r="E257" s="204" t="s">
        <v>205</v>
      </c>
      <c r="F257" s="126">
        <v>58.800980000000003</v>
      </c>
      <c r="G257" s="126">
        <v>-122.756204</v>
      </c>
      <c r="H257" s="139" t="s">
        <v>1066</v>
      </c>
      <c r="I257" s="33" t="s">
        <v>3716</v>
      </c>
      <c r="J257" s="150" t="s">
        <v>1682</v>
      </c>
      <c r="K257" s="51" t="s">
        <v>3123</v>
      </c>
      <c r="L257" s="175">
        <v>138</v>
      </c>
      <c r="M257" s="54">
        <v>1999</v>
      </c>
      <c r="N257" s="100">
        <v>2100</v>
      </c>
      <c r="O257" s="33"/>
      <c r="P257" s="67" t="s">
        <v>831</v>
      </c>
      <c r="Q257" s="51" t="s">
        <v>3714</v>
      </c>
      <c r="R257" s="65">
        <v>52.2</v>
      </c>
      <c r="S257" s="248">
        <f>System!$E$4</f>
        <v>0.94</v>
      </c>
      <c r="T257" s="247">
        <f t="shared" si="8"/>
        <v>49.067999999999998</v>
      </c>
      <c r="U257" s="114">
        <f t="shared" si="9"/>
        <v>0.82349017652513168</v>
      </c>
      <c r="V257" s="65">
        <v>376.55900000000003</v>
      </c>
      <c r="W257" s="99">
        <v>1</v>
      </c>
      <c r="Y257" s="69"/>
      <c r="Z257" s="69"/>
      <c r="AA257" s="69"/>
      <c r="AB257" s="69"/>
      <c r="AC257" s="69"/>
      <c r="AD257" s="69"/>
      <c r="AE257" s="69"/>
      <c r="AF257" s="69"/>
      <c r="AG257" s="69"/>
      <c r="AH257" s="69"/>
      <c r="AI257" s="69"/>
      <c r="AJ257" s="69"/>
      <c r="AK257" s="69"/>
      <c r="AL257" s="69"/>
      <c r="AM257" s="225"/>
      <c r="AN257" s="69"/>
      <c r="AO257" s="69"/>
      <c r="AP257" s="69"/>
      <c r="AQ257" s="69"/>
      <c r="AR257" s="69"/>
      <c r="AS257" s="61"/>
      <c r="AT257" s="19"/>
      <c r="AU257" s="19" t="s">
        <v>1029</v>
      </c>
    </row>
    <row r="258" spans="1:47" s="17" customFormat="1" ht="20" x14ac:dyDescent="0.2">
      <c r="A258" s="118"/>
      <c r="B258" s="204" t="s">
        <v>952</v>
      </c>
      <c r="C258" s="280" t="s">
        <v>2999</v>
      </c>
      <c r="D258" s="204" t="s">
        <v>106</v>
      </c>
      <c r="E258" s="204" t="s">
        <v>205</v>
      </c>
      <c r="F258" s="126">
        <v>58.800980000000003</v>
      </c>
      <c r="G258" s="126">
        <v>-122.756204</v>
      </c>
      <c r="H258" s="139" t="s">
        <v>1066</v>
      </c>
      <c r="I258" s="33" t="s">
        <v>3716</v>
      </c>
      <c r="J258" s="150" t="s">
        <v>1682</v>
      </c>
      <c r="K258" s="51" t="s">
        <v>3123</v>
      </c>
      <c r="L258" s="175">
        <v>138</v>
      </c>
      <c r="M258" s="54">
        <v>1999</v>
      </c>
      <c r="N258" s="100">
        <v>2100</v>
      </c>
      <c r="O258" s="33"/>
      <c r="P258" s="67" t="s">
        <v>831</v>
      </c>
      <c r="Q258" s="51" t="s">
        <v>3714</v>
      </c>
      <c r="R258" s="65">
        <v>28</v>
      </c>
      <c r="S258" s="248">
        <f>System!$E$4</f>
        <v>0.94</v>
      </c>
      <c r="T258" s="247">
        <f t="shared" si="8"/>
        <v>26.32</v>
      </c>
      <c r="U258" s="114">
        <f t="shared" si="9"/>
        <v>0.22712002609262882</v>
      </c>
      <c r="V258" s="65">
        <v>55.707999999999998</v>
      </c>
      <c r="W258" s="99">
        <v>1</v>
      </c>
      <c r="Y258" s="69"/>
      <c r="Z258" s="69"/>
      <c r="AA258" s="69"/>
      <c r="AB258" s="69"/>
      <c r="AC258" s="69"/>
      <c r="AD258" s="69"/>
      <c r="AE258" s="69"/>
      <c r="AF258" s="69"/>
      <c r="AG258" s="69"/>
      <c r="AH258" s="69"/>
      <c r="AI258" s="69"/>
      <c r="AJ258" s="69"/>
      <c r="AK258" s="69"/>
      <c r="AL258" s="69"/>
      <c r="AM258" s="225"/>
      <c r="AN258" s="69"/>
      <c r="AO258" s="69"/>
      <c r="AP258" s="69"/>
      <c r="AQ258" s="69"/>
      <c r="AR258" s="69"/>
      <c r="AS258" s="61"/>
      <c r="AT258" s="19"/>
      <c r="AU258" s="19" t="s">
        <v>1029</v>
      </c>
    </row>
    <row r="259" spans="1:47" s="17" customFormat="1" ht="20" x14ac:dyDescent="0.2">
      <c r="A259" s="118"/>
      <c r="B259" s="206" t="s">
        <v>232</v>
      </c>
      <c r="C259" s="280" t="s">
        <v>3798</v>
      </c>
      <c r="D259" s="206" t="s">
        <v>233</v>
      </c>
      <c r="E259" s="206" t="s">
        <v>234</v>
      </c>
      <c r="F259" s="126">
        <v>50.069090000000003</v>
      </c>
      <c r="G259" s="126">
        <v>-125.28187800000001</v>
      </c>
      <c r="H259" s="139" t="s">
        <v>1066</v>
      </c>
      <c r="I259" s="33" t="s">
        <v>2876</v>
      </c>
      <c r="J259" s="150" t="s">
        <v>1728</v>
      </c>
      <c r="K259" s="51" t="s">
        <v>3127</v>
      </c>
      <c r="L259" s="175">
        <v>138</v>
      </c>
      <c r="M259" s="54">
        <v>2002</v>
      </c>
      <c r="N259" s="100">
        <v>2100</v>
      </c>
      <c r="O259" s="33"/>
      <c r="P259" s="63" t="s">
        <v>831</v>
      </c>
      <c r="Q259" s="51" t="s">
        <v>3714</v>
      </c>
      <c r="R259" s="65">
        <v>290</v>
      </c>
      <c r="S259" s="248">
        <f>System!$E$4</f>
        <v>0.94</v>
      </c>
      <c r="T259" s="247">
        <f t="shared" si="8"/>
        <v>272.59999999999997</v>
      </c>
      <c r="U259" s="114">
        <f t="shared" si="9"/>
        <v>0.90536923319162332</v>
      </c>
      <c r="V259" s="64">
        <v>2300</v>
      </c>
      <c r="W259" s="99">
        <v>1</v>
      </c>
      <c r="Y259" s="127">
        <v>6.7044329999999999</v>
      </c>
      <c r="Z259" s="60">
        <v>159.5</v>
      </c>
      <c r="AA259" s="60">
        <v>290</v>
      </c>
      <c r="AB259" s="107">
        <v>8</v>
      </c>
      <c r="AC259" s="107">
        <v>6</v>
      </c>
      <c r="AD259" s="69"/>
      <c r="AE259" s="69"/>
      <c r="AF259" s="69"/>
      <c r="AG259" s="69"/>
      <c r="AH259" s="54" t="b">
        <v>0</v>
      </c>
      <c r="AI259" s="69"/>
      <c r="AJ259" s="107">
        <v>24</v>
      </c>
      <c r="AK259" s="65">
        <v>3.8</v>
      </c>
      <c r="AL259" s="132">
        <v>19</v>
      </c>
      <c r="AN259" s="127">
        <v>83.747900000000001</v>
      </c>
      <c r="AO259" s="139"/>
      <c r="AP259" s="69"/>
      <c r="AQ259" s="69"/>
      <c r="AR259" s="133">
        <v>1.081302</v>
      </c>
      <c r="AS259" s="139"/>
      <c r="AT259" s="19"/>
      <c r="AU259" s="19"/>
    </row>
    <row r="260" spans="1:47" s="17" customFormat="1" ht="20" x14ac:dyDescent="0.2">
      <c r="A260" s="118"/>
      <c r="B260" s="206" t="s">
        <v>2803</v>
      </c>
      <c r="C260" s="280" t="s">
        <v>2968</v>
      </c>
      <c r="D260" s="206" t="s">
        <v>269</v>
      </c>
      <c r="E260" s="206" t="s">
        <v>270</v>
      </c>
      <c r="F260" s="126">
        <v>56.146329999999999</v>
      </c>
      <c r="G260" s="126">
        <v>-120.67107300000001</v>
      </c>
      <c r="H260" s="139" t="s">
        <v>1066</v>
      </c>
      <c r="I260" s="33" t="s">
        <v>2876</v>
      </c>
      <c r="J260" s="150" t="s">
        <v>2315</v>
      </c>
      <c r="K260" s="51" t="s">
        <v>3144</v>
      </c>
      <c r="L260" s="175">
        <v>138</v>
      </c>
      <c r="M260" s="54">
        <v>1993</v>
      </c>
      <c r="N260" s="100">
        <v>2100</v>
      </c>
      <c r="O260" s="33"/>
      <c r="P260" s="63" t="s">
        <v>1031</v>
      </c>
      <c r="Q260" s="51" t="s">
        <v>3714</v>
      </c>
      <c r="R260" s="65">
        <v>55</v>
      </c>
      <c r="S260" s="248">
        <f>System!$E$4</f>
        <v>0.94</v>
      </c>
      <c r="T260" s="247">
        <f t="shared" ref="T260:T272" si="12">R260*S260</f>
        <v>51.699999999999996</v>
      </c>
      <c r="U260" s="114">
        <f t="shared" ref="U260:U272" si="13">V260*1000/(24*365*R260)</f>
        <v>0.87173100871731013</v>
      </c>
      <c r="V260" s="105">
        <v>420</v>
      </c>
      <c r="W260" s="99">
        <v>2</v>
      </c>
      <c r="Y260" s="127">
        <v>5.4952649999999998</v>
      </c>
      <c r="Z260" s="60">
        <v>27.5</v>
      </c>
      <c r="AA260" s="60">
        <v>55</v>
      </c>
      <c r="AB260" s="107">
        <v>1</v>
      </c>
      <c r="AC260" s="107">
        <v>1</v>
      </c>
      <c r="AD260" s="69"/>
      <c r="AE260" s="69"/>
      <c r="AF260" s="69"/>
      <c r="AG260" s="69"/>
      <c r="AH260" s="54" t="b">
        <v>0</v>
      </c>
      <c r="AI260" s="69"/>
      <c r="AJ260" s="107">
        <v>50</v>
      </c>
      <c r="AK260" s="65">
        <v>2.09</v>
      </c>
      <c r="AL260" s="132">
        <v>15</v>
      </c>
      <c r="AN260" s="127">
        <v>109.19030000000001</v>
      </c>
      <c r="AO260" s="139"/>
      <c r="AP260" s="69"/>
      <c r="AQ260" s="69"/>
      <c r="AR260" s="133">
        <v>0.60425699999999993</v>
      </c>
      <c r="AS260" s="139"/>
      <c r="AT260" s="19"/>
      <c r="AU260" s="19"/>
    </row>
    <row r="261" spans="1:47" s="17" customFormat="1" ht="20" x14ac:dyDescent="0.2">
      <c r="A261" s="118"/>
      <c r="B261" s="206" t="s">
        <v>2804</v>
      </c>
      <c r="C261" s="280" t="s">
        <v>3010</v>
      </c>
      <c r="D261" s="206" t="s">
        <v>269</v>
      </c>
      <c r="E261" s="206" t="s">
        <v>270</v>
      </c>
      <c r="F261" s="126">
        <v>56.146329999999999</v>
      </c>
      <c r="G261" s="126">
        <v>-120.67107300000001</v>
      </c>
      <c r="H261" s="139" t="s">
        <v>1066</v>
      </c>
      <c r="I261" s="33" t="s">
        <v>2876</v>
      </c>
      <c r="J261" s="150" t="s">
        <v>2315</v>
      </c>
      <c r="K261" s="51" t="s">
        <v>3144</v>
      </c>
      <c r="L261" s="175">
        <v>138</v>
      </c>
      <c r="M261" s="54">
        <v>1993</v>
      </c>
      <c r="N261" s="100">
        <v>2100</v>
      </c>
      <c r="O261" s="33"/>
      <c r="P261" s="63" t="s">
        <v>1031</v>
      </c>
      <c r="Q261" s="51" t="s">
        <v>3714</v>
      </c>
      <c r="R261" s="65">
        <v>55</v>
      </c>
      <c r="S261" s="248">
        <f>System!$E$4</f>
        <v>0.94</v>
      </c>
      <c r="T261" s="247">
        <f t="shared" si="12"/>
        <v>51.699999999999996</v>
      </c>
      <c r="U261" s="114">
        <f t="shared" si="13"/>
        <v>0.87173100871731013</v>
      </c>
      <c r="V261" s="105">
        <v>420</v>
      </c>
      <c r="W261" s="99">
        <v>2</v>
      </c>
      <c r="Y261" s="127">
        <v>5.4952649999999998</v>
      </c>
      <c r="Z261" s="60">
        <v>27.5</v>
      </c>
      <c r="AA261" s="60">
        <v>55</v>
      </c>
      <c r="AB261" s="107">
        <v>1</v>
      </c>
      <c r="AC261" s="107">
        <v>1</v>
      </c>
      <c r="AD261" s="69"/>
      <c r="AE261" s="69"/>
      <c r="AF261" s="69"/>
      <c r="AG261" s="69"/>
      <c r="AH261" s="54" t="b">
        <v>0</v>
      </c>
      <c r="AI261" s="69"/>
      <c r="AJ261" s="107">
        <v>50</v>
      </c>
      <c r="AK261" s="65">
        <v>2.09</v>
      </c>
      <c r="AL261" s="132">
        <v>15</v>
      </c>
      <c r="AN261" s="127">
        <v>109.19030000000001</v>
      </c>
      <c r="AO261" s="139"/>
      <c r="AP261" s="69"/>
      <c r="AQ261" s="69"/>
      <c r="AR261" s="133">
        <v>0.60425699999999993</v>
      </c>
      <c r="AS261" s="139"/>
      <c r="AT261" s="19"/>
      <c r="AU261" s="19"/>
    </row>
    <row r="262" spans="1:47" s="17" customFormat="1" ht="20" x14ac:dyDescent="0.2">
      <c r="A262" s="118"/>
      <c r="B262" s="204" t="s">
        <v>2811</v>
      </c>
      <c r="C262" s="280" t="s">
        <v>2972</v>
      </c>
      <c r="D262" s="204" t="s">
        <v>106</v>
      </c>
      <c r="E262" s="204" t="s">
        <v>147</v>
      </c>
      <c r="F262" s="126">
        <v>54.314334000000002</v>
      </c>
      <c r="G262" s="126">
        <v>-130.29442399999999</v>
      </c>
      <c r="H262" s="139" t="s">
        <v>1066</v>
      </c>
      <c r="I262" s="33" t="s">
        <v>2876</v>
      </c>
      <c r="J262" s="150" t="s">
        <v>1859</v>
      </c>
      <c r="K262" s="51" t="s">
        <v>3153</v>
      </c>
      <c r="L262" s="175">
        <v>69</v>
      </c>
      <c r="M262" s="54">
        <v>1973</v>
      </c>
      <c r="N262" s="100">
        <v>2100</v>
      </c>
      <c r="O262" s="33"/>
      <c r="P262" s="67" t="s">
        <v>832</v>
      </c>
      <c r="Q262" s="51" t="s">
        <v>3715</v>
      </c>
      <c r="R262" s="65">
        <v>23</v>
      </c>
      <c r="S262" s="248">
        <f>System!$E$5</f>
        <v>0.94</v>
      </c>
      <c r="T262" s="247">
        <f t="shared" si="12"/>
        <v>21.619999999999997</v>
      </c>
      <c r="U262" s="114">
        <f t="shared" si="13"/>
        <v>0.26537621600158823</v>
      </c>
      <c r="V262" s="125">
        <v>53.468000000000004</v>
      </c>
      <c r="W262" s="99">
        <v>2</v>
      </c>
      <c r="Y262" s="127">
        <v>12.2843</v>
      </c>
      <c r="Z262" s="60">
        <v>6.9</v>
      </c>
      <c r="AA262" s="60">
        <v>23</v>
      </c>
      <c r="AB262" s="107">
        <v>2</v>
      </c>
      <c r="AC262" s="107">
        <v>2</v>
      </c>
      <c r="AD262" s="69"/>
      <c r="AE262" s="69"/>
      <c r="AF262" s="69"/>
      <c r="AG262" s="69"/>
      <c r="AH262" s="54" t="b">
        <v>0</v>
      </c>
      <c r="AI262" s="69"/>
      <c r="AJ262" s="107">
        <v>50</v>
      </c>
      <c r="AK262" s="65">
        <v>9.41</v>
      </c>
      <c r="AL262" s="132">
        <v>15</v>
      </c>
      <c r="AM262" s="156"/>
      <c r="AN262" s="127">
        <v>109.19030000000001</v>
      </c>
      <c r="AO262" s="139"/>
      <c r="AP262" s="69"/>
      <c r="AQ262" s="69"/>
      <c r="AR262" s="133">
        <v>0.60425699999999993</v>
      </c>
      <c r="AS262" s="139"/>
      <c r="AT262" s="19"/>
      <c r="AU262" s="19"/>
    </row>
    <row r="263" spans="1:47" s="17" customFormat="1" ht="20" x14ac:dyDescent="0.2">
      <c r="A263" s="118"/>
      <c r="B263" s="204" t="s">
        <v>2812</v>
      </c>
      <c r="C263" s="280" t="s">
        <v>3014</v>
      </c>
      <c r="D263" s="204" t="s">
        <v>106</v>
      </c>
      <c r="E263" s="204" t="s">
        <v>147</v>
      </c>
      <c r="F263" s="126">
        <v>54.314334000000002</v>
      </c>
      <c r="G263" s="126">
        <v>-130.29442399999999</v>
      </c>
      <c r="H263" s="139" t="s">
        <v>1066</v>
      </c>
      <c r="I263" s="33" t="s">
        <v>2876</v>
      </c>
      <c r="J263" s="150" t="s">
        <v>1859</v>
      </c>
      <c r="K263" s="51" t="s">
        <v>3153</v>
      </c>
      <c r="L263" s="175">
        <v>69</v>
      </c>
      <c r="M263" s="54">
        <v>1973</v>
      </c>
      <c r="N263" s="100">
        <v>2100</v>
      </c>
      <c r="O263" s="33"/>
      <c r="P263" s="67" t="s">
        <v>832</v>
      </c>
      <c r="Q263" s="51" t="s">
        <v>3715</v>
      </c>
      <c r="R263" s="65">
        <v>23</v>
      </c>
      <c r="S263" s="248">
        <f>System!$E$5</f>
        <v>0.94</v>
      </c>
      <c r="T263" s="247">
        <f t="shared" si="12"/>
        <v>21.619999999999997</v>
      </c>
      <c r="U263" s="114">
        <f t="shared" si="13"/>
        <v>0.26674607901528685</v>
      </c>
      <c r="V263" s="125">
        <v>53.744</v>
      </c>
      <c r="W263" s="99">
        <v>2</v>
      </c>
      <c r="Y263" s="127">
        <v>12.2843</v>
      </c>
      <c r="Z263" s="60">
        <v>6.9</v>
      </c>
      <c r="AA263" s="60">
        <v>23</v>
      </c>
      <c r="AB263" s="162">
        <v>2</v>
      </c>
      <c r="AC263" s="162">
        <v>2</v>
      </c>
      <c r="AD263" s="69"/>
      <c r="AE263" s="69"/>
      <c r="AF263" s="69"/>
      <c r="AG263" s="69"/>
      <c r="AH263" s="54" t="b">
        <v>0</v>
      </c>
      <c r="AI263" s="69"/>
      <c r="AJ263" s="107">
        <v>50</v>
      </c>
      <c r="AK263" s="65">
        <v>9.41</v>
      </c>
      <c r="AL263" s="132">
        <v>15</v>
      </c>
      <c r="AN263" s="127">
        <v>109.19030000000001</v>
      </c>
      <c r="AO263" s="139"/>
      <c r="AP263" s="69"/>
      <c r="AQ263" s="69"/>
      <c r="AR263" s="133">
        <v>0.60425699999999993</v>
      </c>
      <c r="AS263" s="139"/>
      <c r="AT263" s="19"/>
      <c r="AU263" s="19"/>
    </row>
    <row r="264" spans="1:47" s="17" customFormat="1" ht="20" x14ac:dyDescent="0.2">
      <c r="A264" s="118"/>
      <c r="B264" s="206" t="s">
        <v>324</v>
      </c>
      <c r="C264" s="280" t="s">
        <v>3851</v>
      </c>
      <c r="D264" s="206" t="s">
        <v>325</v>
      </c>
      <c r="E264" s="206" t="s">
        <v>326</v>
      </c>
      <c r="F264" s="119">
        <v>49.6690118</v>
      </c>
      <c r="G264" s="119">
        <v>-115.94762799999999</v>
      </c>
      <c r="H264" s="139" t="s">
        <v>1066</v>
      </c>
      <c r="I264" s="33" t="s">
        <v>2876</v>
      </c>
      <c r="J264" s="150" t="s">
        <v>107</v>
      </c>
      <c r="K264" s="51" t="s">
        <v>3232</v>
      </c>
      <c r="L264" s="175">
        <v>69</v>
      </c>
      <c r="M264" s="63">
        <v>2010</v>
      </c>
      <c r="N264" s="33">
        <v>2030</v>
      </c>
      <c r="O264" s="33"/>
      <c r="P264" s="63" t="s">
        <v>1028</v>
      </c>
      <c r="Q264" s="51" t="s">
        <v>1046</v>
      </c>
      <c r="R264" s="65">
        <v>1.05</v>
      </c>
      <c r="S264" s="248">
        <f>System!$E$13</f>
        <v>0.24</v>
      </c>
      <c r="T264" s="247">
        <f t="shared" si="12"/>
        <v>0.252</v>
      </c>
      <c r="U264" s="114">
        <f t="shared" si="13"/>
        <v>0.22287453794303108</v>
      </c>
      <c r="V264" s="64">
        <v>2.0499999999999998</v>
      </c>
      <c r="W264" s="99">
        <v>1</v>
      </c>
      <c r="Y264" s="128" t="s">
        <v>83</v>
      </c>
      <c r="Z264" s="60">
        <v>0</v>
      </c>
      <c r="AA264" s="60">
        <v>1.05</v>
      </c>
      <c r="AB264" s="162">
        <v>1</v>
      </c>
      <c r="AC264" s="162">
        <v>1</v>
      </c>
      <c r="AD264" s="69"/>
      <c r="AE264" s="69"/>
      <c r="AF264" s="69"/>
      <c r="AG264" s="69"/>
      <c r="AH264" s="54" t="b">
        <v>0</v>
      </c>
      <c r="AI264" s="69"/>
      <c r="AJ264" s="107">
        <v>1</v>
      </c>
      <c r="AK264" s="69"/>
      <c r="AL264" s="99"/>
      <c r="AM264" s="156"/>
      <c r="AN264" s="115"/>
      <c r="AO264" s="116"/>
      <c r="AP264" s="69"/>
      <c r="AQ264" s="69"/>
      <c r="AR264" s="116"/>
      <c r="AS264" s="139"/>
      <c r="AT264" s="19"/>
      <c r="AU264" s="19"/>
    </row>
    <row r="265" spans="1:47" s="17" customFormat="1" ht="20" x14ac:dyDescent="0.2">
      <c r="A265" s="118"/>
      <c r="B265" s="206" t="s">
        <v>1596</v>
      </c>
      <c r="C265" s="280" t="s">
        <v>3750</v>
      </c>
      <c r="D265" s="206" t="s">
        <v>124</v>
      </c>
      <c r="E265" s="206" t="s">
        <v>125</v>
      </c>
      <c r="F265" s="119">
        <v>55.704125699999999</v>
      </c>
      <c r="G265" s="119">
        <v>-120.4263595</v>
      </c>
      <c r="H265" s="139" t="s">
        <v>1066</v>
      </c>
      <c r="I265" s="33" t="s">
        <v>2876</v>
      </c>
      <c r="J265" s="151" t="s">
        <v>2288</v>
      </c>
      <c r="K265" s="51" t="s">
        <v>3095</v>
      </c>
      <c r="L265" s="175">
        <v>138</v>
      </c>
      <c r="M265" s="54">
        <v>2009</v>
      </c>
      <c r="N265" s="33">
        <v>2029</v>
      </c>
      <c r="O265" s="33"/>
      <c r="P265" s="63" t="s">
        <v>1020</v>
      </c>
      <c r="Q265" s="51" t="s">
        <v>1047</v>
      </c>
      <c r="R265" s="65">
        <v>102.5</v>
      </c>
      <c r="S265" s="248">
        <f>System!$E$12</f>
        <v>0.26</v>
      </c>
      <c r="T265" s="247">
        <f t="shared" si="12"/>
        <v>26.650000000000002</v>
      </c>
      <c r="U265" s="114">
        <f t="shared" si="13"/>
        <v>0.21940082414522774</v>
      </c>
      <c r="V265" s="64">
        <v>197</v>
      </c>
      <c r="W265" s="99">
        <v>1</v>
      </c>
      <c r="Y265" s="128" t="s">
        <v>83</v>
      </c>
      <c r="Z265" s="60">
        <v>0</v>
      </c>
      <c r="AA265" s="60">
        <v>102.5</v>
      </c>
      <c r="AB265" s="162">
        <v>1</v>
      </c>
      <c r="AC265" s="162">
        <v>1</v>
      </c>
      <c r="AD265" s="69"/>
      <c r="AE265" s="69"/>
      <c r="AF265" s="69"/>
      <c r="AG265" s="69"/>
      <c r="AH265" s="54" t="b">
        <v>0</v>
      </c>
      <c r="AI265" s="69"/>
      <c r="AJ265" s="107">
        <v>1</v>
      </c>
      <c r="AK265" s="69"/>
      <c r="AL265" s="99"/>
      <c r="AN265" s="115"/>
      <c r="AO265" s="116"/>
      <c r="AP265" s="69"/>
      <c r="AQ265" s="69"/>
      <c r="AR265" s="116"/>
      <c r="AS265" s="139"/>
      <c r="AT265" s="19"/>
      <c r="AU265" s="19"/>
    </row>
    <row r="266" spans="1:47" s="17" customFormat="1" ht="20" x14ac:dyDescent="0.2">
      <c r="A266" s="118"/>
      <c r="B266" s="206" t="s">
        <v>2779</v>
      </c>
      <c r="C266" s="280" t="s">
        <v>3762</v>
      </c>
      <c r="D266" s="206" t="s">
        <v>154</v>
      </c>
      <c r="E266" s="206" t="s">
        <v>155</v>
      </c>
      <c r="F266" s="119">
        <v>50.789020499999999</v>
      </c>
      <c r="G266" s="119">
        <v>-128.00329500000001</v>
      </c>
      <c r="H266" s="139" t="s">
        <v>1066</v>
      </c>
      <c r="I266" s="33" t="s">
        <v>2876</v>
      </c>
      <c r="J266" s="151" t="s">
        <v>2302</v>
      </c>
      <c r="K266" s="51" t="s">
        <v>3112</v>
      </c>
      <c r="L266" s="175">
        <v>138</v>
      </c>
      <c r="M266" s="54">
        <v>2013</v>
      </c>
      <c r="N266" s="33">
        <v>2033</v>
      </c>
      <c r="O266" s="33"/>
      <c r="P266" s="63" t="s">
        <v>1020</v>
      </c>
      <c r="Q266" s="51" t="s">
        <v>1047</v>
      </c>
      <c r="R266" s="65">
        <v>99.2</v>
      </c>
      <c r="S266" s="248">
        <f>System!$E$12</f>
        <v>0.26</v>
      </c>
      <c r="T266" s="247">
        <f t="shared" si="12"/>
        <v>25.792000000000002</v>
      </c>
      <c r="U266" s="114">
        <f t="shared" si="13"/>
        <v>0.36398493887170424</v>
      </c>
      <c r="V266" s="105">
        <v>316.3</v>
      </c>
      <c r="W266" s="99">
        <v>1</v>
      </c>
      <c r="Y266" s="128" t="s">
        <v>83</v>
      </c>
      <c r="Z266" s="60">
        <v>0</v>
      </c>
      <c r="AA266" s="60">
        <v>99.2</v>
      </c>
      <c r="AB266" s="107">
        <v>1</v>
      </c>
      <c r="AC266" s="107">
        <v>1</v>
      </c>
      <c r="AD266" s="69"/>
      <c r="AE266" s="69"/>
      <c r="AF266" s="69"/>
      <c r="AG266" s="69"/>
      <c r="AH266" s="54" t="b">
        <v>0</v>
      </c>
      <c r="AI266" s="69"/>
      <c r="AJ266" s="107">
        <v>1</v>
      </c>
      <c r="AK266" s="69"/>
      <c r="AL266" s="99"/>
      <c r="AM266" s="156"/>
      <c r="AN266" s="115"/>
      <c r="AO266" s="116"/>
      <c r="AP266" s="69"/>
      <c r="AQ266" s="69"/>
      <c r="AR266" s="116"/>
      <c r="AS266" s="139"/>
      <c r="AT266" s="19"/>
      <c r="AU266" s="19"/>
    </row>
    <row r="267" spans="1:47" s="17" customFormat="1" ht="20" x14ac:dyDescent="0.2">
      <c r="A267" s="118"/>
      <c r="B267" s="206" t="s">
        <v>1649</v>
      </c>
      <c r="C267" s="280" t="s">
        <v>3776</v>
      </c>
      <c r="D267" s="206" t="s">
        <v>186</v>
      </c>
      <c r="E267" s="206" t="s">
        <v>165</v>
      </c>
      <c r="F267" s="119">
        <v>55.811774700000001</v>
      </c>
      <c r="G267" s="119">
        <v>-122.24735339999999</v>
      </c>
      <c r="H267" s="139" t="s">
        <v>1066</v>
      </c>
      <c r="I267" s="33" t="s">
        <v>2876</v>
      </c>
      <c r="J267" s="151" t="s">
        <v>2304</v>
      </c>
      <c r="K267" s="51" t="s">
        <v>3115</v>
      </c>
      <c r="L267" s="175">
        <v>230</v>
      </c>
      <c r="M267" s="54">
        <v>2011</v>
      </c>
      <c r="N267" s="33">
        <v>2031</v>
      </c>
      <c r="O267" s="33"/>
      <c r="P267" s="63" t="s">
        <v>1020</v>
      </c>
      <c r="Q267" s="51" t="s">
        <v>1047</v>
      </c>
      <c r="R267" s="65">
        <v>144</v>
      </c>
      <c r="S267" s="248">
        <f>System!$E$12</f>
        <v>0.26</v>
      </c>
      <c r="T267" s="247">
        <f t="shared" si="12"/>
        <v>37.44</v>
      </c>
      <c r="U267" s="114">
        <f t="shared" si="13"/>
        <v>0.297279299847793</v>
      </c>
      <c r="V267" s="64">
        <v>375</v>
      </c>
      <c r="W267" s="99">
        <v>1</v>
      </c>
      <c r="Y267" s="128" t="s">
        <v>83</v>
      </c>
      <c r="Z267" s="60">
        <v>0</v>
      </c>
      <c r="AA267" s="60">
        <v>144</v>
      </c>
      <c r="AB267" s="107">
        <v>1</v>
      </c>
      <c r="AC267" s="107">
        <v>1</v>
      </c>
      <c r="AD267" s="69"/>
      <c r="AE267" s="69"/>
      <c r="AF267" s="69"/>
      <c r="AG267" s="69"/>
      <c r="AH267" s="54" t="b">
        <v>0</v>
      </c>
      <c r="AI267" s="69"/>
      <c r="AJ267" s="107">
        <v>1</v>
      </c>
      <c r="AK267" s="69"/>
      <c r="AL267" s="99"/>
      <c r="AN267" s="115"/>
      <c r="AO267" s="116"/>
      <c r="AP267" s="69"/>
      <c r="AQ267" s="69"/>
      <c r="AR267" s="116"/>
      <c r="AS267" s="139"/>
      <c r="AT267" s="19"/>
      <c r="AU267" s="19"/>
    </row>
    <row r="268" spans="1:47" s="17" customFormat="1" ht="20" x14ac:dyDescent="0.2">
      <c r="A268" s="118"/>
      <c r="B268" s="206" t="s">
        <v>2805</v>
      </c>
      <c r="C268" s="280" t="s">
        <v>3816</v>
      </c>
      <c r="D268" s="206" t="s">
        <v>273</v>
      </c>
      <c r="E268" s="206" t="s">
        <v>274</v>
      </c>
      <c r="F268" s="119">
        <v>55.2855597</v>
      </c>
      <c r="G268" s="119">
        <v>-121.4690559</v>
      </c>
      <c r="H268" s="139" t="s">
        <v>1066</v>
      </c>
      <c r="I268" s="33" t="s">
        <v>2876</v>
      </c>
      <c r="J268" s="150" t="s">
        <v>1787</v>
      </c>
      <c r="K268" s="51" t="s">
        <v>3146</v>
      </c>
      <c r="L268" s="175">
        <v>230</v>
      </c>
      <c r="M268" s="54">
        <v>2015</v>
      </c>
      <c r="N268" s="33">
        <v>2035</v>
      </c>
      <c r="O268" s="33"/>
      <c r="P268" s="63" t="s">
        <v>1020</v>
      </c>
      <c r="Q268" s="51" t="s">
        <v>1047</v>
      </c>
      <c r="R268" s="60">
        <v>194.91</v>
      </c>
      <c r="S268" s="248">
        <f>System!$E$12</f>
        <v>0.26</v>
      </c>
      <c r="T268" s="247">
        <f t="shared" si="12"/>
        <v>50.676600000000001</v>
      </c>
      <c r="U268" s="114">
        <f t="shared" si="13"/>
        <v>0.31685388572972095</v>
      </c>
      <c r="V268" s="105">
        <v>541</v>
      </c>
      <c r="W268" s="99">
        <v>1</v>
      </c>
      <c r="Y268" s="128" t="s">
        <v>83</v>
      </c>
      <c r="Z268" s="60">
        <v>0</v>
      </c>
      <c r="AA268" s="60">
        <v>194.91</v>
      </c>
      <c r="AB268" s="162">
        <v>1</v>
      </c>
      <c r="AC268" s="162">
        <v>1</v>
      </c>
      <c r="AD268" s="69"/>
      <c r="AE268" s="69"/>
      <c r="AF268" s="69"/>
      <c r="AG268" s="69"/>
      <c r="AH268" s="54" t="b">
        <v>0</v>
      </c>
      <c r="AI268" s="69"/>
      <c r="AJ268" s="107">
        <v>1</v>
      </c>
      <c r="AK268" s="69"/>
      <c r="AL268" s="99"/>
      <c r="AM268" s="156"/>
      <c r="AN268" s="115"/>
      <c r="AO268" s="116"/>
      <c r="AP268" s="69"/>
      <c r="AQ268" s="69"/>
      <c r="AR268" s="116"/>
      <c r="AS268" s="139"/>
      <c r="AT268" s="19"/>
      <c r="AU268" s="19"/>
    </row>
    <row r="269" spans="1:47" s="17" customFormat="1" ht="20" x14ac:dyDescent="0.2">
      <c r="A269" s="118"/>
      <c r="B269" s="206" t="s">
        <v>1023</v>
      </c>
      <c r="C269" s="280" t="s">
        <v>3820</v>
      </c>
      <c r="D269" s="206" t="s">
        <v>1024</v>
      </c>
      <c r="E269" s="206" t="s">
        <v>274</v>
      </c>
      <c r="F269" s="126">
        <v>55.285632999999997</v>
      </c>
      <c r="G269" s="126">
        <v>-121.298571</v>
      </c>
      <c r="H269" s="139" t="s">
        <v>1066</v>
      </c>
      <c r="I269" s="33" t="s">
        <v>2876</v>
      </c>
      <c r="J269" s="150" t="s">
        <v>2317</v>
      </c>
      <c r="K269" s="51" t="s">
        <v>3147</v>
      </c>
      <c r="L269" s="175">
        <v>230</v>
      </c>
      <c r="M269" s="54">
        <v>2019</v>
      </c>
      <c r="N269" s="33">
        <v>2039</v>
      </c>
      <c r="O269" s="33"/>
      <c r="P269" s="63" t="s">
        <v>1020</v>
      </c>
      <c r="Q269" s="51" t="s">
        <v>1047</v>
      </c>
      <c r="R269" s="64">
        <v>15</v>
      </c>
      <c r="S269" s="248">
        <f>System!$E$12</f>
        <v>0.26</v>
      </c>
      <c r="T269" s="247">
        <f t="shared" si="12"/>
        <v>3.9000000000000004</v>
      </c>
      <c r="U269" s="114">
        <f t="shared" si="13"/>
        <v>0.42587519025875192</v>
      </c>
      <c r="V269" s="105">
        <v>55.96</v>
      </c>
      <c r="W269" s="99">
        <v>1</v>
      </c>
      <c r="Y269" s="128" t="s">
        <v>83</v>
      </c>
      <c r="Z269" s="60">
        <v>0</v>
      </c>
      <c r="AA269" s="60">
        <v>15</v>
      </c>
      <c r="AB269" s="159">
        <v>1</v>
      </c>
      <c r="AC269" s="159">
        <v>1</v>
      </c>
      <c r="AD269" s="69"/>
      <c r="AE269" s="69"/>
      <c r="AF269" s="69"/>
      <c r="AG269" s="69"/>
      <c r="AH269" s="158" t="b">
        <v>0</v>
      </c>
      <c r="AI269" s="69"/>
      <c r="AJ269" s="107">
        <v>1</v>
      </c>
      <c r="AK269" s="69"/>
      <c r="AL269" s="99"/>
      <c r="AN269" s="115"/>
      <c r="AO269" s="116"/>
      <c r="AP269" s="69"/>
      <c r="AQ269" s="69"/>
      <c r="AR269" s="139"/>
      <c r="AS269" s="139"/>
      <c r="AT269" s="19"/>
      <c r="AU269" s="19"/>
    </row>
    <row r="270" spans="1:47" s="17" customFormat="1" ht="20" x14ac:dyDescent="0.2">
      <c r="A270" s="118"/>
      <c r="B270" s="206" t="s">
        <v>2806</v>
      </c>
      <c r="C270" s="280" t="s">
        <v>3826</v>
      </c>
      <c r="D270" s="206" t="s">
        <v>287</v>
      </c>
      <c r="E270" s="206" t="s">
        <v>288</v>
      </c>
      <c r="F270" s="119">
        <v>49.9256113</v>
      </c>
      <c r="G270" s="119">
        <v>-120.10928079999999</v>
      </c>
      <c r="H270" s="139" t="s">
        <v>1066</v>
      </c>
      <c r="I270" s="33" t="s">
        <v>2876</v>
      </c>
      <c r="J270" s="150" t="s">
        <v>2321</v>
      </c>
      <c r="K270" s="51" t="s">
        <v>3150</v>
      </c>
      <c r="L270" s="175">
        <v>138</v>
      </c>
      <c r="M270" s="63">
        <v>2010</v>
      </c>
      <c r="N270" s="33">
        <v>2030</v>
      </c>
      <c r="O270" s="33"/>
      <c r="P270" s="63" t="s">
        <v>1020</v>
      </c>
      <c r="Q270" s="51" t="s">
        <v>1047</v>
      </c>
      <c r="R270" s="64">
        <v>15</v>
      </c>
      <c r="S270" s="248">
        <f>System!$E$12</f>
        <v>0.26</v>
      </c>
      <c r="T270" s="247">
        <f t="shared" si="12"/>
        <v>3.9000000000000004</v>
      </c>
      <c r="U270" s="114">
        <f t="shared" si="13"/>
        <v>0.37899543378995432</v>
      </c>
      <c r="V270" s="105">
        <v>49.8</v>
      </c>
      <c r="W270" s="99">
        <v>1</v>
      </c>
      <c r="Y270" s="128" t="s">
        <v>83</v>
      </c>
      <c r="Z270" s="100">
        <v>0</v>
      </c>
      <c r="AA270" s="100">
        <v>15</v>
      </c>
      <c r="AB270" s="100">
        <v>1</v>
      </c>
      <c r="AC270" s="100">
        <v>1</v>
      </c>
      <c r="AD270" s="69"/>
      <c r="AE270" s="69"/>
      <c r="AF270" s="69"/>
      <c r="AG270" s="69"/>
      <c r="AH270" s="100" t="b">
        <v>0</v>
      </c>
      <c r="AI270" s="69"/>
      <c r="AJ270" s="100">
        <v>1</v>
      </c>
      <c r="AK270" s="69"/>
      <c r="AL270" s="99"/>
      <c r="AN270" s="115"/>
      <c r="AO270" s="116"/>
      <c r="AP270" s="69"/>
      <c r="AQ270" s="69"/>
      <c r="AR270" s="116"/>
      <c r="AS270" s="139"/>
      <c r="AT270" s="19"/>
      <c r="AU270" s="19"/>
    </row>
    <row r="271" spans="1:47" s="117" customFormat="1" ht="20" x14ac:dyDescent="0.2">
      <c r="B271" s="206" t="s">
        <v>2807</v>
      </c>
      <c r="C271" s="280" t="s">
        <v>3833</v>
      </c>
      <c r="D271" s="206" t="s">
        <v>293</v>
      </c>
      <c r="E271" s="206" t="s">
        <v>274</v>
      </c>
      <c r="F271" s="119">
        <v>55.184598899999997</v>
      </c>
      <c r="G271" s="119">
        <v>-120.8546767</v>
      </c>
      <c r="H271" s="139" t="s">
        <v>1066</v>
      </c>
      <c r="I271" s="33" t="s">
        <v>2876</v>
      </c>
      <c r="J271" s="151" t="s">
        <v>2322</v>
      </c>
      <c r="K271" s="51" t="s">
        <v>3151</v>
      </c>
      <c r="L271" s="175">
        <v>230</v>
      </c>
      <c r="M271" s="54">
        <v>2012</v>
      </c>
      <c r="N271" s="33">
        <v>2032</v>
      </c>
      <c r="O271" s="33"/>
      <c r="P271" s="63" t="s">
        <v>1020</v>
      </c>
      <c r="Q271" s="51" t="s">
        <v>1047</v>
      </c>
      <c r="R271" s="65">
        <v>142.19999999999999</v>
      </c>
      <c r="S271" s="248">
        <f>System!$E$12</f>
        <v>0.26</v>
      </c>
      <c r="T271" s="247">
        <f t="shared" si="12"/>
        <v>36.972000000000001</v>
      </c>
      <c r="U271" s="114">
        <f t="shared" si="13"/>
        <v>0.382853592277903</v>
      </c>
      <c r="V271" s="64">
        <v>476.91</v>
      </c>
      <c r="W271" s="99">
        <v>1</v>
      </c>
      <c r="X271" s="17"/>
      <c r="Y271" s="128" t="s">
        <v>83</v>
      </c>
      <c r="Z271" s="60">
        <v>0</v>
      </c>
      <c r="AA271" s="60">
        <v>142.19999999999999</v>
      </c>
      <c r="AB271" s="107">
        <v>1</v>
      </c>
      <c r="AC271" s="107">
        <v>1</v>
      </c>
      <c r="AD271" s="69"/>
      <c r="AE271" s="69"/>
      <c r="AF271" s="69"/>
      <c r="AG271" s="69"/>
      <c r="AH271" s="54" t="b">
        <v>0</v>
      </c>
      <c r="AI271" s="69"/>
      <c r="AJ271" s="107">
        <v>1</v>
      </c>
      <c r="AK271" s="69"/>
      <c r="AL271" s="99"/>
      <c r="AM271" s="156"/>
      <c r="AN271" s="115"/>
      <c r="AO271" s="116"/>
      <c r="AP271" s="69"/>
      <c r="AQ271" s="69"/>
      <c r="AR271" s="116"/>
      <c r="AS271" s="139"/>
      <c r="AT271" s="19"/>
      <c r="AU271" s="19"/>
    </row>
    <row r="272" spans="1:47" s="17" customFormat="1" ht="20" x14ac:dyDescent="0.2">
      <c r="A272" s="118"/>
      <c r="B272" s="206" t="s">
        <v>2810</v>
      </c>
      <c r="C272" s="280" t="s">
        <v>3841</v>
      </c>
      <c r="D272" s="206" t="s">
        <v>307</v>
      </c>
      <c r="E272" s="206" t="s">
        <v>308</v>
      </c>
      <c r="F272" s="119">
        <v>49.6601754</v>
      </c>
      <c r="G272" s="119">
        <v>-120.1222123</v>
      </c>
      <c r="H272" s="139" t="s">
        <v>1066</v>
      </c>
      <c r="I272" s="33" t="s">
        <v>2876</v>
      </c>
      <c r="J272" s="151" t="s">
        <v>1856</v>
      </c>
      <c r="K272" s="51" t="s">
        <v>3205</v>
      </c>
      <c r="L272" s="175">
        <v>230</v>
      </c>
      <c r="M272" s="63">
        <v>2010</v>
      </c>
      <c r="N272" s="33">
        <v>2030</v>
      </c>
      <c r="O272" s="33"/>
      <c r="P272" s="63" t="s">
        <v>1020</v>
      </c>
      <c r="Q272" s="51" t="s">
        <v>1047</v>
      </c>
      <c r="R272" s="64">
        <v>15</v>
      </c>
      <c r="S272" s="248">
        <f>System!$E$12</f>
        <v>0.26</v>
      </c>
      <c r="T272" s="247">
        <f t="shared" si="12"/>
        <v>3.9000000000000004</v>
      </c>
      <c r="U272" s="114">
        <f t="shared" si="13"/>
        <v>0.4147640791476408</v>
      </c>
      <c r="V272" s="64">
        <v>54.5</v>
      </c>
      <c r="W272" s="99">
        <v>1</v>
      </c>
      <c r="Y272" s="128" t="s">
        <v>83</v>
      </c>
      <c r="Z272" s="60">
        <v>0</v>
      </c>
      <c r="AA272" s="60">
        <v>15</v>
      </c>
      <c r="AB272" s="161">
        <v>1</v>
      </c>
      <c r="AC272" s="161">
        <v>1</v>
      </c>
      <c r="AD272" s="69"/>
      <c r="AE272" s="69"/>
      <c r="AF272" s="69"/>
      <c r="AG272" s="69"/>
      <c r="AH272" s="54" t="b">
        <v>0</v>
      </c>
      <c r="AI272" s="69"/>
      <c r="AJ272" s="107">
        <v>1</v>
      </c>
      <c r="AK272" s="69"/>
      <c r="AL272" s="99"/>
      <c r="AN272" s="115"/>
      <c r="AO272" s="116"/>
      <c r="AP272" s="69"/>
      <c r="AQ272" s="69"/>
      <c r="AR272" s="116"/>
      <c r="AS272" s="139"/>
      <c r="AT272" s="19"/>
      <c r="AU272" s="19"/>
    </row>
    <row r="273" spans="1:88" x14ac:dyDescent="0.25">
      <c r="B273" s="11"/>
      <c r="C273" s="285"/>
      <c r="D273" s="11"/>
      <c r="E273" s="11"/>
      <c r="F273" s="7"/>
      <c r="G273" s="31"/>
      <c r="H273" s="140"/>
      <c r="M273" s="23"/>
      <c r="N273" s="71"/>
      <c r="O273" s="32"/>
      <c r="P273" s="7"/>
      <c r="Q273" s="55"/>
      <c r="R273" s="32"/>
      <c r="S273" s="136"/>
      <c r="Z273" s="7"/>
      <c r="AC273" s="7"/>
      <c r="AI273" s="7"/>
      <c r="AJ273" s="10"/>
      <c r="AL273" s="7"/>
    </row>
    <row r="274" spans="1:88" s="98" customFormat="1" x14ac:dyDescent="0.25">
      <c r="A274" s="47" t="s">
        <v>1042</v>
      </c>
      <c r="C274" s="286"/>
      <c r="H274" s="90"/>
      <c r="I274" s="90"/>
      <c r="J274" s="193"/>
      <c r="K274" s="193"/>
      <c r="L274" s="193"/>
      <c r="Q274" s="90"/>
      <c r="S274" s="90"/>
      <c r="U274" s="90"/>
      <c r="Y274" s="7"/>
      <c r="Z274" s="7"/>
      <c r="AA274" s="7"/>
      <c r="AB274" s="7"/>
      <c r="AC274" s="7"/>
      <c r="AD274" s="7"/>
      <c r="AE274" s="7"/>
      <c r="AF274" s="7"/>
      <c r="AG274" s="7"/>
      <c r="AH274" s="7"/>
      <c r="AI274" s="7"/>
      <c r="AJ274" s="7"/>
      <c r="AK274" s="7"/>
      <c r="AL274" s="7"/>
      <c r="AM274" s="7"/>
      <c r="AN274" s="7"/>
      <c r="AO274" s="7"/>
      <c r="AP274" s="7"/>
      <c r="AQ274" s="7"/>
      <c r="AR274" s="7"/>
      <c r="AS274" s="55"/>
      <c r="AT274" s="55"/>
      <c r="AU274" s="7"/>
      <c r="AV274" s="7"/>
      <c r="AW274" s="7"/>
      <c r="AX274" s="7"/>
      <c r="AY274" s="7"/>
      <c r="AZ274" s="7"/>
      <c r="BA274" s="7"/>
      <c r="BB274" s="7"/>
      <c r="BC274" s="7"/>
      <c r="BD274" s="7"/>
      <c r="BE274" s="7"/>
      <c r="BF274" s="7"/>
      <c r="BG274" s="7"/>
      <c r="BH274" s="7"/>
      <c r="BI274" s="10"/>
      <c r="BJ274" s="7"/>
      <c r="BK274" s="7"/>
      <c r="BL274" s="7"/>
      <c r="BM274" s="7"/>
      <c r="BN274" s="7"/>
      <c r="BO274" s="7"/>
      <c r="BP274" s="7"/>
      <c r="BQ274" s="7"/>
      <c r="BR274" s="7"/>
      <c r="BS274" s="7"/>
      <c r="BT274" s="7"/>
      <c r="BU274" s="7"/>
      <c r="BV274" s="7"/>
      <c r="BW274" s="7"/>
      <c r="BX274" s="7"/>
      <c r="BY274" s="7"/>
      <c r="BZ274" s="7"/>
      <c r="CA274" s="7"/>
      <c r="CB274" s="7"/>
      <c r="CC274" s="7"/>
      <c r="CD274" s="7"/>
      <c r="CE274" s="7"/>
      <c r="CF274" s="10"/>
      <c r="CG274" s="7"/>
      <c r="CH274" s="7"/>
      <c r="CI274" s="7"/>
      <c r="CJ274" s="7"/>
    </row>
    <row r="275" spans="1:88" x14ac:dyDescent="0.25">
      <c r="A275" s="7" t="s">
        <v>1051</v>
      </c>
      <c r="B275" s="11"/>
      <c r="C275" s="285"/>
      <c r="D275" s="11"/>
      <c r="E275" s="31"/>
      <c r="F275" s="98"/>
      <c r="G275" s="98"/>
      <c r="H275" s="98"/>
      <c r="M275" s="31"/>
      <c r="N275" s="31"/>
      <c r="O275" s="31"/>
      <c r="P275" s="31"/>
      <c r="Q275" s="140"/>
      <c r="R275" s="31"/>
      <c r="S275" s="140"/>
      <c r="T275" s="26"/>
      <c r="U275" s="140"/>
      <c r="V275" s="31"/>
      <c r="W275" s="25"/>
      <c r="X275" s="25"/>
      <c r="Y275" s="30"/>
      <c r="Z275" s="7"/>
      <c r="AC275" s="7"/>
      <c r="AI275" s="7"/>
      <c r="AL275" s="7"/>
      <c r="BI275" s="10"/>
      <c r="CF275" s="10"/>
    </row>
    <row r="276" spans="1:88" x14ac:dyDescent="0.25">
      <c r="A276" s="7" t="s">
        <v>1052</v>
      </c>
      <c r="B276" s="11"/>
      <c r="C276" s="285"/>
      <c r="D276" s="11"/>
      <c r="E276" s="31"/>
      <c r="F276" s="98"/>
      <c r="G276" s="98"/>
      <c r="H276" s="98"/>
      <c r="M276" s="31"/>
      <c r="N276" s="31"/>
      <c r="O276" s="31"/>
      <c r="P276" s="31"/>
      <c r="Q276" s="140"/>
      <c r="R276" s="31"/>
      <c r="S276" s="140"/>
      <c r="T276" s="26"/>
      <c r="U276" s="140"/>
      <c r="V276" s="31"/>
      <c r="W276" s="25"/>
      <c r="X276" s="25"/>
      <c r="Y276" s="30"/>
      <c r="Z276" s="7"/>
      <c r="AC276" s="7"/>
      <c r="AI276" s="7"/>
      <c r="AL276" s="7"/>
      <c r="BI276" s="10"/>
      <c r="CF276" s="10"/>
    </row>
    <row r="277" spans="1:88" s="98" customFormat="1" x14ac:dyDescent="0.25">
      <c r="A277" s="7" t="s">
        <v>348</v>
      </c>
      <c r="C277" s="286"/>
      <c r="H277" s="90"/>
      <c r="I277" s="90"/>
      <c r="J277" s="193"/>
      <c r="K277" s="193"/>
      <c r="L277" s="193"/>
      <c r="Q277" s="90"/>
      <c r="S277" s="90"/>
      <c r="U277" s="90"/>
      <c r="Y277" s="17"/>
      <c r="Z277" s="7"/>
      <c r="AA277" s="7"/>
      <c r="AB277" s="7"/>
      <c r="AC277" s="7"/>
      <c r="AD277" s="7"/>
      <c r="AE277" s="7"/>
      <c r="AF277" s="7"/>
      <c r="AG277" s="7"/>
      <c r="AH277" s="7"/>
      <c r="AI277" s="7"/>
      <c r="AJ277" s="7"/>
      <c r="AK277" s="7"/>
      <c r="AL277" s="7"/>
      <c r="AM277" s="7"/>
      <c r="AN277" s="7"/>
      <c r="AO277" s="7"/>
      <c r="AP277" s="7"/>
      <c r="AQ277" s="7"/>
      <c r="AR277" s="7"/>
      <c r="AS277" s="55"/>
      <c r="AT277" s="55"/>
      <c r="AU277" s="7"/>
      <c r="AV277" s="7"/>
      <c r="AW277" s="7"/>
      <c r="AX277" s="7"/>
      <c r="AY277" s="7"/>
      <c r="AZ277" s="7"/>
      <c r="BA277" s="7"/>
      <c r="BB277" s="7"/>
      <c r="BC277" s="7"/>
      <c r="BD277" s="7"/>
      <c r="BE277" s="7"/>
      <c r="BF277" s="7"/>
      <c r="BG277" s="7"/>
      <c r="BH277" s="7"/>
      <c r="BI277" s="10"/>
      <c r="BJ277" s="7"/>
      <c r="BK277" s="7"/>
      <c r="BL277" s="7"/>
      <c r="BM277" s="7"/>
      <c r="BN277" s="7"/>
      <c r="BO277" s="7"/>
      <c r="BP277" s="7"/>
      <c r="BQ277" s="7"/>
      <c r="BR277" s="7"/>
      <c r="BS277" s="7"/>
      <c r="BT277" s="7"/>
      <c r="BU277" s="7"/>
      <c r="BV277" s="7"/>
      <c r="BW277" s="7"/>
      <c r="BX277" s="7"/>
      <c r="BY277" s="7"/>
      <c r="BZ277" s="7"/>
      <c r="CA277" s="7"/>
      <c r="CB277" s="7"/>
      <c r="CC277" s="7"/>
      <c r="CD277" s="7"/>
      <c r="CE277" s="7"/>
      <c r="CF277" s="10"/>
      <c r="CG277" s="7"/>
      <c r="CH277" s="7"/>
      <c r="CI277" s="7"/>
      <c r="CJ277" s="7"/>
    </row>
    <row r="278" spans="1:88" s="90" customFormat="1" x14ac:dyDescent="0.25">
      <c r="A278" s="55"/>
      <c r="C278" s="286"/>
      <c r="J278" s="193"/>
      <c r="K278" s="193"/>
      <c r="L278" s="193"/>
      <c r="Z278" s="7"/>
      <c r="AA278" s="7"/>
      <c r="AB278" s="7"/>
      <c r="AC278" s="7"/>
      <c r="AD278" s="7"/>
      <c r="AE278" s="7"/>
      <c r="AF278" s="7"/>
      <c r="AG278" s="7"/>
      <c r="AH278" s="7"/>
      <c r="AI278" s="7"/>
      <c r="AJ278" s="7"/>
      <c r="AK278" s="7"/>
      <c r="AL278" s="7"/>
      <c r="AM278" s="7"/>
      <c r="AN278" s="7"/>
      <c r="AO278" s="7"/>
      <c r="AP278" s="7"/>
      <c r="AQ278" s="7"/>
      <c r="AR278" s="7"/>
      <c r="AS278" s="55"/>
      <c r="AT278" s="55"/>
      <c r="AU278" s="7"/>
      <c r="AV278" s="7"/>
      <c r="AW278" s="7"/>
      <c r="AX278" s="7"/>
      <c r="AY278" s="7"/>
      <c r="AZ278" s="7"/>
      <c r="BA278" s="7"/>
      <c r="BB278" s="7"/>
      <c r="BC278" s="7"/>
      <c r="BD278" s="7"/>
      <c r="BE278" s="7"/>
      <c r="BF278" s="7"/>
      <c r="BG278" s="55"/>
      <c r="BH278" s="55"/>
      <c r="BI278" s="138"/>
      <c r="BJ278" s="55"/>
      <c r="BK278" s="55"/>
      <c r="BL278" s="55"/>
      <c r="BM278" s="55"/>
      <c r="BN278" s="55"/>
      <c r="BO278" s="55"/>
      <c r="BP278" s="55"/>
      <c r="BQ278" s="55"/>
      <c r="BR278" s="55"/>
      <c r="BS278" s="55"/>
      <c r="BT278" s="55"/>
      <c r="BU278" s="55"/>
      <c r="BV278" s="55"/>
      <c r="BW278" s="55"/>
      <c r="BX278" s="55"/>
      <c r="BY278" s="55"/>
      <c r="BZ278" s="55"/>
      <c r="CA278" s="55"/>
      <c r="CB278" s="55"/>
      <c r="CC278" s="55"/>
      <c r="CD278" s="55"/>
      <c r="CE278" s="55"/>
      <c r="CF278" s="138"/>
      <c r="CG278" s="55"/>
      <c r="CH278" s="55"/>
      <c r="CI278" s="55"/>
      <c r="CJ278" s="55"/>
    </row>
    <row r="279" spans="1:88" x14ac:dyDescent="0.25">
      <c r="A279" s="47" t="s">
        <v>1039</v>
      </c>
      <c r="B279" s="166"/>
      <c r="C279" s="287"/>
      <c r="D279" s="166"/>
      <c r="E279" s="31"/>
      <c r="F279" s="31"/>
      <c r="G279" s="31"/>
      <c r="H279" s="31"/>
      <c r="I279" s="31"/>
      <c r="J279" s="254"/>
      <c r="K279" s="254"/>
      <c r="L279" s="254"/>
      <c r="M279" s="254"/>
      <c r="N279" s="31"/>
      <c r="O279" s="31"/>
      <c r="P279" s="31"/>
      <c r="Q279" s="31"/>
      <c r="R279" s="31"/>
      <c r="S279" s="254"/>
      <c r="T279" s="254"/>
      <c r="U279" s="31"/>
      <c r="V279" s="25"/>
      <c r="W279" s="31"/>
      <c r="X279" s="25"/>
      <c r="Y279" s="32"/>
      <c r="Z279" s="7"/>
      <c r="AC279" s="7"/>
      <c r="AI279" s="7"/>
      <c r="AL279" s="7"/>
      <c r="AS279" s="7"/>
      <c r="AT279" s="7"/>
    </row>
    <row r="280" spans="1:88" s="254" customFormat="1" x14ac:dyDescent="0.25">
      <c r="A280" s="7" t="s">
        <v>1040</v>
      </c>
      <c r="C280" s="286"/>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row>
    <row r="281" spans="1:88" x14ac:dyDescent="0.25">
      <c r="A281" s="7" t="s">
        <v>1041</v>
      </c>
      <c r="B281" s="11"/>
      <c r="C281" s="285"/>
      <c r="D281" s="11"/>
      <c r="E281" s="31"/>
      <c r="F281" s="31"/>
      <c r="G281" s="31"/>
      <c r="H281" s="31"/>
      <c r="I281" s="31"/>
      <c r="J281" s="254"/>
      <c r="K281" s="254"/>
      <c r="L281" s="254"/>
      <c r="M281" s="254"/>
      <c r="N281" s="31"/>
      <c r="O281" s="31"/>
      <c r="P281" s="31"/>
      <c r="Q281" s="31"/>
      <c r="R281" s="31"/>
      <c r="S281" s="254"/>
      <c r="T281" s="254"/>
      <c r="U281" s="31"/>
      <c r="V281" s="25"/>
      <c r="W281" s="31"/>
      <c r="X281" s="25"/>
      <c r="Y281" s="154"/>
      <c r="Z281" s="7"/>
      <c r="AC281" s="7"/>
      <c r="AI281" s="7"/>
      <c r="AL281" s="7"/>
      <c r="AS281" s="7"/>
      <c r="AT281" s="7"/>
    </row>
    <row r="282" spans="1:88" x14ac:dyDescent="0.25">
      <c r="A282" s="7" t="s">
        <v>2891</v>
      </c>
      <c r="B282" s="11"/>
      <c r="C282" s="285"/>
      <c r="D282" s="11"/>
      <c r="E282" s="31"/>
      <c r="F282" s="31"/>
      <c r="G282" s="31"/>
      <c r="H282" s="31"/>
      <c r="I282" s="31"/>
      <c r="J282" s="254"/>
      <c r="K282" s="254"/>
      <c r="L282" s="254"/>
      <c r="M282" s="254"/>
      <c r="N282" s="31"/>
      <c r="O282" s="31"/>
      <c r="P282" s="31"/>
      <c r="Q282" s="31"/>
      <c r="R282" s="31"/>
      <c r="S282" s="254"/>
      <c r="T282" s="254"/>
      <c r="U282" s="31"/>
      <c r="V282" s="25"/>
      <c r="W282" s="31"/>
      <c r="X282" s="25"/>
      <c r="Y282" s="154"/>
      <c r="Z282" s="7"/>
      <c r="AC282" s="7"/>
      <c r="AI282" s="7"/>
      <c r="AL282" s="7"/>
      <c r="AS282" s="7"/>
      <c r="AT282" s="7"/>
    </row>
    <row r="283" spans="1:88" x14ac:dyDescent="0.25">
      <c r="A283" s="7" t="s">
        <v>2892</v>
      </c>
      <c r="B283" s="11"/>
      <c r="C283" s="285"/>
      <c r="D283" s="11"/>
      <c r="E283" s="31"/>
      <c r="F283" s="31"/>
      <c r="G283" s="31"/>
      <c r="H283" s="31"/>
      <c r="I283" s="31"/>
      <c r="J283" s="254"/>
      <c r="K283" s="254"/>
      <c r="L283" s="254"/>
      <c r="M283" s="254"/>
      <c r="N283" s="31"/>
      <c r="O283" s="31"/>
      <c r="P283" s="31"/>
      <c r="Q283" s="31"/>
      <c r="R283" s="31"/>
      <c r="S283" s="254"/>
      <c r="T283" s="254"/>
      <c r="U283" s="31"/>
      <c r="V283" s="25"/>
      <c r="W283" s="31"/>
      <c r="X283" s="25"/>
      <c r="Y283" s="154"/>
      <c r="Z283" s="7"/>
      <c r="AC283" s="7"/>
      <c r="AI283" s="7"/>
      <c r="AL283" s="7"/>
      <c r="AS283" s="7"/>
      <c r="AT283" s="7"/>
    </row>
    <row r="284" spans="1:88" x14ac:dyDescent="0.25">
      <c r="A284" s="167" t="s">
        <v>2893</v>
      </c>
      <c r="D284" s="166"/>
      <c r="E284" s="166"/>
      <c r="F284" s="168"/>
      <c r="G284" s="7"/>
      <c r="H284" s="7"/>
      <c r="I284" s="7"/>
      <c r="J284" s="7"/>
      <c r="K284" s="254"/>
      <c r="L284" s="254"/>
      <c r="M284" s="254"/>
      <c r="N284" s="169"/>
      <c r="O284" s="170"/>
      <c r="P284" s="169"/>
      <c r="Q284" s="170"/>
      <c r="R284" s="170"/>
      <c r="S284" s="170"/>
      <c r="T284" s="170"/>
      <c r="U284" s="171"/>
      <c r="V284" s="171"/>
      <c r="W284" s="171"/>
      <c r="X284" s="171"/>
      <c r="Y284" s="168"/>
      <c r="Z284" s="7"/>
      <c r="AC284" s="7"/>
      <c r="AI284" s="7"/>
      <c r="AL284" s="7"/>
      <c r="AS284" s="7"/>
      <c r="AT284" s="7"/>
    </row>
    <row r="285" spans="1:88" x14ac:dyDescent="0.25">
      <c r="A285" s="7" t="s">
        <v>978</v>
      </c>
      <c r="B285" s="192"/>
      <c r="C285" s="288"/>
      <c r="D285" s="192"/>
      <c r="E285" s="192"/>
      <c r="F285" s="192"/>
      <c r="G285" s="88"/>
      <c r="H285" s="88"/>
      <c r="I285" s="88"/>
      <c r="J285" s="88"/>
      <c r="K285" s="254"/>
      <c r="L285" s="254"/>
      <c r="M285" s="254"/>
      <c r="N285" s="192"/>
      <c r="O285" s="192"/>
      <c r="P285" s="192"/>
      <c r="Q285" s="192"/>
      <c r="R285" s="192"/>
      <c r="S285" s="192"/>
      <c r="T285" s="192"/>
      <c r="U285" s="192"/>
      <c r="V285" s="192"/>
      <c r="W285" s="192"/>
      <c r="X285" s="192"/>
      <c r="Y285" s="192"/>
      <c r="Z285" s="7"/>
      <c r="AC285" s="7"/>
      <c r="AI285" s="7"/>
      <c r="AL285" s="7"/>
      <c r="AS285" s="7"/>
      <c r="AT285" s="7"/>
    </row>
    <row r="286" spans="1:88" x14ac:dyDescent="0.25">
      <c r="E286" s="7"/>
      <c r="F286" s="7"/>
      <c r="G286" s="7"/>
      <c r="H286" s="7"/>
      <c r="I286" s="7"/>
      <c r="J286" s="7"/>
      <c r="K286" s="254"/>
      <c r="L286" s="254"/>
      <c r="M286" s="254"/>
      <c r="N286" s="7"/>
      <c r="O286" s="7"/>
      <c r="Q286" s="192"/>
      <c r="S286" s="7"/>
      <c r="U286" s="7"/>
      <c r="W286" s="7"/>
      <c r="X286" s="254"/>
      <c r="Y286" s="254"/>
      <c r="Z286" s="7"/>
      <c r="AC286" s="7"/>
      <c r="AI286" s="7"/>
      <c r="AL286" s="7"/>
      <c r="AS286" s="7"/>
      <c r="AT286" s="7"/>
    </row>
    <row r="287" spans="1:88" x14ac:dyDescent="0.25">
      <c r="B287" s="28"/>
      <c r="C287" s="140"/>
      <c r="D287" s="28"/>
      <c r="E287" s="31"/>
      <c r="F287" s="25"/>
      <c r="G287" s="7"/>
      <c r="H287" s="7"/>
      <c r="I287" s="7"/>
      <c r="J287" s="7"/>
      <c r="K287" s="254"/>
      <c r="L287" s="254"/>
      <c r="M287" s="254"/>
      <c r="N287" s="31"/>
      <c r="O287" s="31"/>
      <c r="P287" s="26"/>
      <c r="Q287" s="7"/>
      <c r="S287" s="7"/>
      <c r="U287" s="7"/>
      <c r="W287" s="7"/>
      <c r="Z287" s="59"/>
      <c r="AA287" s="254"/>
      <c r="AB287" s="25"/>
      <c r="AC287" s="7"/>
      <c r="AD287" s="254"/>
      <c r="AI287" s="254"/>
      <c r="AJ287" s="254"/>
      <c r="AL287" s="7"/>
      <c r="AS287" s="7"/>
      <c r="AT287" s="7"/>
    </row>
    <row r="288" spans="1:88" x14ac:dyDescent="0.25">
      <c r="B288" s="28"/>
      <c r="C288" s="140"/>
      <c r="D288" s="28"/>
      <c r="F288" s="25"/>
      <c r="G288" s="7"/>
      <c r="H288" s="7"/>
      <c r="I288" s="7"/>
      <c r="J288" s="7"/>
      <c r="K288" s="254"/>
      <c r="L288" s="254"/>
      <c r="M288" s="254"/>
      <c r="N288" s="31"/>
      <c r="O288" s="31"/>
      <c r="P288" s="26"/>
      <c r="Q288" s="7"/>
      <c r="S288" s="7"/>
      <c r="U288" s="7"/>
      <c r="W288" s="7"/>
      <c r="Z288" s="59"/>
      <c r="AA288" s="254"/>
      <c r="AB288" s="25"/>
      <c r="AC288" s="7"/>
      <c r="AD288" s="254"/>
      <c r="AI288" s="254"/>
      <c r="AJ288" s="254"/>
      <c r="AL288" s="7"/>
      <c r="AS288" s="7"/>
      <c r="AT288" s="7"/>
    </row>
    <row r="289" spans="1:46" x14ac:dyDescent="0.25">
      <c r="B289" s="28"/>
      <c r="C289" s="140"/>
      <c r="D289" s="28"/>
      <c r="F289" s="25"/>
      <c r="G289" s="7"/>
      <c r="H289" s="7"/>
      <c r="I289" s="7"/>
      <c r="J289" s="7"/>
      <c r="K289" s="254"/>
      <c r="L289" s="254"/>
      <c r="M289" s="254"/>
      <c r="O289" s="10"/>
      <c r="P289" s="26"/>
      <c r="Q289" s="7"/>
      <c r="S289" s="7"/>
      <c r="U289" s="7"/>
      <c r="W289" s="7"/>
      <c r="Y289" s="253"/>
      <c r="Z289" s="59"/>
      <c r="AA289" s="254"/>
      <c r="AB289" s="25"/>
      <c r="AC289" s="7"/>
      <c r="AD289" s="254"/>
      <c r="AI289" s="254"/>
      <c r="AJ289" s="254"/>
      <c r="AK289" s="9"/>
      <c r="AL289" s="7"/>
      <c r="AN289" s="9"/>
      <c r="AS289" s="7"/>
      <c r="AT289" s="7"/>
    </row>
    <row r="290" spans="1:46" x14ac:dyDescent="0.25">
      <c r="B290" s="28"/>
      <c r="C290" s="140"/>
      <c r="D290" s="28"/>
      <c r="E290" s="31"/>
      <c r="F290" s="25"/>
      <c r="G290" s="7"/>
      <c r="H290" s="7"/>
      <c r="I290" s="7"/>
      <c r="J290" s="7"/>
      <c r="K290" s="254"/>
      <c r="L290" s="254"/>
      <c r="M290" s="254"/>
      <c r="O290" s="10"/>
      <c r="P290" s="26"/>
      <c r="Q290" s="7"/>
      <c r="S290" s="7"/>
      <c r="U290" s="7"/>
      <c r="W290" s="7"/>
      <c r="Z290" s="59"/>
      <c r="AA290" s="254"/>
      <c r="AB290" s="25"/>
      <c r="AC290" s="7"/>
      <c r="AD290" s="254"/>
      <c r="AI290" s="254"/>
      <c r="AJ290" s="254"/>
      <c r="AK290" s="9"/>
      <c r="AL290" s="7"/>
      <c r="AN290" s="9"/>
      <c r="AS290" s="7"/>
      <c r="AT290" s="7"/>
    </row>
    <row r="291" spans="1:46" x14ac:dyDescent="0.25">
      <c r="B291" s="28"/>
      <c r="C291" s="140"/>
      <c r="D291" s="28"/>
      <c r="E291" s="31"/>
      <c r="M291" s="31"/>
      <c r="N291" s="31"/>
      <c r="P291" s="31"/>
      <c r="R291" s="32"/>
      <c r="S291" s="136"/>
      <c r="T291" s="32"/>
      <c r="U291" s="136"/>
      <c r="V291" s="32"/>
      <c r="W291" s="136"/>
      <c r="AC291" s="35"/>
      <c r="AI291" s="35"/>
      <c r="AN291" s="9"/>
    </row>
    <row r="292" spans="1:46" s="36" customFormat="1" x14ac:dyDescent="0.25">
      <c r="A292" s="7"/>
      <c r="B292" s="28"/>
      <c r="C292" s="140"/>
      <c r="D292" s="28"/>
      <c r="E292" s="34"/>
      <c r="F292" s="10"/>
      <c r="G292" s="10"/>
      <c r="H292" s="138"/>
      <c r="I292" s="90"/>
      <c r="J292" s="193"/>
      <c r="K292" s="193"/>
      <c r="L292" s="193"/>
      <c r="M292" s="31"/>
      <c r="N292" s="31"/>
      <c r="Q292" s="140"/>
      <c r="S292" s="90"/>
      <c r="U292" s="90"/>
      <c r="W292" s="90"/>
      <c r="Z292" s="34"/>
      <c r="AC292" s="35"/>
      <c r="AI292" s="35"/>
      <c r="AN292" s="7"/>
      <c r="AR292" s="7"/>
      <c r="AS292" s="55"/>
      <c r="AT292" s="55"/>
    </row>
    <row r="293" spans="1:46" s="36" customFormat="1" x14ac:dyDescent="0.25">
      <c r="A293" s="7"/>
      <c r="B293" s="28"/>
      <c r="C293" s="140"/>
      <c r="D293" s="28"/>
      <c r="E293" s="34"/>
      <c r="F293" s="10"/>
      <c r="G293" s="10"/>
      <c r="H293" s="138"/>
      <c r="I293" s="90"/>
      <c r="J293" s="193"/>
      <c r="K293" s="193"/>
      <c r="L293" s="193"/>
      <c r="Q293" s="140"/>
      <c r="S293" s="90"/>
      <c r="U293" s="90"/>
      <c r="W293" s="90"/>
      <c r="Z293" s="34"/>
      <c r="AC293" s="35"/>
      <c r="AI293" s="35"/>
      <c r="AN293" s="7"/>
      <c r="AR293" s="7"/>
      <c r="AS293" s="55"/>
      <c r="AT293" s="55"/>
    </row>
    <row r="294" spans="1:46" s="36" customFormat="1" x14ac:dyDescent="0.25">
      <c r="A294" s="7"/>
      <c r="B294" s="28"/>
      <c r="C294" s="140"/>
      <c r="D294" s="28"/>
      <c r="E294" s="34"/>
      <c r="F294" s="10"/>
      <c r="G294" s="10"/>
      <c r="H294" s="138"/>
      <c r="I294" s="90"/>
      <c r="J294" s="193"/>
      <c r="K294" s="193"/>
      <c r="L294" s="193"/>
      <c r="Q294" s="90"/>
      <c r="S294" s="90"/>
      <c r="U294" s="90"/>
      <c r="W294" s="90"/>
      <c r="Z294" s="34"/>
      <c r="AC294" s="35"/>
      <c r="AI294" s="35"/>
      <c r="AN294" s="7"/>
      <c r="AR294" s="7"/>
      <c r="AS294" s="55"/>
      <c r="AT294" s="55"/>
    </row>
    <row r="295" spans="1:46" s="36" customFormat="1" x14ac:dyDescent="0.25">
      <c r="A295" s="7"/>
      <c r="B295" s="28"/>
      <c r="C295" s="140"/>
      <c r="D295" s="28"/>
      <c r="E295" s="34"/>
      <c r="F295" s="10"/>
      <c r="G295" s="10"/>
      <c r="H295" s="138"/>
      <c r="I295" s="90"/>
      <c r="J295" s="193"/>
      <c r="K295" s="193"/>
      <c r="L295" s="193"/>
      <c r="Q295" s="90"/>
      <c r="S295" s="90"/>
      <c r="U295" s="90"/>
      <c r="W295" s="90"/>
      <c r="Z295" s="34"/>
      <c r="AN295" s="17"/>
      <c r="AR295" s="17"/>
      <c r="AS295" s="118"/>
      <c r="AT295" s="118"/>
    </row>
    <row r="296" spans="1:46" s="36" customFormat="1" x14ac:dyDescent="0.25">
      <c r="A296" s="7"/>
      <c r="B296" s="28"/>
      <c r="C296" s="140"/>
      <c r="D296" s="28"/>
      <c r="E296" s="34"/>
      <c r="F296" s="10"/>
      <c r="G296" s="10"/>
      <c r="H296" s="138"/>
      <c r="I296" s="90"/>
      <c r="J296" s="193"/>
      <c r="K296" s="193"/>
      <c r="L296" s="193"/>
      <c r="Q296" s="90"/>
      <c r="S296" s="90"/>
      <c r="U296" s="90"/>
      <c r="W296" s="90"/>
      <c r="Z296" s="34"/>
      <c r="AC296" s="35"/>
      <c r="AI296" s="35"/>
      <c r="AS296" s="90"/>
      <c r="AT296" s="90"/>
    </row>
    <row r="297" spans="1:46" x14ac:dyDescent="0.25">
      <c r="B297" s="17"/>
      <c r="C297" s="251"/>
      <c r="M297" s="36"/>
      <c r="N297" s="36"/>
      <c r="Q297" s="90"/>
      <c r="AC297" s="35"/>
      <c r="AI297" s="35"/>
      <c r="AN297" s="36"/>
      <c r="AR297" s="36"/>
      <c r="AS297" s="90"/>
      <c r="AT297" s="90"/>
    </row>
    <row r="298" spans="1:46" x14ac:dyDescent="0.25">
      <c r="B298" s="28"/>
      <c r="C298" s="140"/>
      <c r="D298" s="28"/>
      <c r="Q298" s="90"/>
      <c r="AC298" s="45"/>
      <c r="AI298" s="45"/>
      <c r="AN298" s="36"/>
      <c r="AR298" s="36"/>
      <c r="AS298" s="90"/>
      <c r="AT298" s="90"/>
    </row>
    <row r="299" spans="1:46" x14ac:dyDescent="0.25">
      <c r="B299" s="28"/>
      <c r="C299" s="140"/>
      <c r="D299" s="28"/>
      <c r="AC299" s="45"/>
      <c r="AI299" s="45"/>
    </row>
    <row r="300" spans="1:46" x14ac:dyDescent="0.25">
      <c r="B300" s="28"/>
      <c r="C300" s="140"/>
      <c r="D300" s="28"/>
      <c r="AC300" s="35"/>
      <c r="AI300" s="35"/>
    </row>
    <row r="301" spans="1:46" x14ac:dyDescent="0.25">
      <c r="B301" s="28"/>
      <c r="C301" s="140"/>
      <c r="D301" s="28"/>
    </row>
    <row r="302" spans="1:46" x14ac:dyDescent="0.25">
      <c r="B302" s="28"/>
      <c r="C302" s="140"/>
      <c r="D302" s="28"/>
    </row>
    <row r="303" spans="1:46" x14ac:dyDescent="0.25">
      <c r="B303" s="28"/>
      <c r="C303" s="140"/>
      <c r="D303" s="28"/>
    </row>
    <row r="304" spans="1:46" x14ac:dyDescent="0.25">
      <c r="B304" s="28"/>
      <c r="C304" s="140"/>
      <c r="D304" s="28"/>
    </row>
    <row r="305" spans="1:46" x14ac:dyDescent="0.25">
      <c r="B305" s="28"/>
      <c r="C305" s="140"/>
      <c r="D305" s="28"/>
    </row>
    <row r="306" spans="1:46" x14ac:dyDescent="0.25">
      <c r="B306" s="28"/>
      <c r="C306" s="140"/>
      <c r="D306" s="28"/>
    </row>
    <row r="307" spans="1:46" x14ac:dyDescent="0.25">
      <c r="B307" s="28"/>
      <c r="C307" s="140"/>
      <c r="D307" s="28"/>
    </row>
    <row r="308" spans="1:46" x14ac:dyDescent="0.25">
      <c r="B308" s="28"/>
      <c r="C308" s="140"/>
      <c r="D308" s="28"/>
    </row>
    <row r="309" spans="1:46" x14ac:dyDescent="0.25">
      <c r="B309" s="28"/>
      <c r="C309" s="140"/>
      <c r="D309" s="28"/>
    </row>
    <row r="310" spans="1:46" x14ac:dyDescent="0.25">
      <c r="B310" s="28"/>
      <c r="C310" s="140"/>
      <c r="D310" s="28"/>
    </row>
    <row r="311" spans="1:46" x14ac:dyDescent="0.25">
      <c r="B311" s="36"/>
      <c r="C311" s="286"/>
    </row>
    <row r="312" spans="1:46" x14ac:dyDescent="0.25">
      <c r="B312" s="36"/>
      <c r="C312" s="286"/>
    </row>
    <row r="313" spans="1:46" x14ac:dyDescent="0.25">
      <c r="B313" s="28"/>
      <c r="C313" s="140"/>
      <c r="D313" s="28"/>
    </row>
    <row r="314" spans="1:46" x14ac:dyDescent="0.25">
      <c r="B314" s="28"/>
      <c r="C314" s="140"/>
      <c r="D314" s="28"/>
    </row>
    <row r="315" spans="1:46" s="10" customFormat="1" x14ac:dyDescent="0.25">
      <c r="A315" s="7"/>
      <c r="B315" s="28"/>
      <c r="C315" s="140"/>
      <c r="D315" s="28"/>
      <c r="H315" s="138"/>
      <c r="I315" s="90"/>
      <c r="J315" s="193"/>
      <c r="K315" s="193"/>
      <c r="L315" s="193"/>
      <c r="O315" s="36"/>
      <c r="Q315" s="138"/>
      <c r="R315" s="7"/>
      <c r="S315" s="55"/>
      <c r="T315" s="7"/>
      <c r="U315" s="55"/>
      <c r="V315" s="7"/>
      <c r="W315" s="55"/>
      <c r="X315" s="7"/>
      <c r="Y315" s="7"/>
      <c r="AA315" s="7"/>
      <c r="AB315" s="7"/>
      <c r="AC315" s="36"/>
      <c r="AD315" s="7"/>
      <c r="AE315" s="7"/>
      <c r="AF315" s="7"/>
      <c r="AG315" s="7"/>
      <c r="AH315" s="7"/>
      <c r="AI315" s="36"/>
      <c r="AJ315" s="7"/>
      <c r="AK315" s="7"/>
      <c r="AL315" s="36"/>
      <c r="AM315" s="7"/>
      <c r="AN315" s="7"/>
      <c r="AO315" s="7"/>
      <c r="AQ315" s="7"/>
      <c r="AR315" s="7"/>
      <c r="AS315" s="55"/>
      <c r="AT315" s="55"/>
    </row>
    <row r="316" spans="1:46" s="10" customFormat="1" x14ac:dyDescent="0.25">
      <c r="A316" s="7"/>
      <c r="B316" s="17"/>
      <c r="C316" s="251"/>
      <c r="D316" s="7"/>
      <c r="H316" s="138"/>
      <c r="I316" s="90"/>
      <c r="J316" s="193"/>
      <c r="K316" s="193"/>
      <c r="L316" s="193"/>
      <c r="O316" s="36"/>
      <c r="Q316" s="138"/>
      <c r="R316" s="7"/>
      <c r="S316" s="55"/>
      <c r="T316" s="7"/>
      <c r="U316" s="55"/>
      <c r="V316" s="7"/>
      <c r="W316" s="55"/>
      <c r="X316" s="7"/>
      <c r="Y316" s="7"/>
      <c r="AA316" s="7"/>
      <c r="AB316" s="7"/>
      <c r="AC316" s="36"/>
      <c r="AD316" s="7"/>
      <c r="AE316" s="7"/>
      <c r="AF316" s="7"/>
      <c r="AG316" s="7"/>
      <c r="AH316" s="7"/>
      <c r="AI316" s="36"/>
      <c r="AJ316" s="7"/>
      <c r="AK316" s="7"/>
      <c r="AL316" s="36"/>
      <c r="AM316" s="7"/>
      <c r="AN316" s="7"/>
      <c r="AO316" s="7"/>
      <c r="AQ316" s="7"/>
      <c r="AR316" s="7"/>
      <c r="AS316" s="55"/>
      <c r="AT316" s="55"/>
    </row>
    <row r="317" spans="1:46" s="10" customFormat="1" x14ac:dyDescent="0.25">
      <c r="A317" s="7"/>
      <c r="B317" s="28"/>
      <c r="C317" s="140"/>
      <c r="D317" s="28"/>
      <c r="H317" s="138"/>
      <c r="I317" s="90"/>
      <c r="J317" s="193"/>
      <c r="K317" s="193"/>
      <c r="L317" s="193"/>
      <c r="O317" s="36"/>
      <c r="Q317" s="138"/>
      <c r="R317" s="7"/>
      <c r="S317" s="55"/>
      <c r="T317" s="7"/>
      <c r="U317" s="55"/>
      <c r="V317" s="7"/>
      <c r="W317" s="55"/>
      <c r="X317" s="7"/>
      <c r="Y317" s="7"/>
      <c r="AA317" s="7"/>
      <c r="AB317" s="7"/>
      <c r="AC317" s="36"/>
      <c r="AD317" s="7"/>
      <c r="AE317" s="7"/>
      <c r="AF317" s="7"/>
      <c r="AG317" s="7"/>
      <c r="AH317" s="7"/>
      <c r="AI317" s="36"/>
      <c r="AJ317" s="7"/>
      <c r="AK317" s="7"/>
      <c r="AL317" s="36"/>
      <c r="AM317" s="7"/>
      <c r="AN317" s="7"/>
      <c r="AO317" s="7"/>
      <c r="AQ317" s="7"/>
      <c r="AR317" s="7"/>
      <c r="AS317" s="55"/>
      <c r="AT317" s="55"/>
    </row>
    <row r="318" spans="1:46" s="10" customFormat="1" x14ac:dyDescent="0.25">
      <c r="A318" s="7"/>
      <c r="B318" s="36"/>
      <c r="C318" s="286"/>
      <c r="D318" s="7"/>
      <c r="H318" s="138"/>
      <c r="I318" s="90"/>
      <c r="J318" s="193"/>
      <c r="K318" s="193"/>
      <c r="L318" s="193"/>
      <c r="O318" s="36"/>
      <c r="Q318" s="138"/>
      <c r="R318" s="7"/>
      <c r="S318" s="55"/>
      <c r="T318" s="7"/>
      <c r="U318" s="55"/>
      <c r="V318" s="7"/>
      <c r="W318" s="55"/>
      <c r="X318" s="7"/>
      <c r="Y318" s="7"/>
      <c r="AA318" s="7"/>
      <c r="AB318" s="7"/>
      <c r="AC318" s="36"/>
      <c r="AD318" s="7"/>
      <c r="AE318" s="7"/>
      <c r="AF318" s="7"/>
      <c r="AG318" s="7"/>
      <c r="AH318" s="7"/>
      <c r="AI318" s="36"/>
      <c r="AJ318" s="7"/>
      <c r="AK318" s="7"/>
      <c r="AL318" s="36"/>
      <c r="AM318" s="7"/>
      <c r="AN318" s="7"/>
      <c r="AO318" s="7"/>
      <c r="AQ318" s="7"/>
      <c r="AR318" s="7"/>
      <c r="AS318" s="55"/>
      <c r="AT318" s="55"/>
    </row>
    <row r="319" spans="1:46" s="10" customFormat="1" x14ac:dyDescent="0.25">
      <c r="A319" s="7"/>
      <c r="B319" s="36"/>
      <c r="C319" s="286"/>
      <c r="D319" s="7"/>
      <c r="H319" s="138"/>
      <c r="I319" s="90"/>
      <c r="J319" s="193"/>
      <c r="K319" s="193"/>
      <c r="L319" s="193"/>
      <c r="O319" s="36"/>
      <c r="Q319" s="138"/>
      <c r="R319" s="7"/>
      <c r="S319" s="55"/>
      <c r="T319" s="7"/>
      <c r="U319" s="55"/>
      <c r="V319" s="7"/>
      <c r="W319" s="55"/>
      <c r="X319" s="7"/>
      <c r="Y319" s="7"/>
      <c r="AA319" s="7"/>
      <c r="AB319" s="7"/>
      <c r="AC319" s="36"/>
      <c r="AD319" s="7"/>
      <c r="AE319" s="7"/>
      <c r="AF319" s="7"/>
      <c r="AG319" s="7"/>
      <c r="AH319" s="7"/>
      <c r="AI319" s="36"/>
      <c r="AJ319" s="7"/>
      <c r="AK319" s="7"/>
      <c r="AL319" s="36"/>
      <c r="AM319" s="7"/>
      <c r="AN319" s="7"/>
      <c r="AO319" s="7"/>
      <c r="AQ319" s="7"/>
      <c r="AR319" s="7"/>
      <c r="AS319" s="55"/>
      <c r="AT319" s="55"/>
    </row>
    <row r="320" spans="1:46" s="10" customFormat="1" x14ac:dyDescent="0.25">
      <c r="A320" s="7"/>
      <c r="B320" s="36"/>
      <c r="C320" s="286"/>
      <c r="D320" s="7"/>
      <c r="H320" s="138"/>
      <c r="I320" s="90"/>
      <c r="J320" s="193"/>
      <c r="K320" s="193"/>
      <c r="L320" s="193"/>
      <c r="O320" s="36"/>
      <c r="Q320" s="138"/>
      <c r="R320" s="7"/>
      <c r="S320" s="55"/>
      <c r="T320" s="7"/>
      <c r="U320" s="55"/>
      <c r="V320" s="7"/>
      <c r="W320" s="55"/>
      <c r="X320" s="7"/>
      <c r="Y320" s="7"/>
      <c r="AA320" s="7"/>
      <c r="AB320" s="7"/>
      <c r="AC320" s="36"/>
      <c r="AD320" s="7"/>
      <c r="AE320" s="7"/>
      <c r="AF320" s="7"/>
      <c r="AG320" s="7"/>
      <c r="AH320" s="7"/>
      <c r="AI320" s="36"/>
      <c r="AJ320" s="7"/>
      <c r="AK320" s="7"/>
      <c r="AL320" s="36"/>
      <c r="AM320" s="7"/>
      <c r="AN320" s="7"/>
      <c r="AO320" s="7"/>
      <c r="AQ320" s="7"/>
      <c r="AR320" s="7"/>
      <c r="AS320" s="55"/>
      <c r="AT320" s="55"/>
    </row>
    <row r="321" spans="1:46" s="10" customFormat="1" x14ac:dyDescent="0.25">
      <c r="A321" s="7"/>
      <c r="B321" s="28"/>
      <c r="C321" s="140"/>
      <c r="D321" s="28"/>
      <c r="H321" s="138"/>
      <c r="I321" s="90"/>
      <c r="J321" s="193"/>
      <c r="K321" s="193"/>
      <c r="L321" s="193"/>
      <c r="O321" s="36"/>
      <c r="Q321" s="138"/>
      <c r="R321" s="7"/>
      <c r="S321" s="55"/>
      <c r="T321" s="7"/>
      <c r="U321" s="55"/>
      <c r="V321" s="7"/>
      <c r="W321" s="55"/>
      <c r="X321" s="7"/>
      <c r="Y321" s="7"/>
      <c r="AA321" s="7"/>
      <c r="AB321" s="7"/>
      <c r="AC321" s="36"/>
      <c r="AD321" s="7"/>
      <c r="AE321" s="7"/>
      <c r="AF321" s="7"/>
      <c r="AG321" s="7"/>
      <c r="AH321" s="7"/>
      <c r="AI321" s="36"/>
      <c r="AJ321" s="7"/>
      <c r="AK321" s="7"/>
      <c r="AL321" s="36"/>
      <c r="AM321" s="7"/>
      <c r="AN321" s="7"/>
      <c r="AO321" s="7"/>
      <c r="AQ321" s="7"/>
      <c r="AR321" s="7"/>
      <c r="AS321" s="55"/>
      <c r="AT321" s="55"/>
    </row>
    <row r="322" spans="1:46" s="10" customFormat="1" x14ac:dyDescent="0.25">
      <c r="A322" s="7"/>
      <c r="B322" s="28"/>
      <c r="C322" s="140"/>
      <c r="D322" s="28"/>
      <c r="H322" s="138"/>
      <c r="I322" s="90"/>
      <c r="J322" s="193"/>
      <c r="K322" s="193"/>
      <c r="L322" s="193"/>
      <c r="O322" s="36"/>
      <c r="Q322" s="138"/>
      <c r="R322" s="7"/>
      <c r="S322" s="55"/>
      <c r="T322" s="7"/>
      <c r="U322" s="55"/>
      <c r="V322" s="7"/>
      <c r="W322" s="55"/>
      <c r="X322" s="7"/>
      <c r="Y322" s="7"/>
      <c r="AA322" s="7"/>
      <c r="AB322" s="7"/>
      <c r="AC322" s="36"/>
      <c r="AD322" s="7"/>
      <c r="AE322" s="7"/>
      <c r="AF322" s="7"/>
      <c r="AG322" s="7"/>
      <c r="AH322" s="7"/>
      <c r="AI322" s="36"/>
      <c r="AJ322" s="7"/>
      <c r="AK322" s="7"/>
      <c r="AL322" s="36"/>
      <c r="AM322" s="7"/>
      <c r="AN322" s="7"/>
      <c r="AO322" s="7"/>
      <c r="AQ322" s="7"/>
      <c r="AR322" s="7"/>
      <c r="AS322" s="55"/>
      <c r="AT322" s="55"/>
    </row>
    <row r="323" spans="1:46" s="10" customFormat="1" x14ac:dyDescent="0.25">
      <c r="A323" s="7"/>
      <c r="B323" s="28"/>
      <c r="C323" s="140"/>
      <c r="D323" s="28"/>
      <c r="H323" s="138"/>
      <c r="I323" s="90"/>
      <c r="J323" s="193"/>
      <c r="K323" s="193"/>
      <c r="L323" s="193"/>
      <c r="O323" s="36"/>
      <c r="Q323" s="138"/>
      <c r="R323" s="7"/>
      <c r="S323" s="55"/>
      <c r="T323" s="7"/>
      <c r="U323" s="55"/>
      <c r="V323" s="7"/>
      <c r="W323" s="55"/>
      <c r="X323" s="7"/>
      <c r="Y323" s="7"/>
      <c r="AA323" s="7"/>
      <c r="AB323" s="7"/>
      <c r="AC323" s="36"/>
      <c r="AD323" s="7"/>
      <c r="AE323" s="7"/>
      <c r="AF323" s="7"/>
      <c r="AG323" s="7"/>
      <c r="AH323" s="7"/>
      <c r="AI323" s="36"/>
      <c r="AJ323" s="7"/>
      <c r="AK323" s="7"/>
      <c r="AL323" s="36"/>
      <c r="AM323" s="7"/>
      <c r="AN323" s="7"/>
      <c r="AO323" s="7"/>
      <c r="AQ323" s="7"/>
      <c r="AR323" s="7"/>
      <c r="AS323" s="55"/>
      <c r="AT323" s="55"/>
    </row>
    <row r="324" spans="1:46" s="10" customFormat="1" x14ac:dyDescent="0.25">
      <c r="A324" s="7"/>
      <c r="B324" s="28"/>
      <c r="C324" s="140"/>
      <c r="D324" s="28"/>
      <c r="H324" s="138"/>
      <c r="I324" s="90"/>
      <c r="J324" s="193"/>
      <c r="K324" s="193"/>
      <c r="L324" s="193"/>
      <c r="O324" s="36"/>
      <c r="Q324" s="138"/>
      <c r="R324" s="7"/>
      <c r="S324" s="55"/>
      <c r="T324" s="7"/>
      <c r="U324" s="55"/>
      <c r="V324" s="7"/>
      <c r="W324" s="55"/>
      <c r="X324" s="7"/>
      <c r="Y324" s="7"/>
      <c r="AA324" s="7"/>
      <c r="AB324" s="7"/>
      <c r="AC324" s="36"/>
      <c r="AD324" s="7"/>
      <c r="AE324" s="7"/>
      <c r="AF324" s="7"/>
      <c r="AG324" s="7"/>
      <c r="AH324" s="7"/>
      <c r="AI324" s="36"/>
      <c r="AJ324" s="7"/>
      <c r="AK324" s="7"/>
      <c r="AL324" s="36"/>
      <c r="AM324" s="7"/>
      <c r="AN324" s="7"/>
      <c r="AO324" s="7"/>
      <c r="AQ324" s="7"/>
      <c r="AR324" s="7"/>
      <c r="AS324" s="55"/>
      <c r="AT324" s="55"/>
    </row>
    <row r="325" spans="1:46" s="10" customFormat="1" x14ac:dyDescent="0.25">
      <c r="A325" s="7"/>
      <c r="B325" s="28"/>
      <c r="C325" s="140"/>
      <c r="D325" s="28"/>
      <c r="H325" s="138"/>
      <c r="I325" s="90"/>
      <c r="J325" s="193"/>
      <c r="K325" s="193"/>
      <c r="L325" s="193"/>
      <c r="O325" s="36"/>
      <c r="Q325" s="138"/>
      <c r="R325" s="7"/>
      <c r="S325" s="55"/>
      <c r="T325" s="7"/>
      <c r="U325" s="55"/>
      <c r="V325" s="7"/>
      <c r="W325" s="55"/>
      <c r="X325" s="7"/>
      <c r="Y325" s="7"/>
      <c r="AA325" s="7"/>
      <c r="AB325" s="7"/>
      <c r="AC325" s="36"/>
      <c r="AD325" s="7"/>
      <c r="AE325" s="7"/>
      <c r="AF325" s="7"/>
      <c r="AG325" s="7"/>
      <c r="AH325" s="7"/>
      <c r="AI325" s="36"/>
      <c r="AJ325" s="7"/>
      <c r="AK325" s="7"/>
      <c r="AL325" s="36"/>
      <c r="AM325" s="7"/>
      <c r="AN325" s="7"/>
      <c r="AO325" s="7"/>
      <c r="AQ325" s="7"/>
      <c r="AR325" s="7"/>
      <c r="AS325" s="55"/>
      <c r="AT325" s="55"/>
    </row>
    <row r="326" spans="1:46" s="10" customFormat="1" x14ac:dyDescent="0.25">
      <c r="A326" s="7"/>
      <c r="B326" s="28"/>
      <c r="C326" s="140"/>
      <c r="D326" s="28"/>
      <c r="H326" s="138"/>
      <c r="I326" s="90"/>
      <c r="J326" s="193"/>
      <c r="K326" s="193"/>
      <c r="L326" s="193"/>
      <c r="O326" s="36"/>
      <c r="Q326" s="138"/>
      <c r="R326" s="7"/>
      <c r="S326" s="55"/>
      <c r="T326" s="7"/>
      <c r="U326" s="55"/>
      <c r="V326" s="7"/>
      <c r="W326" s="55"/>
      <c r="X326" s="7"/>
      <c r="Y326" s="7"/>
      <c r="AA326" s="7"/>
      <c r="AB326" s="7"/>
      <c r="AC326" s="36"/>
      <c r="AD326" s="7"/>
      <c r="AE326" s="7"/>
      <c r="AF326" s="7"/>
      <c r="AG326" s="7"/>
      <c r="AH326" s="7"/>
      <c r="AI326" s="36"/>
      <c r="AJ326" s="7"/>
      <c r="AK326" s="7"/>
      <c r="AL326" s="36"/>
      <c r="AM326" s="7"/>
      <c r="AN326" s="7"/>
      <c r="AO326" s="7"/>
      <c r="AQ326" s="7"/>
      <c r="AR326" s="7"/>
      <c r="AS326" s="55"/>
      <c r="AT326" s="55"/>
    </row>
    <row r="327" spans="1:46" s="10" customFormat="1" x14ac:dyDescent="0.25">
      <c r="A327" s="7"/>
      <c r="B327" s="28"/>
      <c r="C327" s="140"/>
      <c r="D327" s="28"/>
      <c r="H327" s="138"/>
      <c r="I327" s="90"/>
      <c r="J327" s="193"/>
      <c r="K327" s="193"/>
      <c r="L327" s="193"/>
      <c r="O327" s="36"/>
      <c r="Q327" s="138"/>
      <c r="R327" s="7"/>
      <c r="S327" s="55"/>
      <c r="T327" s="7"/>
      <c r="U327" s="55"/>
      <c r="V327" s="7"/>
      <c r="W327" s="55"/>
      <c r="X327" s="7"/>
      <c r="Y327" s="7"/>
      <c r="AA327" s="7"/>
      <c r="AB327" s="7"/>
      <c r="AC327" s="36"/>
      <c r="AD327" s="7"/>
      <c r="AE327" s="7"/>
      <c r="AF327" s="7"/>
      <c r="AG327" s="7"/>
      <c r="AH327" s="7"/>
      <c r="AI327" s="36"/>
      <c r="AJ327" s="7"/>
      <c r="AK327" s="7"/>
      <c r="AL327" s="36"/>
      <c r="AM327" s="7"/>
      <c r="AN327" s="7"/>
      <c r="AO327" s="7"/>
      <c r="AQ327" s="7"/>
      <c r="AR327" s="7"/>
      <c r="AS327" s="55"/>
      <c r="AT327" s="55"/>
    </row>
    <row r="328" spans="1:46" s="10" customFormat="1" x14ac:dyDescent="0.25">
      <c r="A328" s="7"/>
      <c r="B328" s="28"/>
      <c r="C328" s="140"/>
      <c r="D328" s="28"/>
      <c r="H328" s="138"/>
      <c r="I328" s="90"/>
      <c r="J328" s="193"/>
      <c r="K328" s="193"/>
      <c r="L328" s="193"/>
      <c r="O328" s="36"/>
      <c r="Q328" s="138"/>
      <c r="R328" s="7"/>
      <c r="S328" s="55"/>
      <c r="T328" s="7"/>
      <c r="U328" s="55"/>
      <c r="V328" s="7"/>
      <c r="W328" s="55"/>
      <c r="X328" s="7"/>
      <c r="Y328" s="7"/>
      <c r="AA328" s="7"/>
      <c r="AB328" s="7"/>
      <c r="AC328" s="36"/>
      <c r="AD328" s="7"/>
      <c r="AE328" s="7"/>
      <c r="AF328" s="7"/>
      <c r="AG328" s="7"/>
      <c r="AH328" s="7"/>
      <c r="AI328" s="36"/>
      <c r="AJ328" s="7"/>
      <c r="AK328" s="7"/>
      <c r="AL328" s="36"/>
      <c r="AM328" s="7"/>
      <c r="AN328" s="7"/>
      <c r="AO328" s="7"/>
      <c r="AQ328" s="7"/>
      <c r="AR328" s="7"/>
      <c r="AS328" s="55"/>
      <c r="AT328" s="55"/>
    </row>
    <row r="329" spans="1:46" s="10" customFormat="1" x14ac:dyDescent="0.25">
      <c r="A329" s="7"/>
      <c r="B329" s="28"/>
      <c r="C329" s="140"/>
      <c r="D329" s="28"/>
      <c r="H329" s="138"/>
      <c r="I329" s="90"/>
      <c r="J329" s="193"/>
      <c r="K329" s="193"/>
      <c r="L329" s="193"/>
      <c r="O329" s="36"/>
      <c r="Q329" s="138"/>
      <c r="R329" s="7"/>
      <c r="S329" s="55"/>
      <c r="T329" s="7"/>
      <c r="U329" s="55"/>
      <c r="V329" s="7"/>
      <c r="W329" s="55"/>
      <c r="X329" s="7"/>
      <c r="Y329" s="7"/>
      <c r="AA329" s="7"/>
      <c r="AB329" s="7"/>
      <c r="AC329" s="36"/>
      <c r="AD329" s="7"/>
      <c r="AE329" s="7"/>
      <c r="AF329" s="7"/>
      <c r="AG329" s="7"/>
      <c r="AH329" s="7"/>
      <c r="AI329" s="36"/>
      <c r="AJ329" s="7"/>
      <c r="AK329" s="7"/>
      <c r="AL329" s="36"/>
      <c r="AM329" s="7"/>
      <c r="AN329" s="7"/>
      <c r="AO329" s="7"/>
      <c r="AQ329" s="7"/>
      <c r="AR329" s="7"/>
      <c r="AS329" s="55"/>
      <c r="AT329" s="55"/>
    </row>
    <row r="330" spans="1:46" s="10" customFormat="1" x14ac:dyDescent="0.25">
      <c r="A330" s="7"/>
      <c r="B330" s="28"/>
      <c r="C330" s="140"/>
      <c r="D330" s="28"/>
      <c r="H330" s="138"/>
      <c r="I330" s="90"/>
      <c r="J330" s="193"/>
      <c r="K330" s="193"/>
      <c r="L330" s="193"/>
      <c r="O330" s="36"/>
      <c r="Q330" s="138"/>
      <c r="R330" s="7"/>
      <c r="S330" s="55"/>
      <c r="T330" s="7"/>
      <c r="U330" s="55"/>
      <c r="V330" s="7"/>
      <c r="W330" s="55"/>
      <c r="X330" s="7"/>
      <c r="Y330" s="7"/>
      <c r="AA330" s="7"/>
      <c r="AB330" s="7"/>
      <c r="AC330" s="36"/>
      <c r="AD330" s="7"/>
      <c r="AE330" s="7"/>
      <c r="AF330" s="7"/>
      <c r="AG330" s="7"/>
      <c r="AH330" s="7"/>
      <c r="AI330" s="36"/>
      <c r="AJ330" s="7"/>
      <c r="AK330" s="7"/>
      <c r="AL330" s="36"/>
      <c r="AM330" s="7"/>
      <c r="AN330" s="7"/>
      <c r="AO330" s="7"/>
      <c r="AQ330" s="7"/>
      <c r="AR330" s="7"/>
      <c r="AS330" s="55"/>
      <c r="AT330" s="55"/>
    </row>
    <row r="331" spans="1:46" s="10" customFormat="1" x14ac:dyDescent="0.25">
      <c r="A331" s="7"/>
      <c r="B331" s="28"/>
      <c r="C331" s="140"/>
      <c r="D331" s="28"/>
      <c r="H331" s="138"/>
      <c r="I331" s="90"/>
      <c r="J331" s="193"/>
      <c r="K331" s="193"/>
      <c r="L331" s="193"/>
      <c r="O331" s="36"/>
      <c r="Q331" s="138"/>
      <c r="R331" s="7"/>
      <c r="S331" s="55"/>
      <c r="T331" s="7"/>
      <c r="U331" s="55"/>
      <c r="V331" s="7"/>
      <c r="W331" s="55"/>
      <c r="X331" s="7"/>
      <c r="Y331" s="7"/>
      <c r="AA331" s="7"/>
      <c r="AB331" s="7"/>
      <c r="AC331" s="36"/>
      <c r="AD331" s="7"/>
      <c r="AE331" s="7"/>
      <c r="AF331" s="7"/>
      <c r="AG331" s="7"/>
      <c r="AH331" s="7"/>
      <c r="AI331" s="36"/>
      <c r="AJ331" s="7"/>
      <c r="AK331" s="7"/>
      <c r="AL331" s="36"/>
      <c r="AM331" s="7"/>
      <c r="AN331" s="7"/>
      <c r="AO331" s="7"/>
      <c r="AQ331" s="7"/>
      <c r="AR331" s="7"/>
      <c r="AS331" s="55"/>
      <c r="AT331" s="55"/>
    </row>
    <row r="332" spans="1:46" s="10" customFormat="1" x14ac:dyDescent="0.25">
      <c r="A332" s="7"/>
      <c r="B332" s="28"/>
      <c r="C332" s="140"/>
      <c r="D332" s="28"/>
      <c r="H332" s="138"/>
      <c r="I332" s="90"/>
      <c r="J332" s="193"/>
      <c r="K332" s="193"/>
      <c r="L332" s="193"/>
      <c r="O332" s="36"/>
      <c r="Q332" s="138"/>
      <c r="R332" s="7"/>
      <c r="S332" s="55"/>
      <c r="T332" s="7"/>
      <c r="U332" s="55"/>
      <c r="V332" s="7"/>
      <c r="W332" s="55"/>
      <c r="X332" s="7"/>
      <c r="Y332" s="7"/>
      <c r="AA332" s="7"/>
      <c r="AB332" s="7"/>
      <c r="AC332" s="36"/>
      <c r="AD332" s="7"/>
      <c r="AE332" s="7"/>
      <c r="AF332" s="7"/>
      <c r="AG332" s="7"/>
      <c r="AH332" s="7"/>
      <c r="AI332" s="36"/>
      <c r="AJ332" s="7"/>
      <c r="AK332" s="7"/>
      <c r="AL332" s="36"/>
      <c r="AM332" s="7"/>
      <c r="AN332" s="7"/>
      <c r="AO332" s="7"/>
      <c r="AQ332" s="7"/>
      <c r="AR332" s="7"/>
      <c r="AS332" s="55"/>
      <c r="AT332" s="55"/>
    </row>
    <row r="333" spans="1:46" s="10" customFormat="1" x14ac:dyDescent="0.25">
      <c r="A333" s="7"/>
      <c r="B333" s="28"/>
      <c r="C333" s="140"/>
      <c r="D333" s="28"/>
      <c r="H333" s="138"/>
      <c r="I333" s="90"/>
      <c r="J333" s="193"/>
      <c r="K333" s="193"/>
      <c r="L333" s="193"/>
      <c r="O333" s="36"/>
      <c r="Q333" s="138"/>
      <c r="R333" s="7"/>
      <c r="S333" s="55"/>
      <c r="T333" s="7"/>
      <c r="U333" s="55"/>
      <c r="V333" s="7"/>
      <c r="W333" s="55"/>
      <c r="X333" s="7"/>
      <c r="Y333" s="7"/>
      <c r="AA333" s="7"/>
      <c r="AB333" s="7"/>
      <c r="AC333" s="36"/>
      <c r="AD333" s="7"/>
      <c r="AE333" s="7"/>
      <c r="AF333" s="7"/>
      <c r="AG333" s="7"/>
      <c r="AH333" s="7"/>
      <c r="AI333" s="36"/>
      <c r="AJ333" s="7"/>
      <c r="AK333" s="7"/>
      <c r="AL333" s="36"/>
      <c r="AM333" s="7"/>
      <c r="AN333" s="7"/>
      <c r="AO333" s="7"/>
      <c r="AQ333" s="7"/>
      <c r="AR333" s="7"/>
      <c r="AS333" s="55"/>
      <c r="AT333" s="55"/>
    </row>
    <row r="334" spans="1:46" s="10" customFormat="1" x14ac:dyDescent="0.25">
      <c r="A334" s="7"/>
      <c r="B334" s="28"/>
      <c r="C334" s="140"/>
      <c r="D334" s="28"/>
      <c r="H334" s="138"/>
      <c r="I334" s="90"/>
      <c r="J334" s="193"/>
      <c r="K334" s="193"/>
      <c r="L334" s="193"/>
      <c r="O334" s="36"/>
      <c r="Q334" s="138"/>
      <c r="R334" s="7"/>
      <c r="S334" s="55"/>
      <c r="T334" s="7"/>
      <c r="U334" s="55"/>
      <c r="V334" s="7"/>
      <c r="W334" s="55"/>
      <c r="X334" s="7"/>
      <c r="Y334" s="7"/>
      <c r="AA334" s="7"/>
      <c r="AB334" s="7"/>
      <c r="AC334" s="36"/>
      <c r="AD334" s="7"/>
      <c r="AE334" s="7"/>
      <c r="AF334" s="7"/>
      <c r="AG334" s="7"/>
      <c r="AH334" s="7"/>
      <c r="AI334" s="36"/>
      <c r="AJ334" s="7"/>
      <c r="AK334" s="7"/>
      <c r="AL334" s="36"/>
      <c r="AM334" s="7"/>
      <c r="AN334" s="7"/>
      <c r="AO334" s="7"/>
      <c r="AQ334" s="7"/>
      <c r="AR334" s="7"/>
      <c r="AS334" s="55"/>
      <c r="AT334" s="55"/>
    </row>
    <row r="335" spans="1:46" s="10" customFormat="1" x14ac:dyDescent="0.25">
      <c r="A335" s="7"/>
      <c r="B335" s="28"/>
      <c r="C335" s="140"/>
      <c r="D335" s="28"/>
      <c r="H335" s="138"/>
      <c r="I335" s="90"/>
      <c r="J335" s="193"/>
      <c r="K335" s="193"/>
      <c r="L335" s="193"/>
      <c r="O335" s="36"/>
      <c r="Q335" s="138"/>
      <c r="R335" s="7"/>
      <c r="S335" s="55"/>
      <c r="T335" s="7"/>
      <c r="U335" s="55"/>
      <c r="V335" s="7"/>
      <c r="W335" s="55"/>
      <c r="X335" s="7"/>
      <c r="Y335" s="7"/>
      <c r="AA335" s="7"/>
      <c r="AB335" s="7"/>
      <c r="AC335" s="36"/>
      <c r="AD335" s="7"/>
      <c r="AE335" s="7"/>
      <c r="AF335" s="7"/>
      <c r="AG335" s="7"/>
      <c r="AH335" s="7"/>
      <c r="AI335" s="36"/>
      <c r="AJ335" s="7"/>
      <c r="AK335" s="7"/>
      <c r="AL335" s="36"/>
      <c r="AM335" s="7"/>
      <c r="AN335" s="7"/>
      <c r="AO335" s="7"/>
      <c r="AQ335" s="7"/>
      <c r="AR335" s="7"/>
      <c r="AS335" s="55"/>
      <c r="AT335" s="55"/>
    </row>
    <row r="336" spans="1:46" s="10" customFormat="1" x14ac:dyDescent="0.25">
      <c r="A336" s="7"/>
      <c r="B336" s="36"/>
      <c r="C336" s="286"/>
      <c r="D336" s="7"/>
      <c r="H336" s="138"/>
      <c r="I336" s="90"/>
      <c r="J336" s="193"/>
      <c r="K336" s="193"/>
      <c r="L336" s="193"/>
      <c r="O336" s="36"/>
      <c r="Q336" s="138"/>
      <c r="R336" s="7"/>
      <c r="S336" s="55"/>
      <c r="T336" s="7"/>
      <c r="U336" s="55"/>
      <c r="V336" s="7"/>
      <c r="W336" s="55"/>
      <c r="X336" s="7"/>
      <c r="Y336" s="7"/>
      <c r="AA336" s="7"/>
      <c r="AB336" s="7"/>
      <c r="AC336" s="36"/>
      <c r="AD336" s="7"/>
      <c r="AE336" s="7"/>
      <c r="AF336" s="7"/>
      <c r="AG336" s="7"/>
      <c r="AH336" s="7"/>
      <c r="AI336" s="36"/>
      <c r="AJ336" s="7"/>
      <c r="AK336" s="7"/>
      <c r="AL336" s="36"/>
      <c r="AM336" s="7"/>
      <c r="AN336" s="7"/>
      <c r="AO336" s="7"/>
      <c r="AQ336" s="7"/>
      <c r="AR336" s="7"/>
      <c r="AS336" s="55"/>
      <c r="AT336" s="55"/>
    </row>
    <row r="337" spans="1:46" s="10" customFormat="1" x14ac:dyDescent="0.25">
      <c r="A337" s="7"/>
      <c r="B337" s="28"/>
      <c r="C337" s="140"/>
      <c r="D337" s="28"/>
      <c r="H337" s="138"/>
      <c r="I337" s="90"/>
      <c r="J337" s="193"/>
      <c r="K337" s="193"/>
      <c r="L337" s="193"/>
      <c r="O337" s="36"/>
      <c r="Q337" s="138"/>
      <c r="R337" s="7"/>
      <c r="S337" s="55"/>
      <c r="T337" s="7"/>
      <c r="U337" s="55"/>
      <c r="V337" s="7"/>
      <c r="W337" s="55"/>
      <c r="X337" s="7"/>
      <c r="Y337" s="7"/>
      <c r="AA337" s="7"/>
      <c r="AB337" s="7"/>
      <c r="AC337" s="36"/>
      <c r="AD337" s="7"/>
      <c r="AE337" s="7"/>
      <c r="AF337" s="7"/>
      <c r="AG337" s="7"/>
      <c r="AH337" s="7"/>
      <c r="AI337" s="36"/>
      <c r="AJ337" s="7"/>
      <c r="AK337" s="7"/>
      <c r="AL337" s="36"/>
      <c r="AM337" s="7"/>
      <c r="AN337" s="7"/>
      <c r="AO337" s="7"/>
      <c r="AQ337" s="7"/>
      <c r="AR337" s="7"/>
      <c r="AS337" s="55"/>
      <c r="AT337" s="55"/>
    </row>
    <row r="338" spans="1:46" s="10" customFormat="1" x14ac:dyDescent="0.25">
      <c r="A338" s="7"/>
      <c r="B338" s="28"/>
      <c r="C338" s="140"/>
      <c r="D338" s="28"/>
      <c r="H338" s="138"/>
      <c r="I338" s="90"/>
      <c r="J338" s="193"/>
      <c r="K338" s="193"/>
      <c r="L338" s="193"/>
      <c r="O338" s="36"/>
      <c r="Q338" s="138"/>
      <c r="R338" s="7"/>
      <c r="S338" s="55"/>
      <c r="T338" s="7"/>
      <c r="U338" s="55"/>
      <c r="V338" s="7"/>
      <c r="W338" s="55"/>
      <c r="X338" s="7"/>
      <c r="Y338" s="7"/>
      <c r="AA338" s="7"/>
      <c r="AB338" s="7"/>
      <c r="AC338" s="36"/>
      <c r="AD338" s="7"/>
      <c r="AE338" s="7"/>
      <c r="AF338" s="7"/>
      <c r="AG338" s="7"/>
      <c r="AH338" s="7"/>
      <c r="AI338" s="36"/>
      <c r="AJ338" s="7"/>
      <c r="AK338" s="7"/>
      <c r="AL338" s="36"/>
      <c r="AM338" s="7"/>
      <c r="AN338" s="7"/>
      <c r="AO338" s="7"/>
      <c r="AQ338" s="7"/>
      <c r="AR338" s="7"/>
      <c r="AS338" s="55"/>
      <c r="AT338" s="55"/>
    </row>
    <row r="339" spans="1:46" s="10" customFormat="1" x14ac:dyDescent="0.25">
      <c r="A339" s="7"/>
      <c r="B339" s="28"/>
      <c r="C339" s="140"/>
      <c r="D339" s="28"/>
      <c r="H339" s="138"/>
      <c r="I339" s="90"/>
      <c r="J339" s="193"/>
      <c r="K339" s="193"/>
      <c r="L339" s="193"/>
      <c r="O339" s="36"/>
      <c r="Q339" s="138"/>
      <c r="R339" s="7"/>
      <c r="S339" s="55"/>
      <c r="T339" s="7"/>
      <c r="U339" s="55"/>
      <c r="V339" s="7"/>
      <c r="W339" s="55"/>
      <c r="X339" s="7"/>
      <c r="Y339" s="7"/>
      <c r="AA339" s="7"/>
      <c r="AB339" s="7"/>
      <c r="AC339" s="36"/>
      <c r="AD339" s="7"/>
      <c r="AE339" s="7"/>
      <c r="AF339" s="7"/>
      <c r="AG339" s="7"/>
      <c r="AH339" s="7"/>
      <c r="AI339" s="36"/>
      <c r="AJ339" s="7"/>
      <c r="AK339" s="7"/>
      <c r="AL339" s="36"/>
      <c r="AM339" s="7"/>
      <c r="AN339" s="7"/>
      <c r="AO339" s="7"/>
      <c r="AQ339" s="7"/>
      <c r="AR339" s="7"/>
      <c r="AS339" s="55"/>
      <c r="AT339" s="55"/>
    </row>
    <row r="340" spans="1:46" s="10" customFormat="1" x14ac:dyDescent="0.25">
      <c r="A340" s="7"/>
      <c r="B340" s="28"/>
      <c r="C340" s="140"/>
      <c r="D340" s="28"/>
      <c r="H340" s="138"/>
      <c r="I340" s="90"/>
      <c r="J340" s="193"/>
      <c r="K340" s="193"/>
      <c r="L340" s="193"/>
      <c r="O340" s="36"/>
      <c r="Q340" s="138"/>
      <c r="R340" s="7"/>
      <c r="S340" s="55"/>
      <c r="T340" s="7"/>
      <c r="U340" s="55"/>
      <c r="V340" s="7"/>
      <c r="W340" s="55"/>
      <c r="X340" s="7"/>
      <c r="Y340" s="7"/>
      <c r="AA340" s="7"/>
      <c r="AB340" s="7"/>
      <c r="AC340" s="36"/>
      <c r="AD340" s="7"/>
      <c r="AE340" s="7"/>
      <c r="AF340" s="7"/>
      <c r="AG340" s="7"/>
      <c r="AH340" s="7"/>
      <c r="AI340" s="36"/>
      <c r="AJ340" s="7"/>
      <c r="AK340" s="7"/>
      <c r="AL340" s="36"/>
      <c r="AM340" s="7"/>
      <c r="AN340" s="7"/>
      <c r="AO340" s="7"/>
      <c r="AQ340" s="7"/>
      <c r="AR340" s="7"/>
      <c r="AS340" s="55"/>
      <c r="AT340" s="55"/>
    </row>
    <row r="341" spans="1:46" s="10" customFormat="1" x14ac:dyDescent="0.25">
      <c r="A341" s="7"/>
      <c r="B341" s="28"/>
      <c r="C341" s="140"/>
      <c r="D341" s="28"/>
      <c r="H341" s="138"/>
      <c r="I341" s="90"/>
      <c r="J341" s="193"/>
      <c r="K341" s="193"/>
      <c r="L341" s="193"/>
      <c r="O341" s="36"/>
      <c r="Q341" s="138"/>
      <c r="R341" s="7"/>
      <c r="S341" s="55"/>
      <c r="T341" s="7"/>
      <c r="U341" s="55"/>
      <c r="V341" s="7"/>
      <c r="W341" s="55"/>
      <c r="X341" s="7"/>
      <c r="Y341" s="7"/>
      <c r="AA341" s="7"/>
      <c r="AB341" s="7"/>
      <c r="AC341" s="36"/>
      <c r="AD341" s="7"/>
      <c r="AE341" s="7"/>
      <c r="AF341" s="7"/>
      <c r="AG341" s="7"/>
      <c r="AH341" s="7"/>
      <c r="AI341" s="36"/>
      <c r="AJ341" s="7"/>
      <c r="AK341" s="7"/>
      <c r="AL341" s="36"/>
      <c r="AM341" s="7"/>
      <c r="AN341" s="7"/>
      <c r="AO341" s="7"/>
      <c r="AQ341" s="7"/>
      <c r="AR341" s="7"/>
      <c r="AS341" s="55"/>
      <c r="AT341" s="55"/>
    </row>
    <row r="342" spans="1:46" s="10" customFormat="1" x14ac:dyDescent="0.25">
      <c r="A342" s="7"/>
      <c r="B342" s="28"/>
      <c r="C342" s="140"/>
      <c r="D342" s="28"/>
      <c r="H342" s="138"/>
      <c r="I342" s="90"/>
      <c r="J342" s="193"/>
      <c r="K342" s="193"/>
      <c r="L342" s="193"/>
      <c r="O342" s="36"/>
      <c r="Q342" s="138"/>
      <c r="R342" s="7"/>
      <c r="S342" s="55"/>
      <c r="T342" s="7"/>
      <c r="U342" s="55"/>
      <c r="V342" s="7"/>
      <c r="W342" s="55"/>
      <c r="X342" s="7"/>
      <c r="Y342" s="7"/>
      <c r="AA342" s="7"/>
      <c r="AB342" s="7"/>
      <c r="AC342" s="36"/>
      <c r="AD342" s="7"/>
      <c r="AE342" s="7"/>
      <c r="AF342" s="7"/>
      <c r="AG342" s="7"/>
      <c r="AH342" s="7"/>
      <c r="AI342" s="36"/>
      <c r="AJ342" s="7"/>
      <c r="AK342" s="7"/>
      <c r="AL342" s="36"/>
      <c r="AM342" s="7"/>
      <c r="AN342" s="7"/>
      <c r="AO342" s="7"/>
      <c r="AQ342" s="7"/>
      <c r="AR342" s="7"/>
      <c r="AS342" s="55"/>
      <c r="AT342" s="55"/>
    </row>
    <row r="343" spans="1:46" s="10" customFormat="1" x14ac:dyDescent="0.25">
      <c r="A343" s="7"/>
      <c r="B343" s="28"/>
      <c r="C343" s="140"/>
      <c r="D343" s="28"/>
      <c r="H343" s="138"/>
      <c r="I343" s="90"/>
      <c r="J343" s="193"/>
      <c r="K343" s="193"/>
      <c r="L343" s="193"/>
      <c r="O343" s="36"/>
      <c r="Q343" s="138"/>
      <c r="R343" s="7"/>
      <c r="S343" s="55"/>
      <c r="T343" s="7"/>
      <c r="U343" s="55"/>
      <c r="V343" s="7"/>
      <c r="W343" s="55"/>
      <c r="X343" s="7"/>
      <c r="Y343" s="7"/>
      <c r="AA343" s="7"/>
      <c r="AB343" s="7"/>
      <c r="AC343" s="36"/>
      <c r="AD343" s="7"/>
      <c r="AE343" s="7"/>
      <c r="AF343" s="7"/>
      <c r="AG343" s="7"/>
      <c r="AH343" s="7"/>
      <c r="AI343" s="36"/>
      <c r="AJ343" s="7"/>
      <c r="AK343" s="7"/>
      <c r="AL343" s="36"/>
      <c r="AM343" s="7"/>
      <c r="AN343" s="7"/>
      <c r="AO343" s="7"/>
      <c r="AQ343" s="7"/>
      <c r="AR343" s="7"/>
      <c r="AS343" s="55"/>
      <c r="AT343" s="55"/>
    </row>
    <row r="344" spans="1:46" s="10" customFormat="1" x14ac:dyDescent="0.25">
      <c r="A344" s="7"/>
      <c r="B344" s="28"/>
      <c r="C344" s="140"/>
      <c r="D344" s="28"/>
      <c r="H344" s="138"/>
      <c r="I344" s="90"/>
      <c r="J344" s="193"/>
      <c r="K344" s="193"/>
      <c r="L344" s="193"/>
      <c r="O344" s="36"/>
      <c r="Q344" s="138"/>
      <c r="R344" s="7"/>
      <c r="S344" s="55"/>
      <c r="T344" s="7"/>
      <c r="U344" s="55"/>
      <c r="V344" s="7"/>
      <c r="W344" s="55"/>
      <c r="X344" s="7"/>
      <c r="Y344" s="7"/>
      <c r="AA344" s="7"/>
      <c r="AB344" s="7"/>
      <c r="AC344" s="36"/>
      <c r="AD344" s="7"/>
      <c r="AE344" s="7"/>
      <c r="AF344" s="7"/>
      <c r="AG344" s="7"/>
      <c r="AH344" s="7"/>
      <c r="AI344" s="36"/>
      <c r="AJ344" s="7"/>
      <c r="AK344" s="7"/>
      <c r="AL344" s="36"/>
      <c r="AM344" s="7"/>
      <c r="AN344" s="7"/>
      <c r="AO344" s="7"/>
      <c r="AQ344" s="7"/>
      <c r="AR344" s="7"/>
      <c r="AS344" s="55"/>
      <c r="AT344" s="55"/>
    </row>
    <row r="345" spans="1:46" s="10" customFormat="1" x14ac:dyDescent="0.25">
      <c r="A345" s="7"/>
      <c r="B345" s="28"/>
      <c r="C345" s="140"/>
      <c r="D345" s="28"/>
      <c r="H345" s="138"/>
      <c r="I345" s="90"/>
      <c r="J345" s="193"/>
      <c r="K345" s="193"/>
      <c r="L345" s="193"/>
      <c r="O345" s="36"/>
      <c r="Q345" s="138"/>
      <c r="R345" s="7"/>
      <c r="S345" s="55"/>
      <c r="T345" s="7"/>
      <c r="U345" s="55"/>
      <c r="V345" s="7"/>
      <c r="W345" s="55"/>
      <c r="X345" s="7"/>
      <c r="Y345" s="7"/>
      <c r="AA345" s="7"/>
      <c r="AB345" s="7"/>
      <c r="AC345" s="36"/>
      <c r="AD345" s="7"/>
      <c r="AE345" s="7"/>
      <c r="AF345" s="7"/>
      <c r="AG345" s="7"/>
      <c r="AH345" s="7"/>
      <c r="AI345" s="36"/>
      <c r="AJ345" s="7"/>
      <c r="AK345" s="7"/>
      <c r="AL345" s="36"/>
      <c r="AM345" s="7"/>
      <c r="AN345" s="7"/>
      <c r="AO345" s="7"/>
      <c r="AQ345" s="7"/>
      <c r="AR345" s="7"/>
      <c r="AS345" s="55"/>
      <c r="AT345" s="55"/>
    </row>
    <row r="346" spans="1:46" s="10" customFormat="1" x14ac:dyDescent="0.25">
      <c r="A346" s="7"/>
      <c r="B346" s="17"/>
      <c r="C346" s="251"/>
      <c r="D346" s="7"/>
      <c r="H346" s="138"/>
      <c r="I346" s="90"/>
      <c r="J346" s="193"/>
      <c r="K346" s="193"/>
      <c r="L346" s="193"/>
      <c r="O346" s="36"/>
      <c r="Q346" s="138"/>
      <c r="R346" s="7"/>
      <c r="S346" s="55"/>
      <c r="T346" s="7"/>
      <c r="U346" s="55"/>
      <c r="V346" s="7"/>
      <c r="W346" s="55"/>
      <c r="X346" s="7"/>
      <c r="Y346" s="7"/>
      <c r="AA346" s="7"/>
      <c r="AB346" s="7"/>
      <c r="AC346" s="36"/>
      <c r="AD346" s="7"/>
      <c r="AE346" s="7"/>
      <c r="AF346" s="7"/>
      <c r="AG346" s="7"/>
      <c r="AH346" s="7"/>
      <c r="AI346" s="36"/>
      <c r="AJ346" s="7"/>
      <c r="AK346" s="7"/>
      <c r="AL346" s="36"/>
      <c r="AM346" s="7"/>
      <c r="AN346" s="7"/>
      <c r="AO346" s="7"/>
      <c r="AQ346" s="7"/>
      <c r="AR346" s="7"/>
      <c r="AS346" s="55"/>
      <c r="AT346" s="55"/>
    </row>
    <row r="347" spans="1:46" s="10" customFormat="1" x14ac:dyDescent="0.25">
      <c r="A347" s="7"/>
      <c r="B347" s="28"/>
      <c r="C347" s="140"/>
      <c r="D347" s="28"/>
      <c r="H347" s="138"/>
      <c r="I347" s="90"/>
      <c r="J347" s="193"/>
      <c r="K347" s="193"/>
      <c r="L347" s="193"/>
      <c r="O347" s="36"/>
      <c r="Q347" s="138"/>
      <c r="R347" s="7"/>
      <c r="S347" s="55"/>
      <c r="T347" s="7"/>
      <c r="U347" s="55"/>
      <c r="V347" s="7"/>
      <c r="W347" s="55"/>
      <c r="X347" s="7"/>
      <c r="Y347" s="7"/>
      <c r="AA347" s="7"/>
      <c r="AB347" s="7"/>
      <c r="AC347" s="36"/>
      <c r="AD347" s="7"/>
      <c r="AE347" s="7"/>
      <c r="AF347" s="7"/>
      <c r="AG347" s="7"/>
      <c r="AH347" s="7"/>
      <c r="AI347" s="36"/>
      <c r="AJ347" s="7"/>
      <c r="AK347" s="7"/>
      <c r="AL347" s="36"/>
      <c r="AM347" s="7"/>
      <c r="AN347" s="7"/>
      <c r="AO347" s="7"/>
      <c r="AQ347" s="7"/>
      <c r="AR347" s="7"/>
      <c r="AS347" s="55"/>
      <c r="AT347" s="55"/>
    </row>
    <row r="348" spans="1:46" s="10" customFormat="1" x14ac:dyDescent="0.25">
      <c r="A348" s="7"/>
      <c r="B348" s="28"/>
      <c r="C348" s="140"/>
      <c r="D348" s="28"/>
      <c r="H348" s="138"/>
      <c r="I348" s="90"/>
      <c r="J348" s="193"/>
      <c r="K348" s="193"/>
      <c r="L348" s="193"/>
      <c r="O348" s="36"/>
      <c r="Q348" s="138"/>
      <c r="R348" s="7"/>
      <c r="S348" s="55"/>
      <c r="T348" s="7"/>
      <c r="U348" s="55"/>
      <c r="V348" s="7"/>
      <c r="W348" s="55"/>
      <c r="X348" s="7"/>
      <c r="Y348" s="7"/>
      <c r="AA348" s="7"/>
      <c r="AB348" s="7"/>
      <c r="AC348" s="36"/>
      <c r="AD348" s="7"/>
      <c r="AE348" s="7"/>
      <c r="AF348" s="7"/>
      <c r="AG348" s="7"/>
      <c r="AH348" s="7"/>
      <c r="AI348" s="36"/>
      <c r="AJ348" s="7"/>
      <c r="AK348" s="7"/>
      <c r="AL348" s="36"/>
      <c r="AM348" s="7"/>
      <c r="AN348" s="7"/>
      <c r="AO348" s="7"/>
      <c r="AQ348" s="7"/>
      <c r="AR348" s="7"/>
      <c r="AS348" s="55"/>
      <c r="AT348" s="55"/>
    </row>
    <row r="349" spans="1:46" s="10" customFormat="1" x14ac:dyDescent="0.25">
      <c r="A349" s="7"/>
      <c r="B349" s="28"/>
      <c r="C349" s="140"/>
      <c r="D349" s="28"/>
      <c r="H349" s="138"/>
      <c r="I349" s="90"/>
      <c r="J349" s="193"/>
      <c r="K349" s="193"/>
      <c r="L349" s="193"/>
      <c r="O349" s="36"/>
      <c r="Q349" s="138"/>
      <c r="R349" s="7"/>
      <c r="S349" s="55"/>
      <c r="T349" s="7"/>
      <c r="U349" s="55"/>
      <c r="V349" s="7"/>
      <c r="W349" s="55"/>
      <c r="X349" s="7"/>
      <c r="Y349" s="7"/>
      <c r="AA349" s="7"/>
      <c r="AB349" s="7"/>
      <c r="AC349" s="36"/>
      <c r="AD349" s="7"/>
      <c r="AE349" s="7"/>
      <c r="AF349" s="7"/>
      <c r="AG349" s="7"/>
      <c r="AH349" s="7"/>
      <c r="AI349" s="36"/>
      <c r="AJ349" s="7"/>
      <c r="AK349" s="7"/>
      <c r="AL349" s="36"/>
      <c r="AM349" s="7"/>
      <c r="AN349" s="7"/>
      <c r="AO349" s="7"/>
      <c r="AQ349" s="7"/>
      <c r="AR349" s="7"/>
      <c r="AS349" s="55"/>
      <c r="AT349" s="55"/>
    </row>
    <row r="350" spans="1:46" s="10" customFormat="1" x14ac:dyDescent="0.25">
      <c r="A350" s="7"/>
      <c r="B350" s="28"/>
      <c r="C350" s="140"/>
      <c r="D350" s="28"/>
      <c r="H350" s="138"/>
      <c r="I350" s="90"/>
      <c r="J350" s="193"/>
      <c r="K350" s="193"/>
      <c r="L350" s="193"/>
      <c r="O350" s="36"/>
      <c r="Q350" s="138"/>
      <c r="R350" s="7"/>
      <c r="S350" s="55"/>
      <c r="T350" s="7"/>
      <c r="U350" s="55"/>
      <c r="V350" s="7"/>
      <c r="W350" s="55"/>
      <c r="X350" s="7"/>
      <c r="Y350" s="7"/>
      <c r="AA350" s="7"/>
      <c r="AB350" s="7"/>
      <c r="AC350" s="36"/>
      <c r="AD350" s="7"/>
      <c r="AE350" s="7"/>
      <c r="AF350" s="7"/>
      <c r="AG350" s="7"/>
      <c r="AH350" s="7"/>
      <c r="AI350" s="36"/>
      <c r="AJ350" s="7"/>
      <c r="AK350" s="7"/>
      <c r="AL350" s="36"/>
      <c r="AM350" s="7"/>
      <c r="AN350" s="7"/>
      <c r="AO350" s="7"/>
      <c r="AQ350" s="7"/>
      <c r="AR350" s="7"/>
      <c r="AS350" s="55"/>
      <c r="AT350" s="55"/>
    </row>
    <row r="351" spans="1:46" s="10" customFormat="1" x14ac:dyDescent="0.25">
      <c r="A351" s="7"/>
      <c r="B351" s="28"/>
      <c r="C351" s="140"/>
      <c r="D351" s="28"/>
      <c r="H351" s="138"/>
      <c r="I351" s="90"/>
      <c r="J351" s="193"/>
      <c r="K351" s="193"/>
      <c r="L351" s="193"/>
      <c r="O351" s="36"/>
      <c r="Q351" s="138"/>
      <c r="R351" s="7"/>
      <c r="S351" s="55"/>
      <c r="T351" s="7"/>
      <c r="U351" s="55"/>
      <c r="V351" s="7"/>
      <c r="W351" s="55"/>
      <c r="X351" s="7"/>
      <c r="Y351" s="7"/>
      <c r="AA351" s="7"/>
      <c r="AB351" s="7"/>
      <c r="AC351" s="36"/>
      <c r="AD351" s="7"/>
      <c r="AE351" s="7"/>
      <c r="AF351" s="7"/>
      <c r="AG351" s="7"/>
      <c r="AH351" s="7"/>
      <c r="AI351" s="36"/>
      <c r="AJ351" s="7"/>
      <c r="AK351" s="7"/>
      <c r="AL351" s="36"/>
      <c r="AM351" s="7"/>
      <c r="AN351" s="7"/>
      <c r="AO351" s="7"/>
      <c r="AQ351" s="7"/>
      <c r="AR351" s="7"/>
      <c r="AS351" s="55"/>
      <c r="AT351" s="55"/>
    </row>
    <row r="352" spans="1:46" s="10" customFormat="1" x14ac:dyDescent="0.25">
      <c r="A352" s="7"/>
      <c r="B352" s="28"/>
      <c r="C352" s="140"/>
      <c r="D352" s="28"/>
      <c r="H352" s="138"/>
      <c r="I352" s="90"/>
      <c r="J352" s="193"/>
      <c r="K352" s="193"/>
      <c r="L352" s="193"/>
      <c r="O352" s="36"/>
      <c r="Q352" s="138"/>
      <c r="R352" s="7"/>
      <c r="S352" s="55"/>
      <c r="T352" s="7"/>
      <c r="U352" s="55"/>
      <c r="V352" s="7"/>
      <c r="W352" s="55"/>
      <c r="X352" s="7"/>
      <c r="Y352" s="7"/>
      <c r="AA352" s="7"/>
      <c r="AB352" s="7"/>
      <c r="AC352" s="36"/>
      <c r="AD352" s="7"/>
      <c r="AE352" s="7"/>
      <c r="AF352" s="7"/>
      <c r="AG352" s="7"/>
      <c r="AH352" s="7"/>
      <c r="AI352" s="36"/>
      <c r="AJ352" s="7"/>
      <c r="AK352" s="7"/>
      <c r="AL352" s="36"/>
      <c r="AM352" s="7"/>
      <c r="AN352" s="7"/>
      <c r="AO352" s="7"/>
      <c r="AQ352" s="7"/>
      <c r="AR352" s="7"/>
      <c r="AS352" s="55"/>
      <c r="AT352" s="55"/>
    </row>
    <row r="353" spans="1:46" s="10" customFormat="1" x14ac:dyDescent="0.25">
      <c r="A353" s="7"/>
      <c r="B353" s="36"/>
      <c r="C353" s="286"/>
      <c r="D353" s="7"/>
      <c r="H353" s="138"/>
      <c r="I353" s="90"/>
      <c r="J353" s="193"/>
      <c r="K353" s="193"/>
      <c r="L353" s="193"/>
      <c r="O353" s="36"/>
      <c r="Q353" s="138"/>
      <c r="R353" s="7"/>
      <c r="S353" s="55"/>
      <c r="T353" s="7"/>
      <c r="U353" s="55"/>
      <c r="V353" s="7"/>
      <c r="W353" s="55"/>
      <c r="X353" s="7"/>
      <c r="Y353" s="7"/>
      <c r="AA353" s="7"/>
      <c r="AB353" s="7"/>
      <c r="AC353" s="36"/>
      <c r="AD353" s="7"/>
      <c r="AE353" s="7"/>
      <c r="AF353" s="7"/>
      <c r="AG353" s="7"/>
      <c r="AH353" s="7"/>
      <c r="AI353" s="36"/>
      <c r="AJ353" s="7"/>
      <c r="AK353" s="7"/>
      <c r="AL353" s="36"/>
      <c r="AM353" s="7"/>
      <c r="AN353" s="7"/>
      <c r="AO353" s="7"/>
      <c r="AQ353" s="7"/>
      <c r="AR353" s="7"/>
      <c r="AS353" s="55"/>
      <c r="AT353" s="55"/>
    </row>
    <row r="354" spans="1:46" s="10" customFormat="1" x14ac:dyDescent="0.25">
      <c r="A354" s="7"/>
      <c r="B354" s="28"/>
      <c r="C354" s="140"/>
      <c r="D354" s="28"/>
      <c r="H354" s="138"/>
      <c r="I354" s="90"/>
      <c r="J354" s="193"/>
      <c r="K354" s="193"/>
      <c r="L354" s="193"/>
      <c r="O354" s="36"/>
      <c r="Q354" s="138"/>
      <c r="R354" s="7"/>
      <c r="S354" s="55"/>
      <c r="T354" s="7"/>
      <c r="U354" s="55"/>
      <c r="V354" s="7"/>
      <c r="W354" s="55"/>
      <c r="X354" s="7"/>
      <c r="Y354" s="7"/>
      <c r="AA354" s="7"/>
      <c r="AB354" s="7"/>
      <c r="AC354" s="36"/>
      <c r="AD354" s="7"/>
      <c r="AE354" s="7"/>
      <c r="AF354" s="7"/>
      <c r="AG354" s="7"/>
      <c r="AH354" s="7"/>
      <c r="AI354" s="36"/>
      <c r="AJ354" s="7"/>
      <c r="AK354" s="7"/>
      <c r="AL354" s="36"/>
      <c r="AM354" s="7"/>
      <c r="AN354" s="7"/>
      <c r="AO354" s="7"/>
      <c r="AQ354" s="7"/>
      <c r="AR354" s="7"/>
      <c r="AS354" s="55"/>
      <c r="AT354" s="55"/>
    </row>
    <row r="355" spans="1:46" s="10" customFormat="1" x14ac:dyDescent="0.25">
      <c r="A355" s="7"/>
      <c r="B355" s="28"/>
      <c r="C355" s="140"/>
      <c r="D355" s="28"/>
      <c r="H355" s="138"/>
      <c r="I355" s="90"/>
      <c r="J355" s="193"/>
      <c r="K355" s="193"/>
      <c r="L355" s="193"/>
      <c r="O355" s="36"/>
      <c r="Q355" s="138"/>
      <c r="R355" s="7"/>
      <c r="S355" s="55"/>
      <c r="T355" s="7"/>
      <c r="U355" s="55"/>
      <c r="V355" s="7"/>
      <c r="W355" s="55"/>
      <c r="X355" s="7"/>
      <c r="Y355" s="7"/>
      <c r="AA355" s="7"/>
      <c r="AB355" s="7"/>
      <c r="AC355" s="36"/>
      <c r="AD355" s="7"/>
      <c r="AE355" s="7"/>
      <c r="AF355" s="7"/>
      <c r="AG355" s="7"/>
      <c r="AH355" s="7"/>
      <c r="AI355" s="36"/>
      <c r="AJ355" s="7"/>
      <c r="AK355" s="7"/>
      <c r="AL355" s="36"/>
      <c r="AM355" s="7"/>
      <c r="AN355" s="7"/>
      <c r="AO355" s="7"/>
      <c r="AQ355" s="7"/>
      <c r="AR355" s="7"/>
      <c r="AS355" s="55"/>
      <c r="AT355" s="55"/>
    </row>
    <row r="356" spans="1:46" s="10" customFormat="1" x14ac:dyDescent="0.25">
      <c r="A356" s="7"/>
      <c r="B356" s="36"/>
      <c r="C356" s="286"/>
      <c r="D356" s="7"/>
      <c r="H356" s="138"/>
      <c r="I356" s="90"/>
      <c r="J356" s="193"/>
      <c r="K356" s="193"/>
      <c r="L356" s="193"/>
      <c r="O356" s="36"/>
      <c r="Q356" s="138"/>
      <c r="R356" s="7"/>
      <c r="S356" s="55"/>
      <c r="T356" s="7"/>
      <c r="U356" s="55"/>
      <c r="V356" s="7"/>
      <c r="W356" s="55"/>
      <c r="X356" s="7"/>
      <c r="Y356" s="7"/>
      <c r="AA356" s="7"/>
      <c r="AB356" s="7"/>
      <c r="AC356" s="36"/>
      <c r="AD356" s="7"/>
      <c r="AE356" s="7"/>
      <c r="AF356" s="7"/>
      <c r="AG356" s="7"/>
      <c r="AH356" s="7"/>
      <c r="AI356" s="36"/>
      <c r="AJ356" s="7"/>
      <c r="AK356" s="7"/>
      <c r="AL356" s="36"/>
      <c r="AM356" s="7"/>
      <c r="AN356" s="7"/>
      <c r="AO356" s="7"/>
      <c r="AQ356" s="7"/>
      <c r="AR356" s="7"/>
      <c r="AS356" s="55"/>
      <c r="AT356" s="55"/>
    </row>
    <row r="357" spans="1:46" s="10" customFormat="1" x14ac:dyDescent="0.25">
      <c r="A357" s="7"/>
      <c r="B357" s="36"/>
      <c r="C357" s="286"/>
      <c r="D357" s="7"/>
      <c r="H357" s="138"/>
      <c r="I357" s="90"/>
      <c r="J357" s="193"/>
      <c r="K357" s="193"/>
      <c r="L357" s="193"/>
      <c r="O357" s="36"/>
      <c r="Q357" s="138"/>
      <c r="R357" s="7"/>
      <c r="S357" s="55"/>
      <c r="T357" s="7"/>
      <c r="U357" s="55"/>
      <c r="V357" s="7"/>
      <c r="W357" s="55"/>
      <c r="X357" s="7"/>
      <c r="Y357" s="7"/>
      <c r="AA357" s="7"/>
      <c r="AB357" s="7"/>
      <c r="AC357" s="36"/>
      <c r="AD357" s="7"/>
      <c r="AE357" s="7"/>
      <c r="AF357" s="7"/>
      <c r="AG357" s="7"/>
      <c r="AH357" s="7"/>
      <c r="AI357" s="36"/>
      <c r="AJ357" s="7"/>
      <c r="AK357" s="7"/>
      <c r="AL357" s="36"/>
      <c r="AM357" s="7"/>
      <c r="AN357" s="7"/>
      <c r="AO357" s="7"/>
      <c r="AQ357" s="7"/>
      <c r="AR357" s="7"/>
      <c r="AS357" s="55"/>
      <c r="AT357" s="55"/>
    </row>
    <row r="358" spans="1:46" s="10" customFormat="1" x14ac:dyDescent="0.25">
      <c r="A358" s="7"/>
      <c r="B358" s="28"/>
      <c r="C358" s="140"/>
      <c r="D358" s="28"/>
      <c r="H358" s="138"/>
      <c r="I358" s="90"/>
      <c r="J358" s="193"/>
      <c r="K358" s="193"/>
      <c r="L358" s="193"/>
      <c r="O358" s="36"/>
      <c r="Q358" s="138"/>
      <c r="R358" s="7"/>
      <c r="S358" s="55"/>
      <c r="T358" s="7"/>
      <c r="U358" s="55"/>
      <c r="V358" s="7"/>
      <c r="W358" s="55"/>
      <c r="X358" s="7"/>
      <c r="Y358" s="7"/>
      <c r="AA358" s="7"/>
      <c r="AB358" s="7"/>
      <c r="AC358" s="36"/>
      <c r="AD358" s="7"/>
      <c r="AE358" s="7"/>
      <c r="AF358" s="7"/>
      <c r="AG358" s="7"/>
      <c r="AH358" s="7"/>
      <c r="AI358" s="36"/>
      <c r="AJ358" s="7"/>
      <c r="AK358" s="7"/>
      <c r="AL358" s="36"/>
      <c r="AM358" s="7"/>
      <c r="AN358" s="7"/>
      <c r="AO358" s="7"/>
      <c r="AQ358" s="7"/>
      <c r="AR358" s="7"/>
      <c r="AS358" s="55"/>
      <c r="AT358" s="55"/>
    </row>
    <row r="359" spans="1:46" s="10" customFormat="1" x14ac:dyDescent="0.25">
      <c r="A359" s="7"/>
      <c r="B359" s="28"/>
      <c r="C359" s="140"/>
      <c r="D359" s="28"/>
      <c r="H359" s="138"/>
      <c r="I359" s="90"/>
      <c r="J359" s="193"/>
      <c r="K359" s="193"/>
      <c r="L359" s="193"/>
      <c r="O359" s="36"/>
      <c r="Q359" s="138"/>
      <c r="R359" s="7"/>
      <c r="S359" s="55"/>
      <c r="T359" s="7"/>
      <c r="U359" s="55"/>
      <c r="V359" s="7"/>
      <c r="W359" s="55"/>
      <c r="X359" s="7"/>
      <c r="Y359" s="7"/>
      <c r="AA359" s="7"/>
      <c r="AB359" s="7"/>
      <c r="AC359" s="36"/>
      <c r="AD359" s="7"/>
      <c r="AE359" s="7"/>
      <c r="AF359" s="7"/>
      <c r="AG359" s="7"/>
      <c r="AH359" s="7"/>
      <c r="AI359" s="36"/>
      <c r="AJ359" s="7"/>
      <c r="AK359" s="7"/>
      <c r="AL359" s="36"/>
      <c r="AM359" s="7"/>
      <c r="AN359" s="7"/>
      <c r="AO359" s="7"/>
      <c r="AQ359" s="7"/>
      <c r="AR359" s="7"/>
      <c r="AS359" s="55"/>
      <c r="AT359" s="55"/>
    </row>
    <row r="360" spans="1:46" s="10" customFormat="1" x14ac:dyDescent="0.25">
      <c r="A360" s="7"/>
      <c r="B360" s="28"/>
      <c r="C360" s="140"/>
      <c r="D360" s="28"/>
      <c r="H360" s="138"/>
      <c r="I360" s="90"/>
      <c r="J360" s="193"/>
      <c r="K360" s="193"/>
      <c r="L360" s="193"/>
      <c r="O360" s="36"/>
      <c r="Q360" s="138"/>
      <c r="R360" s="7"/>
      <c r="S360" s="55"/>
      <c r="T360" s="7"/>
      <c r="U360" s="55"/>
      <c r="V360" s="7"/>
      <c r="W360" s="55"/>
      <c r="X360" s="7"/>
      <c r="Y360" s="7"/>
      <c r="AA360" s="7"/>
      <c r="AB360" s="7"/>
      <c r="AC360" s="36"/>
      <c r="AD360" s="7"/>
      <c r="AE360" s="7"/>
      <c r="AF360" s="7"/>
      <c r="AG360" s="7"/>
      <c r="AH360" s="7"/>
      <c r="AI360" s="36"/>
      <c r="AJ360" s="7"/>
      <c r="AK360" s="7"/>
      <c r="AL360" s="36"/>
      <c r="AM360" s="7"/>
      <c r="AN360" s="7"/>
      <c r="AO360" s="7"/>
      <c r="AQ360" s="7"/>
      <c r="AR360" s="7"/>
      <c r="AS360" s="55"/>
      <c r="AT360" s="55"/>
    </row>
    <row r="361" spans="1:46" s="10" customFormat="1" x14ac:dyDescent="0.25">
      <c r="A361" s="7"/>
      <c r="B361" s="28"/>
      <c r="C361" s="140"/>
      <c r="D361" s="28"/>
      <c r="H361" s="138"/>
      <c r="I361" s="90"/>
      <c r="J361" s="193"/>
      <c r="K361" s="193"/>
      <c r="L361" s="193"/>
      <c r="O361" s="36"/>
      <c r="Q361" s="138"/>
      <c r="R361" s="7"/>
      <c r="S361" s="55"/>
      <c r="T361" s="7"/>
      <c r="U361" s="55"/>
      <c r="V361" s="7"/>
      <c r="W361" s="55"/>
      <c r="X361" s="7"/>
      <c r="Y361" s="7"/>
      <c r="AA361" s="7"/>
      <c r="AB361" s="7"/>
      <c r="AC361" s="36"/>
      <c r="AD361" s="7"/>
      <c r="AE361" s="7"/>
      <c r="AF361" s="7"/>
      <c r="AG361" s="7"/>
      <c r="AH361" s="7"/>
      <c r="AI361" s="36"/>
      <c r="AJ361" s="7"/>
      <c r="AK361" s="7"/>
      <c r="AL361" s="36"/>
      <c r="AM361" s="7"/>
      <c r="AN361" s="7"/>
      <c r="AO361" s="7"/>
      <c r="AQ361" s="7"/>
      <c r="AR361" s="7"/>
      <c r="AS361" s="55"/>
      <c r="AT361" s="55"/>
    </row>
    <row r="362" spans="1:46" s="10" customFormat="1" x14ac:dyDescent="0.25">
      <c r="A362" s="7"/>
      <c r="B362" s="28"/>
      <c r="C362" s="140"/>
      <c r="D362" s="28"/>
      <c r="H362" s="138"/>
      <c r="I362" s="90"/>
      <c r="J362" s="193"/>
      <c r="K362" s="193"/>
      <c r="L362" s="193"/>
      <c r="O362" s="36"/>
      <c r="Q362" s="138"/>
      <c r="R362" s="7"/>
      <c r="S362" s="55"/>
      <c r="T362" s="7"/>
      <c r="U362" s="55"/>
      <c r="V362" s="7"/>
      <c r="W362" s="55"/>
      <c r="X362" s="7"/>
      <c r="Y362" s="7"/>
      <c r="AA362" s="7"/>
      <c r="AB362" s="7"/>
      <c r="AC362" s="36"/>
      <c r="AD362" s="7"/>
      <c r="AE362" s="7"/>
      <c r="AF362" s="7"/>
      <c r="AG362" s="7"/>
      <c r="AH362" s="7"/>
      <c r="AI362" s="36"/>
      <c r="AJ362" s="7"/>
      <c r="AK362" s="7"/>
      <c r="AL362" s="36"/>
      <c r="AM362" s="7"/>
      <c r="AN362" s="7"/>
      <c r="AO362" s="7"/>
      <c r="AQ362" s="7"/>
      <c r="AR362" s="7"/>
      <c r="AS362" s="55"/>
      <c r="AT362" s="55"/>
    </row>
    <row r="363" spans="1:46" s="10" customFormat="1" x14ac:dyDescent="0.25">
      <c r="A363" s="7"/>
      <c r="B363" s="28"/>
      <c r="C363" s="140"/>
      <c r="D363" s="28"/>
      <c r="H363" s="138"/>
      <c r="I363" s="90"/>
      <c r="J363" s="193"/>
      <c r="K363" s="193"/>
      <c r="L363" s="193"/>
      <c r="O363" s="36"/>
      <c r="Q363" s="138"/>
      <c r="R363" s="7"/>
      <c r="S363" s="55"/>
      <c r="T363" s="7"/>
      <c r="U363" s="55"/>
      <c r="V363" s="7"/>
      <c r="W363" s="55"/>
      <c r="X363" s="7"/>
      <c r="Y363" s="7"/>
      <c r="AA363" s="7"/>
      <c r="AB363" s="7"/>
      <c r="AC363" s="36"/>
      <c r="AD363" s="7"/>
      <c r="AE363" s="7"/>
      <c r="AF363" s="7"/>
      <c r="AG363" s="7"/>
      <c r="AH363" s="7"/>
      <c r="AI363" s="36"/>
      <c r="AJ363" s="7"/>
      <c r="AK363" s="7"/>
      <c r="AL363" s="36"/>
      <c r="AM363" s="7"/>
      <c r="AN363" s="7"/>
      <c r="AO363" s="7"/>
      <c r="AQ363" s="7"/>
      <c r="AR363" s="7"/>
      <c r="AS363" s="55"/>
      <c r="AT363" s="55"/>
    </row>
    <row r="364" spans="1:46" s="10" customFormat="1" x14ac:dyDescent="0.25">
      <c r="A364" s="7"/>
      <c r="B364" s="36"/>
      <c r="C364" s="286"/>
      <c r="D364" s="7"/>
      <c r="H364" s="138"/>
      <c r="I364" s="90"/>
      <c r="J364" s="193"/>
      <c r="K364" s="193"/>
      <c r="L364" s="193"/>
      <c r="O364" s="36"/>
      <c r="Q364" s="138"/>
      <c r="R364" s="7"/>
      <c r="S364" s="55"/>
      <c r="T364" s="7"/>
      <c r="U364" s="55"/>
      <c r="V364" s="7"/>
      <c r="W364" s="55"/>
      <c r="X364" s="7"/>
      <c r="Y364" s="7"/>
      <c r="AA364" s="7"/>
      <c r="AB364" s="7"/>
      <c r="AC364" s="36"/>
      <c r="AD364" s="7"/>
      <c r="AE364" s="7"/>
      <c r="AF364" s="7"/>
      <c r="AG364" s="7"/>
      <c r="AH364" s="7"/>
      <c r="AI364" s="36"/>
      <c r="AJ364" s="7"/>
      <c r="AK364" s="7"/>
      <c r="AL364" s="36"/>
      <c r="AM364" s="7"/>
      <c r="AN364" s="7"/>
      <c r="AO364" s="7"/>
      <c r="AQ364" s="7"/>
      <c r="AR364" s="7"/>
      <c r="AS364" s="55"/>
      <c r="AT364" s="55"/>
    </row>
    <row r="365" spans="1:46" s="10" customFormat="1" x14ac:dyDescent="0.25">
      <c r="A365" s="7"/>
      <c r="B365" s="36"/>
      <c r="C365" s="286"/>
      <c r="D365" s="7"/>
      <c r="H365" s="138"/>
      <c r="I365" s="90"/>
      <c r="J365" s="193"/>
      <c r="K365" s="193"/>
      <c r="L365" s="193"/>
      <c r="O365" s="36"/>
      <c r="Q365" s="138"/>
      <c r="R365" s="7"/>
      <c r="S365" s="55"/>
      <c r="T365" s="7"/>
      <c r="U365" s="55"/>
      <c r="V365" s="7"/>
      <c r="W365" s="55"/>
      <c r="X365" s="7"/>
      <c r="Y365" s="7"/>
      <c r="AA365" s="7"/>
      <c r="AB365" s="7"/>
      <c r="AC365" s="36"/>
      <c r="AD365" s="7"/>
      <c r="AE365" s="7"/>
      <c r="AF365" s="7"/>
      <c r="AG365" s="7"/>
      <c r="AH365" s="7"/>
      <c r="AI365" s="36"/>
      <c r="AJ365" s="7"/>
      <c r="AK365" s="7"/>
      <c r="AL365" s="36"/>
      <c r="AM365" s="7"/>
      <c r="AN365" s="7"/>
      <c r="AO365" s="7"/>
      <c r="AQ365" s="7"/>
      <c r="AR365" s="7"/>
      <c r="AS365" s="55"/>
      <c r="AT365" s="55"/>
    </row>
    <row r="366" spans="1:46" s="10" customFormat="1" x14ac:dyDescent="0.25">
      <c r="A366" s="7"/>
      <c r="B366" s="28"/>
      <c r="C366" s="140"/>
      <c r="D366" s="28"/>
      <c r="H366" s="138"/>
      <c r="I366" s="90"/>
      <c r="J366" s="193"/>
      <c r="K366" s="193"/>
      <c r="L366" s="193"/>
      <c r="O366" s="36"/>
      <c r="Q366" s="138"/>
      <c r="R366" s="7"/>
      <c r="S366" s="55"/>
      <c r="T366" s="7"/>
      <c r="U366" s="55"/>
      <c r="V366" s="7"/>
      <c r="W366" s="55"/>
      <c r="X366" s="7"/>
      <c r="Y366" s="7"/>
      <c r="AA366" s="7"/>
      <c r="AB366" s="7"/>
      <c r="AC366" s="36"/>
      <c r="AD366" s="7"/>
      <c r="AE366" s="7"/>
      <c r="AF366" s="7"/>
      <c r="AG366" s="7"/>
      <c r="AH366" s="7"/>
      <c r="AI366" s="36"/>
      <c r="AJ366" s="7"/>
      <c r="AK366" s="7"/>
      <c r="AL366" s="36"/>
      <c r="AM366" s="7"/>
      <c r="AN366" s="7"/>
      <c r="AO366" s="7"/>
      <c r="AQ366" s="7"/>
      <c r="AR366" s="7"/>
      <c r="AS366" s="55"/>
      <c r="AT366" s="55"/>
    </row>
    <row r="367" spans="1:46" s="10" customFormat="1" x14ac:dyDescent="0.25">
      <c r="A367" s="7"/>
      <c r="B367" s="28"/>
      <c r="C367" s="140"/>
      <c r="D367" s="28"/>
      <c r="H367" s="138"/>
      <c r="I367" s="90"/>
      <c r="J367" s="193"/>
      <c r="K367" s="193"/>
      <c r="L367" s="193"/>
      <c r="O367" s="36"/>
      <c r="Q367" s="138"/>
      <c r="R367" s="7"/>
      <c r="S367" s="55"/>
      <c r="T367" s="7"/>
      <c r="U367" s="55"/>
      <c r="V367" s="7"/>
      <c r="W367" s="55"/>
      <c r="X367" s="7"/>
      <c r="Y367" s="7"/>
      <c r="AA367" s="7"/>
      <c r="AB367" s="7"/>
      <c r="AC367" s="36"/>
      <c r="AD367" s="7"/>
      <c r="AE367" s="7"/>
      <c r="AF367" s="7"/>
      <c r="AG367" s="7"/>
      <c r="AH367" s="7"/>
      <c r="AI367" s="36"/>
      <c r="AJ367" s="7"/>
      <c r="AK367" s="7"/>
      <c r="AL367" s="36"/>
      <c r="AM367" s="7"/>
      <c r="AN367" s="7"/>
      <c r="AO367" s="7"/>
      <c r="AQ367" s="7"/>
      <c r="AR367" s="7"/>
      <c r="AS367" s="55"/>
      <c r="AT367" s="55"/>
    </row>
    <row r="368" spans="1:46" s="10" customFormat="1" x14ac:dyDescent="0.25">
      <c r="A368" s="7"/>
      <c r="B368" s="17"/>
      <c r="C368" s="251"/>
      <c r="D368" s="7"/>
      <c r="H368" s="138"/>
      <c r="I368" s="90"/>
      <c r="J368" s="193"/>
      <c r="K368" s="193"/>
      <c r="L368" s="193"/>
      <c r="O368" s="36"/>
      <c r="Q368" s="138"/>
      <c r="R368" s="7"/>
      <c r="S368" s="55"/>
      <c r="T368" s="7"/>
      <c r="U368" s="55"/>
      <c r="V368" s="7"/>
      <c r="W368" s="55"/>
      <c r="X368" s="7"/>
      <c r="Y368" s="7"/>
      <c r="AA368" s="7"/>
      <c r="AB368" s="7"/>
      <c r="AC368" s="36"/>
      <c r="AD368" s="7"/>
      <c r="AE368" s="7"/>
      <c r="AF368" s="7"/>
      <c r="AG368" s="7"/>
      <c r="AH368" s="7"/>
      <c r="AI368" s="36"/>
      <c r="AJ368" s="7"/>
      <c r="AK368" s="7"/>
      <c r="AL368" s="36"/>
      <c r="AM368" s="7"/>
      <c r="AN368" s="7"/>
      <c r="AO368" s="7"/>
      <c r="AQ368" s="7"/>
      <c r="AR368" s="7"/>
      <c r="AS368" s="55"/>
      <c r="AT368" s="55"/>
    </row>
    <row r="369" spans="1:46" s="10" customFormat="1" x14ac:dyDescent="0.25">
      <c r="A369" s="7"/>
      <c r="B369" s="28"/>
      <c r="C369" s="140"/>
      <c r="D369" s="28"/>
      <c r="H369" s="138"/>
      <c r="I369" s="90"/>
      <c r="J369" s="193"/>
      <c r="K369" s="193"/>
      <c r="L369" s="193"/>
      <c r="O369" s="36"/>
      <c r="Q369" s="138"/>
      <c r="R369" s="7"/>
      <c r="S369" s="55"/>
      <c r="T369" s="7"/>
      <c r="U369" s="55"/>
      <c r="V369" s="7"/>
      <c r="W369" s="55"/>
      <c r="X369" s="7"/>
      <c r="Y369" s="7"/>
      <c r="AA369" s="7"/>
      <c r="AB369" s="7"/>
      <c r="AC369" s="36"/>
      <c r="AD369" s="7"/>
      <c r="AE369" s="7"/>
      <c r="AF369" s="7"/>
      <c r="AG369" s="7"/>
      <c r="AH369" s="7"/>
      <c r="AI369" s="36"/>
      <c r="AJ369" s="7"/>
      <c r="AK369" s="7"/>
      <c r="AL369" s="36"/>
      <c r="AM369" s="7"/>
      <c r="AN369" s="7"/>
      <c r="AO369" s="7"/>
      <c r="AQ369" s="7"/>
      <c r="AR369" s="7"/>
      <c r="AS369" s="55"/>
      <c r="AT369" s="55"/>
    </row>
    <row r="370" spans="1:46" s="10" customFormat="1" x14ac:dyDescent="0.25">
      <c r="A370" s="7"/>
      <c r="B370" s="28"/>
      <c r="C370" s="140"/>
      <c r="D370" s="28"/>
      <c r="H370" s="138"/>
      <c r="I370" s="90"/>
      <c r="J370" s="193"/>
      <c r="K370" s="193"/>
      <c r="L370" s="193"/>
      <c r="O370" s="36"/>
      <c r="Q370" s="138"/>
      <c r="R370" s="7"/>
      <c r="S370" s="55"/>
      <c r="T370" s="7"/>
      <c r="U370" s="55"/>
      <c r="V370" s="7"/>
      <c r="W370" s="55"/>
      <c r="X370" s="7"/>
      <c r="Y370" s="7"/>
      <c r="AA370" s="7"/>
      <c r="AB370" s="7"/>
      <c r="AC370" s="36"/>
      <c r="AD370" s="7"/>
      <c r="AE370" s="7"/>
      <c r="AF370" s="7"/>
      <c r="AG370" s="7"/>
      <c r="AH370" s="7"/>
      <c r="AI370" s="36"/>
      <c r="AJ370" s="7"/>
      <c r="AK370" s="7"/>
      <c r="AL370" s="36"/>
      <c r="AM370" s="7"/>
      <c r="AN370" s="7"/>
      <c r="AO370" s="7"/>
      <c r="AQ370" s="7"/>
      <c r="AR370" s="7"/>
      <c r="AS370" s="55"/>
      <c r="AT370" s="55"/>
    </row>
    <row r="371" spans="1:46" s="10" customFormat="1" x14ac:dyDescent="0.25">
      <c r="A371" s="7"/>
      <c r="B371" s="28"/>
      <c r="C371" s="140"/>
      <c r="D371" s="28"/>
      <c r="H371" s="138"/>
      <c r="I371" s="90"/>
      <c r="J371" s="193"/>
      <c r="K371" s="193"/>
      <c r="L371" s="193"/>
      <c r="O371" s="36"/>
      <c r="Q371" s="138"/>
      <c r="R371" s="7"/>
      <c r="S371" s="55"/>
      <c r="T371" s="7"/>
      <c r="U371" s="55"/>
      <c r="V371" s="7"/>
      <c r="W371" s="55"/>
      <c r="X371" s="7"/>
      <c r="Y371" s="7"/>
      <c r="AA371" s="7"/>
      <c r="AB371" s="7"/>
      <c r="AC371" s="36"/>
      <c r="AD371" s="7"/>
      <c r="AE371" s="7"/>
      <c r="AF371" s="7"/>
      <c r="AG371" s="7"/>
      <c r="AH371" s="7"/>
      <c r="AI371" s="36"/>
      <c r="AJ371" s="7"/>
      <c r="AK371" s="7"/>
      <c r="AL371" s="36"/>
      <c r="AM371" s="7"/>
      <c r="AN371" s="7"/>
      <c r="AO371" s="7"/>
      <c r="AQ371" s="7"/>
      <c r="AR371" s="7"/>
      <c r="AS371" s="55"/>
      <c r="AT371" s="55"/>
    </row>
    <row r="372" spans="1:46" s="10" customFormat="1" x14ac:dyDescent="0.25">
      <c r="A372" s="7"/>
      <c r="B372" s="28"/>
      <c r="C372" s="140"/>
      <c r="D372" s="28"/>
      <c r="H372" s="138"/>
      <c r="I372" s="90"/>
      <c r="J372" s="193"/>
      <c r="K372" s="193"/>
      <c r="L372" s="193"/>
      <c r="O372" s="36"/>
      <c r="Q372" s="138"/>
      <c r="R372" s="7"/>
      <c r="S372" s="55"/>
      <c r="T372" s="7"/>
      <c r="U372" s="55"/>
      <c r="V372" s="7"/>
      <c r="W372" s="55"/>
      <c r="X372" s="7"/>
      <c r="Y372" s="7"/>
      <c r="AA372" s="7"/>
      <c r="AB372" s="7"/>
      <c r="AC372" s="36"/>
      <c r="AD372" s="7"/>
      <c r="AE372" s="7"/>
      <c r="AF372" s="7"/>
      <c r="AG372" s="7"/>
      <c r="AH372" s="7"/>
      <c r="AI372" s="36"/>
      <c r="AJ372" s="7"/>
      <c r="AK372" s="7"/>
      <c r="AL372" s="36"/>
      <c r="AM372" s="7"/>
      <c r="AN372" s="7"/>
      <c r="AO372" s="7"/>
      <c r="AQ372" s="7"/>
      <c r="AR372" s="7"/>
      <c r="AS372" s="55"/>
      <c r="AT372" s="55"/>
    </row>
    <row r="373" spans="1:46" s="10" customFormat="1" x14ac:dyDescent="0.25">
      <c r="A373" s="7"/>
      <c r="B373" s="28"/>
      <c r="C373" s="140"/>
      <c r="D373" s="28"/>
      <c r="H373" s="138"/>
      <c r="I373" s="90"/>
      <c r="J373" s="193"/>
      <c r="K373" s="193"/>
      <c r="L373" s="193"/>
      <c r="O373" s="36"/>
      <c r="Q373" s="138"/>
      <c r="R373" s="7"/>
      <c r="S373" s="55"/>
      <c r="T373" s="7"/>
      <c r="U373" s="55"/>
      <c r="V373" s="7"/>
      <c r="W373" s="55"/>
      <c r="X373" s="7"/>
      <c r="Y373" s="7"/>
      <c r="AA373" s="7"/>
      <c r="AB373" s="7"/>
      <c r="AC373" s="36"/>
      <c r="AD373" s="7"/>
      <c r="AE373" s="7"/>
      <c r="AF373" s="7"/>
      <c r="AG373" s="7"/>
      <c r="AH373" s="7"/>
      <c r="AI373" s="36"/>
      <c r="AJ373" s="7"/>
      <c r="AK373" s="7"/>
      <c r="AL373" s="36"/>
      <c r="AM373" s="7"/>
      <c r="AN373" s="7"/>
      <c r="AO373" s="7"/>
      <c r="AQ373" s="7"/>
      <c r="AR373" s="7"/>
      <c r="AS373" s="55"/>
      <c r="AT373" s="55"/>
    </row>
    <row r="374" spans="1:46" s="10" customFormat="1" x14ac:dyDescent="0.25">
      <c r="A374" s="7"/>
      <c r="B374" s="28"/>
      <c r="C374" s="140"/>
      <c r="D374" s="28"/>
      <c r="H374" s="138"/>
      <c r="I374" s="90"/>
      <c r="J374" s="193"/>
      <c r="K374" s="193"/>
      <c r="L374" s="193"/>
      <c r="O374" s="36"/>
      <c r="Q374" s="138"/>
      <c r="R374" s="7"/>
      <c r="S374" s="55"/>
      <c r="T374" s="7"/>
      <c r="U374" s="55"/>
      <c r="V374" s="7"/>
      <c r="W374" s="55"/>
      <c r="X374" s="7"/>
      <c r="Y374" s="7"/>
      <c r="AA374" s="7"/>
      <c r="AB374" s="7"/>
      <c r="AC374" s="36"/>
      <c r="AD374" s="7"/>
      <c r="AE374" s="7"/>
      <c r="AF374" s="7"/>
      <c r="AG374" s="7"/>
      <c r="AH374" s="7"/>
      <c r="AI374" s="36"/>
      <c r="AJ374" s="7"/>
      <c r="AK374" s="7"/>
      <c r="AL374" s="36"/>
      <c r="AM374" s="7"/>
      <c r="AN374" s="7"/>
      <c r="AO374" s="7"/>
      <c r="AQ374" s="7"/>
      <c r="AR374" s="7"/>
      <c r="AS374" s="55"/>
      <c r="AT374" s="55"/>
    </row>
    <row r="375" spans="1:46" s="10" customFormat="1" x14ac:dyDescent="0.25">
      <c r="A375" s="7"/>
      <c r="B375" s="28"/>
      <c r="C375" s="140"/>
      <c r="D375" s="28"/>
      <c r="H375" s="138"/>
      <c r="I375" s="90"/>
      <c r="J375" s="193"/>
      <c r="K375" s="193"/>
      <c r="L375" s="193"/>
      <c r="O375" s="36"/>
      <c r="Q375" s="138"/>
      <c r="R375" s="7"/>
      <c r="S375" s="55"/>
      <c r="T375" s="7"/>
      <c r="U375" s="55"/>
      <c r="V375" s="7"/>
      <c r="W375" s="55"/>
      <c r="X375" s="7"/>
      <c r="Y375" s="7"/>
      <c r="AA375" s="7"/>
      <c r="AB375" s="7"/>
      <c r="AC375" s="36"/>
      <c r="AD375" s="7"/>
      <c r="AE375" s="7"/>
      <c r="AF375" s="7"/>
      <c r="AG375" s="7"/>
      <c r="AH375" s="7"/>
      <c r="AI375" s="36"/>
      <c r="AJ375" s="7"/>
      <c r="AK375" s="7"/>
      <c r="AL375" s="36"/>
      <c r="AM375" s="7"/>
      <c r="AN375" s="7"/>
      <c r="AO375" s="7"/>
      <c r="AQ375" s="7"/>
      <c r="AR375" s="7"/>
      <c r="AS375" s="55"/>
      <c r="AT375" s="55"/>
    </row>
    <row r="376" spans="1:46" s="10" customFormat="1" x14ac:dyDescent="0.25">
      <c r="A376" s="7"/>
      <c r="B376" s="36"/>
      <c r="C376" s="286"/>
      <c r="D376" s="7"/>
      <c r="H376" s="138"/>
      <c r="I376" s="90"/>
      <c r="J376" s="193"/>
      <c r="K376" s="193"/>
      <c r="L376" s="193"/>
      <c r="O376" s="36"/>
      <c r="Q376" s="138"/>
      <c r="R376" s="7"/>
      <c r="S376" s="55"/>
      <c r="T376" s="7"/>
      <c r="U376" s="55"/>
      <c r="V376" s="7"/>
      <c r="W376" s="55"/>
      <c r="X376" s="7"/>
      <c r="Y376" s="7"/>
      <c r="AA376" s="7"/>
      <c r="AB376" s="7"/>
      <c r="AC376" s="36"/>
      <c r="AD376" s="7"/>
      <c r="AE376" s="7"/>
      <c r="AF376" s="7"/>
      <c r="AG376" s="7"/>
      <c r="AH376" s="7"/>
      <c r="AI376" s="36"/>
      <c r="AJ376" s="7"/>
      <c r="AK376" s="7"/>
      <c r="AL376" s="36"/>
      <c r="AM376" s="7"/>
      <c r="AN376" s="7"/>
      <c r="AO376" s="7"/>
      <c r="AQ376" s="7"/>
      <c r="AR376" s="7"/>
      <c r="AS376" s="55"/>
      <c r="AT376" s="55"/>
    </row>
    <row r="377" spans="1:46" s="10" customFormat="1" x14ac:dyDescent="0.25">
      <c r="A377" s="7"/>
      <c r="B377" s="28"/>
      <c r="C377" s="140"/>
      <c r="D377" s="28"/>
      <c r="H377" s="138"/>
      <c r="I377" s="90"/>
      <c r="J377" s="193"/>
      <c r="K377" s="193"/>
      <c r="L377" s="193"/>
      <c r="O377" s="36"/>
      <c r="Q377" s="138"/>
      <c r="R377" s="7"/>
      <c r="S377" s="55"/>
      <c r="T377" s="7"/>
      <c r="U377" s="55"/>
      <c r="V377" s="7"/>
      <c r="W377" s="55"/>
      <c r="X377" s="7"/>
      <c r="Y377" s="7"/>
      <c r="AA377" s="7"/>
      <c r="AB377" s="7"/>
      <c r="AC377" s="36"/>
      <c r="AD377" s="7"/>
      <c r="AE377" s="7"/>
      <c r="AF377" s="7"/>
      <c r="AG377" s="7"/>
      <c r="AH377" s="7"/>
      <c r="AI377" s="36"/>
      <c r="AJ377" s="7"/>
      <c r="AK377" s="7"/>
      <c r="AL377" s="36"/>
      <c r="AM377" s="7"/>
      <c r="AN377" s="7"/>
      <c r="AO377" s="7"/>
      <c r="AQ377" s="7"/>
      <c r="AR377" s="7"/>
      <c r="AS377" s="55"/>
      <c r="AT377" s="55"/>
    </row>
    <row r="378" spans="1:46" s="10" customFormat="1" x14ac:dyDescent="0.25">
      <c r="A378" s="7"/>
      <c r="B378" s="36"/>
      <c r="C378" s="286"/>
      <c r="D378" s="7"/>
      <c r="H378" s="138"/>
      <c r="I378" s="90"/>
      <c r="J378" s="193"/>
      <c r="K378" s="193"/>
      <c r="L378" s="193"/>
      <c r="O378" s="36"/>
      <c r="Q378" s="138"/>
      <c r="R378" s="7"/>
      <c r="S378" s="55"/>
      <c r="T378" s="7"/>
      <c r="U378" s="55"/>
      <c r="V378" s="7"/>
      <c r="W378" s="55"/>
      <c r="X378" s="7"/>
      <c r="Y378" s="7"/>
      <c r="AA378" s="7"/>
      <c r="AB378" s="7"/>
      <c r="AC378" s="36"/>
      <c r="AD378" s="7"/>
      <c r="AE378" s="7"/>
      <c r="AF378" s="7"/>
      <c r="AG378" s="7"/>
      <c r="AH378" s="7"/>
      <c r="AI378" s="36"/>
      <c r="AJ378" s="7"/>
      <c r="AK378" s="7"/>
      <c r="AL378" s="36"/>
      <c r="AM378" s="7"/>
      <c r="AN378" s="7"/>
      <c r="AO378" s="7"/>
      <c r="AQ378" s="7"/>
      <c r="AR378" s="7"/>
      <c r="AS378" s="55"/>
      <c r="AT378" s="55"/>
    </row>
    <row r="379" spans="1:46" s="10" customFormat="1" x14ac:dyDescent="0.25">
      <c r="A379" s="7"/>
      <c r="B379" s="28"/>
      <c r="C379" s="140"/>
      <c r="D379" s="28"/>
      <c r="H379" s="138"/>
      <c r="I379" s="90"/>
      <c r="J379" s="193"/>
      <c r="K379" s="193"/>
      <c r="L379" s="193"/>
      <c r="O379" s="36"/>
      <c r="Q379" s="138"/>
      <c r="R379" s="7"/>
      <c r="S379" s="55"/>
      <c r="T379" s="7"/>
      <c r="U379" s="55"/>
      <c r="V379" s="7"/>
      <c r="W379" s="55"/>
      <c r="X379" s="7"/>
      <c r="Y379" s="7"/>
      <c r="AA379" s="7"/>
      <c r="AB379" s="7"/>
      <c r="AC379" s="36"/>
      <c r="AD379" s="7"/>
      <c r="AE379" s="7"/>
      <c r="AF379" s="7"/>
      <c r="AG379" s="7"/>
      <c r="AH379" s="7"/>
      <c r="AI379" s="36"/>
      <c r="AJ379" s="7"/>
      <c r="AK379" s="7"/>
      <c r="AL379" s="36"/>
      <c r="AM379" s="7"/>
      <c r="AN379" s="7"/>
      <c r="AO379" s="7"/>
      <c r="AQ379" s="7"/>
      <c r="AR379" s="7"/>
      <c r="AS379" s="55"/>
      <c r="AT379" s="55"/>
    </row>
    <row r="380" spans="1:46" s="10" customFormat="1" x14ac:dyDescent="0.25">
      <c r="A380" s="7"/>
      <c r="B380" s="36"/>
      <c r="C380" s="286"/>
      <c r="D380" s="7"/>
      <c r="H380" s="138"/>
      <c r="I380" s="90"/>
      <c r="J380" s="193"/>
      <c r="K380" s="193"/>
      <c r="L380" s="193"/>
      <c r="O380" s="36"/>
      <c r="Q380" s="138"/>
      <c r="R380" s="7"/>
      <c r="S380" s="55"/>
      <c r="T380" s="7"/>
      <c r="U380" s="55"/>
      <c r="V380" s="7"/>
      <c r="W380" s="55"/>
      <c r="X380" s="7"/>
      <c r="Y380" s="7"/>
      <c r="AA380" s="7"/>
      <c r="AB380" s="7"/>
      <c r="AC380" s="36"/>
      <c r="AD380" s="7"/>
      <c r="AE380" s="7"/>
      <c r="AF380" s="7"/>
      <c r="AG380" s="7"/>
      <c r="AH380" s="7"/>
      <c r="AI380" s="36"/>
      <c r="AJ380" s="7"/>
      <c r="AK380" s="7"/>
      <c r="AL380" s="36"/>
      <c r="AM380" s="7"/>
      <c r="AN380" s="7"/>
      <c r="AO380" s="7"/>
      <c r="AQ380" s="7"/>
      <c r="AR380" s="7"/>
      <c r="AS380" s="55"/>
      <c r="AT380" s="55"/>
    </row>
    <row r="381" spans="1:46" s="10" customFormat="1" x14ac:dyDescent="0.25">
      <c r="A381" s="7"/>
      <c r="B381" s="28"/>
      <c r="C381" s="140"/>
      <c r="D381" s="28"/>
      <c r="H381" s="138"/>
      <c r="I381" s="90"/>
      <c r="J381" s="193"/>
      <c r="K381" s="193"/>
      <c r="L381" s="193"/>
      <c r="O381" s="36"/>
      <c r="Q381" s="138"/>
      <c r="R381" s="7"/>
      <c r="S381" s="55"/>
      <c r="T381" s="7"/>
      <c r="U381" s="55"/>
      <c r="V381" s="7"/>
      <c r="W381" s="55"/>
      <c r="X381" s="7"/>
      <c r="Y381" s="7"/>
      <c r="AA381" s="7"/>
      <c r="AB381" s="7"/>
      <c r="AC381" s="36"/>
      <c r="AD381" s="7"/>
      <c r="AE381" s="7"/>
      <c r="AF381" s="7"/>
      <c r="AG381" s="7"/>
      <c r="AH381" s="7"/>
      <c r="AI381" s="36"/>
      <c r="AJ381" s="7"/>
      <c r="AK381" s="7"/>
      <c r="AL381" s="36"/>
      <c r="AM381" s="7"/>
      <c r="AN381" s="7"/>
      <c r="AO381" s="7"/>
      <c r="AQ381" s="7"/>
      <c r="AR381" s="7"/>
      <c r="AS381" s="55"/>
      <c r="AT381" s="55"/>
    </row>
    <row r="382" spans="1:46" s="10" customFormat="1" x14ac:dyDescent="0.25">
      <c r="A382" s="7"/>
      <c r="B382" s="28"/>
      <c r="C382" s="140"/>
      <c r="D382" s="28"/>
      <c r="H382" s="138"/>
      <c r="I382" s="90"/>
      <c r="J382" s="193"/>
      <c r="K382" s="193"/>
      <c r="L382" s="193"/>
      <c r="O382" s="36"/>
      <c r="Q382" s="138"/>
      <c r="R382" s="7"/>
      <c r="S382" s="55"/>
      <c r="T382" s="7"/>
      <c r="U382" s="55"/>
      <c r="V382" s="7"/>
      <c r="W382" s="55"/>
      <c r="X382" s="7"/>
      <c r="Y382" s="7"/>
      <c r="AA382" s="7"/>
      <c r="AB382" s="7"/>
      <c r="AC382" s="36"/>
      <c r="AD382" s="7"/>
      <c r="AE382" s="7"/>
      <c r="AF382" s="7"/>
      <c r="AG382" s="7"/>
      <c r="AH382" s="7"/>
      <c r="AI382" s="36"/>
      <c r="AJ382" s="7"/>
      <c r="AK382" s="7"/>
      <c r="AL382" s="36"/>
      <c r="AM382" s="7"/>
      <c r="AN382" s="7"/>
      <c r="AO382" s="7"/>
      <c r="AQ382" s="7"/>
      <c r="AR382" s="7"/>
      <c r="AS382" s="55"/>
      <c r="AT382" s="55"/>
    </row>
    <row r="383" spans="1:46" s="10" customFormat="1" x14ac:dyDescent="0.25">
      <c r="A383" s="7"/>
      <c r="B383" s="28"/>
      <c r="C383" s="140"/>
      <c r="D383" s="28"/>
      <c r="H383" s="138"/>
      <c r="I383" s="90"/>
      <c r="J383" s="193"/>
      <c r="K383" s="193"/>
      <c r="L383" s="193"/>
      <c r="O383" s="36"/>
      <c r="Q383" s="138"/>
      <c r="R383" s="7"/>
      <c r="S383" s="55"/>
      <c r="T383" s="7"/>
      <c r="U383" s="55"/>
      <c r="V383" s="7"/>
      <c r="W383" s="55"/>
      <c r="X383" s="7"/>
      <c r="Y383" s="7"/>
      <c r="AA383" s="7"/>
      <c r="AB383" s="7"/>
      <c r="AC383" s="36"/>
      <c r="AD383" s="7"/>
      <c r="AE383" s="7"/>
      <c r="AF383" s="7"/>
      <c r="AG383" s="7"/>
      <c r="AH383" s="7"/>
      <c r="AI383" s="36"/>
      <c r="AJ383" s="7"/>
      <c r="AK383" s="7"/>
      <c r="AL383" s="36"/>
      <c r="AM383" s="7"/>
      <c r="AN383" s="7"/>
      <c r="AO383" s="7"/>
      <c r="AQ383" s="7"/>
      <c r="AR383" s="7"/>
      <c r="AS383" s="55"/>
      <c r="AT383" s="55"/>
    </row>
    <row r="384" spans="1:46" s="10" customFormat="1" x14ac:dyDescent="0.25">
      <c r="A384" s="7"/>
      <c r="B384" s="28"/>
      <c r="C384" s="140"/>
      <c r="D384" s="28"/>
      <c r="H384" s="138"/>
      <c r="I384" s="90"/>
      <c r="J384" s="193"/>
      <c r="K384" s="193"/>
      <c r="L384" s="193"/>
      <c r="O384" s="36"/>
      <c r="Q384" s="138"/>
      <c r="R384" s="7"/>
      <c r="S384" s="55"/>
      <c r="T384" s="7"/>
      <c r="U384" s="55"/>
      <c r="V384" s="7"/>
      <c r="W384" s="55"/>
      <c r="X384" s="7"/>
      <c r="Y384" s="7"/>
      <c r="AA384" s="7"/>
      <c r="AB384" s="7"/>
      <c r="AC384" s="36"/>
      <c r="AD384" s="7"/>
      <c r="AE384" s="7"/>
      <c r="AF384" s="7"/>
      <c r="AG384" s="7"/>
      <c r="AH384" s="7"/>
      <c r="AI384" s="36"/>
      <c r="AJ384" s="7"/>
      <c r="AK384" s="7"/>
      <c r="AL384" s="36"/>
      <c r="AM384" s="7"/>
      <c r="AN384" s="7"/>
      <c r="AO384" s="7"/>
      <c r="AQ384" s="7"/>
      <c r="AR384" s="7"/>
      <c r="AS384" s="55"/>
      <c r="AT384" s="55"/>
    </row>
    <row r="385" spans="1:46" s="10" customFormat="1" x14ac:dyDescent="0.25">
      <c r="A385" s="7"/>
      <c r="B385" s="28"/>
      <c r="C385" s="140"/>
      <c r="D385" s="28"/>
      <c r="H385" s="138"/>
      <c r="I385" s="90"/>
      <c r="J385" s="193"/>
      <c r="K385" s="193"/>
      <c r="L385" s="193"/>
      <c r="O385" s="36"/>
      <c r="Q385" s="138"/>
      <c r="R385" s="7"/>
      <c r="S385" s="55"/>
      <c r="T385" s="7"/>
      <c r="U385" s="55"/>
      <c r="V385" s="7"/>
      <c r="W385" s="55"/>
      <c r="X385" s="7"/>
      <c r="Y385" s="7"/>
      <c r="AA385" s="7"/>
      <c r="AB385" s="7"/>
      <c r="AC385" s="36"/>
      <c r="AD385" s="7"/>
      <c r="AE385" s="7"/>
      <c r="AF385" s="7"/>
      <c r="AG385" s="7"/>
      <c r="AH385" s="7"/>
      <c r="AI385" s="36"/>
      <c r="AJ385" s="7"/>
      <c r="AK385" s="7"/>
      <c r="AL385" s="36"/>
      <c r="AM385" s="7"/>
      <c r="AN385" s="7"/>
      <c r="AO385" s="7"/>
      <c r="AQ385" s="7"/>
      <c r="AR385" s="7"/>
      <c r="AS385" s="55"/>
      <c r="AT385" s="55"/>
    </row>
    <row r="386" spans="1:46" s="10" customFormat="1" x14ac:dyDescent="0.25">
      <c r="A386" s="7"/>
      <c r="B386" s="28"/>
      <c r="C386" s="140"/>
      <c r="D386" s="28"/>
      <c r="H386" s="138"/>
      <c r="I386" s="90"/>
      <c r="J386" s="193"/>
      <c r="K386" s="193"/>
      <c r="L386" s="193"/>
      <c r="O386" s="36"/>
      <c r="Q386" s="138"/>
      <c r="R386" s="7"/>
      <c r="S386" s="55"/>
      <c r="T386" s="7"/>
      <c r="U386" s="55"/>
      <c r="V386" s="7"/>
      <c r="W386" s="55"/>
      <c r="X386" s="7"/>
      <c r="Y386" s="7"/>
      <c r="AA386" s="7"/>
      <c r="AB386" s="7"/>
      <c r="AC386" s="36"/>
      <c r="AD386" s="7"/>
      <c r="AE386" s="7"/>
      <c r="AF386" s="7"/>
      <c r="AG386" s="7"/>
      <c r="AH386" s="7"/>
      <c r="AI386" s="36"/>
      <c r="AJ386" s="7"/>
      <c r="AK386" s="7"/>
      <c r="AL386" s="36"/>
      <c r="AM386" s="7"/>
      <c r="AN386" s="7"/>
      <c r="AO386" s="7"/>
      <c r="AQ386" s="7"/>
      <c r="AR386" s="7"/>
      <c r="AS386" s="55"/>
      <c r="AT386" s="55"/>
    </row>
    <row r="387" spans="1:46" s="10" customFormat="1" x14ac:dyDescent="0.25">
      <c r="A387" s="7"/>
      <c r="B387" s="28"/>
      <c r="C387" s="140"/>
      <c r="D387" s="28"/>
      <c r="H387" s="138"/>
      <c r="I387" s="90"/>
      <c r="J387" s="193"/>
      <c r="K387" s="193"/>
      <c r="L387" s="193"/>
      <c r="O387" s="36"/>
      <c r="Q387" s="138"/>
      <c r="R387" s="7"/>
      <c r="S387" s="55"/>
      <c r="T387" s="7"/>
      <c r="U387" s="55"/>
      <c r="V387" s="7"/>
      <c r="W387" s="55"/>
      <c r="X387" s="7"/>
      <c r="Y387" s="7"/>
      <c r="AA387" s="7"/>
      <c r="AB387" s="7"/>
      <c r="AC387" s="36"/>
      <c r="AD387" s="7"/>
      <c r="AE387" s="7"/>
      <c r="AF387" s="7"/>
      <c r="AG387" s="7"/>
      <c r="AH387" s="7"/>
      <c r="AI387" s="36"/>
      <c r="AJ387" s="7"/>
      <c r="AK387" s="7"/>
      <c r="AL387" s="36"/>
      <c r="AM387" s="7"/>
      <c r="AN387" s="7"/>
      <c r="AO387" s="7"/>
      <c r="AQ387" s="7"/>
      <c r="AR387" s="7"/>
      <c r="AS387" s="55"/>
      <c r="AT387" s="55"/>
    </row>
    <row r="388" spans="1:46" s="10" customFormat="1" x14ac:dyDescent="0.25">
      <c r="A388" s="7"/>
      <c r="B388" s="28"/>
      <c r="C388" s="140"/>
      <c r="D388" s="28"/>
      <c r="H388" s="138"/>
      <c r="I388" s="90"/>
      <c r="J388" s="193"/>
      <c r="K388" s="193"/>
      <c r="L388" s="193"/>
      <c r="O388" s="36"/>
      <c r="Q388" s="138"/>
      <c r="R388" s="7"/>
      <c r="S388" s="55"/>
      <c r="T388" s="7"/>
      <c r="U388" s="55"/>
      <c r="V388" s="7"/>
      <c r="W388" s="55"/>
      <c r="X388" s="7"/>
      <c r="Y388" s="7"/>
      <c r="AA388" s="7"/>
      <c r="AB388" s="7"/>
      <c r="AC388" s="36"/>
      <c r="AD388" s="7"/>
      <c r="AE388" s="7"/>
      <c r="AF388" s="7"/>
      <c r="AG388" s="7"/>
      <c r="AH388" s="7"/>
      <c r="AI388" s="36"/>
      <c r="AJ388" s="7"/>
      <c r="AK388" s="7"/>
      <c r="AL388" s="36"/>
      <c r="AM388" s="7"/>
      <c r="AN388" s="7"/>
      <c r="AO388" s="7"/>
      <c r="AQ388" s="7"/>
      <c r="AR388" s="7"/>
      <c r="AS388" s="55"/>
      <c r="AT388" s="55"/>
    </row>
    <row r="389" spans="1:46" s="10" customFormat="1" x14ac:dyDescent="0.25">
      <c r="A389" s="7"/>
      <c r="B389" s="28"/>
      <c r="C389" s="140"/>
      <c r="D389" s="28"/>
      <c r="H389" s="138"/>
      <c r="I389" s="90"/>
      <c r="J389" s="193"/>
      <c r="K389" s="193"/>
      <c r="L389" s="193"/>
      <c r="O389" s="36"/>
      <c r="Q389" s="138"/>
      <c r="R389" s="7"/>
      <c r="S389" s="55"/>
      <c r="T389" s="7"/>
      <c r="U389" s="55"/>
      <c r="V389" s="7"/>
      <c r="W389" s="55"/>
      <c r="X389" s="7"/>
      <c r="Y389" s="7"/>
      <c r="AA389" s="7"/>
      <c r="AB389" s="7"/>
      <c r="AC389" s="36"/>
      <c r="AD389" s="7"/>
      <c r="AE389" s="7"/>
      <c r="AF389" s="7"/>
      <c r="AG389" s="7"/>
      <c r="AH389" s="7"/>
      <c r="AI389" s="36"/>
      <c r="AJ389" s="7"/>
      <c r="AK389" s="7"/>
      <c r="AL389" s="36"/>
      <c r="AM389" s="7"/>
      <c r="AN389" s="7"/>
      <c r="AO389" s="7"/>
      <c r="AQ389" s="7"/>
      <c r="AR389" s="7"/>
      <c r="AS389" s="55"/>
      <c r="AT389" s="55"/>
    </row>
    <row r="390" spans="1:46" s="10" customFormat="1" x14ac:dyDescent="0.25">
      <c r="A390" s="7"/>
      <c r="B390" s="28"/>
      <c r="C390" s="140"/>
      <c r="D390" s="28"/>
      <c r="H390" s="138"/>
      <c r="I390" s="90"/>
      <c r="J390" s="193"/>
      <c r="K390" s="193"/>
      <c r="L390" s="193"/>
      <c r="O390" s="36"/>
      <c r="Q390" s="138"/>
      <c r="R390" s="7"/>
      <c r="S390" s="55"/>
      <c r="T390" s="7"/>
      <c r="U390" s="55"/>
      <c r="V390" s="7"/>
      <c r="W390" s="55"/>
      <c r="X390" s="7"/>
      <c r="Y390" s="7"/>
      <c r="AA390" s="7"/>
      <c r="AB390" s="7"/>
      <c r="AC390" s="36"/>
      <c r="AD390" s="7"/>
      <c r="AE390" s="7"/>
      <c r="AF390" s="7"/>
      <c r="AG390" s="7"/>
      <c r="AH390" s="7"/>
      <c r="AI390" s="36"/>
      <c r="AJ390" s="7"/>
      <c r="AK390" s="7"/>
      <c r="AL390" s="36"/>
      <c r="AM390" s="7"/>
      <c r="AN390" s="7"/>
      <c r="AO390" s="7"/>
      <c r="AQ390" s="7"/>
      <c r="AR390" s="7"/>
      <c r="AS390" s="55"/>
      <c r="AT390" s="55"/>
    </row>
    <row r="391" spans="1:46" s="10" customFormat="1" x14ac:dyDescent="0.25">
      <c r="A391" s="7"/>
      <c r="B391" s="28"/>
      <c r="C391" s="140"/>
      <c r="D391" s="28"/>
      <c r="H391" s="138"/>
      <c r="I391" s="90"/>
      <c r="J391" s="193"/>
      <c r="K391" s="193"/>
      <c r="L391" s="193"/>
      <c r="O391" s="36"/>
      <c r="Q391" s="138"/>
      <c r="R391" s="7"/>
      <c r="S391" s="55"/>
      <c r="T391" s="7"/>
      <c r="U391" s="55"/>
      <c r="V391" s="7"/>
      <c r="W391" s="55"/>
      <c r="X391" s="7"/>
      <c r="Y391" s="7"/>
      <c r="AA391" s="7"/>
      <c r="AB391" s="7"/>
      <c r="AC391" s="36"/>
      <c r="AD391" s="7"/>
      <c r="AE391" s="7"/>
      <c r="AF391" s="7"/>
      <c r="AG391" s="7"/>
      <c r="AH391" s="7"/>
      <c r="AI391" s="36"/>
      <c r="AJ391" s="7"/>
      <c r="AK391" s="7"/>
      <c r="AL391" s="36"/>
      <c r="AM391" s="7"/>
      <c r="AN391" s="7"/>
      <c r="AO391" s="7"/>
      <c r="AQ391" s="7"/>
      <c r="AR391" s="7"/>
      <c r="AS391" s="55"/>
      <c r="AT391" s="55"/>
    </row>
    <row r="392" spans="1:46" s="10" customFormat="1" x14ac:dyDescent="0.25">
      <c r="A392" s="7"/>
      <c r="B392" s="28"/>
      <c r="C392" s="140"/>
      <c r="D392" s="28"/>
      <c r="H392" s="138"/>
      <c r="I392" s="90"/>
      <c r="J392" s="193"/>
      <c r="K392" s="193"/>
      <c r="L392" s="193"/>
      <c r="O392" s="36"/>
      <c r="Q392" s="138"/>
      <c r="R392" s="7"/>
      <c r="S392" s="55"/>
      <c r="T392" s="7"/>
      <c r="U392" s="55"/>
      <c r="V392" s="7"/>
      <c r="W392" s="55"/>
      <c r="X392" s="7"/>
      <c r="Y392" s="7"/>
      <c r="AA392" s="7"/>
      <c r="AB392" s="7"/>
      <c r="AC392" s="36"/>
      <c r="AD392" s="7"/>
      <c r="AE392" s="7"/>
      <c r="AF392" s="7"/>
      <c r="AG392" s="7"/>
      <c r="AH392" s="7"/>
      <c r="AI392" s="36"/>
      <c r="AJ392" s="7"/>
      <c r="AK392" s="7"/>
      <c r="AL392" s="36"/>
      <c r="AM392" s="7"/>
      <c r="AN392" s="7"/>
      <c r="AO392" s="7"/>
      <c r="AQ392" s="7"/>
      <c r="AR392" s="7"/>
      <c r="AS392" s="55"/>
      <c r="AT392" s="55"/>
    </row>
    <row r="393" spans="1:46" s="10" customFormat="1" x14ac:dyDescent="0.25">
      <c r="A393" s="7"/>
      <c r="B393" s="28"/>
      <c r="C393" s="140"/>
      <c r="D393" s="28"/>
      <c r="H393" s="138"/>
      <c r="I393" s="90"/>
      <c r="J393" s="193"/>
      <c r="K393" s="193"/>
      <c r="L393" s="193"/>
      <c r="O393" s="36"/>
      <c r="Q393" s="138"/>
      <c r="R393" s="7"/>
      <c r="S393" s="55"/>
      <c r="T393" s="7"/>
      <c r="U393" s="55"/>
      <c r="V393" s="7"/>
      <c r="W393" s="55"/>
      <c r="X393" s="7"/>
      <c r="Y393" s="7"/>
      <c r="AA393" s="7"/>
      <c r="AB393" s="7"/>
      <c r="AC393" s="36"/>
      <c r="AD393" s="7"/>
      <c r="AE393" s="7"/>
      <c r="AF393" s="7"/>
      <c r="AG393" s="7"/>
      <c r="AH393" s="7"/>
      <c r="AI393" s="36"/>
      <c r="AJ393" s="7"/>
      <c r="AK393" s="7"/>
      <c r="AL393" s="36"/>
      <c r="AM393" s="7"/>
      <c r="AN393" s="7"/>
      <c r="AO393" s="7"/>
      <c r="AQ393" s="7"/>
      <c r="AR393" s="7"/>
      <c r="AS393" s="55"/>
      <c r="AT393" s="55"/>
    </row>
    <row r="394" spans="1:46" s="10" customFormat="1" x14ac:dyDescent="0.25">
      <c r="A394" s="7"/>
      <c r="B394" s="28"/>
      <c r="C394" s="140"/>
      <c r="D394" s="28"/>
      <c r="H394" s="138"/>
      <c r="I394" s="90"/>
      <c r="J394" s="193"/>
      <c r="K394" s="193"/>
      <c r="L394" s="193"/>
      <c r="O394" s="36"/>
      <c r="Q394" s="138"/>
      <c r="R394" s="7"/>
      <c r="S394" s="55"/>
      <c r="T394" s="7"/>
      <c r="U394" s="55"/>
      <c r="V394" s="7"/>
      <c r="W394" s="55"/>
      <c r="X394" s="7"/>
      <c r="Y394" s="7"/>
      <c r="AA394" s="7"/>
      <c r="AB394" s="7"/>
      <c r="AC394" s="36"/>
      <c r="AD394" s="7"/>
      <c r="AE394" s="7"/>
      <c r="AF394" s="7"/>
      <c r="AG394" s="7"/>
      <c r="AH394" s="7"/>
      <c r="AI394" s="36"/>
      <c r="AJ394" s="7"/>
      <c r="AK394" s="7"/>
      <c r="AL394" s="36"/>
      <c r="AM394" s="7"/>
      <c r="AN394" s="7"/>
      <c r="AO394" s="7"/>
      <c r="AQ394" s="7"/>
      <c r="AR394" s="7"/>
      <c r="AS394" s="55"/>
      <c r="AT394" s="55"/>
    </row>
    <row r="395" spans="1:46" s="10" customFormat="1" x14ac:dyDescent="0.25">
      <c r="A395" s="7"/>
      <c r="B395" s="28"/>
      <c r="C395" s="140"/>
      <c r="D395" s="28"/>
      <c r="H395" s="138"/>
      <c r="I395" s="90"/>
      <c r="J395" s="193"/>
      <c r="K395" s="193"/>
      <c r="L395" s="193"/>
      <c r="O395" s="36"/>
      <c r="Q395" s="138"/>
      <c r="R395" s="7"/>
      <c r="S395" s="55"/>
      <c r="T395" s="7"/>
      <c r="U395" s="55"/>
      <c r="V395" s="7"/>
      <c r="W395" s="55"/>
      <c r="X395" s="7"/>
      <c r="Y395" s="7"/>
      <c r="AA395" s="7"/>
      <c r="AB395" s="7"/>
      <c r="AC395" s="36"/>
      <c r="AD395" s="7"/>
      <c r="AE395" s="7"/>
      <c r="AF395" s="7"/>
      <c r="AG395" s="7"/>
      <c r="AH395" s="7"/>
      <c r="AI395" s="36"/>
      <c r="AJ395" s="7"/>
      <c r="AK395" s="7"/>
      <c r="AL395" s="36"/>
      <c r="AM395" s="7"/>
      <c r="AN395" s="7"/>
      <c r="AO395" s="7"/>
      <c r="AQ395" s="7"/>
      <c r="AR395" s="7"/>
      <c r="AS395" s="55"/>
      <c r="AT395" s="55"/>
    </row>
    <row r="396" spans="1:46" s="10" customFormat="1" x14ac:dyDescent="0.25">
      <c r="A396" s="7"/>
      <c r="B396" s="28"/>
      <c r="C396" s="140"/>
      <c r="D396" s="28"/>
      <c r="H396" s="138"/>
      <c r="I396" s="90"/>
      <c r="J396" s="193"/>
      <c r="K396" s="193"/>
      <c r="L396" s="193"/>
      <c r="O396" s="36"/>
      <c r="Q396" s="138"/>
      <c r="R396" s="7"/>
      <c r="S396" s="55"/>
      <c r="T396" s="7"/>
      <c r="U396" s="55"/>
      <c r="V396" s="7"/>
      <c r="W396" s="55"/>
      <c r="X396" s="7"/>
      <c r="Y396" s="7"/>
      <c r="AA396" s="7"/>
      <c r="AB396" s="7"/>
      <c r="AC396" s="36"/>
      <c r="AD396" s="7"/>
      <c r="AE396" s="7"/>
      <c r="AF396" s="7"/>
      <c r="AG396" s="7"/>
      <c r="AH396" s="7"/>
      <c r="AI396" s="36"/>
      <c r="AJ396" s="7"/>
      <c r="AK396" s="7"/>
      <c r="AL396" s="36"/>
      <c r="AM396" s="7"/>
      <c r="AN396" s="7"/>
      <c r="AO396" s="7"/>
      <c r="AQ396" s="7"/>
      <c r="AR396" s="7"/>
      <c r="AS396" s="55"/>
      <c r="AT396" s="55"/>
    </row>
    <row r="397" spans="1:46" s="10" customFormat="1" x14ac:dyDescent="0.25">
      <c r="A397" s="7"/>
      <c r="B397" s="36"/>
      <c r="C397" s="286"/>
      <c r="D397" s="7"/>
      <c r="H397" s="138"/>
      <c r="I397" s="90"/>
      <c r="J397" s="193"/>
      <c r="K397" s="193"/>
      <c r="L397" s="193"/>
      <c r="O397" s="36"/>
      <c r="Q397" s="138"/>
      <c r="R397" s="7"/>
      <c r="S397" s="55"/>
      <c r="T397" s="7"/>
      <c r="U397" s="55"/>
      <c r="V397" s="7"/>
      <c r="W397" s="55"/>
      <c r="X397" s="7"/>
      <c r="Y397" s="7"/>
      <c r="AA397" s="7"/>
      <c r="AB397" s="7"/>
      <c r="AC397" s="36"/>
      <c r="AD397" s="7"/>
      <c r="AE397" s="7"/>
      <c r="AF397" s="7"/>
      <c r="AG397" s="7"/>
      <c r="AH397" s="7"/>
      <c r="AI397" s="36"/>
      <c r="AJ397" s="7"/>
      <c r="AK397" s="7"/>
      <c r="AL397" s="36"/>
      <c r="AM397" s="7"/>
      <c r="AN397" s="7"/>
      <c r="AO397" s="7"/>
      <c r="AQ397" s="7"/>
      <c r="AR397" s="7"/>
      <c r="AS397" s="55"/>
      <c r="AT397" s="55"/>
    </row>
    <row r="398" spans="1:46" s="10" customFormat="1" x14ac:dyDescent="0.25">
      <c r="A398" s="7"/>
      <c r="B398" s="36"/>
      <c r="C398" s="286"/>
      <c r="D398" s="7"/>
      <c r="H398" s="138"/>
      <c r="I398" s="90"/>
      <c r="J398" s="193"/>
      <c r="K398" s="193"/>
      <c r="L398" s="193"/>
      <c r="O398" s="36"/>
      <c r="Q398" s="138"/>
      <c r="R398" s="7"/>
      <c r="S398" s="55"/>
      <c r="T398" s="7"/>
      <c r="U398" s="55"/>
      <c r="V398" s="7"/>
      <c r="W398" s="55"/>
      <c r="X398" s="7"/>
      <c r="Y398" s="7"/>
      <c r="AA398" s="7"/>
      <c r="AB398" s="7"/>
      <c r="AC398" s="36"/>
      <c r="AD398" s="7"/>
      <c r="AE398" s="7"/>
      <c r="AF398" s="7"/>
      <c r="AG398" s="7"/>
      <c r="AH398" s="7"/>
      <c r="AI398" s="36"/>
      <c r="AJ398" s="7"/>
      <c r="AK398" s="7"/>
      <c r="AL398" s="36"/>
      <c r="AM398" s="7"/>
      <c r="AN398" s="7"/>
      <c r="AO398" s="7"/>
      <c r="AQ398" s="7"/>
      <c r="AR398" s="7"/>
      <c r="AS398" s="55"/>
      <c r="AT398" s="55"/>
    </row>
    <row r="399" spans="1:46" s="10" customFormat="1" x14ac:dyDescent="0.25">
      <c r="A399" s="7"/>
      <c r="B399" s="28"/>
      <c r="C399" s="140"/>
      <c r="D399" s="28"/>
      <c r="H399" s="138"/>
      <c r="I399" s="90"/>
      <c r="J399" s="193"/>
      <c r="K399" s="193"/>
      <c r="L399" s="193"/>
      <c r="O399" s="36"/>
      <c r="Q399" s="138"/>
      <c r="R399" s="7"/>
      <c r="S399" s="55"/>
      <c r="T399" s="7"/>
      <c r="U399" s="55"/>
      <c r="V399" s="7"/>
      <c r="W399" s="55"/>
      <c r="X399" s="7"/>
      <c r="Y399" s="7"/>
      <c r="AA399" s="7"/>
      <c r="AB399" s="7"/>
      <c r="AC399" s="36"/>
      <c r="AD399" s="7"/>
      <c r="AE399" s="7"/>
      <c r="AF399" s="7"/>
      <c r="AG399" s="7"/>
      <c r="AH399" s="7"/>
      <c r="AI399" s="36"/>
      <c r="AJ399" s="7"/>
      <c r="AK399" s="7"/>
      <c r="AL399" s="36"/>
      <c r="AM399" s="7"/>
      <c r="AN399" s="7"/>
      <c r="AO399" s="7"/>
      <c r="AQ399" s="7"/>
      <c r="AR399" s="7"/>
      <c r="AS399" s="55"/>
      <c r="AT399" s="55"/>
    </row>
    <row r="400" spans="1:46" s="10" customFormat="1" x14ac:dyDescent="0.25">
      <c r="A400" s="7"/>
      <c r="B400" s="36"/>
      <c r="C400" s="286"/>
      <c r="D400" s="7"/>
      <c r="H400" s="138"/>
      <c r="I400" s="90"/>
      <c r="J400" s="193"/>
      <c r="K400" s="193"/>
      <c r="L400" s="193"/>
      <c r="O400" s="36"/>
      <c r="Q400" s="138"/>
      <c r="R400" s="7"/>
      <c r="S400" s="55"/>
      <c r="T400" s="7"/>
      <c r="U400" s="55"/>
      <c r="V400" s="7"/>
      <c r="W400" s="55"/>
      <c r="X400" s="7"/>
      <c r="Y400" s="7"/>
      <c r="AA400" s="7"/>
      <c r="AB400" s="7"/>
      <c r="AC400" s="36"/>
      <c r="AD400" s="7"/>
      <c r="AE400" s="7"/>
      <c r="AF400" s="7"/>
      <c r="AG400" s="7"/>
      <c r="AH400" s="7"/>
      <c r="AI400" s="36"/>
      <c r="AJ400" s="7"/>
      <c r="AK400" s="7"/>
      <c r="AL400" s="36"/>
      <c r="AM400" s="7"/>
      <c r="AN400" s="7"/>
      <c r="AO400" s="7"/>
      <c r="AQ400" s="7"/>
      <c r="AR400" s="7"/>
      <c r="AS400" s="55"/>
      <c r="AT400" s="55"/>
    </row>
    <row r="401" spans="1:46" s="10" customFormat="1" x14ac:dyDescent="0.25">
      <c r="A401" s="7"/>
      <c r="B401" s="28"/>
      <c r="C401" s="140"/>
      <c r="D401" s="28"/>
      <c r="H401" s="138"/>
      <c r="I401" s="90"/>
      <c r="J401" s="193"/>
      <c r="K401" s="193"/>
      <c r="L401" s="193"/>
      <c r="O401" s="36"/>
      <c r="Q401" s="138"/>
      <c r="R401" s="7"/>
      <c r="S401" s="55"/>
      <c r="T401" s="7"/>
      <c r="U401" s="55"/>
      <c r="V401" s="7"/>
      <c r="W401" s="55"/>
      <c r="X401" s="7"/>
      <c r="Y401" s="7"/>
      <c r="AA401" s="7"/>
      <c r="AB401" s="7"/>
      <c r="AC401" s="36"/>
      <c r="AD401" s="7"/>
      <c r="AE401" s="7"/>
      <c r="AF401" s="7"/>
      <c r="AG401" s="7"/>
      <c r="AH401" s="7"/>
      <c r="AI401" s="36"/>
      <c r="AJ401" s="7"/>
      <c r="AK401" s="7"/>
      <c r="AL401" s="36"/>
      <c r="AM401" s="7"/>
      <c r="AN401" s="7"/>
      <c r="AO401" s="7"/>
      <c r="AQ401" s="7"/>
      <c r="AR401" s="7"/>
      <c r="AS401" s="55"/>
      <c r="AT401" s="55"/>
    </row>
    <row r="402" spans="1:46" s="10" customFormat="1" x14ac:dyDescent="0.25">
      <c r="A402" s="7"/>
      <c r="B402" s="36"/>
      <c r="C402" s="286"/>
      <c r="D402" s="7"/>
      <c r="H402" s="138"/>
      <c r="I402" s="90"/>
      <c r="J402" s="193"/>
      <c r="K402" s="193"/>
      <c r="L402" s="193"/>
      <c r="O402" s="36"/>
      <c r="Q402" s="138"/>
      <c r="R402" s="7"/>
      <c r="S402" s="55"/>
      <c r="T402" s="7"/>
      <c r="U402" s="55"/>
      <c r="V402" s="7"/>
      <c r="W402" s="55"/>
      <c r="X402" s="7"/>
      <c r="Y402" s="7"/>
      <c r="AA402" s="7"/>
      <c r="AB402" s="7"/>
      <c r="AC402" s="36"/>
      <c r="AD402" s="7"/>
      <c r="AE402" s="7"/>
      <c r="AF402" s="7"/>
      <c r="AG402" s="7"/>
      <c r="AH402" s="7"/>
      <c r="AI402" s="36"/>
      <c r="AJ402" s="7"/>
      <c r="AK402" s="7"/>
      <c r="AL402" s="36"/>
      <c r="AM402" s="7"/>
      <c r="AN402" s="7"/>
      <c r="AO402" s="7"/>
      <c r="AQ402" s="7"/>
      <c r="AR402" s="7"/>
      <c r="AS402" s="55"/>
      <c r="AT402" s="55"/>
    </row>
    <row r="403" spans="1:46" s="10" customFormat="1" x14ac:dyDescent="0.25">
      <c r="A403" s="7"/>
      <c r="B403" s="28"/>
      <c r="C403" s="140"/>
      <c r="D403" s="28"/>
      <c r="H403" s="138"/>
      <c r="I403" s="90"/>
      <c r="J403" s="193"/>
      <c r="K403" s="193"/>
      <c r="L403" s="193"/>
      <c r="O403" s="36"/>
      <c r="Q403" s="138"/>
      <c r="R403" s="7"/>
      <c r="S403" s="55"/>
      <c r="T403" s="7"/>
      <c r="U403" s="55"/>
      <c r="V403" s="7"/>
      <c r="W403" s="55"/>
      <c r="X403" s="7"/>
      <c r="Y403" s="7"/>
      <c r="AA403" s="7"/>
      <c r="AB403" s="7"/>
      <c r="AC403" s="36"/>
      <c r="AD403" s="7"/>
      <c r="AE403" s="7"/>
      <c r="AF403" s="7"/>
      <c r="AG403" s="7"/>
      <c r="AH403" s="7"/>
      <c r="AI403" s="36"/>
      <c r="AJ403" s="7"/>
      <c r="AK403" s="7"/>
      <c r="AL403" s="36"/>
      <c r="AM403" s="7"/>
      <c r="AN403" s="7"/>
      <c r="AO403" s="7"/>
      <c r="AQ403" s="7"/>
      <c r="AR403" s="7"/>
      <c r="AS403" s="55"/>
      <c r="AT403" s="55"/>
    </row>
    <row r="404" spans="1:46" s="10" customFormat="1" x14ac:dyDescent="0.25">
      <c r="A404" s="7"/>
      <c r="B404" s="28"/>
      <c r="C404" s="140"/>
      <c r="D404" s="28"/>
      <c r="H404" s="138"/>
      <c r="I404" s="90"/>
      <c r="J404" s="193"/>
      <c r="K404" s="193"/>
      <c r="L404" s="193"/>
      <c r="O404" s="36"/>
      <c r="Q404" s="138"/>
      <c r="R404" s="7"/>
      <c r="S404" s="55"/>
      <c r="T404" s="7"/>
      <c r="U404" s="55"/>
      <c r="V404" s="7"/>
      <c r="W404" s="55"/>
      <c r="X404" s="7"/>
      <c r="Y404" s="7"/>
      <c r="AA404" s="7"/>
      <c r="AB404" s="7"/>
      <c r="AC404" s="36"/>
      <c r="AD404" s="7"/>
      <c r="AE404" s="7"/>
      <c r="AF404" s="7"/>
      <c r="AG404" s="7"/>
      <c r="AH404" s="7"/>
      <c r="AI404" s="36"/>
      <c r="AJ404" s="7"/>
      <c r="AK404" s="7"/>
      <c r="AL404" s="36"/>
      <c r="AM404" s="7"/>
      <c r="AN404" s="7"/>
      <c r="AO404" s="7"/>
      <c r="AQ404" s="7"/>
      <c r="AR404" s="7"/>
      <c r="AS404" s="55"/>
      <c r="AT404" s="55"/>
    </row>
    <row r="405" spans="1:46" s="10" customFormat="1" x14ac:dyDescent="0.25">
      <c r="A405" s="36"/>
      <c r="B405" s="36"/>
      <c r="C405" s="286"/>
      <c r="G405" s="138"/>
      <c r="H405" s="7"/>
      <c r="I405" s="90"/>
      <c r="J405" s="193"/>
      <c r="K405" s="193"/>
      <c r="L405" s="193"/>
      <c r="N405" s="23"/>
      <c r="P405" s="7"/>
      <c r="Q405" s="138"/>
      <c r="R405" s="7"/>
      <c r="S405" s="55"/>
      <c r="T405" s="36"/>
      <c r="U405" s="55"/>
      <c r="V405" s="7"/>
      <c r="W405" s="55"/>
      <c r="X405" s="123"/>
      <c r="Y405" s="7"/>
      <c r="Z405" s="7"/>
      <c r="AA405" s="7"/>
      <c r="AB405" s="36"/>
      <c r="AC405" s="36"/>
      <c r="AD405" s="7"/>
      <c r="AE405" s="7"/>
      <c r="AF405" s="7"/>
      <c r="AG405" s="7"/>
      <c r="AH405" s="7"/>
      <c r="AI405" s="7"/>
      <c r="AK405" s="36"/>
      <c r="AL405" s="7"/>
      <c r="AM405" s="7"/>
      <c r="AN405" s="7"/>
      <c r="AO405" s="7"/>
      <c r="AP405" s="7"/>
      <c r="AQ405" s="7"/>
      <c r="AS405" s="138"/>
      <c r="AT405" s="138"/>
    </row>
    <row r="406" spans="1:46" s="10" customFormat="1" x14ac:dyDescent="0.25">
      <c r="A406" s="36"/>
      <c r="B406" s="36"/>
      <c r="C406" s="286"/>
      <c r="G406" s="138"/>
      <c r="H406" s="7"/>
      <c r="I406" s="90"/>
      <c r="J406" s="193"/>
      <c r="K406" s="193"/>
      <c r="L406" s="193"/>
      <c r="N406" s="23"/>
      <c r="P406" s="7"/>
      <c r="Q406" s="138"/>
      <c r="R406" s="7"/>
      <c r="S406" s="55"/>
      <c r="T406" s="36"/>
      <c r="U406" s="55"/>
      <c r="V406" s="7"/>
      <c r="W406" s="55"/>
      <c r="X406" s="123"/>
      <c r="Y406" s="7"/>
      <c r="Z406" s="7"/>
      <c r="AA406" s="7"/>
      <c r="AB406" s="36"/>
      <c r="AC406" s="36"/>
      <c r="AD406" s="7"/>
      <c r="AE406" s="7"/>
      <c r="AF406" s="7"/>
      <c r="AG406" s="7"/>
      <c r="AH406" s="7"/>
      <c r="AI406" s="7"/>
      <c r="AK406" s="36"/>
      <c r="AL406" s="7"/>
      <c r="AM406" s="7"/>
      <c r="AN406" s="7"/>
      <c r="AO406" s="7"/>
      <c r="AP406" s="7"/>
      <c r="AQ406" s="7"/>
      <c r="AS406" s="138"/>
      <c r="AT406" s="138"/>
    </row>
    <row r="407" spans="1:46" s="10" customFormat="1" x14ac:dyDescent="0.25">
      <c r="A407" s="36"/>
      <c r="B407" s="36"/>
      <c r="C407" s="286"/>
      <c r="G407" s="138"/>
      <c r="H407" s="7"/>
      <c r="I407" s="90"/>
      <c r="J407" s="193"/>
      <c r="K407" s="193"/>
      <c r="L407" s="193"/>
      <c r="N407" s="23"/>
      <c r="P407" s="7"/>
      <c r="Q407" s="55"/>
      <c r="R407" s="7"/>
      <c r="S407" s="55"/>
      <c r="T407" s="36"/>
      <c r="U407" s="55"/>
      <c r="V407" s="7"/>
      <c r="W407" s="55"/>
      <c r="X407" s="123"/>
      <c r="Y407" s="7"/>
      <c r="Z407" s="7"/>
      <c r="AA407" s="7"/>
      <c r="AB407" s="36"/>
      <c r="AC407" s="36"/>
      <c r="AD407" s="7"/>
      <c r="AE407" s="7"/>
      <c r="AF407" s="7"/>
      <c r="AG407" s="7"/>
      <c r="AH407" s="7"/>
      <c r="AI407" s="7"/>
      <c r="AK407" s="36"/>
      <c r="AL407" s="7"/>
      <c r="AM407" s="7"/>
      <c r="AN407" s="7"/>
      <c r="AO407" s="7"/>
      <c r="AP407" s="7"/>
      <c r="AQ407" s="7"/>
      <c r="AS407" s="138"/>
      <c r="AT407" s="138"/>
    </row>
    <row r="408" spans="1:46" s="10" customFormat="1" x14ac:dyDescent="0.25">
      <c r="A408" s="36"/>
      <c r="B408" s="36"/>
      <c r="C408" s="286"/>
      <c r="G408" s="138"/>
      <c r="H408" s="7"/>
      <c r="I408" s="90"/>
      <c r="J408" s="193"/>
      <c r="K408" s="193"/>
      <c r="L408" s="193"/>
      <c r="N408" s="23"/>
      <c r="P408" s="7"/>
      <c r="Q408" s="55"/>
      <c r="R408" s="7"/>
      <c r="S408" s="55"/>
      <c r="T408" s="36"/>
      <c r="U408" s="55"/>
      <c r="V408" s="7"/>
      <c r="W408" s="55"/>
      <c r="X408" s="123"/>
      <c r="Y408" s="7"/>
      <c r="Z408" s="7"/>
      <c r="AA408" s="7"/>
      <c r="AB408" s="36"/>
      <c r="AC408" s="36"/>
      <c r="AD408" s="7"/>
      <c r="AE408" s="7"/>
      <c r="AF408" s="7"/>
      <c r="AG408" s="7"/>
      <c r="AH408" s="7"/>
      <c r="AI408" s="7"/>
      <c r="AK408" s="36"/>
      <c r="AL408" s="7"/>
      <c r="AM408" s="7"/>
      <c r="AN408" s="7"/>
      <c r="AO408" s="7"/>
      <c r="AP408" s="7"/>
      <c r="AQ408" s="7"/>
      <c r="AS408" s="138"/>
      <c r="AT408" s="138"/>
    </row>
    <row r="409" spans="1:46" s="10" customFormat="1" x14ac:dyDescent="0.25">
      <c r="A409" s="36"/>
      <c r="B409" s="36"/>
      <c r="C409" s="286"/>
      <c r="G409" s="138"/>
      <c r="H409" s="7"/>
      <c r="I409" s="90"/>
      <c r="J409" s="193"/>
      <c r="K409" s="193"/>
      <c r="L409" s="193"/>
      <c r="N409" s="23"/>
      <c r="P409" s="7"/>
      <c r="Q409" s="55"/>
      <c r="R409" s="7"/>
      <c r="S409" s="55"/>
      <c r="T409" s="36"/>
      <c r="U409" s="55"/>
      <c r="V409" s="7"/>
      <c r="W409" s="55"/>
      <c r="X409" s="123"/>
      <c r="Y409" s="7"/>
      <c r="Z409" s="7"/>
      <c r="AA409" s="7"/>
      <c r="AB409" s="36"/>
      <c r="AC409" s="36"/>
      <c r="AD409" s="7"/>
      <c r="AE409" s="7"/>
      <c r="AF409" s="7"/>
      <c r="AG409" s="7"/>
      <c r="AH409" s="7"/>
      <c r="AI409" s="7"/>
      <c r="AK409" s="36"/>
      <c r="AL409" s="7"/>
      <c r="AM409" s="7"/>
      <c r="AN409" s="7"/>
      <c r="AO409" s="7"/>
      <c r="AP409" s="7"/>
      <c r="AQ409" s="7"/>
      <c r="AS409" s="138"/>
      <c r="AT409" s="138"/>
    </row>
    <row r="410" spans="1:46" x14ac:dyDescent="0.25">
      <c r="D410" s="10"/>
      <c r="G410" s="138"/>
      <c r="H410" s="7"/>
      <c r="N410" s="23"/>
      <c r="O410" s="10"/>
      <c r="P410" s="7"/>
      <c r="Q410" s="55"/>
      <c r="T410" s="36"/>
      <c r="X410" s="123"/>
      <c r="Z410" s="7"/>
      <c r="AB410" s="36"/>
      <c r="AI410" s="7"/>
      <c r="AJ410" s="10"/>
      <c r="AK410" s="36"/>
      <c r="AL410" s="7"/>
    </row>
    <row r="411" spans="1:46" x14ac:dyDescent="0.25">
      <c r="D411" s="10"/>
      <c r="G411" s="138"/>
      <c r="H411" s="7"/>
      <c r="N411" s="23"/>
      <c r="O411" s="10"/>
      <c r="P411" s="7"/>
      <c r="Q411" s="55"/>
      <c r="T411" s="36"/>
      <c r="X411" s="123"/>
      <c r="Z411" s="7"/>
      <c r="AB411" s="36"/>
      <c r="AI411" s="7"/>
      <c r="AJ411" s="10"/>
      <c r="AK411" s="36"/>
      <c r="AL411" s="7"/>
    </row>
    <row r="412" spans="1:46" x14ac:dyDescent="0.25">
      <c r="A412" s="36"/>
      <c r="Q412" s="55"/>
    </row>
    <row r="413" spans="1:46" x14ac:dyDescent="0.25">
      <c r="A413" s="36"/>
      <c r="Q413" s="55"/>
    </row>
    <row r="414" spans="1:46" x14ac:dyDescent="0.25">
      <c r="A414" s="36"/>
    </row>
    <row r="415" spans="1:46" x14ac:dyDescent="0.25">
      <c r="A415" s="36"/>
    </row>
    <row r="416" spans="1:46" x14ac:dyDescent="0.25">
      <c r="A416" s="36"/>
    </row>
    <row r="417" spans="1:1" x14ac:dyDescent="0.25">
      <c r="A417" s="17"/>
    </row>
    <row r="418" spans="1:1" x14ac:dyDescent="0.25">
      <c r="A418" s="17"/>
    </row>
    <row r="419" spans="1:1" x14ac:dyDescent="0.25">
      <c r="A419" s="17"/>
    </row>
  </sheetData>
  <autoFilter ref="B3:AU3" xr:uid="{2C87A229-D161-AB4F-AEE9-1616C38FE9B3}">
    <sortState xmlns:xlrd2="http://schemas.microsoft.com/office/spreadsheetml/2017/richdata2" ref="B4:AU272">
      <sortCondition ref="P3:P272"/>
    </sortState>
  </autoFilter>
  <sortState xmlns:xlrd2="http://schemas.microsoft.com/office/spreadsheetml/2017/richdata2" ref="A4:AN106">
    <sortCondition ref="M4:M106"/>
    <sortCondition ref="A4:A106"/>
  </sortState>
  <phoneticPr fontId="36"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75686-9556-CA4A-B8BA-D1901C301FDD}">
  <dimension ref="A1:AF19"/>
  <sheetViews>
    <sheetView zoomScaleNormal="100" workbookViewId="0">
      <pane xSplit="2" ySplit="3" topLeftCell="Q4" activePane="bottomRight" state="frozen"/>
      <selection pane="topRight" activeCell="C1" sqref="C1"/>
      <selection pane="bottomLeft" activeCell="A5" sqref="A5"/>
      <selection pane="bottomRight" activeCell="B3" sqref="B3:C3"/>
    </sheetView>
  </sheetViews>
  <sheetFormatPr baseColWidth="10" defaultRowHeight="19" x14ac:dyDescent="0.25"/>
  <cols>
    <col min="1" max="1" width="4.83203125" style="7" customWidth="1"/>
    <col min="2" max="3" width="43.83203125" style="7" customWidth="1"/>
    <col min="4" max="4" width="44.6640625" style="7" customWidth="1"/>
    <col min="5" max="5" width="24.83203125" style="10" customWidth="1"/>
    <col min="6" max="7" width="15.83203125" style="254" customWidth="1"/>
    <col min="8" max="9" width="15.83203125" style="10" customWidth="1"/>
    <col min="10" max="11" width="37.83203125" style="254" customWidth="1"/>
    <col min="12" max="12" width="12.83203125" style="7" customWidth="1"/>
    <col min="13" max="14" width="12.83203125" style="10" customWidth="1"/>
    <col min="15" max="15" width="5" style="254" customWidth="1"/>
    <col min="16" max="18" width="24.83203125" style="10" customWidth="1"/>
    <col min="19" max="21" width="12.83203125" style="7" customWidth="1"/>
    <col min="22" max="22" width="20.83203125" style="254" customWidth="1"/>
    <col min="23" max="23" width="16.83203125" style="7" customWidth="1"/>
    <col min="24" max="24" width="4.83203125" style="7" customWidth="1"/>
    <col min="25" max="26" width="15.83203125" style="254" customWidth="1"/>
    <col min="27" max="27" width="17.5" style="7" customWidth="1"/>
    <col min="28" max="28" width="17.33203125" style="254" customWidth="1"/>
    <col min="29" max="29" width="13.5" style="7" customWidth="1"/>
    <col min="30" max="30" width="10.83203125" style="7" customWidth="1"/>
    <col min="31" max="31" width="100.83203125" style="7" customWidth="1"/>
    <col min="32" max="32" width="43.33203125" style="7" customWidth="1"/>
    <col min="33" max="16384" width="10.83203125" style="7"/>
  </cols>
  <sheetData>
    <row r="1" spans="1:32" ht="21" x14ac:dyDescent="0.25">
      <c r="A1" s="89" t="s">
        <v>102</v>
      </c>
      <c r="B1" s="20" t="s">
        <v>2914</v>
      </c>
      <c r="C1" s="20"/>
      <c r="D1" s="22"/>
      <c r="J1" s="20"/>
      <c r="K1" s="20"/>
      <c r="P1" s="47" t="s">
        <v>38</v>
      </c>
      <c r="Q1" s="47"/>
      <c r="R1" s="47"/>
      <c r="S1" s="24"/>
      <c r="T1" s="24"/>
      <c r="U1" s="24"/>
      <c r="Y1" s="47" t="s">
        <v>39</v>
      </c>
      <c r="Z1" s="83"/>
      <c r="AD1" s="23"/>
      <c r="AE1" s="23"/>
    </row>
    <row r="2" spans="1:32" s="12" customFormat="1" ht="60" x14ac:dyDescent="0.2">
      <c r="A2" s="8"/>
      <c r="B2" s="21" t="s">
        <v>16</v>
      </c>
      <c r="C2" s="21" t="s">
        <v>2934</v>
      </c>
      <c r="D2" s="21" t="s">
        <v>13</v>
      </c>
      <c r="E2" s="21" t="s">
        <v>19</v>
      </c>
      <c r="F2" s="21" t="s">
        <v>763</v>
      </c>
      <c r="G2" s="21" t="s">
        <v>762</v>
      </c>
      <c r="H2" s="21" t="s">
        <v>2842</v>
      </c>
      <c r="I2" s="21" t="s">
        <v>2856</v>
      </c>
      <c r="J2" s="21" t="s">
        <v>2843</v>
      </c>
      <c r="K2" s="21" t="s">
        <v>2844</v>
      </c>
      <c r="L2" s="21" t="s">
        <v>2623</v>
      </c>
      <c r="M2" s="21" t="s">
        <v>15</v>
      </c>
      <c r="N2" s="21" t="s">
        <v>74</v>
      </c>
      <c r="O2" s="254"/>
      <c r="P2" s="21" t="s">
        <v>996</v>
      </c>
      <c r="Q2" s="21" t="s">
        <v>2845</v>
      </c>
      <c r="R2" s="21" t="s">
        <v>2915</v>
      </c>
      <c r="S2" s="21" t="s">
        <v>2916</v>
      </c>
      <c r="T2" s="21" t="s">
        <v>2917</v>
      </c>
      <c r="U2" s="21" t="s">
        <v>2918</v>
      </c>
      <c r="V2" s="21" t="s">
        <v>2919</v>
      </c>
      <c r="W2" s="21" t="s">
        <v>2920</v>
      </c>
      <c r="X2" s="254"/>
      <c r="Y2" s="21" t="s">
        <v>24</v>
      </c>
      <c r="Z2" s="21" t="s">
        <v>25</v>
      </c>
      <c r="AA2" s="21" t="s">
        <v>52</v>
      </c>
      <c r="AB2" s="21" t="s">
        <v>81</v>
      </c>
      <c r="AC2" s="21" t="s">
        <v>22</v>
      </c>
      <c r="AD2" s="21" t="s">
        <v>23</v>
      </c>
      <c r="AE2" s="21" t="s">
        <v>1100</v>
      </c>
      <c r="AF2" s="21" t="s">
        <v>45</v>
      </c>
    </row>
    <row r="3" spans="1:32" s="8" customFormat="1" ht="20" x14ac:dyDescent="0.2">
      <c r="B3" s="18"/>
      <c r="C3" s="18"/>
      <c r="D3" s="18"/>
      <c r="E3" s="18"/>
      <c r="F3" s="254"/>
      <c r="G3" s="254"/>
      <c r="H3" s="18"/>
      <c r="I3" s="18"/>
      <c r="J3" s="254"/>
      <c r="K3" s="254"/>
      <c r="L3" s="18" t="s">
        <v>64</v>
      </c>
      <c r="M3" s="18"/>
      <c r="N3" s="18"/>
      <c r="O3" s="254"/>
      <c r="P3" s="18"/>
      <c r="Q3" s="18"/>
      <c r="R3" s="18"/>
      <c r="S3" s="18" t="s">
        <v>17</v>
      </c>
      <c r="T3" s="18" t="s">
        <v>89</v>
      </c>
      <c r="U3" s="18" t="s">
        <v>2921</v>
      </c>
      <c r="V3" s="18"/>
      <c r="W3" s="18" t="s">
        <v>404</v>
      </c>
      <c r="X3" s="254"/>
      <c r="Y3" s="18" t="s">
        <v>29</v>
      </c>
      <c r="Z3" s="18" t="s">
        <v>29</v>
      </c>
      <c r="AA3" s="18" t="s">
        <v>30</v>
      </c>
      <c r="AB3" s="18" t="s">
        <v>101</v>
      </c>
      <c r="AC3" s="101" t="s">
        <v>760</v>
      </c>
      <c r="AD3" s="18" t="s">
        <v>21</v>
      </c>
      <c r="AE3" s="18"/>
      <c r="AF3" s="18"/>
    </row>
    <row r="4" spans="1:32" s="55" customFormat="1" ht="21" x14ac:dyDescent="0.25">
      <c r="B4" s="155" t="s">
        <v>2922</v>
      </c>
      <c r="C4" s="155"/>
      <c r="D4" s="97"/>
      <c r="E4" s="51"/>
      <c r="F4" s="139"/>
      <c r="G4" s="139"/>
      <c r="H4" s="51"/>
      <c r="I4" s="51"/>
      <c r="J4" s="51"/>
      <c r="K4" s="51"/>
      <c r="L4" s="257"/>
      <c r="M4" s="51"/>
      <c r="N4" s="51"/>
      <c r="O4" s="279"/>
      <c r="P4" s="51"/>
      <c r="Q4" s="51"/>
      <c r="R4" s="51"/>
      <c r="S4" s="257"/>
      <c r="T4" s="257"/>
      <c r="U4" s="257"/>
      <c r="V4" s="280"/>
      <c r="W4" s="61"/>
      <c r="X4" s="281"/>
      <c r="Y4" s="257"/>
      <c r="Z4" s="257"/>
      <c r="AA4" s="61"/>
      <c r="AB4" s="257"/>
      <c r="AC4" s="61"/>
      <c r="AD4" s="61"/>
      <c r="AE4" s="97"/>
      <c r="AF4" s="97"/>
    </row>
    <row r="5" spans="1:32" s="55" customFormat="1" x14ac:dyDescent="0.25">
      <c r="B5" s="97"/>
      <c r="C5" s="97"/>
      <c r="D5" s="97"/>
      <c r="E5" s="51"/>
      <c r="F5" s="139"/>
      <c r="G5" s="139"/>
      <c r="H5" s="51"/>
      <c r="I5" s="51"/>
      <c r="J5" s="51"/>
      <c r="K5" s="51"/>
      <c r="L5" s="257"/>
      <c r="M5" s="51"/>
      <c r="N5" s="51"/>
      <c r="O5" s="279"/>
      <c r="P5" s="51"/>
      <c r="Q5" s="51"/>
      <c r="R5" s="51"/>
      <c r="S5" s="257"/>
      <c r="T5" s="257"/>
      <c r="U5" s="257"/>
      <c r="V5" s="280"/>
      <c r="W5" s="61"/>
      <c r="X5" s="281"/>
      <c r="Y5" s="257"/>
      <c r="Z5" s="257"/>
      <c r="AA5" s="61"/>
      <c r="AB5" s="257"/>
      <c r="AC5" s="61"/>
      <c r="AD5" s="61"/>
      <c r="AE5" s="97"/>
      <c r="AF5" s="97"/>
    </row>
    <row r="6" spans="1:32" s="55" customFormat="1" x14ac:dyDescent="0.25">
      <c r="B6" s="97"/>
      <c r="C6" s="97"/>
      <c r="D6" s="97"/>
      <c r="E6" s="51"/>
      <c r="F6" s="139"/>
      <c r="G6" s="139"/>
      <c r="H6" s="51"/>
      <c r="I6" s="51"/>
      <c r="J6" s="51"/>
      <c r="K6" s="51"/>
      <c r="L6" s="257"/>
      <c r="M6" s="51"/>
      <c r="N6" s="51"/>
      <c r="O6" s="279"/>
      <c r="P6" s="51"/>
      <c r="Q6" s="51"/>
      <c r="R6" s="51"/>
      <c r="S6" s="257"/>
      <c r="T6" s="257"/>
      <c r="U6" s="257"/>
      <c r="V6" s="280"/>
      <c r="W6" s="61"/>
      <c r="X6" s="281"/>
      <c r="Y6" s="257"/>
      <c r="Z6" s="257"/>
      <c r="AA6" s="61"/>
      <c r="AB6" s="257"/>
      <c r="AC6" s="61"/>
      <c r="AD6" s="61"/>
      <c r="AE6" s="97"/>
      <c r="AF6" s="97"/>
    </row>
    <row r="7" spans="1:32" s="55" customFormat="1" x14ac:dyDescent="0.25">
      <c r="B7" s="97"/>
      <c r="C7" s="97"/>
      <c r="D7" s="97"/>
      <c r="E7" s="51"/>
      <c r="F7" s="139"/>
      <c r="G7" s="139"/>
      <c r="H7" s="51"/>
      <c r="I7" s="51"/>
      <c r="J7" s="51"/>
      <c r="K7" s="51"/>
      <c r="L7" s="257"/>
      <c r="M7" s="51"/>
      <c r="N7" s="51"/>
      <c r="O7" s="279"/>
      <c r="P7" s="51"/>
      <c r="Q7" s="51"/>
      <c r="R7" s="51"/>
      <c r="S7" s="257"/>
      <c r="T7" s="257"/>
      <c r="U7" s="61"/>
      <c r="V7" s="280"/>
      <c r="W7" s="61"/>
      <c r="X7" s="281"/>
      <c r="Y7" s="61"/>
      <c r="Z7" s="61"/>
      <c r="AA7" s="61"/>
      <c r="AB7" s="257"/>
      <c r="AC7" s="61"/>
      <c r="AD7" s="61"/>
      <c r="AE7" s="97"/>
      <c r="AF7" s="97"/>
    </row>
    <row r="8" spans="1:32" x14ac:dyDescent="0.25">
      <c r="B8" s="19"/>
      <c r="C8" s="19"/>
      <c r="D8" s="19"/>
      <c r="E8" s="33"/>
      <c r="F8" s="116"/>
      <c r="G8" s="116"/>
      <c r="H8" s="33"/>
      <c r="I8" s="33"/>
      <c r="J8" s="33"/>
      <c r="K8" s="33"/>
      <c r="L8" s="256"/>
      <c r="M8" s="33"/>
      <c r="N8" s="33"/>
      <c r="O8" s="273"/>
      <c r="P8" s="33"/>
      <c r="Q8" s="33"/>
      <c r="R8" s="33"/>
      <c r="S8" s="256"/>
      <c r="T8" s="256"/>
      <c r="U8" s="275"/>
      <c r="V8" s="114"/>
      <c r="W8" s="256"/>
      <c r="X8" s="274"/>
      <c r="Y8" s="256"/>
      <c r="Z8" s="256"/>
      <c r="AA8" s="69"/>
      <c r="AB8" s="256"/>
      <c r="AC8" s="69"/>
      <c r="AD8" s="69"/>
      <c r="AE8" s="19"/>
      <c r="AF8" s="19"/>
    </row>
    <row r="9" spans="1:32" x14ac:dyDescent="0.25">
      <c r="E9" s="7"/>
      <c r="H9" s="7"/>
      <c r="I9" s="7"/>
      <c r="M9" s="7"/>
      <c r="N9" s="7"/>
      <c r="O9" s="7"/>
      <c r="P9" s="7"/>
      <c r="Q9" s="7"/>
      <c r="R9" s="7"/>
      <c r="S9" s="276"/>
      <c r="T9" s="276"/>
      <c r="V9" s="7"/>
      <c r="Y9" s="7"/>
      <c r="Z9" s="7"/>
      <c r="AB9" s="7"/>
    </row>
    <row r="10" spans="1:32" x14ac:dyDescent="0.25">
      <c r="D10" s="28"/>
      <c r="E10" s="31"/>
      <c r="F10" s="10"/>
      <c r="G10" s="10"/>
      <c r="L10" s="254"/>
      <c r="M10" s="31"/>
      <c r="N10" s="31"/>
      <c r="S10" s="25"/>
      <c r="T10" s="25"/>
      <c r="U10" s="25"/>
      <c r="W10" s="253"/>
      <c r="X10" s="253"/>
      <c r="Y10" s="7"/>
      <c r="Z10" s="7"/>
      <c r="AA10" s="254"/>
      <c r="AB10" s="7"/>
    </row>
    <row r="11" spans="1:32" x14ac:dyDescent="0.25">
      <c r="A11" s="277" t="s">
        <v>1042</v>
      </c>
      <c r="B11" s="192"/>
      <c r="C11" s="192"/>
      <c r="O11" s="10"/>
      <c r="P11" s="31"/>
      <c r="Q11" s="31"/>
      <c r="R11" s="31"/>
      <c r="S11" s="10"/>
      <c r="T11" s="10"/>
      <c r="U11" s="254"/>
      <c r="V11" s="10"/>
      <c r="Y11" s="7"/>
      <c r="Z11" s="7"/>
      <c r="AB11" s="7"/>
    </row>
    <row r="12" spans="1:32" x14ac:dyDescent="0.25">
      <c r="B12" s="11"/>
      <c r="C12" s="11"/>
      <c r="D12" s="31"/>
      <c r="E12" s="254"/>
      <c r="H12" s="254"/>
      <c r="I12" s="254"/>
      <c r="L12" s="31"/>
      <c r="M12" s="26"/>
      <c r="N12" s="31"/>
      <c r="O12" s="31"/>
      <c r="P12" s="254"/>
      <c r="Q12" s="254"/>
      <c r="R12" s="254"/>
      <c r="S12" s="26"/>
      <c r="T12" s="26"/>
      <c r="U12" s="31"/>
      <c r="V12" s="25"/>
      <c r="W12" s="25"/>
      <c r="X12" s="278"/>
      <c r="Y12" s="7"/>
      <c r="Z12" s="7"/>
      <c r="AB12" s="7"/>
    </row>
    <row r="13" spans="1:32" s="254" customFormat="1" x14ac:dyDescent="0.25">
      <c r="A13" s="7"/>
      <c r="P13" s="10"/>
      <c r="Q13" s="10"/>
      <c r="R13" s="10"/>
      <c r="Y13" s="7"/>
      <c r="Z13" s="7"/>
      <c r="AA13" s="7"/>
      <c r="AB13" s="7"/>
      <c r="AC13" s="7"/>
      <c r="AD13" s="7"/>
      <c r="AE13" s="7"/>
      <c r="AF13" s="7"/>
    </row>
    <row r="14" spans="1:32" x14ac:dyDescent="0.25">
      <c r="A14" s="191"/>
      <c r="B14" s="191"/>
      <c r="C14" s="191"/>
      <c r="P14" s="31"/>
      <c r="Q14" s="31"/>
      <c r="R14" s="31"/>
    </row>
    <row r="15" spans="1:32" s="254" customFormat="1" x14ac:dyDescent="0.25">
      <c r="A15" s="7"/>
      <c r="P15" s="31"/>
      <c r="Q15" s="31"/>
      <c r="R15" s="31"/>
      <c r="Y15" s="7"/>
      <c r="Z15" s="7"/>
      <c r="AA15" s="7"/>
      <c r="AB15" s="7"/>
      <c r="AC15" s="7"/>
      <c r="AD15" s="7"/>
      <c r="AE15" s="7"/>
      <c r="AF15" s="7"/>
    </row>
    <row r="16" spans="1:32" x14ac:dyDescent="0.25">
      <c r="B16" s="11"/>
      <c r="C16" s="11"/>
      <c r="D16" s="31"/>
      <c r="E16" s="31"/>
      <c r="F16" s="31"/>
      <c r="H16" s="254"/>
      <c r="I16" s="254"/>
      <c r="L16" s="31"/>
      <c r="M16" s="26"/>
      <c r="N16" s="31"/>
      <c r="O16" s="31"/>
      <c r="P16" s="31"/>
      <c r="Q16" s="31"/>
      <c r="R16" s="31"/>
      <c r="S16" s="254"/>
      <c r="T16" s="254"/>
      <c r="U16" s="31"/>
      <c r="V16" s="25"/>
      <c r="W16" s="25"/>
      <c r="X16" s="154"/>
      <c r="Y16" s="7"/>
      <c r="Z16" s="7"/>
      <c r="AB16" s="7"/>
    </row>
    <row r="17" spans="1:28" x14ac:dyDescent="0.25">
      <c r="B17" s="11"/>
      <c r="C17" s="11"/>
      <c r="D17" s="31"/>
      <c r="E17" s="31"/>
      <c r="F17" s="31"/>
      <c r="H17" s="254"/>
      <c r="I17" s="254"/>
      <c r="L17" s="31"/>
      <c r="M17" s="26"/>
      <c r="N17" s="31"/>
      <c r="O17" s="31"/>
      <c r="P17" s="31"/>
      <c r="Q17" s="31"/>
      <c r="R17" s="31"/>
      <c r="S17" s="254"/>
      <c r="T17" s="254"/>
      <c r="U17" s="31"/>
      <c r="V17" s="25"/>
      <c r="W17" s="25"/>
      <c r="X17" s="154"/>
      <c r="Y17" s="7"/>
      <c r="Z17" s="7"/>
      <c r="AB17" s="7"/>
    </row>
    <row r="18" spans="1:28" x14ac:dyDescent="0.25">
      <c r="A18" s="167"/>
      <c r="D18" s="166"/>
      <c r="E18" s="168"/>
      <c r="F18" s="7"/>
      <c r="G18" s="7"/>
      <c r="H18" s="192"/>
      <c r="I18" s="192"/>
      <c r="L18" s="169"/>
      <c r="M18" s="170"/>
      <c r="N18" s="169"/>
      <c r="O18" s="170"/>
      <c r="P18" s="192"/>
      <c r="Q18" s="192"/>
      <c r="R18" s="192"/>
      <c r="S18" s="170"/>
      <c r="T18" s="170"/>
      <c r="U18" s="171"/>
      <c r="V18" s="171"/>
      <c r="W18" s="171"/>
      <c r="X18" s="168"/>
      <c r="Y18" s="7"/>
      <c r="Z18" s="7"/>
      <c r="AB18" s="7"/>
    </row>
    <row r="19" spans="1:28" x14ac:dyDescent="0.25">
      <c r="E19" s="7"/>
      <c r="F19" s="7"/>
      <c r="G19" s="7"/>
      <c r="H19" s="7"/>
      <c r="I19" s="7"/>
      <c r="M19" s="7"/>
      <c r="O19" s="192"/>
      <c r="V19" s="7"/>
      <c r="W19" s="254"/>
      <c r="X19" s="254"/>
      <c r="Y19" s="7"/>
      <c r="Z19" s="7"/>
      <c r="AB19" s="7"/>
    </row>
  </sheetData>
  <autoFilter ref="B3:AF3" xr:uid="{6D8CD986-3823-2645-84B2-284C80001638}">
    <sortState xmlns:xlrd2="http://schemas.microsoft.com/office/spreadsheetml/2017/richdata2" ref="B4:AF228">
      <sortCondition ref="Q3:Q228"/>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E75AC-FF30-BF4D-A141-1C68529BC577}">
  <sheetPr codeName="Sheet4"/>
  <dimension ref="A1:AX54"/>
  <sheetViews>
    <sheetView zoomScaleNormal="100" workbookViewId="0">
      <pane xSplit="2" ySplit="3" topLeftCell="E28" activePane="bottomRight" state="frozen"/>
      <selection pane="topRight" activeCell="C1" sqref="C1"/>
      <selection pane="bottomLeft" activeCell="A3" sqref="A3"/>
      <selection pane="bottomRight" activeCell="I32" sqref="I32"/>
    </sheetView>
  </sheetViews>
  <sheetFormatPr baseColWidth="10" defaultRowHeight="16" x14ac:dyDescent="0.2"/>
  <cols>
    <col min="1" max="1" width="4.83203125" style="36" customWidth="1"/>
    <col min="2" max="2" width="36.5" style="36" bestFit="1" customWidth="1"/>
    <col min="3" max="3" width="16.83203125" style="36" customWidth="1"/>
    <col min="4" max="4" width="16.83203125" style="82" customWidth="1"/>
    <col min="5" max="5" width="16.83203125" style="193" customWidth="1"/>
    <col min="6" max="6" width="16.83203125" style="82" customWidth="1"/>
    <col min="7" max="7" width="16.83203125" style="193" customWidth="1"/>
    <col min="8" max="8" width="16.83203125" style="82" customWidth="1"/>
    <col min="9" max="10" width="16.83203125" style="90" customWidth="1"/>
    <col min="11" max="11" width="22.33203125" style="36" bestFit="1" customWidth="1"/>
    <col min="12" max="12" width="13.6640625" style="36" customWidth="1"/>
    <col min="13" max="13" width="12.6640625" style="36" bestFit="1" customWidth="1"/>
    <col min="14" max="14" width="13.5" style="36" customWidth="1"/>
    <col min="15" max="15" width="12.83203125" style="36" customWidth="1"/>
    <col min="16" max="18" width="12.5" style="36" bestFit="1" customWidth="1"/>
    <col min="19" max="19" width="12.83203125" style="36" customWidth="1"/>
    <col min="20" max="20" width="11.83203125" style="36" customWidth="1"/>
    <col min="21" max="21" width="10.6640625" style="36" bestFit="1" customWidth="1"/>
    <col min="22" max="25" width="15" style="36" customWidth="1"/>
    <col min="26" max="26" width="15.6640625" style="36" customWidth="1"/>
    <col min="27" max="27" width="4.83203125" style="15" customWidth="1"/>
    <col min="28" max="28" width="19" style="15" customWidth="1"/>
    <col min="29" max="29" width="10.6640625" style="36" bestFit="1" customWidth="1"/>
    <col min="30" max="30" width="11" style="36" bestFit="1" customWidth="1"/>
    <col min="31" max="31" width="7.6640625" style="36" bestFit="1" customWidth="1"/>
    <col min="32" max="33" width="8.6640625" style="36" bestFit="1" customWidth="1"/>
    <col min="34" max="34" width="18.83203125" style="36" customWidth="1"/>
    <col min="35" max="38" width="7.6640625" style="36" bestFit="1" customWidth="1"/>
    <col min="39" max="42" width="9.33203125" style="36" bestFit="1" customWidth="1"/>
    <col min="43" max="46" width="7.6640625" style="36" bestFit="1" customWidth="1"/>
    <col min="47" max="47" width="7.6640625" style="90" customWidth="1"/>
    <col min="48" max="48" width="30.83203125" style="90" customWidth="1"/>
    <col min="49" max="49" width="43.1640625" style="36" customWidth="1"/>
    <col min="50" max="16384" width="10.83203125" style="36"/>
  </cols>
  <sheetData>
    <row r="1" spans="1:50" ht="21" x14ac:dyDescent="0.25">
      <c r="A1" s="46" t="s">
        <v>102</v>
      </c>
      <c r="B1" s="20" t="s">
        <v>979</v>
      </c>
      <c r="S1" s="15"/>
      <c r="T1" s="15"/>
      <c r="AB1" s="47" t="s">
        <v>349</v>
      </c>
    </row>
    <row r="2" spans="1:50" s="56" customFormat="1" ht="60" x14ac:dyDescent="0.2">
      <c r="B2" s="21" t="s">
        <v>16</v>
      </c>
      <c r="C2" s="21" t="s">
        <v>996</v>
      </c>
      <c r="D2" s="21" t="s">
        <v>14</v>
      </c>
      <c r="E2" s="21" t="s">
        <v>2369</v>
      </c>
      <c r="F2" s="21" t="s">
        <v>2850</v>
      </c>
      <c r="G2" s="21" t="s">
        <v>1038</v>
      </c>
      <c r="H2" s="21" t="s">
        <v>1036</v>
      </c>
      <c r="I2" s="21" t="s">
        <v>995</v>
      </c>
      <c r="J2" s="62" t="s">
        <v>1033</v>
      </c>
      <c r="K2" s="62" t="s">
        <v>90</v>
      </c>
      <c r="L2" s="62" t="s">
        <v>91</v>
      </c>
      <c r="M2" s="62" t="s">
        <v>92</v>
      </c>
      <c r="N2" s="62" t="s">
        <v>93</v>
      </c>
      <c r="O2" s="62" t="s">
        <v>94</v>
      </c>
      <c r="P2" s="62" t="s">
        <v>2890</v>
      </c>
      <c r="Q2" s="62" t="s">
        <v>96</v>
      </c>
      <c r="R2" s="62" t="s">
        <v>97</v>
      </c>
      <c r="S2" s="62" t="s">
        <v>99</v>
      </c>
      <c r="T2" s="62" t="s">
        <v>100</v>
      </c>
      <c r="U2" s="62" t="s">
        <v>95</v>
      </c>
      <c r="V2" s="62" t="s">
        <v>55</v>
      </c>
      <c r="W2" s="62" t="s">
        <v>750</v>
      </c>
      <c r="X2" s="62" t="s">
        <v>72</v>
      </c>
      <c r="Y2" s="62" t="s">
        <v>751</v>
      </c>
      <c r="Z2" s="62" t="s">
        <v>73</v>
      </c>
      <c r="AA2" s="50"/>
      <c r="AB2" s="62" t="s">
        <v>750</v>
      </c>
      <c r="AC2" s="62" t="s">
        <v>76</v>
      </c>
      <c r="AD2" s="62" t="s">
        <v>75</v>
      </c>
      <c r="AE2" s="62" t="s">
        <v>0</v>
      </c>
      <c r="AF2" s="62" t="s">
        <v>46</v>
      </c>
      <c r="AG2" s="62" t="s">
        <v>47</v>
      </c>
      <c r="AH2" s="62" t="s">
        <v>53</v>
      </c>
      <c r="AI2" s="62" t="s">
        <v>4</v>
      </c>
      <c r="AJ2" s="62" t="s">
        <v>5</v>
      </c>
      <c r="AK2" s="62" t="s">
        <v>6</v>
      </c>
      <c r="AL2" s="62" t="s">
        <v>7</v>
      </c>
      <c r="AM2" s="62" t="s">
        <v>8</v>
      </c>
      <c r="AN2" s="62" t="s">
        <v>9</v>
      </c>
      <c r="AO2" s="62" t="s">
        <v>10</v>
      </c>
      <c r="AP2" s="62" t="s">
        <v>11</v>
      </c>
      <c r="AQ2" s="62" t="s">
        <v>12</v>
      </c>
      <c r="AR2" s="62" t="s">
        <v>1</v>
      </c>
      <c r="AS2" s="62" t="s">
        <v>2</v>
      </c>
      <c r="AT2" s="62" t="s">
        <v>3</v>
      </c>
      <c r="AU2" s="50"/>
      <c r="AV2" s="21" t="s">
        <v>1100</v>
      </c>
      <c r="AW2" s="21" t="s">
        <v>45</v>
      </c>
    </row>
    <row r="3" spans="1:50" s="56" customFormat="1" ht="20" x14ac:dyDescent="0.2">
      <c r="B3" s="18"/>
      <c r="C3" s="18"/>
      <c r="D3" s="18" t="s">
        <v>17</v>
      </c>
      <c r="E3" s="18" t="s">
        <v>30</v>
      </c>
      <c r="F3" s="18" t="s">
        <v>17</v>
      </c>
      <c r="G3" s="18" t="s">
        <v>30</v>
      </c>
      <c r="H3" s="18" t="s">
        <v>18</v>
      </c>
      <c r="I3" s="50"/>
      <c r="J3" s="50"/>
      <c r="K3" s="18"/>
      <c r="L3" s="18" t="s">
        <v>48</v>
      </c>
      <c r="M3" s="18" t="s">
        <v>48</v>
      </c>
      <c r="N3" s="18" t="s">
        <v>48</v>
      </c>
      <c r="O3" s="18" t="s">
        <v>48</v>
      </c>
      <c r="P3" s="18" t="s">
        <v>78</v>
      </c>
      <c r="Q3" s="18" t="s">
        <v>78</v>
      </c>
      <c r="R3" s="18" t="s">
        <v>78</v>
      </c>
      <c r="S3" s="18" t="s">
        <v>98</v>
      </c>
      <c r="T3" s="18" t="s">
        <v>29</v>
      </c>
      <c r="U3" s="18"/>
      <c r="V3" s="50" t="s">
        <v>56</v>
      </c>
      <c r="W3" s="50"/>
      <c r="X3" s="50" t="s">
        <v>56</v>
      </c>
      <c r="Y3" s="50"/>
      <c r="Z3" s="50" t="s">
        <v>56</v>
      </c>
      <c r="AA3" s="50"/>
      <c r="AB3" s="50"/>
      <c r="AC3" s="18" t="s">
        <v>48</v>
      </c>
      <c r="AD3" s="18" t="s">
        <v>48</v>
      </c>
      <c r="AE3" s="18" t="s">
        <v>48</v>
      </c>
      <c r="AF3" s="18" t="s">
        <v>77</v>
      </c>
      <c r="AG3" s="18" t="s">
        <v>77</v>
      </c>
      <c r="AH3" s="18" t="s">
        <v>77</v>
      </c>
      <c r="AI3" s="18" t="s">
        <v>78</v>
      </c>
      <c r="AJ3" s="18" t="s">
        <v>78</v>
      </c>
      <c r="AK3" s="18" t="s">
        <v>78</v>
      </c>
      <c r="AL3" s="18" t="s">
        <v>78</v>
      </c>
      <c r="AM3" s="18" t="s">
        <v>78</v>
      </c>
      <c r="AN3" s="18" t="s">
        <v>78</v>
      </c>
      <c r="AO3" s="18" t="s">
        <v>78</v>
      </c>
      <c r="AP3" s="18" t="s">
        <v>78</v>
      </c>
      <c r="AQ3" s="18" t="s">
        <v>78</v>
      </c>
      <c r="AR3" s="18" t="s">
        <v>78</v>
      </c>
      <c r="AS3" s="18" t="s">
        <v>78</v>
      </c>
      <c r="AT3" s="18" t="s">
        <v>78</v>
      </c>
      <c r="AU3" s="50"/>
      <c r="AV3" s="50"/>
      <c r="AW3" s="18"/>
    </row>
    <row r="4" spans="1:50" ht="20" x14ac:dyDescent="0.2">
      <c r="B4" s="19" t="s">
        <v>105</v>
      </c>
      <c r="C4" s="67" t="s">
        <v>1034</v>
      </c>
      <c r="D4" s="65">
        <v>24</v>
      </c>
      <c r="E4" s="248">
        <v>1</v>
      </c>
      <c r="F4" s="247">
        <f>D4*E4</f>
        <v>24</v>
      </c>
      <c r="G4" s="114">
        <f>H4*1000/(24*365*D4)</f>
        <v>0.33115881537523117</v>
      </c>
      <c r="H4" s="65">
        <v>69.622829344488608</v>
      </c>
      <c r="I4" s="107">
        <v>2</v>
      </c>
      <c r="J4" s="67">
        <v>2009</v>
      </c>
      <c r="K4" s="51"/>
      <c r="L4" s="61"/>
      <c r="M4" s="61"/>
      <c r="N4" s="61"/>
      <c r="O4" s="61"/>
      <c r="P4" s="61"/>
      <c r="R4" s="61"/>
      <c r="S4" s="51"/>
      <c r="T4" s="48"/>
      <c r="U4" s="51"/>
      <c r="V4" s="33"/>
      <c r="W4" s="19" t="s">
        <v>105</v>
      </c>
      <c r="X4" s="33"/>
      <c r="Y4" s="19"/>
      <c r="Z4" s="33"/>
      <c r="AA4" s="70"/>
      <c r="AB4" s="94" t="s">
        <v>105</v>
      </c>
      <c r="AC4" s="95">
        <v>876.15</v>
      </c>
      <c r="AD4" s="95">
        <v>876.67</v>
      </c>
      <c r="AE4" s="95">
        <v>876.67</v>
      </c>
      <c r="AF4" s="61"/>
      <c r="AG4" s="61"/>
      <c r="AH4" s="61"/>
      <c r="AI4" s="95">
        <v>7.66</v>
      </c>
      <c r="AJ4" s="95">
        <v>7.34</v>
      </c>
      <c r="AK4" s="95">
        <v>9.25</v>
      </c>
      <c r="AL4" s="95">
        <v>30.8</v>
      </c>
      <c r="AM4" s="95">
        <v>96.8</v>
      </c>
      <c r="AN4" s="95">
        <v>109</v>
      </c>
      <c r="AO4" s="95">
        <v>52</v>
      </c>
      <c r="AP4" s="95">
        <v>21.5</v>
      </c>
      <c r="AQ4" s="95">
        <v>15.6</v>
      </c>
      <c r="AR4" s="95">
        <v>14.4</v>
      </c>
      <c r="AS4" s="95">
        <v>12.8</v>
      </c>
      <c r="AT4" s="95">
        <v>9.32</v>
      </c>
      <c r="AU4" s="61"/>
      <c r="AV4" s="61"/>
      <c r="AW4" s="19"/>
    </row>
    <row r="5" spans="1:50" ht="20" x14ac:dyDescent="0.2">
      <c r="B5" s="19" t="s">
        <v>111</v>
      </c>
      <c r="C5" s="67" t="s">
        <v>1034</v>
      </c>
      <c r="D5" s="65">
        <v>9</v>
      </c>
      <c r="E5" s="248">
        <v>1</v>
      </c>
      <c r="F5" s="247">
        <f t="shared" ref="F5:F49" si="0">D5*E5</f>
        <v>9</v>
      </c>
      <c r="G5" s="114">
        <f t="shared" ref="G5:G49" si="1">H5*1000/(24*365*D5)</f>
        <v>0.33115880423008626</v>
      </c>
      <c r="H5" s="65">
        <v>26.108560125499999</v>
      </c>
      <c r="I5" s="107">
        <v>1</v>
      </c>
      <c r="J5" s="51"/>
      <c r="K5" s="51"/>
      <c r="L5" s="61"/>
      <c r="M5" s="61"/>
      <c r="N5" s="61"/>
      <c r="O5" s="61"/>
      <c r="P5" s="61"/>
      <c r="Q5" s="61"/>
      <c r="R5" s="61"/>
      <c r="S5" s="51"/>
      <c r="T5" s="51"/>
      <c r="U5" s="51"/>
      <c r="V5" s="33"/>
      <c r="W5" s="19" t="s">
        <v>350</v>
      </c>
      <c r="X5" s="33"/>
      <c r="Y5" s="19" t="s">
        <v>351</v>
      </c>
      <c r="Z5" s="33"/>
      <c r="AA5" s="70"/>
      <c r="AB5" s="94" t="s">
        <v>350</v>
      </c>
      <c r="AC5" s="95">
        <v>112.6</v>
      </c>
      <c r="AD5" s="95">
        <v>125.5</v>
      </c>
      <c r="AE5" s="95">
        <v>122.92</v>
      </c>
      <c r="AF5" s="61"/>
      <c r="AG5" s="61"/>
      <c r="AH5" s="61"/>
      <c r="AI5" s="95">
        <v>10.052475919999999</v>
      </c>
      <c r="AJ5" s="95">
        <v>8.6511555849999997</v>
      </c>
      <c r="AK5" s="95">
        <v>8.9568230940000007</v>
      </c>
      <c r="AL5" s="95">
        <v>13.282428530000001</v>
      </c>
      <c r="AM5" s="95">
        <v>32.389659739999999</v>
      </c>
      <c r="AN5" s="95">
        <v>49.795656489999999</v>
      </c>
      <c r="AO5" s="95">
        <v>38.285355330000002</v>
      </c>
      <c r="AP5" s="95">
        <v>23.59401214</v>
      </c>
      <c r="AQ5" s="95">
        <v>15.0538527</v>
      </c>
      <c r="AR5" s="95">
        <v>14.89088785</v>
      </c>
      <c r="AS5" s="95">
        <v>14.38133711</v>
      </c>
      <c r="AT5" s="95">
        <v>10.666355510000001</v>
      </c>
      <c r="AU5" s="61"/>
      <c r="AV5" s="61"/>
      <c r="AW5" s="19"/>
    </row>
    <row r="6" spans="1:50" ht="40" x14ac:dyDescent="0.2">
      <c r="B6" s="19" t="s">
        <v>2851</v>
      </c>
      <c r="C6" s="63" t="s">
        <v>1034</v>
      </c>
      <c r="D6" s="65">
        <v>185</v>
      </c>
      <c r="E6" s="248">
        <v>1</v>
      </c>
      <c r="F6" s="247">
        <f t="shared" si="0"/>
        <v>185</v>
      </c>
      <c r="G6" s="114">
        <f t="shared" si="1"/>
        <v>0.47328150067876096</v>
      </c>
      <c r="H6" s="64">
        <v>767</v>
      </c>
      <c r="I6" s="107">
        <v>2</v>
      </c>
      <c r="J6" s="51"/>
      <c r="K6" s="51"/>
      <c r="L6" s="61"/>
      <c r="M6" s="61"/>
      <c r="N6" s="61"/>
      <c r="O6" s="61"/>
      <c r="P6" s="61"/>
      <c r="Q6" s="61"/>
      <c r="R6" s="61"/>
      <c r="S6" s="51"/>
      <c r="T6" s="48"/>
      <c r="U6" s="51"/>
      <c r="V6" s="33"/>
      <c r="W6" s="19" t="s">
        <v>352</v>
      </c>
      <c r="X6" s="93" t="s">
        <v>353</v>
      </c>
      <c r="Y6" s="19" t="s">
        <v>354</v>
      </c>
      <c r="Z6" s="93" t="s">
        <v>355</v>
      </c>
      <c r="AA6" s="70"/>
      <c r="AB6" s="94" t="s">
        <v>352</v>
      </c>
      <c r="AC6" s="95">
        <v>418.64</v>
      </c>
      <c r="AD6" s="95">
        <v>440.1</v>
      </c>
      <c r="AE6" s="95">
        <v>435.80799999999999</v>
      </c>
      <c r="AF6" s="61"/>
      <c r="AG6" s="61"/>
      <c r="AH6" s="61"/>
      <c r="AI6" s="95">
        <v>130</v>
      </c>
      <c r="AJ6" s="95">
        <v>117</v>
      </c>
      <c r="AK6" s="95">
        <v>131</v>
      </c>
      <c r="AL6" s="95">
        <v>293</v>
      </c>
      <c r="AM6" s="95">
        <v>771</v>
      </c>
      <c r="AN6" s="95">
        <v>987</v>
      </c>
      <c r="AO6" s="95">
        <v>691</v>
      </c>
      <c r="AP6" s="95">
        <v>367</v>
      </c>
      <c r="AQ6" s="95">
        <v>250</v>
      </c>
      <c r="AR6" s="95">
        <v>202</v>
      </c>
      <c r="AS6" s="95">
        <v>178</v>
      </c>
      <c r="AT6" s="95">
        <v>139</v>
      </c>
      <c r="AU6" s="61"/>
      <c r="AV6" s="61"/>
      <c r="AW6" s="19" t="s">
        <v>356</v>
      </c>
    </row>
    <row r="7" spans="1:50" ht="20" x14ac:dyDescent="0.2">
      <c r="B7" s="19" t="s">
        <v>117</v>
      </c>
      <c r="C7" s="67" t="s">
        <v>1034</v>
      </c>
      <c r="D7" s="65">
        <v>28</v>
      </c>
      <c r="E7" s="248">
        <v>1</v>
      </c>
      <c r="F7" s="247">
        <f t="shared" si="0"/>
        <v>28</v>
      </c>
      <c r="G7" s="114">
        <f t="shared" si="1"/>
        <v>0.3311588354221624</v>
      </c>
      <c r="H7" s="65">
        <v>81.226639152348</v>
      </c>
      <c r="I7" s="107">
        <v>1</v>
      </c>
      <c r="J7" s="51"/>
      <c r="K7" s="51"/>
      <c r="L7" s="61"/>
      <c r="M7" s="61"/>
      <c r="N7" s="61"/>
      <c r="O7" s="61"/>
      <c r="P7" s="61"/>
      <c r="Q7" s="61"/>
      <c r="R7" s="61"/>
      <c r="S7" s="51"/>
      <c r="T7" s="48"/>
      <c r="U7" s="51"/>
      <c r="V7" s="33"/>
      <c r="W7" s="19" t="s">
        <v>357</v>
      </c>
      <c r="X7" s="33"/>
      <c r="Y7" s="19"/>
      <c r="Z7" s="33"/>
      <c r="AA7" s="70"/>
      <c r="AB7" s="94" t="s">
        <v>357</v>
      </c>
      <c r="AC7" s="95">
        <v>320</v>
      </c>
      <c r="AD7" s="95">
        <v>330.71</v>
      </c>
      <c r="AE7" s="95">
        <v>328.56799999999998</v>
      </c>
      <c r="AF7" s="61"/>
      <c r="AG7" s="61"/>
      <c r="AH7" s="61"/>
      <c r="AI7" s="95">
        <v>25</v>
      </c>
      <c r="AJ7" s="95">
        <v>24</v>
      </c>
      <c r="AK7" s="95">
        <v>21</v>
      </c>
      <c r="AL7" s="95">
        <v>24</v>
      </c>
      <c r="AM7" s="95">
        <v>28</v>
      </c>
      <c r="AN7" s="95">
        <v>24</v>
      </c>
      <c r="AO7" s="95">
        <v>13</v>
      </c>
      <c r="AP7" s="95">
        <v>7</v>
      </c>
      <c r="AQ7" s="95">
        <v>7</v>
      </c>
      <c r="AR7" s="95">
        <v>21</v>
      </c>
      <c r="AS7" s="95">
        <v>32</v>
      </c>
      <c r="AT7" s="95">
        <v>29</v>
      </c>
      <c r="AU7" s="61"/>
      <c r="AV7" s="61"/>
      <c r="AW7" s="19"/>
    </row>
    <row r="8" spans="1:50" ht="40" x14ac:dyDescent="0.2">
      <c r="B8" s="19" t="s">
        <v>140</v>
      </c>
      <c r="C8" s="67" t="s">
        <v>1034</v>
      </c>
      <c r="D8" s="65">
        <v>480</v>
      </c>
      <c r="E8" s="248">
        <v>1</v>
      </c>
      <c r="F8" s="247">
        <f t="shared" si="0"/>
        <v>480</v>
      </c>
      <c r="G8" s="114">
        <f t="shared" si="1"/>
        <v>0.33115866235334046</v>
      </c>
      <c r="H8" s="65">
        <v>1392.4559434633259</v>
      </c>
      <c r="I8" s="107">
        <v>8</v>
      </c>
      <c r="J8" s="51"/>
      <c r="K8" s="51"/>
      <c r="L8" s="61"/>
      <c r="M8" s="61"/>
      <c r="N8" s="61"/>
      <c r="O8" s="61"/>
      <c r="P8" s="61"/>
      <c r="Q8" s="61"/>
      <c r="R8" s="61"/>
      <c r="S8" s="51"/>
      <c r="T8" s="99"/>
      <c r="U8" s="51"/>
      <c r="V8" s="33"/>
      <c r="W8" s="92" t="s">
        <v>358</v>
      </c>
      <c r="X8" s="33"/>
      <c r="Y8" s="19" t="s">
        <v>305</v>
      </c>
      <c r="Z8" s="33"/>
      <c r="AA8" s="70"/>
      <c r="AB8" s="92" t="s">
        <v>359</v>
      </c>
      <c r="AC8" s="95">
        <v>606.54999999999995</v>
      </c>
      <c r="AD8" s="95">
        <v>651.08000000000004</v>
      </c>
      <c r="AE8" s="95">
        <v>642.17399999999998</v>
      </c>
      <c r="AF8" s="61"/>
      <c r="AG8" s="61"/>
      <c r="AH8" s="61"/>
      <c r="AI8" s="95">
        <v>16</v>
      </c>
      <c r="AJ8" s="95">
        <v>14</v>
      </c>
      <c r="AK8" s="95">
        <v>14</v>
      </c>
      <c r="AL8" s="95">
        <v>21</v>
      </c>
      <c r="AM8" s="95">
        <v>78</v>
      </c>
      <c r="AN8" s="95">
        <v>159</v>
      </c>
      <c r="AO8" s="95">
        <v>128</v>
      </c>
      <c r="AP8" s="95">
        <v>73</v>
      </c>
      <c r="AQ8" s="95">
        <v>38</v>
      </c>
      <c r="AR8" s="95">
        <v>31</v>
      </c>
      <c r="AS8" s="95">
        <v>25</v>
      </c>
      <c r="AT8" s="95">
        <v>19</v>
      </c>
      <c r="AU8" s="61"/>
      <c r="AV8" s="61"/>
      <c r="AW8" s="19"/>
    </row>
    <row r="9" spans="1:50" ht="40" x14ac:dyDescent="0.2">
      <c r="B9" s="19" t="s">
        <v>145</v>
      </c>
      <c r="C9" s="63" t="s">
        <v>1034</v>
      </c>
      <c r="D9" s="65">
        <v>127.5</v>
      </c>
      <c r="E9" s="248">
        <v>1</v>
      </c>
      <c r="F9" s="247">
        <f>D9*E9</f>
        <v>127.5</v>
      </c>
      <c r="G9" s="114">
        <f>H9*1000/(24*365*D9)</f>
        <v>0.3838033843674456</v>
      </c>
      <c r="H9" s="64">
        <v>428.67</v>
      </c>
      <c r="I9" s="107">
        <v>1</v>
      </c>
      <c r="J9" s="51"/>
      <c r="K9" s="51"/>
      <c r="L9" s="61"/>
      <c r="M9" s="61"/>
      <c r="N9" s="61"/>
      <c r="O9" s="61"/>
      <c r="P9" s="61"/>
      <c r="Q9" s="61"/>
      <c r="R9" s="61"/>
      <c r="S9" s="51"/>
      <c r="T9" s="51"/>
      <c r="U9" s="51"/>
      <c r="V9" s="33"/>
      <c r="W9" s="19" t="s">
        <v>142</v>
      </c>
      <c r="X9" s="33"/>
      <c r="Y9" s="19" t="s">
        <v>354</v>
      </c>
      <c r="Z9" s="93" t="s">
        <v>355</v>
      </c>
      <c r="AA9" s="70"/>
      <c r="AB9" s="94" t="s">
        <v>142</v>
      </c>
      <c r="AC9" s="61"/>
      <c r="AD9" s="61"/>
      <c r="AE9" s="61"/>
      <c r="AF9" s="61"/>
      <c r="AG9" s="61"/>
      <c r="AH9" s="61"/>
      <c r="AI9" s="61"/>
      <c r="AJ9" s="61"/>
      <c r="AK9" s="61"/>
      <c r="AL9" s="61"/>
      <c r="AM9" s="61"/>
      <c r="AN9" s="61"/>
      <c r="AO9" s="61"/>
      <c r="AP9" s="61"/>
      <c r="AQ9" s="61"/>
      <c r="AR9" s="61"/>
      <c r="AS9" s="61"/>
      <c r="AT9" s="61"/>
      <c r="AU9" s="61"/>
      <c r="AV9" s="61"/>
      <c r="AW9" s="19" t="s">
        <v>356</v>
      </c>
    </row>
    <row r="10" spans="1:50" ht="40" x14ac:dyDescent="0.2">
      <c r="B10" s="19" t="s">
        <v>142</v>
      </c>
      <c r="C10" s="63" t="s">
        <v>1034</v>
      </c>
      <c r="D10" s="65">
        <v>150</v>
      </c>
      <c r="E10" s="248">
        <v>1</v>
      </c>
      <c r="F10" s="247">
        <f t="shared" si="0"/>
        <v>150</v>
      </c>
      <c r="G10" s="114">
        <f t="shared" si="1"/>
        <v>0.33115880394671537</v>
      </c>
      <c r="H10" s="65">
        <v>435.14266838598405</v>
      </c>
      <c r="I10" s="107">
        <v>4</v>
      </c>
      <c r="J10" s="51"/>
      <c r="K10" s="51"/>
      <c r="L10" s="61"/>
      <c r="M10" s="61"/>
      <c r="N10" s="61"/>
      <c r="O10" s="61"/>
      <c r="P10" s="61"/>
      <c r="Q10" s="61"/>
      <c r="R10" s="61"/>
      <c r="S10" s="51"/>
      <c r="T10" s="51"/>
      <c r="U10" s="51"/>
      <c r="V10" s="33"/>
      <c r="W10" s="19" t="s">
        <v>142</v>
      </c>
      <c r="X10" s="33"/>
      <c r="Y10" s="19" t="s">
        <v>354</v>
      </c>
      <c r="Z10" s="93" t="s">
        <v>355</v>
      </c>
      <c r="AA10" s="70"/>
      <c r="AB10" s="94" t="s">
        <v>142</v>
      </c>
      <c r="AC10" s="61"/>
      <c r="AD10" s="61"/>
      <c r="AE10" s="61"/>
      <c r="AF10" s="61"/>
      <c r="AG10" s="61"/>
      <c r="AH10" s="61"/>
      <c r="AI10" s="61"/>
      <c r="AJ10" s="61"/>
      <c r="AK10" s="61"/>
      <c r="AL10" s="61"/>
      <c r="AM10" s="61"/>
      <c r="AN10" s="61"/>
      <c r="AO10" s="61"/>
      <c r="AP10" s="61"/>
      <c r="AQ10" s="61"/>
      <c r="AR10" s="61"/>
      <c r="AS10" s="61"/>
      <c r="AT10" s="61"/>
      <c r="AU10" s="61"/>
      <c r="AV10" s="61"/>
      <c r="AW10" s="19" t="s">
        <v>356</v>
      </c>
    </row>
    <row r="11" spans="1:50" ht="20" x14ac:dyDescent="0.2">
      <c r="A11" s="82"/>
      <c r="B11" s="19" t="s">
        <v>2769</v>
      </c>
      <c r="C11" s="63" t="s">
        <v>1034</v>
      </c>
      <c r="D11" s="65">
        <v>7.2</v>
      </c>
      <c r="E11" s="248">
        <v>1</v>
      </c>
      <c r="F11" s="247">
        <f t="shared" si="0"/>
        <v>7.2</v>
      </c>
      <c r="G11" s="114">
        <f t="shared" si="1"/>
        <v>0.90372907153729076</v>
      </c>
      <c r="H11" s="64">
        <v>57</v>
      </c>
      <c r="I11" s="107">
        <v>1</v>
      </c>
      <c r="J11" s="51"/>
      <c r="K11" s="51"/>
      <c r="L11" s="61"/>
      <c r="M11" s="61"/>
      <c r="N11" s="61"/>
      <c r="O11" s="61"/>
      <c r="P11" s="61"/>
      <c r="Q11" s="61"/>
      <c r="R11" s="61"/>
      <c r="S11" s="51"/>
      <c r="T11" s="51"/>
      <c r="U11" s="51"/>
      <c r="V11" s="33"/>
      <c r="W11" s="19"/>
      <c r="X11" s="33"/>
      <c r="Y11" s="19"/>
      <c r="Z11" s="33"/>
      <c r="AA11" s="70"/>
      <c r="AB11" s="97"/>
      <c r="AC11" s="61"/>
      <c r="AD11" s="61"/>
      <c r="AE11" s="61"/>
      <c r="AF11" s="61"/>
      <c r="AG11" s="61"/>
      <c r="AH11" s="61"/>
      <c r="AI11" s="61"/>
      <c r="AJ11" s="61"/>
      <c r="AK11" s="61"/>
      <c r="AL11" s="61"/>
      <c r="AM11" s="61"/>
      <c r="AN11" s="61"/>
      <c r="AO11" s="61"/>
      <c r="AP11" s="61"/>
      <c r="AQ11" s="61"/>
      <c r="AR11" s="61"/>
      <c r="AS11" s="61"/>
      <c r="AT11" s="61"/>
      <c r="AU11" s="61"/>
      <c r="AV11" s="61"/>
      <c r="AW11" s="19"/>
    </row>
    <row r="12" spans="1:50" ht="20" x14ac:dyDescent="0.2">
      <c r="A12" s="82"/>
      <c r="B12" s="19" t="s">
        <v>148</v>
      </c>
      <c r="C12" s="67" t="s">
        <v>1034</v>
      </c>
      <c r="D12" s="65">
        <v>55</v>
      </c>
      <c r="E12" s="248">
        <v>1</v>
      </c>
      <c r="F12" s="247">
        <f t="shared" si="0"/>
        <v>55</v>
      </c>
      <c r="G12" s="114">
        <f t="shared" si="1"/>
        <v>0.33115882901908678</v>
      </c>
      <c r="H12" s="65">
        <v>159.55232382139602</v>
      </c>
      <c r="I12" s="107">
        <v>1</v>
      </c>
      <c r="J12" s="67">
        <v>1951</v>
      </c>
      <c r="K12" s="51"/>
      <c r="L12" s="61"/>
      <c r="M12" s="61"/>
      <c r="N12" s="61"/>
      <c r="O12" s="61"/>
      <c r="P12" s="61"/>
      <c r="Q12" s="61"/>
      <c r="R12" s="61"/>
      <c r="S12" s="51"/>
      <c r="T12" s="51"/>
      <c r="U12" s="51"/>
      <c r="V12" s="33"/>
      <c r="W12" s="19" t="s">
        <v>148</v>
      </c>
      <c r="X12" s="33"/>
      <c r="Y12" s="19"/>
      <c r="Z12" s="33"/>
      <c r="AA12" s="70"/>
      <c r="AB12" s="94" t="s">
        <v>148</v>
      </c>
      <c r="AC12" s="61"/>
      <c r="AD12" s="61"/>
      <c r="AE12" s="61"/>
      <c r="AF12" s="61"/>
      <c r="AG12" s="61"/>
      <c r="AH12" s="61"/>
      <c r="AI12" s="61"/>
      <c r="AJ12" s="61"/>
      <c r="AK12" s="61"/>
      <c r="AL12" s="61"/>
      <c r="AM12" s="61"/>
      <c r="AN12" s="61"/>
      <c r="AO12" s="61"/>
      <c r="AP12" s="61"/>
      <c r="AQ12" s="61"/>
      <c r="AR12" s="61"/>
      <c r="AS12" s="61"/>
      <c r="AT12" s="61"/>
      <c r="AU12" s="61"/>
      <c r="AV12" s="61"/>
      <c r="AW12" s="19"/>
      <c r="AX12" s="82"/>
    </row>
    <row r="13" spans="1:50" ht="20" x14ac:dyDescent="0.2">
      <c r="B13" s="19" t="s">
        <v>163</v>
      </c>
      <c r="C13" s="67" t="s">
        <v>1034</v>
      </c>
      <c r="D13" s="65">
        <v>158</v>
      </c>
      <c r="E13" s="248">
        <v>1</v>
      </c>
      <c r="F13" s="247">
        <f t="shared" si="0"/>
        <v>158</v>
      </c>
      <c r="G13" s="114">
        <f t="shared" si="1"/>
        <v>0.37726954975861504</v>
      </c>
      <c r="H13" s="65">
        <v>522.17123842990395</v>
      </c>
      <c r="I13" s="107">
        <v>2</v>
      </c>
      <c r="J13" s="51"/>
      <c r="K13" s="51"/>
      <c r="L13" s="61"/>
      <c r="M13" s="61"/>
      <c r="N13" s="61"/>
      <c r="O13" s="61"/>
      <c r="P13" s="61"/>
      <c r="Q13" s="61"/>
      <c r="R13" s="61"/>
      <c r="S13" s="51"/>
      <c r="T13" s="51"/>
      <c r="U13" s="51"/>
      <c r="V13" s="33"/>
      <c r="W13" s="19" t="s">
        <v>360</v>
      </c>
      <c r="X13" s="33"/>
      <c r="Y13" s="19"/>
      <c r="Z13" s="33"/>
      <c r="AA13" s="70"/>
      <c r="AB13" s="94" t="s">
        <v>360</v>
      </c>
      <c r="AC13" s="95">
        <v>362.1</v>
      </c>
      <c r="AD13" s="95">
        <v>373.5</v>
      </c>
      <c r="AE13" s="95">
        <v>371.22</v>
      </c>
      <c r="AF13" s="61"/>
      <c r="AG13" s="61"/>
      <c r="AH13" s="61"/>
      <c r="AI13" s="95">
        <v>20</v>
      </c>
      <c r="AJ13" s="95">
        <v>21</v>
      </c>
      <c r="AK13" s="95">
        <v>22</v>
      </c>
      <c r="AL13" s="95">
        <v>33</v>
      </c>
      <c r="AM13" s="95">
        <v>75</v>
      </c>
      <c r="AN13" s="95">
        <v>115</v>
      </c>
      <c r="AO13" s="95">
        <v>105</v>
      </c>
      <c r="AP13" s="95">
        <v>68</v>
      </c>
      <c r="AQ13" s="95">
        <v>41</v>
      </c>
      <c r="AR13" s="95">
        <v>43</v>
      </c>
      <c r="AS13" s="95">
        <v>40</v>
      </c>
      <c r="AT13" s="95">
        <v>25</v>
      </c>
      <c r="AU13" s="61"/>
      <c r="AV13" s="61"/>
      <c r="AW13" s="19"/>
    </row>
    <row r="14" spans="1:50" ht="20" x14ac:dyDescent="0.2">
      <c r="B14" s="19" t="s">
        <v>168</v>
      </c>
      <c r="C14" s="67" t="s">
        <v>1034</v>
      </c>
      <c r="D14" s="65">
        <v>33</v>
      </c>
      <c r="E14" s="248">
        <v>1</v>
      </c>
      <c r="F14" s="247">
        <f t="shared" si="0"/>
        <v>33</v>
      </c>
      <c r="G14" s="114">
        <f t="shared" si="1"/>
        <v>0.45158020866738624</v>
      </c>
      <c r="H14" s="65">
        <v>130.54280672156801</v>
      </c>
      <c r="I14" s="107">
        <v>1</v>
      </c>
      <c r="J14" s="51"/>
      <c r="K14" s="51"/>
      <c r="L14" s="61"/>
      <c r="M14" s="61"/>
      <c r="N14" s="61"/>
      <c r="O14" s="61"/>
      <c r="P14" s="61"/>
      <c r="Q14" s="61"/>
      <c r="R14" s="61"/>
      <c r="S14" s="51"/>
      <c r="T14" s="51"/>
      <c r="U14" s="51"/>
      <c r="V14" s="93" t="s">
        <v>361</v>
      </c>
      <c r="W14" s="19" t="s">
        <v>362</v>
      </c>
      <c r="X14" s="33"/>
      <c r="Y14" s="19"/>
      <c r="Z14" s="33"/>
      <c r="AA14" s="70"/>
      <c r="AB14" s="94" t="s">
        <v>168</v>
      </c>
      <c r="AC14" s="95">
        <v>45</v>
      </c>
      <c r="AD14" s="95">
        <v>52.5</v>
      </c>
      <c r="AE14" s="95">
        <v>51</v>
      </c>
      <c r="AF14" s="61"/>
      <c r="AG14" s="61"/>
      <c r="AH14" s="61"/>
      <c r="AI14" s="95">
        <v>25</v>
      </c>
      <c r="AJ14" s="95">
        <v>26</v>
      </c>
      <c r="AK14" s="95">
        <v>24</v>
      </c>
      <c r="AL14" s="95">
        <v>29</v>
      </c>
      <c r="AM14" s="95">
        <v>56</v>
      </c>
      <c r="AN14" s="95">
        <v>70</v>
      </c>
      <c r="AO14" s="95">
        <v>55</v>
      </c>
      <c r="AP14" s="95">
        <v>29</v>
      </c>
      <c r="AQ14" s="95">
        <v>24</v>
      </c>
      <c r="AR14" s="95">
        <v>39</v>
      </c>
      <c r="AS14" s="95">
        <v>42</v>
      </c>
      <c r="AT14" s="95">
        <v>30</v>
      </c>
      <c r="AU14" s="61"/>
      <c r="AV14" s="61"/>
      <c r="AW14" s="19" t="s">
        <v>363</v>
      </c>
    </row>
    <row r="15" spans="1:50" ht="40" x14ac:dyDescent="0.2">
      <c r="B15" s="19" t="s">
        <v>172</v>
      </c>
      <c r="C15" s="52" t="s">
        <v>1034</v>
      </c>
      <c r="D15" s="65">
        <v>51</v>
      </c>
      <c r="E15" s="248">
        <v>1</v>
      </c>
      <c r="F15" s="247">
        <f t="shared" si="0"/>
        <v>51</v>
      </c>
      <c r="G15" s="114">
        <f t="shared" si="1"/>
        <v>0.33115880784110596</v>
      </c>
      <c r="H15" s="65">
        <v>147.9485089910925</v>
      </c>
      <c r="I15" s="107">
        <v>3</v>
      </c>
      <c r="J15" s="51"/>
      <c r="K15" s="51"/>
      <c r="L15" s="61"/>
      <c r="M15" s="61"/>
      <c r="N15" s="61"/>
      <c r="O15" s="61"/>
      <c r="P15" s="61"/>
      <c r="Q15" s="61"/>
      <c r="R15" s="61"/>
      <c r="S15" s="51"/>
      <c r="T15" s="51"/>
      <c r="U15" s="51"/>
      <c r="V15" s="93" t="s">
        <v>364</v>
      </c>
      <c r="W15" s="19" t="s">
        <v>174</v>
      </c>
      <c r="X15" s="33"/>
      <c r="Y15" s="19" t="s">
        <v>330</v>
      </c>
      <c r="Z15" s="33"/>
      <c r="AA15" s="70"/>
      <c r="AB15" s="94" t="s">
        <v>174</v>
      </c>
      <c r="AC15" s="61"/>
      <c r="AD15" s="61"/>
      <c r="AE15" s="61"/>
      <c r="AF15" s="61"/>
      <c r="AG15" s="61"/>
      <c r="AH15" s="61"/>
      <c r="AI15" s="61"/>
      <c r="AJ15" s="61"/>
      <c r="AK15" s="61"/>
      <c r="AL15" s="61"/>
      <c r="AM15" s="61"/>
      <c r="AN15" s="61"/>
      <c r="AO15" s="61"/>
      <c r="AP15" s="61"/>
      <c r="AQ15" s="61"/>
      <c r="AR15" s="61"/>
      <c r="AS15" s="61"/>
      <c r="AT15" s="61"/>
      <c r="AU15" s="61"/>
      <c r="AV15" s="61"/>
      <c r="AW15" s="19"/>
    </row>
    <row r="16" spans="1:50" s="7" customFormat="1" ht="20" x14ac:dyDescent="0.25">
      <c r="A16" s="36"/>
      <c r="B16" s="19" t="s">
        <v>766</v>
      </c>
      <c r="C16" s="51"/>
      <c r="D16" s="51"/>
      <c r="E16" s="51"/>
      <c r="F16" s="61"/>
      <c r="G16" s="51"/>
      <c r="H16" s="51"/>
      <c r="I16" s="107"/>
      <c r="J16" s="51"/>
      <c r="K16" s="51"/>
      <c r="L16" s="61"/>
      <c r="M16" s="61"/>
      <c r="N16" s="61"/>
      <c r="O16" s="61"/>
      <c r="P16" s="61"/>
      <c r="Q16" s="61"/>
      <c r="R16" s="61"/>
      <c r="S16" s="51"/>
      <c r="T16" s="51"/>
      <c r="U16" s="51"/>
      <c r="V16" s="33"/>
      <c r="W16" s="19" t="s">
        <v>395</v>
      </c>
      <c r="X16" s="33"/>
      <c r="Y16" s="19" t="s">
        <v>396</v>
      </c>
      <c r="Z16" s="33"/>
      <c r="AA16" s="70"/>
      <c r="AB16" s="94" t="s">
        <v>395</v>
      </c>
      <c r="AC16" s="95">
        <v>358.68</v>
      </c>
      <c r="AD16" s="95">
        <v>386.2</v>
      </c>
      <c r="AE16" s="95">
        <v>380</v>
      </c>
      <c r="AF16" s="61"/>
      <c r="AG16" s="61"/>
      <c r="AH16" s="61"/>
      <c r="AI16" s="95">
        <v>23</v>
      </c>
      <c r="AJ16" s="95">
        <v>21</v>
      </c>
      <c r="AK16" s="95">
        <v>16</v>
      </c>
      <c r="AL16" s="95">
        <v>12</v>
      </c>
      <c r="AM16" s="95">
        <v>7</v>
      </c>
      <c r="AN16" s="95">
        <v>3</v>
      </c>
      <c r="AO16" s="95">
        <v>2</v>
      </c>
      <c r="AP16" s="95">
        <v>1</v>
      </c>
      <c r="AQ16" s="95">
        <v>3</v>
      </c>
      <c r="AR16" s="95">
        <v>11</v>
      </c>
      <c r="AS16" s="95">
        <v>25</v>
      </c>
      <c r="AT16" s="95">
        <v>25</v>
      </c>
      <c r="AU16" s="61"/>
      <c r="AV16" s="61"/>
      <c r="AW16" s="19"/>
    </row>
    <row r="17" spans="1:49" ht="20" x14ac:dyDescent="0.2">
      <c r="A17" s="82"/>
      <c r="B17" s="19" t="s">
        <v>196</v>
      </c>
      <c r="C17" s="63" t="s">
        <v>1034</v>
      </c>
      <c r="D17" s="65">
        <v>1.1299999999999999</v>
      </c>
      <c r="E17" s="248">
        <v>1</v>
      </c>
      <c r="F17" s="247">
        <f t="shared" si="0"/>
        <v>1.1299999999999999</v>
      </c>
      <c r="G17" s="114">
        <f t="shared" si="1"/>
        <v>0.40408938457186733</v>
      </c>
      <c r="H17" s="64">
        <v>4</v>
      </c>
      <c r="I17" s="107">
        <v>1</v>
      </c>
      <c r="J17" s="51"/>
      <c r="K17" s="51"/>
      <c r="L17" s="61"/>
      <c r="M17" s="61"/>
      <c r="N17" s="61"/>
      <c r="O17" s="61"/>
      <c r="P17" s="61"/>
      <c r="Q17" s="61"/>
      <c r="R17" s="61"/>
      <c r="S17" s="51"/>
      <c r="T17" s="51"/>
      <c r="U17" s="51"/>
      <c r="V17" s="33"/>
      <c r="W17" s="19"/>
      <c r="X17" s="33"/>
      <c r="Y17" s="19"/>
      <c r="Z17" s="33"/>
      <c r="AA17" s="70"/>
      <c r="AB17" s="97"/>
      <c r="AC17" s="61"/>
      <c r="AD17" s="61"/>
      <c r="AE17" s="61"/>
      <c r="AF17" s="61"/>
      <c r="AG17" s="61"/>
      <c r="AH17" s="61"/>
      <c r="AI17" s="61"/>
      <c r="AJ17" s="61"/>
      <c r="AK17" s="61"/>
      <c r="AL17" s="61"/>
      <c r="AM17" s="61"/>
      <c r="AN17" s="61"/>
      <c r="AO17" s="61"/>
      <c r="AP17" s="61"/>
      <c r="AQ17" s="61"/>
      <c r="AR17" s="61"/>
      <c r="AS17" s="61"/>
      <c r="AT17" s="61"/>
      <c r="AU17" s="61"/>
      <c r="AV17" s="61"/>
      <c r="AW17" s="19"/>
    </row>
    <row r="18" spans="1:49" ht="20" x14ac:dyDescent="0.2">
      <c r="A18" s="82"/>
      <c r="B18" s="19" t="s">
        <v>199</v>
      </c>
      <c r="C18" s="67" t="s">
        <v>1034</v>
      </c>
      <c r="D18" s="65">
        <v>12</v>
      </c>
      <c r="E18" s="248">
        <v>1</v>
      </c>
      <c r="F18" s="247">
        <f t="shared" si="0"/>
        <v>12</v>
      </c>
      <c r="G18" s="114">
        <f t="shared" si="1"/>
        <v>0.33115884455337707</v>
      </c>
      <c r="H18" s="65">
        <v>34.811417739450995</v>
      </c>
      <c r="I18" s="107">
        <v>2</v>
      </c>
      <c r="J18" s="51"/>
      <c r="K18" s="51"/>
      <c r="L18" s="61"/>
      <c r="M18" s="61"/>
      <c r="N18" s="61"/>
      <c r="O18" s="61"/>
      <c r="P18" s="61"/>
      <c r="Q18" s="61"/>
      <c r="R18" s="61"/>
      <c r="S18" s="51"/>
      <c r="T18" s="51"/>
      <c r="U18" s="51"/>
      <c r="V18" s="33"/>
      <c r="W18" s="19"/>
      <c r="X18" s="33"/>
      <c r="Y18" s="19"/>
      <c r="Z18" s="33"/>
      <c r="AA18" s="70"/>
      <c r="AB18" s="97"/>
      <c r="AC18" s="61"/>
      <c r="AD18" s="61"/>
      <c r="AE18" s="61"/>
      <c r="AF18" s="61"/>
      <c r="AG18" s="61"/>
      <c r="AH18" s="61"/>
      <c r="AI18" s="61"/>
      <c r="AJ18" s="61"/>
      <c r="AK18" s="61"/>
      <c r="AL18" s="61"/>
      <c r="AM18" s="61"/>
      <c r="AN18" s="61"/>
      <c r="AO18" s="61"/>
      <c r="AP18" s="61"/>
      <c r="AQ18" s="61"/>
      <c r="AR18" s="61"/>
      <c r="AS18" s="61"/>
      <c r="AT18" s="61"/>
      <c r="AU18" s="61"/>
      <c r="AV18" s="61"/>
      <c r="AW18" s="19"/>
    </row>
    <row r="19" spans="1:49" ht="20" x14ac:dyDescent="0.2">
      <c r="A19" s="82"/>
      <c r="B19" s="19" t="s">
        <v>200</v>
      </c>
      <c r="C19" s="67" t="s">
        <v>1034</v>
      </c>
      <c r="D19" s="65">
        <v>7</v>
      </c>
      <c r="E19" s="248">
        <v>1</v>
      </c>
      <c r="F19" s="247">
        <f t="shared" si="0"/>
        <v>7</v>
      </c>
      <c r="G19" s="114">
        <f t="shared" si="1"/>
        <v>0.33115881734010766</v>
      </c>
      <c r="H19" s="65">
        <v>20.306658679295399</v>
      </c>
      <c r="I19" s="107">
        <v>2</v>
      </c>
      <c r="J19" s="51"/>
      <c r="K19" s="51"/>
      <c r="L19" s="61"/>
      <c r="M19" s="61"/>
      <c r="N19" s="61"/>
      <c r="O19" s="61"/>
      <c r="P19" s="61"/>
      <c r="Q19" s="61"/>
      <c r="R19" s="61"/>
      <c r="S19" s="51"/>
      <c r="T19" s="51"/>
      <c r="U19" s="51"/>
      <c r="V19" s="33"/>
      <c r="W19" s="19"/>
      <c r="X19" s="33"/>
      <c r="Y19" s="19"/>
      <c r="Z19" s="33"/>
      <c r="AA19" s="70"/>
      <c r="AB19" s="97"/>
      <c r="AC19" s="61"/>
      <c r="AD19" s="61"/>
      <c r="AE19" s="61"/>
      <c r="AF19" s="61"/>
      <c r="AG19" s="61"/>
      <c r="AH19" s="61"/>
      <c r="AI19" s="61"/>
      <c r="AJ19" s="61"/>
      <c r="AK19" s="61"/>
      <c r="AL19" s="61"/>
      <c r="AM19" s="61"/>
      <c r="AN19" s="61"/>
      <c r="AO19" s="61"/>
      <c r="AP19" s="61"/>
      <c r="AQ19" s="61"/>
      <c r="AR19" s="61"/>
      <c r="AS19" s="61"/>
      <c r="AT19" s="61"/>
      <c r="AU19" s="61"/>
      <c r="AV19" s="61"/>
      <c r="AW19" s="19"/>
    </row>
    <row r="20" spans="1:49" ht="20" x14ac:dyDescent="0.2">
      <c r="B20" s="19" t="s">
        <v>216</v>
      </c>
      <c r="C20" s="67" t="s">
        <v>977</v>
      </c>
      <c r="D20" s="65">
        <v>3050</v>
      </c>
      <c r="E20" s="248">
        <v>1</v>
      </c>
      <c r="F20" s="247">
        <f t="shared" si="0"/>
        <v>3050</v>
      </c>
      <c r="G20" s="114">
        <f t="shared" si="1"/>
        <v>0.60062317580571523</v>
      </c>
      <c r="H20" s="65">
        <v>16047.450011177099</v>
      </c>
      <c r="I20" s="107">
        <v>10</v>
      </c>
      <c r="J20" s="51"/>
      <c r="K20" s="51"/>
      <c r="L20" s="61"/>
      <c r="M20" s="61"/>
      <c r="N20" s="61"/>
      <c r="O20" s="61"/>
      <c r="P20" s="61"/>
      <c r="Q20" s="61"/>
      <c r="R20" s="61"/>
      <c r="S20" s="51"/>
      <c r="T20" s="51"/>
      <c r="U20" s="51"/>
      <c r="V20" s="33"/>
      <c r="W20" s="19" t="s">
        <v>365</v>
      </c>
      <c r="X20" s="93" t="s">
        <v>366</v>
      </c>
      <c r="Y20" s="19" t="s">
        <v>367</v>
      </c>
      <c r="Z20" s="33"/>
      <c r="AA20" s="70"/>
      <c r="AB20" s="94" t="s">
        <v>365</v>
      </c>
      <c r="AC20" s="95">
        <v>642.03</v>
      </c>
      <c r="AD20" s="95">
        <v>672.08</v>
      </c>
      <c r="AE20" s="95">
        <v>666.07</v>
      </c>
      <c r="AF20" s="61"/>
      <c r="AG20" s="61"/>
      <c r="AH20" s="95">
        <v>39471000000</v>
      </c>
      <c r="AI20" s="95">
        <v>300</v>
      </c>
      <c r="AJ20" s="95">
        <v>255</v>
      </c>
      <c r="AK20" s="95">
        <v>245</v>
      </c>
      <c r="AL20" s="95">
        <v>517</v>
      </c>
      <c r="AM20" s="95">
        <v>2475</v>
      </c>
      <c r="AN20" s="95">
        <v>3706</v>
      </c>
      <c r="AO20" s="95">
        <v>1974</v>
      </c>
      <c r="AP20" s="95">
        <v>990</v>
      </c>
      <c r="AQ20" s="95">
        <v>787</v>
      </c>
      <c r="AR20" s="95">
        <v>795</v>
      </c>
      <c r="AS20" s="95">
        <v>546</v>
      </c>
      <c r="AT20" s="95">
        <v>351</v>
      </c>
      <c r="AU20" s="61"/>
      <c r="AV20" s="61"/>
      <c r="AW20" s="19"/>
    </row>
    <row r="21" spans="1:49" ht="20" x14ac:dyDescent="0.2">
      <c r="B21" s="19" t="s">
        <v>239</v>
      </c>
      <c r="C21" s="67" t="s">
        <v>1034</v>
      </c>
      <c r="D21" s="65">
        <v>138</v>
      </c>
      <c r="E21" s="248">
        <v>1</v>
      </c>
      <c r="F21" s="247">
        <f t="shared" si="0"/>
        <v>138</v>
      </c>
      <c r="G21" s="114">
        <f t="shared" si="1"/>
        <v>0.33115881680399545</v>
      </c>
      <c r="H21" s="65">
        <v>400.33127045801405</v>
      </c>
      <c r="I21" s="107">
        <v>3</v>
      </c>
      <c r="J21" s="67">
        <v>2019</v>
      </c>
      <c r="K21" s="51"/>
      <c r="L21" s="61"/>
      <c r="M21" s="76"/>
      <c r="N21" s="61"/>
      <c r="O21" s="61"/>
      <c r="P21" s="61"/>
      <c r="Q21" s="61"/>
      <c r="R21" s="61"/>
      <c r="S21" s="51"/>
      <c r="T21" s="51"/>
      <c r="U21" s="51"/>
      <c r="V21" s="93" t="s">
        <v>368</v>
      </c>
      <c r="W21" s="19" t="s">
        <v>239</v>
      </c>
      <c r="X21" s="33"/>
      <c r="Y21" s="19"/>
      <c r="Z21" s="33"/>
      <c r="AA21" s="70"/>
      <c r="AB21" s="94" t="s">
        <v>239</v>
      </c>
      <c r="AC21" s="95">
        <v>133.43</v>
      </c>
      <c r="AD21" s="95">
        <v>140.06</v>
      </c>
      <c r="AE21" s="95">
        <v>139.44</v>
      </c>
      <c r="AF21" s="61"/>
      <c r="AG21" s="61"/>
      <c r="AH21" s="61"/>
      <c r="AI21" s="95">
        <v>0</v>
      </c>
      <c r="AJ21" s="95">
        <v>0</v>
      </c>
      <c r="AK21" s="95">
        <v>0</v>
      </c>
      <c r="AL21" s="95">
        <v>0</v>
      </c>
      <c r="AM21" s="95">
        <v>0</v>
      </c>
      <c r="AN21" s="95">
        <v>0</v>
      </c>
      <c r="AO21" s="95">
        <v>0</v>
      </c>
      <c r="AP21" s="95">
        <v>0</v>
      </c>
      <c r="AQ21" s="95">
        <v>0</v>
      </c>
      <c r="AR21" s="95">
        <v>0</v>
      </c>
      <c r="AS21" s="95">
        <v>0</v>
      </c>
      <c r="AT21" s="95">
        <v>0</v>
      </c>
      <c r="AU21" s="61"/>
      <c r="AV21" s="61"/>
      <c r="AW21" s="19"/>
    </row>
    <row r="22" spans="1:49" ht="20" x14ac:dyDescent="0.2">
      <c r="B22" s="19" t="s">
        <v>240</v>
      </c>
      <c r="C22" s="67" t="s">
        <v>1034</v>
      </c>
      <c r="D22" s="65">
        <v>170</v>
      </c>
      <c r="E22" s="248">
        <v>1</v>
      </c>
      <c r="F22" s="247">
        <f t="shared" si="0"/>
        <v>170</v>
      </c>
      <c r="G22" s="114">
        <f t="shared" si="1"/>
        <v>0.33115882101236371</v>
      </c>
      <c r="H22" s="65">
        <v>493.16171625161201</v>
      </c>
      <c r="I22" s="107">
        <v>1</v>
      </c>
      <c r="J22" s="67">
        <v>1971</v>
      </c>
      <c r="K22" s="51"/>
      <c r="L22" s="61"/>
      <c r="M22" s="61"/>
      <c r="N22" s="61"/>
      <c r="O22" s="61"/>
      <c r="P22" s="61"/>
      <c r="Q22" s="61"/>
      <c r="R22" s="61"/>
      <c r="S22" s="51"/>
      <c r="T22" s="48"/>
      <c r="U22" s="51"/>
      <c r="V22" s="33"/>
      <c r="W22" s="19" t="s">
        <v>369</v>
      </c>
      <c r="X22" s="33"/>
      <c r="Y22" s="19"/>
      <c r="Z22" s="33"/>
      <c r="AA22" s="70"/>
      <c r="AB22" s="94" t="s">
        <v>369</v>
      </c>
      <c r="AC22" s="95">
        <v>311.51</v>
      </c>
      <c r="AD22" s="95">
        <v>335.89</v>
      </c>
      <c r="AE22" s="95">
        <v>330</v>
      </c>
      <c r="AF22" s="61"/>
      <c r="AG22" s="61"/>
      <c r="AH22" s="61"/>
      <c r="AI22" s="95">
        <v>23</v>
      </c>
      <c r="AJ22" s="95">
        <v>21</v>
      </c>
      <c r="AK22" s="95">
        <v>16</v>
      </c>
      <c r="AL22" s="95">
        <v>12</v>
      </c>
      <c r="AM22" s="95">
        <v>7</v>
      </c>
      <c r="AN22" s="95">
        <v>3</v>
      </c>
      <c r="AO22" s="95">
        <v>2</v>
      </c>
      <c r="AP22" s="95">
        <v>1</v>
      </c>
      <c r="AQ22" s="95">
        <v>3</v>
      </c>
      <c r="AR22" s="95">
        <v>11</v>
      </c>
      <c r="AS22" s="95">
        <v>25</v>
      </c>
      <c r="AT22" s="95">
        <v>25</v>
      </c>
      <c r="AU22" s="61"/>
      <c r="AV22" s="61"/>
      <c r="AW22" s="19"/>
    </row>
    <row r="23" spans="1:49" ht="20" x14ac:dyDescent="0.2">
      <c r="B23" s="19" t="s">
        <v>242</v>
      </c>
      <c r="C23" s="63" t="s">
        <v>977</v>
      </c>
      <c r="D23" s="65">
        <v>900</v>
      </c>
      <c r="E23" s="248">
        <v>1</v>
      </c>
      <c r="F23" s="247">
        <f t="shared" si="0"/>
        <v>900</v>
      </c>
      <c r="G23" s="114">
        <f t="shared" si="1"/>
        <v>0.41945712836123794</v>
      </c>
      <c r="H23" s="64">
        <v>3307</v>
      </c>
      <c r="I23" s="107">
        <v>8</v>
      </c>
      <c r="J23" s="63">
        <v>2010</v>
      </c>
      <c r="K23" s="51"/>
      <c r="L23" s="61"/>
      <c r="M23" s="61"/>
      <c r="N23" s="61"/>
      <c r="O23" s="61"/>
      <c r="P23" s="61"/>
      <c r="Q23" s="61"/>
      <c r="R23" s="61"/>
      <c r="S23" s="51"/>
      <c r="T23" s="48"/>
      <c r="U23" s="51"/>
      <c r="V23" s="93" t="s">
        <v>370</v>
      </c>
      <c r="W23" s="19" t="s">
        <v>371</v>
      </c>
      <c r="X23" s="33"/>
      <c r="Y23" s="19"/>
      <c r="Z23" s="33"/>
      <c r="AA23" s="70"/>
      <c r="AB23" s="94" t="s">
        <v>752</v>
      </c>
      <c r="AC23" s="61"/>
      <c r="AD23" s="61"/>
      <c r="AE23" s="61"/>
      <c r="AF23" s="61"/>
      <c r="AG23" s="61"/>
      <c r="AH23" s="61"/>
      <c r="AI23" s="61"/>
      <c r="AJ23" s="61"/>
      <c r="AK23" s="61"/>
      <c r="AL23" s="61"/>
      <c r="AM23" s="61"/>
      <c r="AN23" s="61"/>
      <c r="AO23" s="61"/>
      <c r="AP23" s="61"/>
      <c r="AQ23" s="61"/>
      <c r="AR23" s="61"/>
      <c r="AS23" s="61"/>
      <c r="AT23" s="61"/>
      <c r="AU23" s="61"/>
      <c r="AV23" s="61"/>
      <c r="AW23" s="19"/>
    </row>
    <row r="24" spans="1:49" ht="20" x14ac:dyDescent="0.2">
      <c r="B24" s="19" t="s">
        <v>248</v>
      </c>
      <c r="C24" s="67" t="s">
        <v>1034</v>
      </c>
      <c r="D24" s="65">
        <v>591</v>
      </c>
      <c r="E24" s="248">
        <v>1</v>
      </c>
      <c r="F24" s="247">
        <f t="shared" si="0"/>
        <v>591</v>
      </c>
      <c r="G24" s="114">
        <f t="shared" si="1"/>
        <v>0.33115881820814019</v>
      </c>
      <c r="H24" s="65">
        <v>1714.4621872744551</v>
      </c>
      <c r="I24" s="107">
        <v>4</v>
      </c>
      <c r="J24" s="51"/>
      <c r="K24" s="51"/>
      <c r="L24" s="61"/>
      <c r="M24" s="61"/>
      <c r="N24" s="61"/>
      <c r="O24" s="61"/>
      <c r="P24" s="61"/>
      <c r="Q24" s="61"/>
      <c r="R24" s="61"/>
      <c r="S24" s="51"/>
      <c r="T24" s="51"/>
      <c r="U24" s="51"/>
      <c r="V24" s="33"/>
      <c r="W24" s="19" t="s">
        <v>172</v>
      </c>
      <c r="X24" s="33"/>
      <c r="Y24" s="19" t="s">
        <v>142</v>
      </c>
      <c r="Z24" s="33"/>
      <c r="AA24" s="70"/>
      <c r="AB24" s="94" t="s">
        <v>172</v>
      </c>
      <c r="AC24" s="61"/>
      <c r="AD24" s="61"/>
      <c r="AE24" s="61"/>
      <c r="AF24" s="61"/>
      <c r="AG24" s="61"/>
      <c r="AH24" s="61"/>
      <c r="AI24" s="61"/>
      <c r="AJ24" s="61"/>
      <c r="AK24" s="61"/>
      <c r="AL24" s="61"/>
      <c r="AM24" s="61"/>
      <c r="AN24" s="61"/>
      <c r="AO24" s="61"/>
      <c r="AP24" s="61"/>
      <c r="AQ24" s="61"/>
      <c r="AR24" s="61"/>
      <c r="AS24" s="61"/>
      <c r="AT24" s="61"/>
      <c r="AU24" s="61"/>
      <c r="AV24" s="61"/>
      <c r="AW24" s="19"/>
    </row>
    <row r="25" spans="1:49" ht="40" x14ac:dyDescent="0.2">
      <c r="B25" s="19" t="s">
        <v>251</v>
      </c>
      <c r="C25" s="67" t="s">
        <v>1034</v>
      </c>
      <c r="D25" s="65">
        <v>47</v>
      </c>
      <c r="E25" s="248">
        <v>1</v>
      </c>
      <c r="F25" s="247">
        <f t="shared" si="0"/>
        <v>47</v>
      </c>
      <c r="G25" s="114">
        <f t="shared" si="1"/>
        <v>0.33115879480983873</v>
      </c>
      <c r="H25" s="65">
        <v>136.34469899910681</v>
      </c>
      <c r="I25" s="107">
        <v>2</v>
      </c>
      <c r="J25" s="51"/>
      <c r="K25" s="51"/>
      <c r="L25" s="61"/>
      <c r="M25" s="61"/>
      <c r="N25" s="61"/>
      <c r="O25" s="61"/>
      <c r="P25" s="61"/>
      <c r="Q25" s="61"/>
      <c r="R25" s="61"/>
      <c r="S25" s="51"/>
      <c r="T25" s="51"/>
      <c r="U25" s="51"/>
      <c r="V25" s="33"/>
      <c r="W25" s="19" t="s">
        <v>372</v>
      </c>
      <c r="X25" s="33"/>
      <c r="Y25" s="19" t="s">
        <v>239</v>
      </c>
      <c r="Z25" s="33"/>
      <c r="AA25" s="70"/>
      <c r="AB25" s="94" t="s">
        <v>373</v>
      </c>
      <c r="AC25" s="95">
        <v>163.65</v>
      </c>
      <c r="AD25" s="95">
        <v>178.3</v>
      </c>
      <c r="AE25" s="95">
        <v>176.8</v>
      </c>
      <c r="AF25" s="61"/>
      <c r="AG25" s="61"/>
      <c r="AH25" s="61"/>
      <c r="AI25" s="95">
        <v>13</v>
      </c>
      <c r="AJ25" s="95">
        <v>10</v>
      </c>
      <c r="AK25" s="95">
        <v>10</v>
      </c>
      <c r="AL25" s="95">
        <v>12</v>
      </c>
      <c r="AM25" s="95">
        <v>16</v>
      </c>
      <c r="AN25" s="95">
        <v>12</v>
      </c>
      <c r="AO25" s="95">
        <v>5</v>
      </c>
      <c r="AP25" s="95">
        <v>2</v>
      </c>
      <c r="AQ25" s="95">
        <v>3</v>
      </c>
      <c r="AR25" s="95">
        <v>12</v>
      </c>
      <c r="AS25" s="95">
        <v>17</v>
      </c>
      <c r="AT25" s="95">
        <v>12</v>
      </c>
      <c r="AU25" s="61"/>
      <c r="AV25" s="61"/>
      <c r="AW25" s="19"/>
    </row>
    <row r="26" spans="1:49" ht="20" x14ac:dyDescent="0.2">
      <c r="B26" s="19" t="s">
        <v>252</v>
      </c>
      <c r="C26" s="67" t="s">
        <v>1034</v>
      </c>
      <c r="D26" s="65">
        <v>25</v>
      </c>
      <c r="E26" s="248">
        <v>1</v>
      </c>
      <c r="F26" s="247">
        <f t="shared" si="0"/>
        <v>25</v>
      </c>
      <c r="G26" s="114">
        <f t="shared" si="1"/>
        <v>0.33115878945214844</v>
      </c>
      <c r="H26" s="65">
        <v>72.523774890020505</v>
      </c>
      <c r="I26" s="107">
        <v>1</v>
      </c>
      <c r="J26" s="51"/>
      <c r="K26" s="51"/>
      <c r="L26" s="61"/>
      <c r="M26" s="61"/>
      <c r="N26" s="61"/>
      <c r="O26" s="61"/>
      <c r="P26" s="61"/>
      <c r="Q26" s="61"/>
      <c r="R26" s="61"/>
      <c r="S26" s="51"/>
      <c r="T26" s="51"/>
      <c r="U26" s="51"/>
      <c r="V26" s="33"/>
      <c r="W26" s="19" t="s">
        <v>374</v>
      </c>
      <c r="X26" s="33"/>
      <c r="Y26" s="19" t="s">
        <v>359</v>
      </c>
      <c r="Z26" s="33"/>
      <c r="AA26" s="70"/>
      <c r="AB26" s="94" t="s">
        <v>375</v>
      </c>
      <c r="AC26" s="95">
        <v>707.67</v>
      </c>
      <c r="AD26" s="95">
        <v>749.81</v>
      </c>
      <c r="AE26" s="95">
        <v>741.38199999999995</v>
      </c>
      <c r="AF26" s="61"/>
      <c r="AG26" s="61"/>
      <c r="AH26" s="61"/>
      <c r="AI26" s="95">
        <v>7</v>
      </c>
      <c r="AJ26" s="95">
        <v>7</v>
      </c>
      <c r="AK26" s="95">
        <v>7</v>
      </c>
      <c r="AL26" s="95">
        <v>11</v>
      </c>
      <c r="AM26" s="95">
        <v>39</v>
      </c>
      <c r="AN26" s="95">
        <v>101</v>
      </c>
      <c r="AO26" s="95">
        <v>123</v>
      </c>
      <c r="AP26" s="95">
        <v>104</v>
      </c>
      <c r="AQ26" s="95">
        <v>55</v>
      </c>
      <c r="AR26" s="95">
        <v>26</v>
      </c>
      <c r="AS26" s="95">
        <v>12</v>
      </c>
      <c r="AT26" s="95">
        <v>7</v>
      </c>
      <c r="AU26" s="61"/>
      <c r="AV26" s="61"/>
      <c r="AW26" s="19"/>
    </row>
    <row r="27" spans="1:49" ht="20" x14ac:dyDescent="0.2">
      <c r="B27" s="19" t="s">
        <v>1768</v>
      </c>
      <c r="C27" s="63" t="s">
        <v>1034</v>
      </c>
      <c r="D27" s="65">
        <v>31</v>
      </c>
      <c r="E27" s="248">
        <v>1</v>
      </c>
      <c r="F27" s="247">
        <f t="shared" si="0"/>
        <v>31</v>
      </c>
      <c r="G27" s="114">
        <f t="shared" si="1"/>
        <v>0.56734423331860362</v>
      </c>
      <c r="H27" s="65">
        <v>154.06800000000001</v>
      </c>
      <c r="I27" s="107">
        <v>2</v>
      </c>
      <c r="J27" s="51"/>
      <c r="K27" s="51"/>
      <c r="L27" s="61"/>
      <c r="M27" s="61"/>
      <c r="N27" s="61"/>
      <c r="O27" s="61"/>
      <c r="P27" s="61"/>
      <c r="Q27" s="61"/>
      <c r="R27" s="61"/>
      <c r="S27" s="51"/>
      <c r="T27" s="51"/>
      <c r="U27" s="51"/>
      <c r="V27" s="33"/>
      <c r="W27" s="19"/>
      <c r="X27" s="33"/>
      <c r="Y27" s="19"/>
      <c r="Z27" s="33"/>
      <c r="AA27" s="70"/>
      <c r="AB27" s="97"/>
      <c r="AC27" s="61"/>
      <c r="AD27" s="61"/>
      <c r="AE27" s="61"/>
      <c r="AF27" s="61"/>
      <c r="AG27" s="61"/>
      <c r="AH27" s="61"/>
      <c r="AI27" s="61"/>
      <c r="AJ27" s="61"/>
      <c r="AK27" s="61"/>
      <c r="AL27" s="61"/>
      <c r="AM27" s="61"/>
      <c r="AN27" s="61"/>
      <c r="AO27" s="61"/>
      <c r="AP27" s="61"/>
      <c r="AQ27" s="61"/>
      <c r="AR27" s="61"/>
      <c r="AS27" s="61"/>
      <c r="AT27" s="61"/>
      <c r="AU27" s="61"/>
      <c r="AV27" s="61"/>
      <c r="AW27" s="19"/>
    </row>
    <row r="28" spans="1:49" ht="40" x14ac:dyDescent="0.2">
      <c r="B28" s="19" t="s">
        <v>258</v>
      </c>
      <c r="C28" s="52" t="s">
        <v>1034</v>
      </c>
      <c r="D28" s="65">
        <v>46</v>
      </c>
      <c r="E28" s="248">
        <v>1</v>
      </c>
      <c r="F28" s="247">
        <f t="shared" si="0"/>
        <v>46</v>
      </c>
      <c r="G28" s="114">
        <f t="shared" si="1"/>
        <v>0.33114949374627756</v>
      </c>
      <c r="H28" s="65">
        <v>133.44</v>
      </c>
      <c r="I28" s="107">
        <v>3</v>
      </c>
      <c r="J28" s="52">
        <v>1924</v>
      </c>
      <c r="K28" s="51"/>
      <c r="L28" s="61"/>
      <c r="M28" s="61"/>
      <c r="N28" s="61"/>
      <c r="O28" s="61"/>
      <c r="P28" s="61"/>
      <c r="Q28" s="61"/>
      <c r="R28" s="61"/>
      <c r="S28" s="51"/>
      <c r="T28" s="51"/>
      <c r="U28" s="51"/>
      <c r="V28" s="33"/>
      <c r="W28" s="19" t="s">
        <v>258</v>
      </c>
      <c r="X28" s="33"/>
      <c r="Y28" s="19" t="s">
        <v>316</v>
      </c>
      <c r="Z28" s="33"/>
      <c r="AA28" s="70"/>
      <c r="AB28" s="94" t="s">
        <v>258</v>
      </c>
      <c r="AC28" s="61"/>
      <c r="AD28" s="61"/>
      <c r="AE28" s="61"/>
      <c r="AF28" s="61"/>
      <c r="AG28" s="61"/>
      <c r="AH28" s="61"/>
      <c r="AI28" s="61"/>
      <c r="AJ28" s="61"/>
      <c r="AK28" s="61"/>
      <c r="AL28" s="61"/>
      <c r="AM28" s="61"/>
      <c r="AN28" s="61"/>
      <c r="AO28" s="61"/>
      <c r="AP28" s="61"/>
      <c r="AQ28" s="61"/>
      <c r="AR28" s="61"/>
      <c r="AS28" s="61"/>
      <c r="AT28" s="61"/>
      <c r="AU28" s="61"/>
      <c r="AV28" s="61"/>
      <c r="AW28" s="19"/>
    </row>
    <row r="29" spans="1:49" ht="20" x14ac:dyDescent="0.2">
      <c r="B29" s="19" t="s">
        <v>278</v>
      </c>
      <c r="C29" s="67" t="s">
        <v>977</v>
      </c>
      <c r="D29" s="65">
        <v>2971</v>
      </c>
      <c r="E29" s="248">
        <v>1</v>
      </c>
      <c r="F29" s="247">
        <f t="shared" si="0"/>
        <v>2971</v>
      </c>
      <c r="G29" s="114">
        <f t="shared" si="1"/>
        <v>0.44939326263433588</v>
      </c>
      <c r="H29" s="65">
        <v>11695.891077590721</v>
      </c>
      <c r="I29" s="107">
        <v>6</v>
      </c>
      <c r="J29" s="51"/>
      <c r="K29" s="51"/>
      <c r="L29" s="61"/>
      <c r="M29" s="61"/>
      <c r="N29" s="61"/>
      <c r="O29" s="61"/>
      <c r="P29" s="61"/>
      <c r="Q29" s="61"/>
      <c r="R29" s="61"/>
      <c r="S29" s="51"/>
      <c r="T29" s="51"/>
      <c r="U29" s="51"/>
      <c r="V29" s="33"/>
      <c r="W29" s="19" t="s">
        <v>376</v>
      </c>
      <c r="X29" s="93" t="s">
        <v>377</v>
      </c>
      <c r="Y29" s="19" t="s">
        <v>110</v>
      </c>
      <c r="Z29" s="33"/>
      <c r="AA29" s="70"/>
      <c r="AB29" s="94" t="s">
        <v>376</v>
      </c>
      <c r="AC29" s="95">
        <v>707.41</v>
      </c>
      <c r="AD29" s="95">
        <v>754.38</v>
      </c>
      <c r="AE29" s="95">
        <v>744.98599999999999</v>
      </c>
      <c r="AF29" s="61"/>
      <c r="AG29" s="61"/>
      <c r="AH29" s="61"/>
      <c r="AI29" s="95">
        <v>108</v>
      </c>
      <c r="AJ29" s="95">
        <v>103</v>
      </c>
      <c r="AK29" s="95">
        <v>104</v>
      </c>
      <c r="AL29" s="95">
        <v>219</v>
      </c>
      <c r="AM29" s="95">
        <v>819</v>
      </c>
      <c r="AN29" s="95">
        <v>1611</v>
      </c>
      <c r="AO29" s="95">
        <v>1600</v>
      </c>
      <c r="AP29" s="95">
        <v>1104</v>
      </c>
      <c r="AQ29" s="95">
        <v>581</v>
      </c>
      <c r="AR29" s="95">
        <v>314</v>
      </c>
      <c r="AS29" s="95">
        <v>196</v>
      </c>
      <c r="AT29" s="95">
        <v>132</v>
      </c>
      <c r="AU29" s="61"/>
      <c r="AV29" s="61"/>
      <c r="AW29" s="19"/>
    </row>
    <row r="30" spans="1:49" ht="20" x14ac:dyDescent="0.2">
      <c r="B30" s="19" t="s">
        <v>286</v>
      </c>
      <c r="C30" s="67" t="s">
        <v>977</v>
      </c>
      <c r="D30" s="65">
        <v>700</v>
      </c>
      <c r="E30" s="248">
        <v>1</v>
      </c>
      <c r="F30" s="247">
        <f t="shared" si="0"/>
        <v>700</v>
      </c>
      <c r="G30" s="114">
        <f t="shared" si="1"/>
        <v>0.62204992227000655</v>
      </c>
      <c r="H30" s="65">
        <v>3814.4101233596803</v>
      </c>
      <c r="I30" s="107">
        <v>4</v>
      </c>
      <c r="J30" s="51"/>
      <c r="K30" s="51"/>
      <c r="L30" s="61"/>
      <c r="M30" s="61"/>
      <c r="N30" s="61"/>
      <c r="O30" s="61"/>
      <c r="P30" s="61"/>
      <c r="Q30" s="61"/>
      <c r="R30" s="61"/>
      <c r="S30" s="51"/>
      <c r="T30" s="51"/>
      <c r="U30" s="51"/>
      <c r="V30" s="93" t="s">
        <v>378</v>
      </c>
      <c r="W30" s="19" t="s">
        <v>367</v>
      </c>
      <c r="X30" s="33"/>
      <c r="Y30" s="19" t="s">
        <v>310</v>
      </c>
      <c r="Z30" s="93" t="s">
        <v>378</v>
      </c>
      <c r="AA30" s="70"/>
      <c r="AB30" s="94" t="s">
        <v>367</v>
      </c>
      <c r="AC30" s="95">
        <v>500</v>
      </c>
      <c r="AD30" s="95">
        <v>502.92</v>
      </c>
      <c r="AE30" s="95">
        <v>502.33600000000001</v>
      </c>
      <c r="AF30" s="61"/>
      <c r="AG30" s="61"/>
      <c r="AH30" s="95">
        <v>24690000</v>
      </c>
      <c r="AI30" s="95">
        <v>4.0209903679999996</v>
      </c>
      <c r="AJ30" s="95">
        <v>3.460462234</v>
      </c>
      <c r="AK30" s="95">
        <v>3.5827292380000002</v>
      </c>
      <c r="AL30" s="95">
        <v>5.3129714129999996</v>
      </c>
      <c r="AM30" s="95">
        <v>12.955863900000001</v>
      </c>
      <c r="AN30" s="95">
        <v>19.918262599999998</v>
      </c>
      <c r="AO30" s="95">
        <v>15.31414213</v>
      </c>
      <c r="AP30" s="95">
        <v>9.4376048570000002</v>
      </c>
      <c r="AQ30" s="95">
        <v>6.0215410790000004</v>
      </c>
      <c r="AR30" s="95">
        <v>5.9563551390000002</v>
      </c>
      <c r="AS30" s="95">
        <v>5.7525348449999996</v>
      </c>
      <c r="AT30" s="95">
        <v>4.2665422040000003</v>
      </c>
      <c r="AU30" s="61"/>
      <c r="AV30" s="61"/>
      <c r="AW30" s="19" t="s">
        <v>379</v>
      </c>
    </row>
    <row r="31" spans="1:49" ht="20" x14ac:dyDescent="0.2">
      <c r="A31" s="82"/>
      <c r="B31" s="19" t="s">
        <v>292</v>
      </c>
      <c r="C31" s="67" t="s">
        <v>1034</v>
      </c>
      <c r="D31" s="68">
        <v>24</v>
      </c>
      <c r="E31" s="248">
        <v>1</v>
      </c>
      <c r="F31" s="247">
        <f t="shared" si="0"/>
        <v>24</v>
      </c>
      <c r="G31" s="114">
        <f t="shared" si="1"/>
        <v>0.33115882267169044</v>
      </c>
      <c r="H31" s="65">
        <v>69.622830878496202</v>
      </c>
      <c r="I31" s="107">
        <v>1</v>
      </c>
      <c r="J31" s="67">
        <v>1955</v>
      </c>
      <c r="K31" s="51"/>
      <c r="L31" s="61"/>
      <c r="M31" s="61"/>
      <c r="N31" s="61"/>
      <c r="O31" s="61"/>
      <c r="P31" s="61"/>
      <c r="Q31" s="61"/>
      <c r="R31" s="61"/>
      <c r="S31" s="51"/>
      <c r="T31" s="51"/>
      <c r="U31" s="51"/>
      <c r="V31" s="33"/>
      <c r="W31" s="19"/>
      <c r="X31" s="33"/>
      <c r="Y31" s="19"/>
      <c r="Z31" s="33"/>
      <c r="AA31" s="70"/>
      <c r="AB31" s="97"/>
      <c r="AC31" s="61"/>
      <c r="AD31" s="61"/>
      <c r="AE31" s="61"/>
      <c r="AF31" s="61"/>
      <c r="AG31" s="61"/>
      <c r="AH31" s="61"/>
      <c r="AI31" s="61"/>
      <c r="AJ31" s="61"/>
      <c r="AK31" s="61"/>
      <c r="AL31" s="61"/>
      <c r="AM31" s="61"/>
      <c r="AN31" s="61"/>
      <c r="AO31" s="61"/>
      <c r="AP31" s="61"/>
      <c r="AQ31" s="61"/>
      <c r="AR31" s="61"/>
      <c r="AS31" s="61"/>
      <c r="AT31" s="61"/>
      <c r="AU31" s="61"/>
      <c r="AV31" s="61"/>
      <c r="AW31" s="19"/>
    </row>
    <row r="32" spans="1:49" ht="20" x14ac:dyDescent="0.2">
      <c r="A32" s="82"/>
      <c r="B32" s="19" t="s">
        <v>294</v>
      </c>
      <c r="C32" s="63" t="s">
        <v>1034</v>
      </c>
      <c r="D32" s="65">
        <v>8</v>
      </c>
      <c r="E32" s="248">
        <v>1</v>
      </c>
      <c r="F32" s="247">
        <f t="shared" si="0"/>
        <v>8</v>
      </c>
      <c r="G32" s="114">
        <f t="shared" si="1"/>
        <v>0.56734086981715182</v>
      </c>
      <c r="H32" s="65">
        <v>39.759248156786001</v>
      </c>
      <c r="I32" s="107">
        <v>2</v>
      </c>
      <c r="J32" s="51"/>
      <c r="K32" s="51"/>
      <c r="L32" s="61"/>
      <c r="M32" s="61"/>
      <c r="N32" s="61"/>
      <c r="O32" s="61"/>
      <c r="P32" s="61"/>
      <c r="Q32" s="61"/>
      <c r="R32" s="61"/>
      <c r="S32" s="51"/>
      <c r="T32" s="51"/>
      <c r="U32" s="51"/>
      <c r="V32" s="33"/>
      <c r="W32" s="19"/>
      <c r="X32" s="33"/>
      <c r="Y32" s="19"/>
      <c r="Z32" s="33"/>
      <c r="AA32" s="70"/>
      <c r="AB32" s="97"/>
      <c r="AC32" s="61"/>
      <c r="AD32" s="61"/>
      <c r="AE32" s="61"/>
      <c r="AF32" s="61"/>
      <c r="AG32" s="61"/>
      <c r="AH32" s="61"/>
      <c r="AI32" s="61"/>
      <c r="AJ32" s="61"/>
      <c r="AK32" s="61"/>
      <c r="AL32" s="61"/>
      <c r="AM32" s="61"/>
      <c r="AN32" s="61"/>
      <c r="AO32" s="61"/>
      <c r="AP32" s="61"/>
      <c r="AQ32" s="61"/>
      <c r="AR32" s="61"/>
      <c r="AS32" s="61"/>
      <c r="AT32" s="61"/>
      <c r="AU32" s="61"/>
      <c r="AV32" s="61"/>
      <c r="AW32" s="19"/>
    </row>
    <row r="33" spans="1:49" ht="20" x14ac:dyDescent="0.2">
      <c r="B33" s="19" t="s">
        <v>110</v>
      </c>
      <c r="C33" s="67" t="s">
        <v>977</v>
      </c>
      <c r="D33" s="65">
        <v>2500</v>
      </c>
      <c r="E33" s="248">
        <v>1</v>
      </c>
      <c r="F33" s="247">
        <f t="shared" si="0"/>
        <v>2500</v>
      </c>
      <c r="G33" s="114">
        <f t="shared" si="1"/>
        <v>0.40181971599631044</v>
      </c>
      <c r="H33" s="65">
        <v>8799.851780319199</v>
      </c>
      <c r="I33" s="107">
        <v>5</v>
      </c>
      <c r="J33" s="51"/>
      <c r="K33" s="51"/>
      <c r="L33" s="61"/>
      <c r="M33" s="61"/>
      <c r="N33" s="61"/>
      <c r="O33" s="61"/>
      <c r="P33" s="61"/>
      <c r="Q33" s="61"/>
      <c r="R33" s="61"/>
      <c r="S33" s="51"/>
      <c r="T33" s="51"/>
      <c r="U33" s="51"/>
      <c r="V33" s="93" t="s">
        <v>380</v>
      </c>
      <c r="W33" s="19" t="s">
        <v>110</v>
      </c>
      <c r="X33" s="33"/>
      <c r="Y33" s="19" t="s">
        <v>352</v>
      </c>
      <c r="Z33" s="33"/>
      <c r="AA33" s="70"/>
      <c r="AB33" s="94" t="s">
        <v>110</v>
      </c>
      <c r="AC33" s="95">
        <v>554.54</v>
      </c>
      <c r="AD33" s="95">
        <v>573.02</v>
      </c>
      <c r="AE33" s="95">
        <v>572.71600000000001</v>
      </c>
      <c r="AF33" s="61"/>
      <c r="AG33" s="61"/>
      <c r="AH33" s="61"/>
      <c r="AI33" s="95">
        <v>47</v>
      </c>
      <c r="AJ33" s="95">
        <v>44</v>
      </c>
      <c r="AK33" s="95">
        <v>48</v>
      </c>
      <c r="AL33" s="95">
        <v>125</v>
      </c>
      <c r="AM33" s="95">
        <v>454</v>
      </c>
      <c r="AN33" s="95">
        <v>700</v>
      </c>
      <c r="AO33" s="95">
        <v>554</v>
      </c>
      <c r="AP33" s="95">
        <v>339</v>
      </c>
      <c r="AQ33" s="95">
        <v>200</v>
      </c>
      <c r="AR33" s="95">
        <v>143</v>
      </c>
      <c r="AS33" s="95">
        <v>100</v>
      </c>
      <c r="AT33" s="95">
        <v>66</v>
      </c>
      <c r="AU33" s="61"/>
      <c r="AV33" s="61"/>
      <c r="AW33" s="19"/>
    </row>
    <row r="34" spans="1:49" ht="20" x14ac:dyDescent="0.2">
      <c r="B34" s="19" t="s">
        <v>297</v>
      </c>
      <c r="C34" s="67" t="s">
        <v>1034</v>
      </c>
      <c r="D34" s="65">
        <v>115</v>
      </c>
      <c r="E34" s="248">
        <v>1</v>
      </c>
      <c r="F34" s="247">
        <f t="shared" si="0"/>
        <v>115</v>
      </c>
      <c r="G34" s="114">
        <f t="shared" si="1"/>
        <v>0.33113002564649191</v>
      </c>
      <c r="H34" s="65">
        <v>333.58038783627597</v>
      </c>
      <c r="I34" s="107">
        <v>3</v>
      </c>
      <c r="J34" s="51"/>
      <c r="K34" s="51"/>
      <c r="L34" s="61"/>
      <c r="M34" s="61"/>
      <c r="N34" s="61"/>
      <c r="O34" s="61"/>
      <c r="P34" s="61"/>
      <c r="Q34" s="61"/>
      <c r="R34" s="61"/>
      <c r="S34" s="51"/>
      <c r="T34" s="51"/>
      <c r="U34" s="51"/>
      <c r="V34" s="33"/>
      <c r="W34" s="19" t="s">
        <v>381</v>
      </c>
      <c r="X34" s="93" t="s">
        <v>382</v>
      </c>
      <c r="Y34" s="19"/>
      <c r="Z34" s="33"/>
      <c r="AA34" s="70"/>
      <c r="AB34" s="94" t="s">
        <v>381</v>
      </c>
      <c r="AC34" s="95">
        <v>41.1</v>
      </c>
      <c r="AD34" s="95">
        <v>42.8</v>
      </c>
      <c r="AE34" s="95">
        <v>42.46</v>
      </c>
      <c r="AF34" s="61"/>
      <c r="AG34" s="61"/>
      <c r="AH34" s="61"/>
      <c r="AI34" s="95">
        <v>0</v>
      </c>
      <c r="AJ34" s="95">
        <v>0</v>
      </c>
      <c r="AK34" s="95">
        <v>0</v>
      </c>
      <c r="AL34" s="95">
        <v>0</v>
      </c>
      <c r="AM34" s="95">
        <v>0</v>
      </c>
      <c r="AN34" s="95">
        <v>0</v>
      </c>
      <c r="AO34" s="95">
        <v>0</v>
      </c>
      <c r="AP34" s="95">
        <v>0</v>
      </c>
      <c r="AQ34" s="95">
        <v>0</v>
      </c>
      <c r="AR34" s="95">
        <v>0</v>
      </c>
      <c r="AS34" s="95">
        <v>0</v>
      </c>
      <c r="AT34" s="95">
        <v>0</v>
      </c>
      <c r="AU34" s="61"/>
      <c r="AV34" s="61"/>
      <c r="AW34" s="19"/>
    </row>
    <row r="35" spans="1:49" ht="40" x14ac:dyDescent="0.2">
      <c r="B35" s="19" t="s">
        <v>305</v>
      </c>
      <c r="C35" s="67" t="s">
        <v>1034</v>
      </c>
      <c r="D35" s="65">
        <v>48</v>
      </c>
      <c r="E35" s="248">
        <v>1</v>
      </c>
      <c r="F35" s="247">
        <f t="shared" si="0"/>
        <v>48</v>
      </c>
      <c r="G35" s="114">
        <f t="shared" si="1"/>
        <v>0.33115883837992771</v>
      </c>
      <c r="H35" s="65">
        <v>139.24566836199199</v>
      </c>
      <c r="I35" s="107">
        <v>1</v>
      </c>
      <c r="J35" s="51"/>
      <c r="K35" s="51"/>
      <c r="L35" s="61"/>
      <c r="M35" s="61"/>
      <c r="N35" s="61"/>
      <c r="O35" s="61"/>
      <c r="P35" s="61"/>
      <c r="Q35" s="61"/>
      <c r="R35" s="61"/>
      <c r="S35" s="51"/>
      <c r="T35" s="51"/>
      <c r="U35" s="51"/>
      <c r="V35" s="93" t="s">
        <v>383</v>
      </c>
      <c r="W35" s="92" t="s">
        <v>384</v>
      </c>
      <c r="X35" s="33"/>
      <c r="Y35" s="19"/>
      <c r="Z35" s="33"/>
      <c r="AA35" s="70"/>
      <c r="AB35" s="94" t="s">
        <v>305</v>
      </c>
      <c r="AC35" s="95">
        <v>235.76</v>
      </c>
      <c r="AD35" s="95">
        <v>236.36</v>
      </c>
      <c r="AE35" s="95">
        <v>236.24</v>
      </c>
      <c r="AF35" s="61"/>
      <c r="AG35" s="61"/>
      <c r="AH35" s="61"/>
      <c r="AI35" s="95">
        <v>8</v>
      </c>
      <c r="AJ35" s="95">
        <v>7</v>
      </c>
      <c r="AK35" s="95">
        <v>7</v>
      </c>
      <c r="AL35" s="95">
        <v>8</v>
      </c>
      <c r="AM35" s="95">
        <v>20</v>
      </c>
      <c r="AN35" s="95">
        <v>47</v>
      </c>
      <c r="AO35" s="95">
        <v>41</v>
      </c>
      <c r="AP35" s="95">
        <v>24</v>
      </c>
      <c r="AQ35" s="95">
        <v>15</v>
      </c>
      <c r="AR35" s="95">
        <v>12</v>
      </c>
      <c r="AS35" s="95">
        <v>11</v>
      </c>
      <c r="AT35" s="95">
        <v>9</v>
      </c>
      <c r="AU35" s="61"/>
      <c r="AV35" s="61"/>
      <c r="AW35" s="19"/>
    </row>
    <row r="36" spans="1:49" ht="20" x14ac:dyDescent="0.2">
      <c r="B36" s="19" t="s">
        <v>306</v>
      </c>
      <c r="C36" s="67" t="s">
        <v>1034</v>
      </c>
      <c r="D36" s="65">
        <v>805</v>
      </c>
      <c r="E36" s="248">
        <v>1</v>
      </c>
      <c r="F36" s="247">
        <f t="shared" si="0"/>
        <v>805</v>
      </c>
      <c r="G36" s="114">
        <f t="shared" si="1"/>
        <v>0.33115881177516832</v>
      </c>
      <c r="H36" s="65">
        <v>2335.2657088761321</v>
      </c>
      <c r="I36" s="107">
        <v>4</v>
      </c>
      <c r="J36" s="51"/>
      <c r="K36" s="51"/>
      <c r="L36" s="61"/>
      <c r="M36" s="61"/>
      <c r="N36" s="61"/>
      <c r="O36" s="61"/>
      <c r="P36" s="61"/>
      <c r="Q36" s="61"/>
      <c r="R36" s="61"/>
      <c r="S36" s="51"/>
      <c r="T36" s="51"/>
      <c r="U36" s="51"/>
      <c r="V36" s="33"/>
      <c r="W36" s="19" t="s">
        <v>306</v>
      </c>
      <c r="X36" s="33"/>
      <c r="Y36" s="19" t="s">
        <v>341</v>
      </c>
      <c r="Z36" s="33"/>
      <c r="AA36" s="70"/>
      <c r="AB36" s="94" t="s">
        <v>306</v>
      </c>
      <c r="AC36" s="95">
        <v>514.79999999999995</v>
      </c>
      <c r="AD36" s="95">
        <v>527.29999999999995</v>
      </c>
      <c r="AE36" s="95">
        <v>524.79999999999995</v>
      </c>
      <c r="AF36" s="61"/>
      <c r="AG36" s="61"/>
      <c r="AH36" s="61"/>
      <c r="AI36" s="95">
        <v>484</v>
      </c>
      <c r="AJ36" s="95">
        <v>497</v>
      </c>
      <c r="AK36" s="95">
        <v>616</v>
      </c>
      <c r="AL36" s="95">
        <v>892</v>
      </c>
      <c r="AM36" s="95">
        <v>1303</v>
      </c>
      <c r="AN36" s="95">
        <v>1438</v>
      </c>
      <c r="AO36" s="95">
        <v>707</v>
      </c>
      <c r="AP36" s="95">
        <v>367</v>
      </c>
      <c r="AQ36" s="95">
        <v>425</v>
      </c>
      <c r="AR36" s="95">
        <v>615</v>
      </c>
      <c r="AS36" s="95">
        <v>611</v>
      </c>
      <c r="AT36" s="95">
        <v>522</v>
      </c>
      <c r="AU36" s="61"/>
      <c r="AV36" s="61"/>
      <c r="AW36" s="19"/>
    </row>
    <row r="37" spans="1:49" s="17" customFormat="1" ht="20" x14ac:dyDescent="0.2">
      <c r="B37" s="19" t="s">
        <v>309</v>
      </c>
      <c r="C37" s="67" t="s">
        <v>1034</v>
      </c>
      <c r="D37" s="65">
        <v>6</v>
      </c>
      <c r="E37" s="248">
        <v>1</v>
      </c>
      <c r="F37" s="247">
        <f t="shared" si="0"/>
        <v>6</v>
      </c>
      <c r="G37" s="114">
        <f t="shared" si="1"/>
        <v>0.33124048706240489</v>
      </c>
      <c r="H37" s="65">
        <v>17.41</v>
      </c>
      <c r="I37" s="107">
        <v>1</v>
      </c>
      <c r="J37" s="51"/>
      <c r="K37" s="51"/>
      <c r="L37" s="61"/>
      <c r="M37" s="61"/>
      <c r="N37" s="61"/>
      <c r="O37" s="61"/>
      <c r="P37" s="61"/>
      <c r="Q37" s="61"/>
      <c r="R37" s="61"/>
      <c r="S37" s="51"/>
      <c r="T37" s="51"/>
      <c r="U37" s="51"/>
      <c r="V37" s="51"/>
      <c r="W37" s="97" t="s">
        <v>767</v>
      </c>
      <c r="X37" s="51"/>
      <c r="Y37" s="97"/>
      <c r="Z37" s="51"/>
      <c r="AA37" s="106"/>
      <c r="AB37" s="97" t="s">
        <v>767</v>
      </c>
      <c r="AC37" s="61"/>
      <c r="AD37" s="61"/>
      <c r="AE37" s="61"/>
      <c r="AF37" s="61"/>
      <c r="AG37" s="61"/>
      <c r="AH37" s="61"/>
      <c r="AI37" s="61"/>
      <c r="AJ37" s="61"/>
      <c r="AK37" s="61"/>
      <c r="AL37" s="61"/>
      <c r="AM37" s="61"/>
      <c r="AN37" s="61"/>
      <c r="AO37" s="61"/>
      <c r="AP37" s="61"/>
      <c r="AQ37" s="61"/>
      <c r="AR37" s="61"/>
      <c r="AS37" s="61"/>
      <c r="AT37" s="61"/>
      <c r="AU37" s="61"/>
      <c r="AV37" s="61"/>
      <c r="AW37" s="97"/>
    </row>
    <row r="38" spans="1:49" ht="20" x14ac:dyDescent="0.2">
      <c r="B38" s="19" t="s">
        <v>310</v>
      </c>
      <c r="C38" s="67" t="s">
        <v>977</v>
      </c>
      <c r="D38" s="65">
        <v>1132</v>
      </c>
      <c r="E38" s="248">
        <v>1</v>
      </c>
      <c r="F38" s="247">
        <f t="shared" si="0"/>
        <v>1132</v>
      </c>
      <c r="G38" s="114">
        <f t="shared" si="1"/>
        <v>0.54096903971535348</v>
      </c>
      <c r="H38" s="65">
        <v>5364.4221079101544</v>
      </c>
      <c r="I38" s="107">
        <v>6</v>
      </c>
      <c r="J38" s="51"/>
      <c r="K38" s="51"/>
      <c r="L38" s="61"/>
      <c r="M38" s="61"/>
      <c r="N38" s="61"/>
      <c r="O38" s="61"/>
      <c r="P38" s="61"/>
      <c r="Q38" s="61"/>
      <c r="R38" s="61"/>
      <c r="S38" s="51"/>
      <c r="T38" s="51"/>
      <c r="U38" s="51"/>
      <c r="V38" s="93" t="s">
        <v>385</v>
      </c>
      <c r="W38" s="19" t="s">
        <v>310</v>
      </c>
      <c r="X38" s="33"/>
      <c r="Y38" s="19"/>
      <c r="Z38" s="33"/>
      <c r="AA38" s="70"/>
      <c r="AB38" s="94" t="s">
        <v>386</v>
      </c>
      <c r="AC38" s="95">
        <v>460.01100000000002</v>
      </c>
      <c r="AD38" s="95">
        <v>461.8</v>
      </c>
      <c r="AE38" s="95">
        <v>461.4418915</v>
      </c>
      <c r="AF38" s="61"/>
      <c r="AG38" s="61"/>
      <c r="AH38" s="96">
        <v>165000000</v>
      </c>
      <c r="AI38" s="95">
        <v>13.92</v>
      </c>
      <c r="AJ38" s="95">
        <v>12.1</v>
      </c>
      <c r="AK38" s="95">
        <v>12.51</v>
      </c>
      <c r="AL38" s="95">
        <v>34.74</v>
      </c>
      <c r="AM38" s="95">
        <v>169</v>
      </c>
      <c r="AN38" s="95">
        <v>311.7</v>
      </c>
      <c r="AO38" s="95">
        <v>199.1</v>
      </c>
      <c r="AP38" s="95">
        <v>94.03</v>
      </c>
      <c r="AQ38" s="95">
        <v>64.180000000000007</v>
      </c>
      <c r="AR38" s="95">
        <v>45.06</v>
      </c>
      <c r="AS38" s="95">
        <v>25.22</v>
      </c>
      <c r="AT38" s="95">
        <v>17.97</v>
      </c>
      <c r="AU38" s="61"/>
      <c r="AV38" s="61"/>
      <c r="AW38" s="19" t="s">
        <v>387</v>
      </c>
    </row>
    <row r="39" spans="1:49" ht="20" x14ac:dyDescent="0.2">
      <c r="B39" s="19" t="s">
        <v>316</v>
      </c>
      <c r="C39" s="52" t="s">
        <v>1034</v>
      </c>
      <c r="D39" s="65">
        <v>57</v>
      </c>
      <c r="E39" s="248">
        <v>1</v>
      </c>
      <c r="F39" s="247">
        <f t="shared" si="0"/>
        <v>57</v>
      </c>
      <c r="G39" s="114">
        <f t="shared" si="1"/>
        <v>0.33115881201237019</v>
      </c>
      <c r="H39" s="65">
        <v>165.35421801401668</v>
      </c>
      <c r="I39" s="107">
        <v>3</v>
      </c>
      <c r="J39" s="51"/>
      <c r="K39" s="51"/>
      <c r="L39" s="61"/>
      <c r="M39" s="61"/>
      <c r="N39" s="61"/>
      <c r="O39" s="61"/>
      <c r="P39" s="61"/>
      <c r="Q39" s="61"/>
      <c r="R39" s="61"/>
      <c r="S39" s="51"/>
      <c r="T39" s="48"/>
      <c r="U39" s="51"/>
      <c r="V39" s="33"/>
      <c r="W39" s="19" t="s">
        <v>316</v>
      </c>
      <c r="X39" s="33"/>
      <c r="Y39" s="19" t="s">
        <v>142</v>
      </c>
      <c r="Z39" s="33"/>
      <c r="AA39" s="70"/>
      <c r="AB39" s="97"/>
      <c r="AC39" s="61"/>
      <c r="AD39" s="61"/>
      <c r="AE39" s="61"/>
      <c r="AF39" s="61"/>
      <c r="AG39" s="61"/>
      <c r="AH39" s="61"/>
      <c r="AI39" s="61"/>
      <c r="AJ39" s="61"/>
      <c r="AK39" s="61"/>
      <c r="AL39" s="61"/>
      <c r="AM39" s="61"/>
      <c r="AN39" s="61"/>
      <c r="AO39" s="61"/>
      <c r="AP39" s="61"/>
      <c r="AQ39" s="61"/>
      <c r="AR39" s="61"/>
      <c r="AS39" s="61"/>
      <c r="AT39" s="61"/>
      <c r="AU39" s="61"/>
      <c r="AV39" s="61"/>
      <c r="AW39" s="19"/>
    </row>
    <row r="40" spans="1:49" ht="20" x14ac:dyDescent="0.2">
      <c r="B40" s="19" t="s">
        <v>322</v>
      </c>
      <c r="C40" s="67" t="s">
        <v>1034</v>
      </c>
      <c r="D40" s="65">
        <v>91</v>
      </c>
      <c r="E40" s="248">
        <v>1</v>
      </c>
      <c r="F40" s="247">
        <f t="shared" si="0"/>
        <v>91</v>
      </c>
      <c r="G40" s="114">
        <f t="shared" si="1"/>
        <v>0.3311587946314391</v>
      </c>
      <c r="H40" s="65">
        <v>263.98654472839797</v>
      </c>
      <c r="I40" s="107">
        <v>2</v>
      </c>
      <c r="J40" s="67">
        <v>2000</v>
      </c>
      <c r="K40" s="51"/>
      <c r="L40" s="61"/>
      <c r="M40" s="77"/>
      <c r="N40" s="61"/>
      <c r="O40" s="61"/>
      <c r="P40" s="61"/>
      <c r="Q40" s="61"/>
      <c r="R40" s="61"/>
      <c r="S40" s="51"/>
      <c r="T40" s="48"/>
      <c r="U40" s="51"/>
      <c r="V40" s="33"/>
      <c r="W40" s="19" t="s">
        <v>388</v>
      </c>
      <c r="X40" s="33"/>
      <c r="Y40" s="19" t="s">
        <v>381</v>
      </c>
      <c r="Z40" s="93" t="s">
        <v>382</v>
      </c>
      <c r="AA40" s="70"/>
      <c r="AB40" s="94" t="s">
        <v>388</v>
      </c>
      <c r="AC40" s="95">
        <v>73</v>
      </c>
      <c r="AD40" s="95">
        <v>82.08</v>
      </c>
      <c r="AE40" s="95">
        <v>80.263999999999996</v>
      </c>
      <c r="AF40" s="61"/>
      <c r="AG40" s="61"/>
      <c r="AH40" s="61"/>
      <c r="AI40" s="95">
        <v>50.77</v>
      </c>
      <c r="AJ40" s="95">
        <v>43.69</v>
      </c>
      <c r="AK40" s="95">
        <v>45.23</v>
      </c>
      <c r="AL40" s="95">
        <v>67.08</v>
      </c>
      <c r="AM40" s="95">
        <v>163.57</v>
      </c>
      <c r="AN40" s="95">
        <v>251.47</v>
      </c>
      <c r="AO40" s="95">
        <v>193.34</v>
      </c>
      <c r="AP40" s="95">
        <v>119.15</v>
      </c>
      <c r="AQ40" s="95">
        <v>76.02</v>
      </c>
      <c r="AR40" s="95">
        <v>75.2</v>
      </c>
      <c r="AS40" s="95">
        <v>72.63</v>
      </c>
      <c r="AT40" s="95">
        <v>53.87</v>
      </c>
      <c r="AU40" s="61"/>
      <c r="AV40" s="61"/>
      <c r="AW40" s="19"/>
    </row>
    <row r="41" spans="1:49" ht="40" x14ac:dyDescent="0.2">
      <c r="B41" s="19" t="s">
        <v>323</v>
      </c>
      <c r="C41" s="67" t="s">
        <v>1034</v>
      </c>
      <c r="D41" s="65">
        <v>65</v>
      </c>
      <c r="E41" s="248">
        <v>1</v>
      </c>
      <c r="F41" s="247">
        <f t="shared" si="0"/>
        <v>65</v>
      </c>
      <c r="G41" s="114">
        <f t="shared" si="1"/>
        <v>0.33115878799096032</v>
      </c>
      <c r="H41" s="65">
        <v>188.5618138820528</v>
      </c>
      <c r="I41" s="107">
        <v>2</v>
      </c>
      <c r="J41" s="51"/>
      <c r="K41" s="51"/>
      <c r="L41" s="61"/>
      <c r="M41" s="61"/>
      <c r="N41" s="61"/>
      <c r="O41" s="61"/>
      <c r="P41" s="61"/>
      <c r="Q41" s="61"/>
      <c r="R41" s="61"/>
      <c r="S41" s="51"/>
      <c r="T41" s="51"/>
      <c r="U41" s="51"/>
      <c r="V41" s="33"/>
      <c r="W41" s="19" t="s">
        <v>389</v>
      </c>
      <c r="X41" s="93" t="s">
        <v>390</v>
      </c>
      <c r="Y41" s="19" t="s">
        <v>372</v>
      </c>
      <c r="Z41" s="33"/>
      <c r="AA41" s="70"/>
      <c r="AB41" s="94" t="s">
        <v>389</v>
      </c>
      <c r="AC41" s="95">
        <v>210</v>
      </c>
      <c r="AD41" s="95">
        <v>221</v>
      </c>
      <c r="AE41" s="95">
        <v>219.6</v>
      </c>
      <c r="AF41" s="61"/>
      <c r="AG41" s="61"/>
      <c r="AH41" s="61"/>
      <c r="AI41" s="95">
        <v>86</v>
      </c>
      <c r="AJ41" s="95">
        <v>68</v>
      </c>
      <c r="AK41" s="95">
        <v>63</v>
      </c>
      <c r="AL41" s="95">
        <v>67</v>
      </c>
      <c r="AM41" s="95">
        <v>106</v>
      </c>
      <c r="AN41" s="95">
        <v>114</v>
      </c>
      <c r="AO41" s="95">
        <v>72</v>
      </c>
      <c r="AP41" s="95">
        <v>36</v>
      </c>
      <c r="AQ41" s="95">
        <v>32</v>
      </c>
      <c r="AR41" s="95">
        <v>80</v>
      </c>
      <c r="AS41" s="95">
        <v>116</v>
      </c>
      <c r="AT41" s="95">
        <v>89</v>
      </c>
      <c r="AU41" s="61"/>
      <c r="AV41" s="61"/>
      <c r="AW41" s="19"/>
    </row>
    <row r="42" spans="1:49" s="73" customFormat="1" ht="20" x14ac:dyDescent="0.2">
      <c r="A42" s="82"/>
      <c r="B42" s="19" t="s">
        <v>2818</v>
      </c>
      <c r="C42" s="63" t="s">
        <v>1034</v>
      </c>
      <c r="D42" s="65">
        <v>9.3000000000000007</v>
      </c>
      <c r="E42" s="248">
        <v>1</v>
      </c>
      <c r="F42" s="247">
        <f t="shared" si="0"/>
        <v>9.3000000000000007</v>
      </c>
      <c r="G42" s="114">
        <f t="shared" si="1"/>
        <v>0.56734087015103229</v>
      </c>
      <c r="H42" s="65">
        <v>46.220126009464302</v>
      </c>
      <c r="I42" s="107">
        <v>1</v>
      </c>
      <c r="J42" s="51"/>
      <c r="K42" s="51"/>
      <c r="L42" s="61"/>
      <c r="M42" s="61"/>
      <c r="N42" s="61"/>
      <c r="O42" s="61"/>
      <c r="P42" s="61"/>
      <c r="Q42" s="61"/>
      <c r="R42" s="61"/>
      <c r="S42" s="51"/>
      <c r="T42" s="51"/>
      <c r="U42" s="51"/>
      <c r="V42" s="33"/>
      <c r="W42" s="19"/>
      <c r="X42" s="33"/>
      <c r="Y42" s="19"/>
      <c r="Z42" s="33"/>
      <c r="AA42" s="70"/>
      <c r="AB42" s="97"/>
      <c r="AC42" s="61"/>
      <c r="AD42" s="61"/>
      <c r="AE42" s="61"/>
      <c r="AF42" s="61"/>
      <c r="AG42" s="61"/>
      <c r="AH42" s="61"/>
      <c r="AI42" s="61"/>
      <c r="AJ42" s="61"/>
      <c r="AK42" s="61"/>
      <c r="AL42" s="61"/>
      <c r="AM42" s="61"/>
      <c r="AN42" s="61"/>
      <c r="AO42" s="61"/>
      <c r="AP42" s="61"/>
      <c r="AQ42" s="61"/>
      <c r="AR42" s="61"/>
      <c r="AS42" s="61"/>
      <c r="AT42" s="61"/>
      <c r="AU42" s="61"/>
      <c r="AV42" s="61"/>
      <c r="AW42" s="19"/>
    </row>
    <row r="43" spans="1:49" s="73" customFormat="1" ht="40" x14ac:dyDescent="0.2">
      <c r="A43" s="36"/>
      <c r="B43" s="19" t="s">
        <v>330</v>
      </c>
      <c r="C43" s="52" t="s">
        <v>1034</v>
      </c>
      <c r="D43" s="65">
        <v>63</v>
      </c>
      <c r="E43" s="248">
        <v>1</v>
      </c>
      <c r="F43" s="247">
        <f t="shared" si="0"/>
        <v>63</v>
      </c>
      <c r="G43" s="114">
        <f t="shared" si="1"/>
        <v>0.33115882457907608</v>
      </c>
      <c r="H43" s="65">
        <v>182.7599321087005</v>
      </c>
      <c r="I43" s="107">
        <v>6</v>
      </c>
      <c r="J43" s="52">
        <v>1939</v>
      </c>
      <c r="K43" s="51"/>
      <c r="L43" s="61"/>
      <c r="M43" s="61"/>
      <c r="N43" s="61"/>
      <c r="O43" s="61"/>
      <c r="P43" s="61"/>
      <c r="Q43" s="61"/>
      <c r="R43" s="61"/>
      <c r="S43" s="51"/>
      <c r="T43" s="51"/>
      <c r="U43" s="51"/>
      <c r="V43" s="33"/>
      <c r="W43" s="19" t="s">
        <v>330</v>
      </c>
      <c r="X43" s="33"/>
      <c r="Y43" s="19" t="s">
        <v>258</v>
      </c>
      <c r="Z43" s="33"/>
      <c r="AA43" s="70"/>
      <c r="AB43" s="97"/>
      <c r="AC43" s="61"/>
      <c r="AD43" s="61"/>
      <c r="AE43" s="61"/>
      <c r="AF43" s="61"/>
      <c r="AG43" s="61"/>
      <c r="AH43" s="61"/>
      <c r="AI43" s="61"/>
      <c r="AJ43" s="61"/>
      <c r="AK43" s="61"/>
      <c r="AL43" s="61"/>
      <c r="AM43" s="61"/>
      <c r="AN43" s="61"/>
      <c r="AO43" s="61"/>
      <c r="AP43" s="61"/>
      <c r="AQ43" s="61"/>
      <c r="AR43" s="61"/>
      <c r="AS43" s="61"/>
      <c r="AT43" s="61"/>
      <c r="AU43" s="61"/>
      <c r="AV43" s="61"/>
      <c r="AW43" s="19"/>
    </row>
    <row r="44" spans="1:49" s="14" customFormat="1" ht="20" x14ac:dyDescent="0.25">
      <c r="A44" s="36"/>
      <c r="B44" s="19" t="s">
        <v>397</v>
      </c>
      <c r="C44" s="67" t="s">
        <v>1034</v>
      </c>
      <c r="D44" s="65">
        <v>65</v>
      </c>
      <c r="E44" s="248">
        <v>1</v>
      </c>
      <c r="F44" s="247">
        <f t="shared" si="0"/>
        <v>65</v>
      </c>
      <c r="G44" s="114">
        <f t="shared" si="1"/>
        <v>0.33115880871838599</v>
      </c>
      <c r="H44" s="65">
        <v>188.56182568424899</v>
      </c>
      <c r="I44" s="107">
        <v>1</v>
      </c>
      <c r="J44" s="51"/>
      <c r="K44" s="51"/>
      <c r="L44" s="61"/>
      <c r="M44" s="61"/>
      <c r="N44" s="61"/>
      <c r="O44" s="61"/>
      <c r="P44" s="61"/>
      <c r="Q44" s="61"/>
      <c r="R44" s="61"/>
      <c r="S44" s="51"/>
      <c r="T44" s="51"/>
      <c r="U44" s="51"/>
      <c r="V44" s="33"/>
      <c r="W44" s="19" t="s">
        <v>391</v>
      </c>
      <c r="X44" s="33"/>
      <c r="Y44" s="19"/>
      <c r="Z44" s="33"/>
      <c r="AA44" s="70"/>
      <c r="AB44" s="94" t="s">
        <v>392</v>
      </c>
      <c r="AC44" s="95">
        <v>45</v>
      </c>
      <c r="AD44" s="95">
        <v>52.5</v>
      </c>
      <c r="AE44" s="95">
        <v>51</v>
      </c>
      <c r="AF44" s="61"/>
      <c r="AG44" s="61"/>
      <c r="AH44" s="61"/>
      <c r="AI44" s="95">
        <v>5</v>
      </c>
      <c r="AJ44" s="95">
        <v>5</v>
      </c>
      <c r="AK44" s="95">
        <v>4</v>
      </c>
      <c r="AL44" s="95">
        <v>5</v>
      </c>
      <c r="AM44" s="95">
        <v>10</v>
      </c>
      <c r="AN44" s="95">
        <v>12</v>
      </c>
      <c r="AO44" s="95">
        <v>9</v>
      </c>
      <c r="AP44" s="95">
        <v>5</v>
      </c>
      <c r="AQ44" s="95">
        <v>4</v>
      </c>
      <c r="AR44" s="95">
        <v>5</v>
      </c>
      <c r="AS44" s="95">
        <v>7</v>
      </c>
      <c r="AT44" s="95">
        <v>6</v>
      </c>
      <c r="AU44" s="61"/>
      <c r="AV44" s="61"/>
      <c r="AW44" s="19"/>
    </row>
    <row r="45" spans="1:49" s="73" customFormat="1" ht="40" x14ac:dyDescent="0.2">
      <c r="A45" s="36"/>
      <c r="B45" s="19" t="s">
        <v>340</v>
      </c>
      <c r="C45" s="67" t="s">
        <v>1034</v>
      </c>
      <c r="D45" s="65">
        <v>8</v>
      </c>
      <c r="E45" s="248">
        <v>1</v>
      </c>
      <c r="F45" s="247">
        <f t="shared" si="0"/>
        <v>8</v>
      </c>
      <c r="G45" s="114">
        <f t="shared" si="1"/>
        <v>0.33115880957976884</v>
      </c>
      <c r="H45" s="65">
        <v>23.207609375350199</v>
      </c>
      <c r="I45" s="107">
        <v>2</v>
      </c>
      <c r="J45" s="51"/>
      <c r="K45" s="51"/>
      <c r="L45" s="61"/>
      <c r="M45" s="61"/>
      <c r="N45" s="61"/>
      <c r="O45" s="61"/>
      <c r="P45" s="61"/>
      <c r="Q45" s="61"/>
      <c r="R45" s="61"/>
      <c r="S45" s="51"/>
      <c r="T45" s="51"/>
      <c r="U45" s="51"/>
      <c r="V45" s="33"/>
      <c r="W45" s="19" t="s">
        <v>340</v>
      </c>
      <c r="X45" s="33"/>
      <c r="Y45" s="19" t="s">
        <v>352</v>
      </c>
      <c r="Z45" s="33"/>
      <c r="AA45" s="70"/>
      <c r="AB45" s="94" t="s">
        <v>340</v>
      </c>
      <c r="AC45" s="95">
        <v>698</v>
      </c>
      <c r="AD45" s="95">
        <v>701.95</v>
      </c>
      <c r="AE45" s="95">
        <v>701.16</v>
      </c>
      <c r="AF45" s="61"/>
      <c r="AG45" s="61"/>
      <c r="AH45" s="61"/>
      <c r="AI45" s="95">
        <v>4.0209903679999996</v>
      </c>
      <c r="AJ45" s="95">
        <v>3.460462234</v>
      </c>
      <c r="AK45" s="95">
        <v>3.5827292380000002</v>
      </c>
      <c r="AL45" s="95">
        <v>5.3129714129999996</v>
      </c>
      <c r="AM45" s="95">
        <v>12.955863900000001</v>
      </c>
      <c r="AN45" s="95">
        <v>19.918262599999998</v>
      </c>
      <c r="AO45" s="95">
        <v>15.31414213</v>
      </c>
      <c r="AP45" s="95">
        <v>9.4376048570000002</v>
      </c>
      <c r="AQ45" s="95">
        <v>6.0215410790000004</v>
      </c>
      <c r="AR45" s="95">
        <v>5.9563551390000002</v>
      </c>
      <c r="AS45" s="95">
        <v>5.7525348449999996</v>
      </c>
      <c r="AT45" s="95">
        <v>4.2665422040000003</v>
      </c>
      <c r="AU45" s="61"/>
      <c r="AV45" s="61"/>
      <c r="AW45" s="19"/>
    </row>
    <row r="46" spans="1:49" s="7" customFormat="1" ht="40" x14ac:dyDescent="0.25">
      <c r="A46" s="36"/>
      <c r="B46" s="19" t="s">
        <v>341</v>
      </c>
      <c r="C46" s="67" t="s">
        <v>1034</v>
      </c>
      <c r="D46" s="65">
        <v>480</v>
      </c>
      <c r="E46" s="248">
        <v>1</v>
      </c>
      <c r="F46" s="247">
        <f t="shared" si="0"/>
        <v>480</v>
      </c>
      <c r="G46" s="114">
        <f t="shared" si="1"/>
        <v>0.33115880514785678</v>
      </c>
      <c r="H46" s="65">
        <v>1392.456543885708</v>
      </c>
      <c r="I46" s="107">
        <v>4</v>
      </c>
      <c r="J46" s="51"/>
      <c r="K46" s="51"/>
      <c r="L46" s="61"/>
      <c r="M46" s="61"/>
      <c r="N46" s="61"/>
      <c r="O46" s="61"/>
      <c r="P46" s="61"/>
      <c r="Q46" s="61"/>
      <c r="R46" s="61"/>
      <c r="S46" s="51"/>
      <c r="T46" s="51"/>
      <c r="U46" s="51"/>
      <c r="V46" s="33"/>
      <c r="W46" s="19" t="s">
        <v>341</v>
      </c>
      <c r="X46" s="33"/>
      <c r="Y46" s="19" t="s">
        <v>354</v>
      </c>
      <c r="Z46" s="93" t="s">
        <v>393</v>
      </c>
      <c r="AA46" s="70"/>
      <c r="AB46" s="94" t="s">
        <v>341</v>
      </c>
      <c r="AC46" s="95">
        <v>458.1</v>
      </c>
      <c r="AD46" s="95">
        <v>462.7</v>
      </c>
      <c r="AE46" s="95">
        <v>461.78</v>
      </c>
      <c r="AF46" s="61"/>
      <c r="AG46" s="61"/>
      <c r="AH46" s="61"/>
      <c r="AI46" s="95">
        <v>0</v>
      </c>
      <c r="AJ46" s="95">
        <v>0</v>
      </c>
      <c r="AK46" s="95">
        <v>0</v>
      </c>
      <c r="AL46" s="95">
        <v>0</v>
      </c>
      <c r="AM46" s="95">
        <v>0</v>
      </c>
      <c r="AN46" s="95">
        <v>0</v>
      </c>
      <c r="AO46" s="95">
        <v>0</v>
      </c>
      <c r="AP46" s="95">
        <v>0</v>
      </c>
      <c r="AQ46" s="95">
        <v>0</v>
      </c>
      <c r="AR46" s="95">
        <v>0</v>
      </c>
      <c r="AS46" s="95">
        <v>0</v>
      </c>
      <c r="AT46" s="95">
        <v>0</v>
      </c>
      <c r="AU46" s="61"/>
      <c r="AV46" s="61"/>
      <c r="AW46" s="19" t="s">
        <v>394</v>
      </c>
    </row>
    <row r="47" spans="1:49" s="7" customFormat="1" ht="40" x14ac:dyDescent="0.25">
      <c r="A47" s="36"/>
      <c r="B47" s="19" t="s">
        <v>342</v>
      </c>
      <c r="C47" s="63" t="s">
        <v>1034</v>
      </c>
      <c r="D47" s="65">
        <v>335</v>
      </c>
      <c r="E47" s="248">
        <v>1</v>
      </c>
      <c r="F47" s="247">
        <f t="shared" si="0"/>
        <v>335</v>
      </c>
      <c r="G47" s="114">
        <f t="shared" si="1"/>
        <v>0.56734088400361959</v>
      </c>
      <c r="H47" s="64">
        <v>1664.9185581970219</v>
      </c>
      <c r="I47" s="107">
        <v>2</v>
      </c>
      <c r="J47" s="51"/>
      <c r="K47" s="51"/>
      <c r="L47" s="61"/>
      <c r="M47" s="61"/>
      <c r="N47" s="61"/>
      <c r="O47" s="61"/>
      <c r="P47" s="61"/>
      <c r="Q47" s="61"/>
      <c r="R47" s="61"/>
      <c r="S47" s="51"/>
      <c r="T47" s="51"/>
      <c r="U47" s="51"/>
      <c r="V47" s="33"/>
      <c r="W47" s="19" t="s">
        <v>341</v>
      </c>
      <c r="X47" s="33"/>
      <c r="Y47" s="19" t="s">
        <v>354</v>
      </c>
      <c r="Z47" s="93" t="s">
        <v>393</v>
      </c>
      <c r="AA47" s="70"/>
      <c r="AB47" s="97"/>
      <c r="AC47" s="61"/>
      <c r="AD47" s="61"/>
      <c r="AE47" s="61"/>
      <c r="AF47" s="61"/>
      <c r="AG47" s="61"/>
      <c r="AH47" s="61"/>
      <c r="AI47" s="61"/>
      <c r="AJ47" s="61"/>
      <c r="AK47" s="61"/>
      <c r="AL47" s="61"/>
      <c r="AM47" s="61"/>
      <c r="AN47" s="61"/>
      <c r="AO47" s="61"/>
      <c r="AP47" s="61"/>
      <c r="AQ47" s="61"/>
      <c r="AR47" s="61"/>
      <c r="AS47" s="61"/>
      <c r="AT47" s="61"/>
      <c r="AU47" s="61"/>
      <c r="AV47" s="61"/>
      <c r="AW47" s="19" t="s">
        <v>394</v>
      </c>
    </row>
    <row r="48" spans="1:49" s="7" customFormat="1" ht="20" x14ac:dyDescent="0.25">
      <c r="A48" s="36"/>
      <c r="B48" s="19" t="s">
        <v>344</v>
      </c>
      <c r="C48" s="67" t="s">
        <v>1034</v>
      </c>
      <c r="D48" s="65">
        <v>54</v>
      </c>
      <c r="E48" s="248">
        <v>1</v>
      </c>
      <c r="F48" s="247">
        <f t="shared" si="0"/>
        <v>54</v>
      </c>
      <c r="G48" s="114">
        <f t="shared" si="1"/>
        <v>0.33115881848396755</v>
      </c>
      <c r="H48" s="65">
        <v>156.65136749565602</v>
      </c>
      <c r="I48" s="107">
        <v>1</v>
      </c>
      <c r="J48" s="51"/>
      <c r="K48" s="51"/>
      <c r="L48" s="61"/>
      <c r="M48" s="61"/>
      <c r="N48" s="61"/>
      <c r="O48" s="61"/>
      <c r="P48" s="61"/>
      <c r="Q48" s="61"/>
      <c r="R48" s="61"/>
      <c r="S48" s="51"/>
      <c r="T48" s="51"/>
      <c r="U48" s="51"/>
      <c r="V48" s="33"/>
      <c r="W48" s="19" t="s">
        <v>344</v>
      </c>
      <c r="X48" s="33"/>
      <c r="Y48" s="19" t="s">
        <v>352</v>
      </c>
      <c r="Z48" s="33"/>
      <c r="AA48" s="70"/>
      <c r="AB48" s="94" t="s">
        <v>344</v>
      </c>
      <c r="AC48" s="95">
        <v>634</v>
      </c>
      <c r="AD48" s="95">
        <v>641.29999999999995</v>
      </c>
      <c r="AE48" s="95">
        <v>639.58000000000004</v>
      </c>
      <c r="AF48" s="61"/>
      <c r="AG48" s="61"/>
      <c r="AH48" s="61"/>
      <c r="AI48" s="95">
        <v>4.0209903679999996</v>
      </c>
      <c r="AJ48" s="95">
        <v>3.460462234</v>
      </c>
      <c r="AK48" s="95">
        <v>3.5827292380000002</v>
      </c>
      <c r="AL48" s="95">
        <v>5.3129714129999996</v>
      </c>
      <c r="AM48" s="95">
        <v>12.955863900000001</v>
      </c>
      <c r="AN48" s="95">
        <v>19.918262599999998</v>
      </c>
      <c r="AO48" s="95">
        <v>15.31414213</v>
      </c>
      <c r="AP48" s="95">
        <v>9.4376048570000002</v>
      </c>
      <c r="AQ48" s="95">
        <v>6.0215410790000004</v>
      </c>
      <c r="AR48" s="95">
        <v>5.9563551390000002</v>
      </c>
      <c r="AS48" s="95">
        <v>5.7525348449999996</v>
      </c>
      <c r="AT48" s="95">
        <v>4.2665422040000003</v>
      </c>
      <c r="AU48" s="61"/>
      <c r="AV48" s="61"/>
      <c r="AW48" s="19"/>
    </row>
    <row r="49" spans="1:49" s="14" customFormat="1" ht="20" x14ac:dyDescent="0.25">
      <c r="A49" s="82"/>
      <c r="B49" s="19" t="s">
        <v>345</v>
      </c>
      <c r="C49" s="63" t="s">
        <v>1034</v>
      </c>
      <c r="D49" s="65">
        <v>21.85</v>
      </c>
      <c r="E49" s="248">
        <v>1</v>
      </c>
      <c r="F49" s="247">
        <f t="shared" si="0"/>
        <v>21.85</v>
      </c>
      <c r="G49" s="114">
        <f t="shared" si="1"/>
        <v>0.56732808793872713</v>
      </c>
      <c r="H49" s="65">
        <v>108.59</v>
      </c>
      <c r="I49" s="107">
        <v>3</v>
      </c>
      <c r="J49" s="67">
        <v>1972</v>
      </c>
      <c r="K49" s="51"/>
      <c r="L49" s="61"/>
      <c r="M49" s="61"/>
      <c r="N49" s="61"/>
      <c r="O49" s="61"/>
      <c r="P49" s="61"/>
      <c r="Q49" s="61"/>
      <c r="R49" s="61"/>
      <c r="S49" s="51"/>
      <c r="T49" s="51"/>
      <c r="U49" s="51"/>
      <c r="V49" s="33"/>
      <c r="W49" s="19"/>
      <c r="X49" s="33"/>
      <c r="Y49" s="19"/>
      <c r="Z49" s="33"/>
      <c r="AA49" s="70"/>
      <c r="AB49" s="94"/>
      <c r="AC49" s="95"/>
      <c r="AD49" s="95"/>
      <c r="AE49" s="95"/>
      <c r="AF49" s="61"/>
      <c r="AG49" s="61"/>
      <c r="AH49" s="61"/>
      <c r="AI49" s="95"/>
      <c r="AJ49" s="95"/>
      <c r="AK49" s="95"/>
      <c r="AL49" s="95"/>
      <c r="AM49" s="95"/>
      <c r="AN49" s="95"/>
      <c r="AO49" s="95"/>
      <c r="AP49" s="95"/>
      <c r="AQ49" s="95"/>
      <c r="AR49" s="95"/>
      <c r="AS49" s="95"/>
      <c r="AT49" s="95"/>
      <c r="AU49" s="61"/>
      <c r="AV49" s="61"/>
      <c r="AW49" s="19"/>
    </row>
    <row r="50" spans="1:49" s="7" customFormat="1" ht="19" x14ac:dyDescent="0.25">
      <c r="A50" s="36"/>
      <c r="B50" s="36"/>
      <c r="C50" s="36"/>
      <c r="D50" s="82"/>
      <c r="E50" s="193"/>
      <c r="F50" s="82"/>
      <c r="G50" s="193"/>
      <c r="H50" s="82"/>
      <c r="I50" s="90"/>
      <c r="J50" s="90"/>
      <c r="K50" s="36"/>
      <c r="L50" s="36"/>
      <c r="M50" s="36"/>
      <c r="N50" s="36"/>
      <c r="O50" s="36"/>
      <c r="P50" s="36"/>
      <c r="Q50" s="36"/>
      <c r="R50" s="36"/>
      <c r="S50" s="36"/>
      <c r="T50" s="36"/>
      <c r="U50" s="36"/>
      <c r="V50" s="36"/>
      <c r="W50" s="36"/>
      <c r="X50" s="36"/>
      <c r="Y50" s="36"/>
      <c r="Z50" s="36"/>
      <c r="AA50" s="15"/>
      <c r="AB50" s="15"/>
      <c r="AC50" s="36"/>
      <c r="AD50" s="36"/>
      <c r="AE50" s="36"/>
      <c r="AF50" s="36"/>
      <c r="AG50" s="36"/>
      <c r="AH50" s="36"/>
      <c r="AI50" s="36"/>
      <c r="AJ50" s="36"/>
      <c r="AK50" s="36"/>
      <c r="AL50" s="36"/>
      <c r="AM50" s="36"/>
      <c r="AN50" s="36"/>
      <c r="AO50" s="36"/>
      <c r="AP50" s="36"/>
      <c r="AQ50" s="36"/>
      <c r="AR50" s="36"/>
      <c r="AS50" s="36"/>
      <c r="AT50" s="36"/>
      <c r="AU50" s="90"/>
      <c r="AV50" s="90"/>
      <c r="AW50" s="36"/>
    </row>
    <row r="51" spans="1:49" s="7" customFormat="1" ht="19" x14ac:dyDescent="0.25">
      <c r="A51" s="47" t="s">
        <v>1039</v>
      </c>
      <c r="B51" s="13"/>
      <c r="C51" s="74"/>
      <c r="D51" s="74"/>
      <c r="E51" s="83"/>
      <c r="F51" s="74"/>
      <c r="G51" s="83"/>
      <c r="H51" s="74"/>
      <c r="I51" s="249"/>
      <c r="J51" s="249"/>
      <c r="K51" s="73"/>
      <c r="L51" s="74"/>
      <c r="M51" s="73"/>
      <c r="N51" s="74"/>
      <c r="O51" s="73"/>
      <c r="P51" s="73"/>
      <c r="Q51" s="73"/>
      <c r="R51" s="73"/>
      <c r="S51" s="73"/>
      <c r="T51" s="73"/>
      <c r="U51" s="73"/>
      <c r="V51" s="73"/>
      <c r="W51" s="73"/>
      <c r="X51" s="73"/>
      <c r="Y51" s="70"/>
      <c r="Z51" s="70"/>
      <c r="AA51" s="70"/>
      <c r="AB51" s="70"/>
      <c r="AC51" s="70"/>
      <c r="AD51" s="70"/>
      <c r="AE51" s="70"/>
      <c r="AF51" s="70"/>
      <c r="AG51" s="70"/>
      <c r="AH51" s="70"/>
      <c r="AI51" s="73"/>
      <c r="AJ51" s="73"/>
      <c r="AK51" s="73"/>
      <c r="AL51" s="73"/>
      <c r="AM51" s="73"/>
      <c r="AN51" s="73"/>
      <c r="AO51" s="73"/>
      <c r="AP51" s="73"/>
      <c r="AQ51" s="73"/>
      <c r="AR51" s="73"/>
      <c r="AS51" s="73"/>
      <c r="AT51" s="73"/>
      <c r="AU51" s="90"/>
      <c r="AV51" s="90"/>
      <c r="AW51" s="73"/>
    </row>
    <row r="52" spans="1:49" s="165" customFormat="1" ht="19" x14ac:dyDescent="0.25">
      <c r="A52" s="7" t="s">
        <v>1054</v>
      </c>
      <c r="E52" s="193"/>
      <c r="G52" s="193"/>
      <c r="I52" s="90"/>
      <c r="J52" s="90"/>
      <c r="AU52" s="90"/>
      <c r="AV52" s="90"/>
    </row>
    <row r="53" spans="1:49" s="75" customFormat="1" ht="19" x14ac:dyDescent="0.25">
      <c r="A53" s="7" t="s">
        <v>1053</v>
      </c>
      <c r="E53" s="194"/>
      <c r="G53" s="194"/>
      <c r="I53" s="250"/>
      <c r="J53" s="250"/>
      <c r="M53" s="7"/>
      <c r="U53" s="165"/>
      <c r="AU53" s="250"/>
      <c r="AV53" s="250"/>
    </row>
    <row r="54" spans="1:49" s="14" customFormat="1" ht="19" x14ac:dyDescent="0.25">
      <c r="A54" s="75"/>
      <c r="B54" s="73"/>
      <c r="C54" s="34"/>
      <c r="D54" s="83"/>
      <c r="E54" s="83"/>
      <c r="F54" s="83"/>
      <c r="G54" s="83"/>
      <c r="H54" s="83"/>
      <c r="I54" s="249"/>
      <c r="J54" s="249"/>
      <c r="K54" s="13"/>
      <c r="L54" s="34"/>
      <c r="M54" s="13"/>
      <c r="N54" s="34"/>
      <c r="O54" s="13"/>
      <c r="P54" s="73"/>
      <c r="Q54" s="73"/>
      <c r="R54" s="73"/>
      <c r="S54" s="73"/>
      <c r="T54" s="73"/>
      <c r="U54" s="73"/>
      <c r="V54" s="73"/>
      <c r="W54" s="73"/>
      <c r="X54" s="73"/>
      <c r="Y54" s="70"/>
      <c r="Z54" s="70"/>
      <c r="AA54" s="70"/>
      <c r="AB54" s="70"/>
      <c r="AC54" s="70"/>
      <c r="AD54" s="70"/>
      <c r="AE54" s="70"/>
      <c r="AF54" s="70"/>
      <c r="AG54" s="70"/>
      <c r="AH54" s="70"/>
      <c r="AI54" s="73"/>
      <c r="AJ54" s="73"/>
      <c r="AK54" s="73"/>
      <c r="AL54" s="73"/>
      <c r="AM54" s="73"/>
      <c r="AN54" s="73"/>
      <c r="AO54" s="73"/>
      <c r="AP54" s="73"/>
      <c r="AQ54" s="73"/>
      <c r="AR54" s="73"/>
      <c r="AS54" s="73"/>
      <c r="AT54" s="73"/>
      <c r="AU54" s="90"/>
      <c r="AV54" s="90"/>
      <c r="AW54" s="73"/>
    </row>
  </sheetData>
  <autoFilter ref="B3:AW3" xr:uid="{A1514F72-C4FC-0B46-9457-D3DD2CC57A3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19C12-787E-2541-B341-3C0E2E8124C2}">
  <sheetPr codeName="Sheet5"/>
  <dimension ref="A1:BQ29"/>
  <sheetViews>
    <sheetView workbookViewId="0">
      <pane xSplit="2" ySplit="3" topLeftCell="C4" activePane="bottomRight" state="frozen"/>
      <selection pane="topRight" activeCell="C1" sqref="C1"/>
      <selection pane="bottomLeft" activeCell="A3" sqref="A3"/>
      <selection pane="bottomRight" activeCell="B4" sqref="B4:C12 E4:E12 Y4:Y12"/>
    </sheetView>
  </sheetViews>
  <sheetFormatPr baseColWidth="10" defaultRowHeight="16" x14ac:dyDescent="0.2"/>
  <cols>
    <col min="1" max="1" width="4.83203125" style="36" customWidth="1"/>
    <col min="2" max="2" width="52" style="36" customWidth="1"/>
    <col min="3" max="3" width="39" style="36" customWidth="1"/>
    <col min="4" max="4" width="25" style="36" hidden="1" customWidth="1"/>
    <col min="5" max="5" width="12.5" style="36" bestFit="1" customWidth="1"/>
    <col min="6" max="6" width="12.5" style="254" hidden="1" customWidth="1"/>
    <col min="7" max="7" width="12.83203125" style="36" hidden="1" customWidth="1"/>
    <col min="8" max="8" width="12.83203125" style="254" hidden="1" customWidth="1"/>
    <col min="9" max="9" width="18.83203125" style="36" hidden="1" customWidth="1"/>
    <col min="10" max="10" width="15" style="36" hidden="1" customWidth="1"/>
    <col min="11" max="11" width="12.6640625" style="36" hidden="1" customWidth="1"/>
    <col min="12" max="12" width="4.83203125" style="36" hidden="1" customWidth="1"/>
    <col min="13" max="13" width="39.1640625" style="36" hidden="1" customWidth="1"/>
    <col min="14" max="14" width="25.1640625" style="98" hidden="1" customWidth="1"/>
    <col min="15" max="15" width="25.1640625" style="36" hidden="1" customWidth="1"/>
    <col min="16" max="17" width="25.1640625" style="254" hidden="1" customWidth="1"/>
    <col min="18" max="18" width="25" style="165" hidden="1" customWidth="1"/>
    <col min="19" max="19" width="24.83203125" style="36" hidden="1" customWidth="1"/>
    <col min="20" max="20" width="24.83203125" style="254" hidden="1" customWidth="1"/>
    <col min="21" max="21" width="13.6640625" style="36" hidden="1" customWidth="1"/>
    <col min="22" max="22" width="16.1640625" style="98" hidden="1" customWidth="1"/>
    <col min="23" max="23" width="25" style="254" hidden="1" customWidth="1"/>
    <col min="24" max="24" width="25" style="98" hidden="1" customWidth="1"/>
    <col min="25" max="25" width="15" style="36" customWidth="1"/>
    <col min="26" max="26" width="15" style="82" customWidth="1"/>
    <col min="27" max="27" width="15.83203125" style="15" customWidth="1"/>
    <col min="28" max="28" width="4.83203125" style="15" customWidth="1"/>
    <col min="29" max="29" width="15.6640625" style="36" bestFit="1" customWidth="1"/>
    <col min="30" max="30" width="15.6640625" style="98" bestFit="1" customWidth="1"/>
    <col min="31" max="32" width="15.6640625" style="15" customWidth="1"/>
    <col min="33" max="33" width="18.5" style="15" customWidth="1"/>
    <col min="34" max="35" width="15.6640625" style="15" customWidth="1"/>
    <col min="36" max="36" width="15.6640625" style="90" customWidth="1"/>
    <col min="37" max="37" width="21.1640625" style="98" customWidth="1"/>
    <col min="38" max="38" width="18.83203125" style="15" customWidth="1"/>
    <col min="39" max="40" width="16.83203125" style="90" customWidth="1"/>
    <col min="41" max="42" width="13.83203125" style="90" customWidth="1"/>
    <col min="43" max="43" width="12.83203125" style="15" customWidth="1"/>
    <col min="44" max="44" width="15.6640625" style="36" customWidth="1"/>
    <col min="45" max="45" width="19" style="15" customWidth="1"/>
    <col min="46" max="47" width="16.1640625" style="15" customWidth="1"/>
    <col min="48" max="48" width="45.83203125" style="36" customWidth="1"/>
    <col min="49" max="49" width="6.6640625" style="36" bestFit="1" customWidth="1"/>
    <col min="50" max="50" width="13.33203125" style="36" customWidth="1"/>
    <col min="51" max="51" width="15.1640625" style="36" customWidth="1"/>
    <col min="52" max="53" width="8.6640625" style="36" bestFit="1" customWidth="1"/>
    <col min="54" max="54" width="13.33203125" style="36" customWidth="1"/>
    <col min="55" max="66" width="7.5" style="36" bestFit="1" customWidth="1"/>
    <col min="67" max="67" width="43.1640625" style="36" customWidth="1"/>
    <col min="68" max="16384" width="10.83203125" style="36"/>
  </cols>
  <sheetData>
    <row r="1" spans="1:48" s="7" customFormat="1" ht="21" x14ac:dyDescent="0.25">
      <c r="A1" s="78" t="s">
        <v>102</v>
      </c>
      <c r="B1" s="20" t="s">
        <v>749</v>
      </c>
      <c r="D1" s="20" t="s">
        <v>2924</v>
      </c>
      <c r="E1" s="24"/>
      <c r="F1" s="24"/>
      <c r="G1" s="24"/>
      <c r="H1" s="24"/>
      <c r="K1" s="10"/>
      <c r="L1" s="17"/>
      <c r="M1" s="20" t="s">
        <v>2925</v>
      </c>
      <c r="N1" s="47"/>
      <c r="R1" s="47"/>
      <c r="W1" s="47"/>
      <c r="X1" s="47"/>
      <c r="Y1" s="24"/>
      <c r="Z1" s="24"/>
      <c r="AB1" s="55"/>
      <c r="AC1" s="20" t="s">
        <v>2926</v>
      </c>
      <c r="AD1" s="47"/>
      <c r="AE1" s="84">
        <v>1.77E-2</v>
      </c>
      <c r="AF1" s="69">
        <v>1.05</v>
      </c>
      <c r="AG1" s="69"/>
      <c r="AH1" s="84"/>
      <c r="AI1" s="84">
        <v>7.0000000000000007E-2</v>
      </c>
      <c r="AJ1" s="7">
        <v>70</v>
      </c>
      <c r="AL1" s="55"/>
      <c r="AM1" s="55"/>
      <c r="AN1" s="55"/>
      <c r="AO1" s="55"/>
      <c r="AP1" s="55"/>
      <c r="AQ1" s="55"/>
      <c r="AT1" s="55"/>
      <c r="AU1" s="55"/>
    </row>
    <row r="2" spans="1:48" s="12" customFormat="1" ht="60" x14ac:dyDescent="0.2">
      <c r="B2" s="21" t="s">
        <v>765</v>
      </c>
      <c r="C2" s="21" t="s">
        <v>13</v>
      </c>
      <c r="D2" s="21" t="s">
        <v>996</v>
      </c>
      <c r="E2" s="21" t="s">
        <v>14</v>
      </c>
      <c r="F2" s="21" t="s">
        <v>2369</v>
      </c>
      <c r="G2" s="21" t="s">
        <v>2850</v>
      </c>
      <c r="H2" s="21" t="s">
        <v>1038</v>
      </c>
      <c r="I2" s="21" t="s">
        <v>1036</v>
      </c>
      <c r="J2" s="21" t="s">
        <v>995</v>
      </c>
      <c r="K2" s="21" t="s">
        <v>15</v>
      </c>
      <c r="L2" s="6"/>
      <c r="M2" s="21" t="s">
        <v>398</v>
      </c>
      <c r="N2" s="21" t="s">
        <v>2847</v>
      </c>
      <c r="O2" s="21" t="s">
        <v>19</v>
      </c>
      <c r="P2" s="21" t="s">
        <v>763</v>
      </c>
      <c r="Q2" s="21" t="s">
        <v>762</v>
      </c>
      <c r="R2" s="21" t="s">
        <v>2842</v>
      </c>
      <c r="S2" s="21" t="s">
        <v>2843</v>
      </c>
      <c r="T2" s="21" t="s">
        <v>2844</v>
      </c>
      <c r="U2" s="21" t="s">
        <v>2623</v>
      </c>
      <c r="V2" s="21" t="s">
        <v>999</v>
      </c>
      <c r="W2" s="21" t="s">
        <v>996</v>
      </c>
      <c r="X2" s="21" t="s">
        <v>2845</v>
      </c>
      <c r="Y2" s="21" t="s">
        <v>720</v>
      </c>
      <c r="Z2" s="21" t="s">
        <v>399</v>
      </c>
      <c r="AA2" s="21" t="s">
        <v>401</v>
      </c>
      <c r="AB2" s="50"/>
      <c r="AC2" s="21" t="s">
        <v>1001</v>
      </c>
      <c r="AD2" s="21" t="s">
        <v>1001</v>
      </c>
      <c r="AE2" s="21" t="s">
        <v>743</v>
      </c>
      <c r="AF2" s="21" t="s">
        <v>745</v>
      </c>
      <c r="AG2" s="21" t="s">
        <v>794</v>
      </c>
      <c r="AH2" s="21" t="s">
        <v>746</v>
      </c>
      <c r="AI2" s="21" t="s">
        <v>993</v>
      </c>
      <c r="AJ2" s="21" t="s">
        <v>991</v>
      </c>
      <c r="AK2" s="21" t="s">
        <v>1037</v>
      </c>
      <c r="AL2" s="21" t="s">
        <v>1064</v>
      </c>
      <c r="AM2" s="21" t="s">
        <v>1065</v>
      </c>
      <c r="AN2" s="21" t="s">
        <v>721</v>
      </c>
      <c r="AO2" s="21" t="s">
        <v>1035</v>
      </c>
      <c r="AP2" s="21" t="s">
        <v>1013</v>
      </c>
      <c r="AQ2" s="21" t="s">
        <v>722</v>
      </c>
      <c r="AR2" s="21" t="s">
        <v>400</v>
      </c>
      <c r="AS2" s="21" t="s">
        <v>402</v>
      </c>
      <c r="AT2" s="21" t="s">
        <v>741</v>
      </c>
      <c r="AU2" s="21" t="s">
        <v>718</v>
      </c>
      <c r="AV2" s="21" t="s">
        <v>45</v>
      </c>
    </row>
    <row r="3" spans="1:48" s="8" customFormat="1" ht="20" x14ac:dyDescent="0.2">
      <c r="B3" s="18"/>
      <c r="C3" s="18"/>
      <c r="D3" s="18"/>
      <c r="E3" s="18" t="s">
        <v>17</v>
      </c>
      <c r="F3" s="18" t="s">
        <v>30</v>
      </c>
      <c r="G3" s="18" t="s">
        <v>17</v>
      </c>
      <c r="H3" s="18" t="s">
        <v>30</v>
      </c>
      <c r="I3" s="18" t="s">
        <v>18</v>
      </c>
      <c r="J3" s="18"/>
      <c r="K3" s="18"/>
      <c r="L3" s="66"/>
      <c r="M3" s="18"/>
      <c r="N3" s="18"/>
      <c r="O3" s="18"/>
      <c r="P3" s="18" t="s">
        <v>761</v>
      </c>
      <c r="Q3" s="18" t="s">
        <v>761</v>
      </c>
      <c r="R3" s="18"/>
      <c r="S3" s="18"/>
      <c r="T3" s="18"/>
      <c r="U3" s="18"/>
      <c r="V3" s="18" t="s">
        <v>66</v>
      </c>
      <c r="W3" s="18"/>
      <c r="X3" s="18"/>
      <c r="Y3" s="18" t="s">
        <v>17</v>
      </c>
      <c r="Z3" s="18" t="s">
        <v>17</v>
      </c>
      <c r="AA3" s="18" t="s">
        <v>18</v>
      </c>
      <c r="AB3" s="50"/>
      <c r="AC3" s="18" t="s">
        <v>1000</v>
      </c>
      <c r="AD3" s="18" t="s">
        <v>742</v>
      </c>
      <c r="AE3" s="18" t="s">
        <v>404</v>
      </c>
      <c r="AF3" s="18" t="s">
        <v>404</v>
      </c>
      <c r="AG3" s="18" t="s">
        <v>404</v>
      </c>
      <c r="AH3" s="18" t="s">
        <v>404</v>
      </c>
      <c r="AI3" s="18" t="s">
        <v>404</v>
      </c>
      <c r="AJ3" s="50" t="s">
        <v>992</v>
      </c>
      <c r="AK3" s="18" t="s">
        <v>403</v>
      </c>
      <c r="AL3" s="50" t="s">
        <v>760</v>
      </c>
      <c r="AM3" s="50" t="s">
        <v>760</v>
      </c>
      <c r="AN3" s="50" t="s">
        <v>1061</v>
      </c>
      <c r="AO3" s="50" t="s">
        <v>21</v>
      </c>
      <c r="AP3" s="50" t="s">
        <v>21</v>
      </c>
      <c r="AQ3" s="50" t="s">
        <v>21</v>
      </c>
      <c r="AR3" s="18" t="s">
        <v>403</v>
      </c>
      <c r="AS3" s="18" t="s">
        <v>21</v>
      </c>
      <c r="AT3" s="50" t="s">
        <v>719</v>
      </c>
      <c r="AU3" s="50" t="s">
        <v>719</v>
      </c>
      <c r="AV3" s="18"/>
    </row>
    <row r="4" spans="1:48" s="17" customFormat="1" ht="20" x14ac:dyDescent="0.2">
      <c r="B4" s="19" t="s">
        <v>309</v>
      </c>
      <c r="C4" s="19" t="s">
        <v>106</v>
      </c>
      <c r="D4" s="63" t="s">
        <v>1043</v>
      </c>
      <c r="E4" s="65">
        <v>6</v>
      </c>
      <c r="F4" s="248">
        <v>1</v>
      </c>
      <c r="G4" s="247">
        <f t="shared" ref="G4:G16" si="0">E4*F4</f>
        <v>6</v>
      </c>
      <c r="H4" s="114">
        <f t="shared" ref="H4:H16" si="1">I4*1000/(24*365*E4)</f>
        <v>0.33124048706240489</v>
      </c>
      <c r="I4" s="65">
        <v>17.41</v>
      </c>
      <c r="J4" s="162">
        <v>1</v>
      </c>
      <c r="K4" s="54">
        <v>1929</v>
      </c>
      <c r="L4" s="26"/>
      <c r="M4" s="19" t="s">
        <v>416</v>
      </c>
      <c r="N4" s="19" t="s">
        <v>1093</v>
      </c>
      <c r="O4" s="19" t="s">
        <v>129</v>
      </c>
      <c r="P4" s="119">
        <v>50.296008200000003</v>
      </c>
      <c r="Q4" s="119">
        <v>-118.8133272</v>
      </c>
      <c r="R4" s="51" t="s">
        <v>1062</v>
      </c>
      <c r="S4" s="150" t="s">
        <v>1565</v>
      </c>
      <c r="T4" s="51" t="s">
        <v>2129</v>
      </c>
      <c r="U4" s="60">
        <v>2.4</v>
      </c>
      <c r="V4" s="100">
        <v>0</v>
      </c>
      <c r="W4" s="63" t="s">
        <v>1043</v>
      </c>
      <c r="X4" s="51" t="s">
        <v>1043</v>
      </c>
      <c r="Y4" s="148">
        <v>3</v>
      </c>
      <c r="Z4" s="148">
        <v>3</v>
      </c>
      <c r="AA4" s="99"/>
      <c r="AB4" s="61"/>
      <c r="AC4" s="79">
        <v>6</v>
      </c>
      <c r="AD4" s="79">
        <f t="shared" ref="AD4:AD16" si="2">(133.4/130.4)*AC4</f>
        <v>6.1380368098159508</v>
      </c>
      <c r="AE4" s="69">
        <f t="shared" ref="AE4:AE16" si="3">AE$1*AD4</f>
        <v>0.10864325153374234</v>
      </c>
      <c r="AF4" s="61">
        <f t="shared" ref="AF4:AF16" si="4">((AD4+AE4)/AT4)*(AF$1+AF$1^2+AF$1^3+AF$1^4+AF$1^5)-(AD4+AE4)</f>
        <v>1.0018585553569217</v>
      </c>
      <c r="AG4" s="61">
        <f t="shared" ref="AG4:AG16" si="5">SUM(AD4:AF4)</f>
        <v>7.2485386167066146</v>
      </c>
      <c r="AH4" s="69">
        <f t="shared" ref="AH4:AH16" si="6">(0.9539*AG4^0.6784)/5</f>
        <v>0.73135250701146437</v>
      </c>
      <c r="AI4" s="69">
        <f t="shared" ref="AI4:AI16" si="7">SUM(AG4:AH4)</f>
        <v>7.9798911237180787</v>
      </c>
      <c r="AJ4" s="69">
        <f t="shared" ref="AJ4:AJ16" si="8">(AI4*AI$1)/(1-(1+AI$1)^-AJ$1)</f>
        <v>0.56353613813888292</v>
      </c>
      <c r="AK4" s="69">
        <f t="shared" ref="AK4:AK16" si="9">AJ4*1000/Y4</f>
        <v>187.84537937962764</v>
      </c>
      <c r="AL4" s="69">
        <f t="shared" ref="AL4:AL16" si="10">466484*(E4^-0.542)*E4</f>
        <v>1059814.9099896096</v>
      </c>
      <c r="AM4" s="69">
        <f t="shared" ref="AM4:AM16" si="11">466484*((E4+Y4)^-0.542)*(E4+Y4)</f>
        <v>1276085.6406579763</v>
      </c>
      <c r="AN4" s="69">
        <f t="shared" ref="AN4:AN16" si="12">(AM4-AL4)/Y4</f>
        <v>72090.243556122223</v>
      </c>
      <c r="AO4" s="69">
        <f t="shared" ref="AO4:AO16" si="13">14.07*(Y4^-0.383)</f>
        <v>9.2375469108423083</v>
      </c>
      <c r="AP4" s="228">
        <v>6.4279999999999999</v>
      </c>
      <c r="AQ4" s="61">
        <f t="shared" ref="AQ4:AQ16" si="14">SUM(AO4:AP4)</f>
        <v>15.665546910842309</v>
      </c>
      <c r="AR4" s="79">
        <v>85</v>
      </c>
      <c r="AS4" s="69"/>
      <c r="AT4" s="100">
        <v>5</v>
      </c>
      <c r="AU4" s="100">
        <v>8</v>
      </c>
      <c r="AV4" s="19"/>
    </row>
    <row r="5" spans="1:48" s="17" customFormat="1" ht="20" x14ac:dyDescent="0.2">
      <c r="B5" s="19" t="s">
        <v>200</v>
      </c>
      <c r="C5" s="19" t="s">
        <v>106</v>
      </c>
      <c r="D5" s="67" t="s">
        <v>1043</v>
      </c>
      <c r="E5" s="65">
        <v>7</v>
      </c>
      <c r="F5" s="248">
        <v>1</v>
      </c>
      <c r="G5" s="247">
        <f t="shared" si="0"/>
        <v>7</v>
      </c>
      <c r="H5" s="114">
        <f t="shared" si="1"/>
        <v>0.33115881734010766</v>
      </c>
      <c r="I5" s="65">
        <v>20.306658679295399</v>
      </c>
      <c r="J5" s="107">
        <v>2</v>
      </c>
      <c r="K5" s="54">
        <v>1930</v>
      </c>
      <c r="L5" s="26"/>
      <c r="M5" s="19" t="s">
        <v>407</v>
      </c>
      <c r="N5" s="19" t="s">
        <v>1085</v>
      </c>
      <c r="O5" s="19" t="s">
        <v>201</v>
      </c>
      <c r="P5" s="119">
        <v>53.983530700000003</v>
      </c>
      <c r="Q5" s="119">
        <v>-129.7342438</v>
      </c>
      <c r="R5" s="51" t="s">
        <v>1062</v>
      </c>
      <c r="S5" s="150" t="s">
        <v>1956</v>
      </c>
      <c r="T5" s="51" t="s">
        <v>2282</v>
      </c>
      <c r="U5" s="60">
        <v>6.6</v>
      </c>
      <c r="V5" s="100">
        <v>0</v>
      </c>
      <c r="W5" s="67" t="s">
        <v>1043</v>
      </c>
      <c r="X5" s="51" t="s">
        <v>1043</v>
      </c>
      <c r="Y5" s="148">
        <v>24</v>
      </c>
      <c r="Z5" s="148">
        <v>24</v>
      </c>
      <c r="AA5" s="148">
        <v>170</v>
      </c>
      <c r="AB5" s="61"/>
      <c r="AC5" s="79">
        <v>260</v>
      </c>
      <c r="AD5" s="79">
        <f t="shared" si="2"/>
        <v>265.98159509202452</v>
      </c>
      <c r="AE5" s="69">
        <f t="shared" si="3"/>
        <v>4.7078742331288339</v>
      </c>
      <c r="AF5" s="61">
        <f t="shared" si="4"/>
        <v>43.413870732133262</v>
      </c>
      <c r="AG5" s="61">
        <f t="shared" si="5"/>
        <v>314.10334005728663</v>
      </c>
      <c r="AH5" s="69">
        <f t="shared" si="6"/>
        <v>9.4307637494578227</v>
      </c>
      <c r="AI5" s="69">
        <f t="shared" si="7"/>
        <v>323.53410380674444</v>
      </c>
      <c r="AJ5" s="69">
        <f t="shared" si="8"/>
        <v>22.847825438817168</v>
      </c>
      <c r="AK5" s="69">
        <f t="shared" si="9"/>
        <v>951.99272661738189</v>
      </c>
      <c r="AL5" s="69">
        <f t="shared" si="10"/>
        <v>1137343.5125799186</v>
      </c>
      <c r="AM5" s="69">
        <f t="shared" si="11"/>
        <v>2248435.3681990947</v>
      </c>
      <c r="AN5" s="69">
        <f t="shared" si="12"/>
        <v>46295.493984132336</v>
      </c>
      <c r="AO5" s="69">
        <f t="shared" si="13"/>
        <v>4.1655580577698439</v>
      </c>
      <c r="AP5" s="228">
        <v>6.4279999999999999</v>
      </c>
      <c r="AQ5" s="61">
        <f t="shared" si="14"/>
        <v>10.593558057769844</v>
      </c>
      <c r="AR5" s="79">
        <v>381</v>
      </c>
      <c r="AS5" s="79">
        <v>54</v>
      </c>
      <c r="AT5" s="100">
        <v>5</v>
      </c>
      <c r="AU5" s="100">
        <v>8</v>
      </c>
      <c r="AV5" s="19" t="s">
        <v>408</v>
      </c>
    </row>
    <row r="6" spans="1:48" s="17" customFormat="1" ht="20" x14ac:dyDescent="0.2">
      <c r="B6" s="19" t="s">
        <v>111</v>
      </c>
      <c r="C6" s="19" t="s">
        <v>106</v>
      </c>
      <c r="D6" s="67" t="s">
        <v>1034</v>
      </c>
      <c r="E6" s="65">
        <v>9</v>
      </c>
      <c r="F6" s="248">
        <v>1</v>
      </c>
      <c r="G6" s="247">
        <f t="shared" si="0"/>
        <v>9</v>
      </c>
      <c r="H6" s="114">
        <f t="shared" si="1"/>
        <v>0.33115880423008626</v>
      </c>
      <c r="I6" s="65">
        <v>26.108560125499999</v>
      </c>
      <c r="J6" s="164">
        <v>1</v>
      </c>
      <c r="K6" s="54">
        <v>1928</v>
      </c>
      <c r="L6" s="26"/>
      <c r="M6" s="19" t="s">
        <v>1050</v>
      </c>
      <c r="N6" s="19" t="s">
        <v>1082</v>
      </c>
      <c r="O6" s="19" t="s">
        <v>112</v>
      </c>
      <c r="P6" s="126">
        <v>49.372118</v>
      </c>
      <c r="Q6" s="126">
        <v>-122.31242899999999</v>
      </c>
      <c r="R6" s="51" t="s">
        <v>1062</v>
      </c>
      <c r="S6" s="150" t="s">
        <v>2290</v>
      </c>
      <c r="T6" s="51" t="s">
        <v>2286</v>
      </c>
      <c r="U6" s="60">
        <v>6.8</v>
      </c>
      <c r="V6" s="100">
        <v>0</v>
      </c>
      <c r="W6" s="67" t="s">
        <v>1043</v>
      </c>
      <c r="X6" s="51" t="s">
        <v>1043</v>
      </c>
      <c r="Y6" s="148">
        <v>21</v>
      </c>
      <c r="Z6" s="148">
        <v>21</v>
      </c>
      <c r="AA6" s="148">
        <v>61</v>
      </c>
      <c r="AB6" s="61"/>
      <c r="AC6" s="79">
        <v>160</v>
      </c>
      <c r="AD6" s="79">
        <f t="shared" si="2"/>
        <v>163.68098159509202</v>
      </c>
      <c r="AE6" s="69">
        <f t="shared" si="3"/>
        <v>2.8971533742331288</v>
      </c>
      <c r="AF6" s="61">
        <f t="shared" si="4"/>
        <v>26.716228142851236</v>
      </c>
      <c r="AG6" s="61">
        <f t="shared" si="5"/>
        <v>193.2943631121764</v>
      </c>
      <c r="AH6" s="69">
        <f t="shared" si="6"/>
        <v>6.7842827908877918</v>
      </c>
      <c r="AI6" s="69">
        <f t="shared" si="7"/>
        <v>200.0786459030642</v>
      </c>
      <c r="AJ6" s="69">
        <f t="shared" si="8"/>
        <v>14.129459373342351</v>
      </c>
      <c r="AK6" s="69">
        <f t="shared" si="9"/>
        <v>672.83139873058815</v>
      </c>
      <c r="AL6" s="69">
        <f t="shared" si="10"/>
        <v>1276085.6406579763</v>
      </c>
      <c r="AM6" s="69">
        <f t="shared" si="11"/>
        <v>2214921.2361281943</v>
      </c>
      <c r="AN6" s="69">
        <f t="shared" si="12"/>
        <v>44706.456927153238</v>
      </c>
      <c r="AO6" s="69">
        <f t="shared" si="13"/>
        <v>4.3841369049553451</v>
      </c>
      <c r="AP6" s="228">
        <v>6.4279999999999999</v>
      </c>
      <c r="AQ6" s="61">
        <f t="shared" si="14"/>
        <v>10.812136904955345</v>
      </c>
      <c r="AR6" s="79">
        <v>103</v>
      </c>
      <c r="AS6" s="79">
        <v>35</v>
      </c>
      <c r="AT6" s="100">
        <v>5</v>
      </c>
      <c r="AU6" s="100">
        <v>8</v>
      </c>
      <c r="AV6" s="19" t="s">
        <v>417</v>
      </c>
    </row>
    <row r="7" spans="1:48" s="17" customFormat="1" ht="20" x14ac:dyDescent="0.2">
      <c r="B7" s="19" t="s">
        <v>199</v>
      </c>
      <c r="C7" s="19" t="s">
        <v>106</v>
      </c>
      <c r="D7" s="67" t="s">
        <v>1043</v>
      </c>
      <c r="E7" s="65">
        <v>12</v>
      </c>
      <c r="F7" s="248">
        <v>1</v>
      </c>
      <c r="G7" s="247">
        <f t="shared" si="0"/>
        <v>12</v>
      </c>
      <c r="H7" s="114">
        <f t="shared" si="1"/>
        <v>0.33115884455337707</v>
      </c>
      <c r="I7" s="65">
        <v>34.811417739450995</v>
      </c>
      <c r="J7" s="162">
        <v>2</v>
      </c>
      <c r="K7" s="54">
        <v>1924</v>
      </c>
      <c r="L7" s="26"/>
      <c r="M7" s="19" t="s">
        <v>406</v>
      </c>
      <c r="N7" s="19" t="s">
        <v>1084</v>
      </c>
      <c r="O7" s="19" t="s">
        <v>192</v>
      </c>
      <c r="P7" s="119">
        <v>49.290066600000003</v>
      </c>
      <c r="Q7" s="119">
        <v>-115.10461340000001</v>
      </c>
      <c r="R7" s="51" t="s">
        <v>1062</v>
      </c>
      <c r="S7" s="150" t="s">
        <v>1659</v>
      </c>
      <c r="T7" s="51" t="s">
        <v>2219</v>
      </c>
      <c r="U7" s="60">
        <v>6.6</v>
      </c>
      <c r="V7" s="100">
        <v>0</v>
      </c>
      <c r="W7" s="67" t="s">
        <v>1043</v>
      </c>
      <c r="X7" s="51" t="s">
        <v>1043</v>
      </c>
      <c r="Y7" s="148">
        <v>21</v>
      </c>
      <c r="Z7" s="148">
        <v>21</v>
      </c>
      <c r="AA7" s="148">
        <v>125</v>
      </c>
      <c r="AB7" s="61"/>
      <c r="AC7" s="79">
        <v>180.1</v>
      </c>
      <c r="AD7" s="79">
        <f t="shared" si="2"/>
        <v>184.24340490797545</v>
      </c>
      <c r="AE7" s="69">
        <f t="shared" si="3"/>
        <v>3.2611082668711653</v>
      </c>
      <c r="AF7" s="61">
        <f t="shared" si="4"/>
        <v>30.072454303296922</v>
      </c>
      <c r="AG7" s="61">
        <f t="shared" si="5"/>
        <v>217.57696747814353</v>
      </c>
      <c r="AH7" s="69">
        <f t="shared" si="6"/>
        <v>7.3513897591174242</v>
      </c>
      <c r="AI7" s="69">
        <f t="shared" si="7"/>
        <v>224.92835723726097</v>
      </c>
      <c r="AJ7" s="69">
        <f t="shared" si="8"/>
        <v>15.884334238428796</v>
      </c>
      <c r="AK7" s="69">
        <f t="shared" si="9"/>
        <v>756.39686849660927</v>
      </c>
      <c r="AL7" s="69">
        <f t="shared" si="10"/>
        <v>1455800.1610906816</v>
      </c>
      <c r="AM7" s="69">
        <f t="shared" si="11"/>
        <v>2313748.4289633399</v>
      </c>
      <c r="AN7" s="69">
        <f t="shared" si="12"/>
        <v>40854.679422507543</v>
      </c>
      <c r="AO7" s="69">
        <f t="shared" si="13"/>
        <v>4.3841369049553451</v>
      </c>
      <c r="AP7" s="228">
        <v>6.4279999999999999</v>
      </c>
      <c r="AQ7" s="61">
        <f t="shared" si="14"/>
        <v>10.812136904955345</v>
      </c>
      <c r="AR7" s="79">
        <v>395</v>
      </c>
      <c r="AS7" s="79">
        <v>66</v>
      </c>
      <c r="AT7" s="100">
        <v>5</v>
      </c>
      <c r="AU7" s="100">
        <v>8</v>
      </c>
      <c r="AV7" s="19"/>
    </row>
    <row r="8" spans="1:48" s="17" customFormat="1" ht="20" x14ac:dyDescent="0.2">
      <c r="B8" s="19" t="s">
        <v>292</v>
      </c>
      <c r="C8" s="19" t="s">
        <v>106</v>
      </c>
      <c r="D8" s="67" t="s">
        <v>1043</v>
      </c>
      <c r="E8" s="68">
        <v>24</v>
      </c>
      <c r="F8" s="248">
        <v>1</v>
      </c>
      <c r="G8" s="247">
        <f t="shared" si="0"/>
        <v>24</v>
      </c>
      <c r="H8" s="114">
        <f t="shared" si="1"/>
        <v>0.33115882267169044</v>
      </c>
      <c r="I8" s="65">
        <v>69.622830878496202</v>
      </c>
      <c r="J8" s="107">
        <v>1</v>
      </c>
      <c r="K8" s="67">
        <v>1912</v>
      </c>
      <c r="L8" s="26"/>
      <c r="M8" s="19" t="s">
        <v>412</v>
      </c>
      <c r="N8" s="19" t="s">
        <v>1089</v>
      </c>
      <c r="O8" s="19" t="s">
        <v>118</v>
      </c>
      <c r="P8" s="119">
        <v>49.6649648</v>
      </c>
      <c r="Q8" s="119">
        <v>-125.0939051</v>
      </c>
      <c r="R8" s="51" t="s">
        <v>1062</v>
      </c>
      <c r="S8" s="150" t="s">
        <v>1844</v>
      </c>
      <c r="T8" s="51" t="s">
        <v>2050</v>
      </c>
      <c r="U8" s="60">
        <v>13.8</v>
      </c>
      <c r="V8" s="100">
        <v>0</v>
      </c>
      <c r="W8" s="67" t="s">
        <v>1043</v>
      </c>
      <c r="X8" s="51" t="s">
        <v>1043</v>
      </c>
      <c r="Y8" s="148">
        <v>10</v>
      </c>
      <c r="Z8" s="148">
        <v>10</v>
      </c>
      <c r="AA8" s="148">
        <v>18</v>
      </c>
      <c r="AB8" s="61"/>
      <c r="AC8" s="79">
        <v>115</v>
      </c>
      <c r="AD8" s="79">
        <f t="shared" si="2"/>
        <v>117.64570552147239</v>
      </c>
      <c r="AE8" s="69">
        <f t="shared" si="3"/>
        <v>2.0823289877300613</v>
      </c>
      <c r="AF8" s="61">
        <f t="shared" si="4"/>
        <v>19.202288977674343</v>
      </c>
      <c r="AG8" s="61">
        <f t="shared" si="5"/>
        <v>138.9303234868768</v>
      </c>
      <c r="AH8" s="69">
        <f t="shared" si="6"/>
        <v>5.4225849089161571</v>
      </c>
      <c r="AI8" s="69">
        <f t="shared" si="7"/>
        <v>144.35290839579295</v>
      </c>
      <c r="AJ8" s="69">
        <f t="shared" si="8"/>
        <v>10.194134138584401</v>
      </c>
      <c r="AK8" s="69">
        <f t="shared" si="9"/>
        <v>1019.4134138584401</v>
      </c>
      <c r="AL8" s="69">
        <f t="shared" si="10"/>
        <v>1999739.8499068408</v>
      </c>
      <c r="AM8" s="69">
        <f t="shared" si="11"/>
        <v>2345600.7747929045</v>
      </c>
      <c r="AN8" s="69">
        <f t="shared" si="12"/>
        <v>34586.092488606366</v>
      </c>
      <c r="AO8" s="69">
        <f t="shared" si="13"/>
        <v>5.8249754247136067</v>
      </c>
      <c r="AP8" s="228">
        <v>6.4279999999999999</v>
      </c>
      <c r="AQ8" s="61">
        <f t="shared" si="14"/>
        <v>12.252975424713608</v>
      </c>
      <c r="AR8" s="79">
        <v>89</v>
      </c>
      <c r="AS8" s="79">
        <v>49</v>
      </c>
      <c r="AT8" s="100">
        <v>5</v>
      </c>
      <c r="AU8" s="100">
        <v>8</v>
      </c>
      <c r="AV8" s="19"/>
    </row>
    <row r="9" spans="1:48" s="17" customFormat="1" ht="20" x14ac:dyDescent="0.2">
      <c r="B9" s="19" t="s">
        <v>252</v>
      </c>
      <c r="C9" s="19" t="s">
        <v>106</v>
      </c>
      <c r="D9" s="67" t="s">
        <v>1043</v>
      </c>
      <c r="E9" s="65">
        <v>25</v>
      </c>
      <c r="F9" s="248">
        <v>1</v>
      </c>
      <c r="G9" s="247">
        <f t="shared" si="0"/>
        <v>25</v>
      </c>
      <c r="H9" s="114">
        <f t="shared" si="1"/>
        <v>0.33115878945214844</v>
      </c>
      <c r="I9" s="65">
        <v>72.523774890020505</v>
      </c>
      <c r="J9" s="107">
        <v>1</v>
      </c>
      <c r="K9" s="54">
        <v>1957</v>
      </c>
      <c r="L9" s="26"/>
      <c r="M9" s="19" t="s">
        <v>411</v>
      </c>
      <c r="N9" s="19" t="s">
        <v>1088</v>
      </c>
      <c r="O9" s="19" t="s">
        <v>141</v>
      </c>
      <c r="P9" s="119">
        <v>50.839720399999997</v>
      </c>
      <c r="Q9" s="119">
        <v>-122.85588989999999</v>
      </c>
      <c r="R9" s="51" t="s">
        <v>1062</v>
      </c>
      <c r="S9" s="150" t="s">
        <v>1758</v>
      </c>
      <c r="T9" s="51" t="s">
        <v>2155</v>
      </c>
      <c r="U9" s="60">
        <v>13.8</v>
      </c>
      <c r="V9" s="100">
        <v>0</v>
      </c>
      <c r="W9" s="67" t="s">
        <v>1043</v>
      </c>
      <c r="X9" s="51" t="s">
        <v>1043</v>
      </c>
      <c r="Y9" s="148">
        <v>30</v>
      </c>
      <c r="Z9" s="148">
        <v>30</v>
      </c>
      <c r="AA9" s="148">
        <v>80</v>
      </c>
      <c r="AB9" s="61"/>
      <c r="AC9" s="79">
        <v>340</v>
      </c>
      <c r="AD9" s="79">
        <f t="shared" si="2"/>
        <v>347.82208588957053</v>
      </c>
      <c r="AE9" s="69">
        <f t="shared" si="3"/>
        <v>6.1564509202453985</v>
      </c>
      <c r="AF9" s="61">
        <f t="shared" si="4"/>
        <v>56.771984803558837</v>
      </c>
      <c r="AG9" s="61">
        <f t="shared" si="5"/>
        <v>410.75052161337476</v>
      </c>
      <c r="AH9" s="69">
        <f t="shared" si="6"/>
        <v>11.313168184676966</v>
      </c>
      <c r="AI9" s="69">
        <f t="shared" si="7"/>
        <v>422.06368979805171</v>
      </c>
      <c r="AJ9" s="69">
        <f t="shared" si="8"/>
        <v>29.805938215184657</v>
      </c>
      <c r="AK9" s="69">
        <f t="shared" si="9"/>
        <v>993.53127383948856</v>
      </c>
      <c r="AL9" s="69">
        <f t="shared" si="10"/>
        <v>2037479.6340877095</v>
      </c>
      <c r="AM9" s="69">
        <f t="shared" si="11"/>
        <v>2923633.0601559868</v>
      </c>
      <c r="AN9" s="69">
        <f t="shared" si="12"/>
        <v>29538.447535609244</v>
      </c>
      <c r="AO9" s="69">
        <f t="shared" si="13"/>
        <v>3.8243414172207211</v>
      </c>
      <c r="AP9" s="228">
        <v>6.4279999999999999</v>
      </c>
      <c r="AQ9" s="61">
        <f t="shared" si="14"/>
        <v>10.252341417220721</v>
      </c>
      <c r="AR9" s="79">
        <v>211</v>
      </c>
      <c r="AS9" s="79">
        <v>79</v>
      </c>
      <c r="AT9" s="100">
        <v>5</v>
      </c>
      <c r="AU9" s="100">
        <v>8</v>
      </c>
      <c r="AV9" s="19"/>
    </row>
    <row r="10" spans="1:48" s="17" customFormat="1" ht="20" x14ac:dyDescent="0.2">
      <c r="B10" s="19" t="s">
        <v>717</v>
      </c>
      <c r="C10" s="19" t="s">
        <v>106</v>
      </c>
      <c r="D10" s="67" t="s">
        <v>1043</v>
      </c>
      <c r="E10" s="65">
        <v>28</v>
      </c>
      <c r="F10" s="248">
        <v>1</v>
      </c>
      <c r="G10" s="247">
        <f t="shared" si="0"/>
        <v>28</v>
      </c>
      <c r="H10" s="114">
        <f t="shared" si="1"/>
        <v>0.3311588354221624</v>
      </c>
      <c r="I10" s="65">
        <v>81.226639152348</v>
      </c>
      <c r="J10" s="107">
        <v>1</v>
      </c>
      <c r="K10" s="54">
        <v>1958</v>
      </c>
      <c r="L10" s="26"/>
      <c r="M10" s="19" t="s">
        <v>405</v>
      </c>
      <c r="N10" s="19" t="s">
        <v>1083</v>
      </c>
      <c r="O10" s="19" t="s">
        <v>118</v>
      </c>
      <c r="P10" s="119">
        <v>49.373362999999998</v>
      </c>
      <c r="Q10" s="119">
        <v>-125.15062880000001</v>
      </c>
      <c r="R10" s="51" t="s">
        <v>1062</v>
      </c>
      <c r="S10" s="150" t="s">
        <v>1573</v>
      </c>
      <c r="T10" s="51" t="s">
        <v>2280</v>
      </c>
      <c r="U10" s="60">
        <v>13.8</v>
      </c>
      <c r="V10" s="100">
        <v>0</v>
      </c>
      <c r="W10" s="67" t="s">
        <v>1043</v>
      </c>
      <c r="X10" s="51" t="s">
        <v>1043</v>
      </c>
      <c r="Y10" s="148">
        <v>9</v>
      </c>
      <c r="Z10" s="148">
        <v>9</v>
      </c>
      <c r="AA10" s="148">
        <v>30</v>
      </c>
      <c r="AB10" s="61"/>
      <c r="AC10" s="79">
        <v>101</v>
      </c>
      <c r="AD10" s="79">
        <f t="shared" si="2"/>
        <v>103.32361963190183</v>
      </c>
      <c r="AE10" s="69">
        <f t="shared" si="3"/>
        <v>1.8288280674846624</v>
      </c>
      <c r="AF10" s="61">
        <f t="shared" si="4"/>
        <v>16.864619015174853</v>
      </c>
      <c r="AG10" s="61">
        <f t="shared" si="5"/>
        <v>122.01706671456135</v>
      </c>
      <c r="AH10" s="69">
        <f t="shared" si="6"/>
        <v>4.9654723303625161</v>
      </c>
      <c r="AI10" s="69">
        <f t="shared" si="7"/>
        <v>126.98253904492387</v>
      </c>
      <c r="AJ10" s="69">
        <f t="shared" si="8"/>
        <v>8.9674468680099793</v>
      </c>
      <c r="AK10" s="69">
        <f t="shared" si="9"/>
        <v>996.3829853344422</v>
      </c>
      <c r="AL10" s="69">
        <f t="shared" si="10"/>
        <v>2146026.748351167</v>
      </c>
      <c r="AM10" s="69">
        <f t="shared" si="11"/>
        <v>2438221.4186952156</v>
      </c>
      <c r="AN10" s="69">
        <f t="shared" si="12"/>
        <v>32466.074482672073</v>
      </c>
      <c r="AO10" s="69">
        <f t="shared" si="13"/>
        <v>6.0648381613370486</v>
      </c>
      <c r="AP10" s="228">
        <v>6.4279999999999999</v>
      </c>
      <c r="AQ10" s="61">
        <f t="shared" si="14"/>
        <v>12.492838161337048</v>
      </c>
      <c r="AR10" s="79">
        <v>188</v>
      </c>
      <c r="AS10" s="79">
        <v>56</v>
      </c>
      <c r="AT10" s="100">
        <v>5</v>
      </c>
      <c r="AU10" s="100">
        <v>8</v>
      </c>
      <c r="AV10" s="19"/>
    </row>
    <row r="11" spans="1:48" s="17" customFormat="1" ht="20" x14ac:dyDescent="0.2">
      <c r="B11" s="19" t="s">
        <v>251</v>
      </c>
      <c r="C11" s="19" t="s">
        <v>106</v>
      </c>
      <c r="D11" s="67" t="s">
        <v>1043</v>
      </c>
      <c r="E11" s="65">
        <v>47</v>
      </c>
      <c r="F11" s="248">
        <v>1</v>
      </c>
      <c r="G11" s="247">
        <f t="shared" si="0"/>
        <v>47</v>
      </c>
      <c r="H11" s="114">
        <f t="shared" si="1"/>
        <v>0.33115879480983873</v>
      </c>
      <c r="I11" s="65">
        <v>136.34469899910681</v>
      </c>
      <c r="J11" s="107">
        <v>2</v>
      </c>
      <c r="K11" s="54">
        <v>1956</v>
      </c>
      <c r="L11" s="26"/>
      <c r="M11" s="19" t="s">
        <v>410</v>
      </c>
      <c r="N11" s="19" t="s">
        <v>1087</v>
      </c>
      <c r="O11" s="19" t="s">
        <v>118</v>
      </c>
      <c r="P11" s="119">
        <v>50.0173147</v>
      </c>
      <c r="Q11" s="119">
        <v>-125.39301690000001</v>
      </c>
      <c r="R11" s="51" t="s">
        <v>1062</v>
      </c>
      <c r="S11" s="150" t="s">
        <v>1762</v>
      </c>
      <c r="T11" s="51" t="s">
        <v>2058</v>
      </c>
      <c r="U11" s="60">
        <v>13.8</v>
      </c>
      <c r="V11" s="100">
        <v>0</v>
      </c>
      <c r="W11" s="67" t="s">
        <v>1043</v>
      </c>
      <c r="X11" s="51" t="s">
        <v>1043</v>
      </c>
      <c r="Y11" s="148">
        <v>9</v>
      </c>
      <c r="Z11" s="148">
        <v>9</v>
      </c>
      <c r="AA11" s="148">
        <v>8</v>
      </c>
      <c r="AB11" s="61"/>
      <c r="AC11" s="79">
        <v>11</v>
      </c>
      <c r="AD11" s="79">
        <f t="shared" si="2"/>
        <v>11.253067484662576</v>
      </c>
      <c r="AE11" s="69">
        <f t="shared" si="3"/>
        <v>0.19917929447852761</v>
      </c>
      <c r="AF11" s="61">
        <f t="shared" si="4"/>
        <v>1.8367406848210219</v>
      </c>
      <c r="AG11" s="61">
        <f t="shared" si="5"/>
        <v>13.288987463962126</v>
      </c>
      <c r="AH11" s="69">
        <f t="shared" si="6"/>
        <v>1.1033409669802636</v>
      </c>
      <c r="AI11" s="69">
        <f t="shared" si="7"/>
        <v>14.39232843094239</v>
      </c>
      <c r="AJ11" s="69">
        <f t="shared" si="8"/>
        <v>1.0163794288738046</v>
      </c>
      <c r="AK11" s="69">
        <f t="shared" si="9"/>
        <v>112.93104765264496</v>
      </c>
      <c r="AL11" s="69">
        <f t="shared" si="10"/>
        <v>2720555.3828510484</v>
      </c>
      <c r="AM11" s="69">
        <f t="shared" si="11"/>
        <v>2947860.0994443153</v>
      </c>
      <c r="AN11" s="69">
        <f t="shared" si="12"/>
        <v>25256.079621474102</v>
      </c>
      <c r="AO11" s="69">
        <f t="shared" si="13"/>
        <v>6.0648381613370486</v>
      </c>
      <c r="AP11" s="228">
        <v>6.4279999999999999</v>
      </c>
      <c r="AQ11" s="61">
        <f t="shared" si="14"/>
        <v>12.492838161337048</v>
      </c>
      <c r="AR11" s="79">
        <v>188</v>
      </c>
      <c r="AS11" s="79">
        <v>170</v>
      </c>
      <c r="AT11" s="100">
        <v>5</v>
      </c>
      <c r="AU11" s="100">
        <v>8</v>
      </c>
      <c r="AV11" s="19"/>
    </row>
    <row r="12" spans="1:48" s="17" customFormat="1" ht="20" x14ac:dyDescent="0.2">
      <c r="B12" s="19" t="s">
        <v>305</v>
      </c>
      <c r="C12" s="19" t="s">
        <v>106</v>
      </c>
      <c r="D12" s="67" t="s">
        <v>1043</v>
      </c>
      <c r="E12" s="65">
        <v>48</v>
      </c>
      <c r="F12" s="248">
        <v>1</v>
      </c>
      <c r="G12" s="247">
        <f t="shared" si="0"/>
        <v>48</v>
      </c>
      <c r="H12" s="114">
        <f t="shared" si="1"/>
        <v>0.33115883837992771</v>
      </c>
      <c r="I12" s="65">
        <v>139.24566836199199</v>
      </c>
      <c r="J12" s="107">
        <v>1</v>
      </c>
      <c r="K12" s="54">
        <v>1956</v>
      </c>
      <c r="L12" s="26"/>
      <c r="M12" s="19" t="s">
        <v>414</v>
      </c>
      <c r="N12" s="19" t="s">
        <v>1091</v>
      </c>
      <c r="O12" s="19" t="s">
        <v>141</v>
      </c>
      <c r="P12" s="119">
        <v>50.672741500000001</v>
      </c>
      <c r="Q12" s="119">
        <v>-121.9241239</v>
      </c>
      <c r="R12" s="51" t="s">
        <v>1062</v>
      </c>
      <c r="S12" s="150" t="s">
        <v>1893</v>
      </c>
      <c r="T12" s="51" t="s">
        <v>2153</v>
      </c>
      <c r="U12" s="60">
        <v>13.8</v>
      </c>
      <c r="V12" s="100">
        <v>0</v>
      </c>
      <c r="W12" s="67" t="s">
        <v>1043</v>
      </c>
      <c r="X12" s="51" t="s">
        <v>1043</v>
      </c>
      <c r="Y12" s="148">
        <v>2</v>
      </c>
      <c r="Z12" s="148">
        <v>2</v>
      </c>
      <c r="AA12" s="99"/>
      <c r="AB12" s="61"/>
      <c r="AC12" s="79">
        <v>20</v>
      </c>
      <c r="AD12" s="79">
        <f t="shared" si="2"/>
        <v>20.460122699386503</v>
      </c>
      <c r="AE12" s="69">
        <f t="shared" si="3"/>
        <v>0.3621441717791411</v>
      </c>
      <c r="AF12" s="61">
        <f t="shared" si="4"/>
        <v>3.3395285178564045</v>
      </c>
      <c r="AG12" s="61">
        <f t="shared" si="5"/>
        <v>24.16179538902205</v>
      </c>
      <c r="AH12" s="69">
        <f t="shared" si="6"/>
        <v>1.6551893956203894</v>
      </c>
      <c r="AI12" s="69">
        <f t="shared" si="7"/>
        <v>25.81698478464244</v>
      </c>
      <c r="AJ12" s="69">
        <f t="shared" si="8"/>
        <v>1.8231832588148098</v>
      </c>
      <c r="AK12" s="69">
        <f t="shared" si="9"/>
        <v>911.59162940740487</v>
      </c>
      <c r="AL12" s="69">
        <f t="shared" si="10"/>
        <v>2746915.115265152</v>
      </c>
      <c r="AM12" s="69">
        <f t="shared" si="11"/>
        <v>2798755.850257806</v>
      </c>
      <c r="AN12" s="69">
        <f t="shared" si="12"/>
        <v>25920.367496327031</v>
      </c>
      <c r="AO12" s="69">
        <f t="shared" si="13"/>
        <v>10.789457510800203</v>
      </c>
      <c r="AP12" s="228">
        <v>6.4279999999999999</v>
      </c>
      <c r="AQ12" s="61">
        <f t="shared" si="14"/>
        <v>17.217457510800202</v>
      </c>
      <c r="AR12" s="79">
        <v>420</v>
      </c>
      <c r="AS12" s="69"/>
      <c r="AT12" s="100">
        <v>5</v>
      </c>
      <c r="AU12" s="100">
        <v>8</v>
      </c>
      <c r="AV12" s="19"/>
    </row>
    <row r="13" spans="1:48" s="17" customFormat="1" ht="20" x14ac:dyDescent="0.2">
      <c r="B13" s="19" t="s">
        <v>397</v>
      </c>
      <c r="C13" s="19" t="s">
        <v>106</v>
      </c>
      <c r="D13" s="67" t="s">
        <v>1043</v>
      </c>
      <c r="E13" s="65">
        <v>65</v>
      </c>
      <c r="F13" s="248">
        <v>1</v>
      </c>
      <c r="G13" s="247">
        <f t="shared" si="0"/>
        <v>65</v>
      </c>
      <c r="H13" s="114">
        <f t="shared" si="1"/>
        <v>0.33115880871838599</v>
      </c>
      <c r="I13" s="65">
        <v>188.56182568424899</v>
      </c>
      <c r="J13" s="107">
        <v>1</v>
      </c>
      <c r="K13" s="54">
        <v>1952</v>
      </c>
      <c r="L13" s="26"/>
      <c r="M13" s="19" t="s">
        <v>1049</v>
      </c>
      <c r="N13" s="19" t="s">
        <v>1094</v>
      </c>
      <c r="O13" s="19" t="s">
        <v>112</v>
      </c>
      <c r="P13" s="119">
        <v>49.236626000000001</v>
      </c>
      <c r="Q13" s="119">
        <v>-121.6806648</v>
      </c>
      <c r="R13" s="51" t="s">
        <v>1062</v>
      </c>
      <c r="S13" s="150" t="s">
        <v>1935</v>
      </c>
      <c r="T13" s="51" t="s">
        <v>2143</v>
      </c>
      <c r="U13" s="60">
        <v>13.8</v>
      </c>
      <c r="V13" s="100">
        <v>0</v>
      </c>
      <c r="W13" s="67" t="s">
        <v>1043</v>
      </c>
      <c r="X13" s="51" t="s">
        <v>1043</v>
      </c>
      <c r="Y13" s="148">
        <v>14</v>
      </c>
      <c r="Z13" s="148">
        <v>14</v>
      </c>
      <c r="AA13" s="99"/>
      <c r="AB13" s="61"/>
      <c r="AC13" s="79">
        <v>5.8</v>
      </c>
      <c r="AD13" s="79">
        <f t="shared" si="2"/>
        <v>5.9334355828220859</v>
      </c>
      <c r="AE13" s="69">
        <f t="shared" si="3"/>
        <v>0.10502180981595093</v>
      </c>
      <c r="AF13" s="61">
        <f t="shared" si="4"/>
        <v>0.96846327017835776</v>
      </c>
      <c r="AG13" s="61">
        <f t="shared" si="5"/>
        <v>7.0069206628163947</v>
      </c>
      <c r="AH13" s="69">
        <f t="shared" si="6"/>
        <v>0.71472421613828341</v>
      </c>
      <c r="AI13" s="69">
        <f t="shared" si="7"/>
        <v>7.7216448789546783</v>
      </c>
      <c r="AJ13" s="69">
        <f t="shared" si="8"/>
        <v>0.54529891043657974</v>
      </c>
      <c r="AK13" s="69">
        <f t="shared" si="9"/>
        <v>38.949922174041411</v>
      </c>
      <c r="AL13" s="69">
        <f t="shared" si="10"/>
        <v>3156102.2856673705</v>
      </c>
      <c r="AM13" s="69">
        <f t="shared" si="11"/>
        <v>3451039.7387268906</v>
      </c>
      <c r="AN13" s="69">
        <f t="shared" si="12"/>
        <v>21066.960932822865</v>
      </c>
      <c r="AO13" s="69">
        <f t="shared" si="13"/>
        <v>5.1206731953942111</v>
      </c>
      <c r="AP13" s="228">
        <v>6.4279999999999999</v>
      </c>
      <c r="AQ13" s="61">
        <f t="shared" si="14"/>
        <v>11.548673195394212</v>
      </c>
      <c r="AR13" s="79">
        <v>21</v>
      </c>
      <c r="AS13" s="69"/>
      <c r="AT13" s="100">
        <v>5</v>
      </c>
      <c r="AU13" s="100">
        <v>8</v>
      </c>
      <c r="AV13" s="19"/>
    </row>
    <row r="14" spans="1:48" s="17" customFormat="1" ht="20" x14ac:dyDescent="0.2">
      <c r="B14" s="19" t="s">
        <v>306</v>
      </c>
      <c r="C14" s="19" t="s">
        <v>106</v>
      </c>
      <c r="D14" s="67" t="s">
        <v>1043</v>
      </c>
      <c r="E14" s="65">
        <v>805</v>
      </c>
      <c r="F14" s="248">
        <v>1</v>
      </c>
      <c r="G14" s="247">
        <f t="shared" si="0"/>
        <v>805</v>
      </c>
      <c r="H14" s="114">
        <f t="shared" si="1"/>
        <v>0.33115881177516832</v>
      </c>
      <c r="I14" s="65">
        <v>2335.2657088761321</v>
      </c>
      <c r="J14" s="107">
        <v>4</v>
      </c>
      <c r="K14" s="54">
        <v>1979</v>
      </c>
      <c r="L14" s="26"/>
      <c r="M14" s="19" t="s">
        <v>415</v>
      </c>
      <c r="N14" s="19" t="s">
        <v>1092</v>
      </c>
      <c r="O14" s="19" t="s">
        <v>192</v>
      </c>
      <c r="P14" s="119">
        <v>49.030161200000002</v>
      </c>
      <c r="Q14" s="119">
        <v>-117.5040983</v>
      </c>
      <c r="R14" s="51" t="s">
        <v>1062</v>
      </c>
      <c r="S14" s="150" t="s">
        <v>1878</v>
      </c>
      <c r="T14" s="51" t="s">
        <v>2128</v>
      </c>
      <c r="U14" s="60">
        <v>13.8</v>
      </c>
      <c r="V14" s="100">
        <v>0</v>
      </c>
      <c r="W14" s="67" t="s">
        <v>1043</v>
      </c>
      <c r="X14" s="51" t="s">
        <v>1043</v>
      </c>
      <c r="Y14" s="148">
        <v>48</v>
      </c>
      <c r="Z14" s="148">
        <v>48</v>
      </c>
      <c r="AA14" s="148">
        <v>89</v>
      </c>
      <c r="AB14" s="61"/>
      <c r="AC14" s="79">
        <v>137</v>
      </c>
      <c r="AD14" s="79">
        <f t="shared" si="2"/>
        <v>140.15184049079755</v>
      </c>
      <c r="AE14" s="69">
        <f t="shared" si="3"/>
        <v>2.4806875766871168</v>
      </c>
      <c r="AF14" s="61">
        <f t="shared" si="4"/>
        <v>22.875770347316376</v>
      </c>
      <c r="AG14" s="61">
        <f t="shared" si="5"/>
        <v>165.50829841480103</v>
      </c>
      <c r="AH14" s="69">
        <f t="shared" si="6"/>
        <v>6.1063287077285375</v>
      </c>
      <c r="AI14" s="69">
        <f t="shared" si="7"/>
        <v>171.61462712252958</v>
      </c>
      <c r="AJ14" s="69">
        <f t="shared" si="8"/>
        <v>12.119343825296962</v>
      </c>
      <c r="AK14" s="69">
        <f t="shared" si="9"/>
        <v>252.48632969368671</v>
      </c>
      <c r="AL14" s="69">
        <f t="shared" si="10"/>
        <v>9992893.6543759853</v>
      </c>
      <c r="AM14" s="69">
        <f t="shared" si="11"/>
        <v>10261513.212897308</v>
      </c>
      <c r="AN14" s="69">
        <f t="shared" si="12"/>
        <v>5596.2408025275608</v>
      </c>
      <c r="AO14" s="69">
        <f t="shared" si="13"/>
        <v>3.1943220805315669</v>
      </c>
      <c r="AP14" s="228">
        <v>6.4279999999999999</v>
      </c>
      <c r="AQ14" s="61">
        <f t="shared" si="14"/>
        <v>9.6223220805315677</v>
      </c>
      <c r="AR14" s="79">
        <v>120</v>
      </c>
      <c r="AS14" s="79">
        <v>65</v>
      </c>
      <c r="AT14" s="100">
        <v>5</v>
      </c>
      <c r="AU14" s="100">
        <v>8</v>
      </c>
      <c r="AV14" s="19"/>
    </row>
    <row r="15" spans="1:48" s="17" customFormat="1" ht="20" x14ac:dyDescent="0.2">
      <c r="B15" s="19" t="s">
        <v>110</v>
      </c>
      <c r="C15" s="19" t="s">
        <v>106</v>
      </c>
      <c r="D15" s="67" t="s">
        <v>1044</v>
      </c>
      <c r="E15" s="65">
        <v>2500</v>
      </c>
      <c r="F15" s="248">
        <v>1</v>
      </c>
      <c r="G15" s="247">
        <f t="shared" si="0"/>
        <v>2500</v>
      </c>
      <c r="H15" s="114">
        <f t="shared" si="1"/>
        <v>0.40181971599631044</v>
      </c>
      <c r="I15" s="65">
        <v>8799.851780319199</v>
      </c>
      <c r="J15" s="162">
        <v>6</v>
      </c>
      <c r="K15" s="54">
        <v>1984</v>
      </c>
      <c r="L15" s="26"/>
      <c r="M15" s="19" t="s">
        <v>413</v>
      </c>
      <c r="N15" s="19" t="s">
        <v>1090</v>
      </c>
      <c r="O15" s="19" t="s">
        <v>192</v>
      </c>
      <c r="P15" s="119">
        <v>51.048563100000003</v>
      </c>
      <c r="Q15" s="119">
        <v>-118.1939447</v>
      </c>
      <c r="R15" s="51" t="s">
        <v>1062</v>
      </c>
      <c r="S15" s="150" t="s">
        <v>1855</v>
      </c>
      <c r="T15" s="51" t="s">
        <v>2130</v>
      </c>
      <c r="U15" s="60">
        <v>16</v>
      </c>
      <c r="V15" s="100">
        <v>0</v>
      </c>
      <c r="W15" s="67" t="s">
        <v>1044</v>
      </c>
      <c r="X15" s="51" t="s">
        <v>1044</v>
      </c>
      <c r="Y15" s="148">
        <v>488</v>
      </c>
      <c r="Z15" s="148">
        <v>488</v>
      </c>
      <c r="AA15" s="148">
        <v>26</v>
      </c>
      <c r="AB15" s="61"/>
      <c r="AC15" s="226">
        <v>669</v>
      </c>
      <c r="AD15" s="226">
        <f t="shared" si="2"/>
        <v>684.39110429447851</v>
      </c>
      <c r="AE15" s="69">
        <f t="shared" si="3"/>
        <v>12.113722546012269</v>
      </c>
      <c r="AF15" s="61">
        <f t="shared" si="4"/>
        <v>111.70722892229685</v>
      </c>
      <c r="AG15" s="61">
        <f t="shared" si="5"/>
        <v>808.2120557627876</v>
      </c>
      <c r="AH15" s="69">
        <f t="shared" si="6"/>
        <v>17.905977089695355</v>
      </c>
      <c r="AI15" s="69">
        <f t="shared" si="7"/>
        <v>826.118032852483</v>
      </c>
      <c r="AJ15" s="69">
        <f t="shared" si="8"/>
        <v>58.34006487843736</v>
      </c>
      <c r="AK15" s="69">
        <f t="shared" si="9"/>
        <v>119.5493132754864</v>
      </c>
      <c r="AL15" s="69">
        <f t="shared" si="10"/>
        <v>16791646.250144254</v>
      </c>
      <c r="AM15" s="69">
        <f t="shared" si="11"/>
        <v>18220532.45276108</v>
      </c>
      <c r="AN15" s="69">
        <f t="shared" si="12"/>
        <v>2928.0454971656263</v>
      </c>
      <c r="AO15" s="69">
        <f t="shared" si="13"/>
        <v>1.3141026939302149</v>
      </c>
      <c r="AP15" s="228">
        <v>6.4279999999999999</v>
      </c>
      <c r="AQ15" s="61">
        <f t="shared" si="14"/>
        <v>7.7421026939302147</v>
      </c>
      <c r="AR15" s="79">
        <v>46</v>
      </c>
      <c r="AS15" s="79" t="s">
        <v>83</v>
      </c>
      <c r="AT15" s="100">
        <v>5</v>
      </c>
      <c r="AU15" s="100">
        <v>8</v>
      </c>
      <c r="AV15" s="19"/>
    </row>
    <row r="16" spans="1:48" s="17" customFormat="1" ht="20" x14ac:dyDescent="0.2">
      <c r="B16" s="19" t="s">
        <v>216</v>
      </c>
      <c r="C16" s="19" t="s">
        <v>106</v>
      </c>
      <c r="D16" s="67" t="s">
        <v>1044</v>
      </c>
      <c r="E16" s="65">
        <v>3050</v>
      </c>
      <c r="F16" s="248">
        <v>1</v>
      </c>
      <c r="G16" s="247">
        <f t="shared" si="0"/>
        <v>3050</v>
      </c>
      <c r="H16" s="114">
        <f t="shared" si="1"/>
        <v>0.60062317580571523</v>
      </c>
      <c r="I16" s="65">
        <v>16047.450011177099</v>
      </c>
      <c r="J16" s="107">
        <v>10</v>
      </c>
      <c r="K16" s="54">
        <v>1968</v>
      </c>
      <c r="L16" s="26"/>
      <c r="M16" s="19" t="s">
        <v>409</v>
      </c>
      <c r="N16" s="19" t="s">
        <v>1086</v>
      </c>
      <c r="O16" s="19" t="s">
        <v>217</v>
      </c>
      <c r="P16" s="119">
        <v>56.014797000000002</v>
      </c>
      <c r="Q16" s="119">
        <v>-122.1957438</v>
      </c>
      <c r="R16" s="51" t="s">
        <v>1062</v>
      </c>
      <c r="S16" s="150" t="s">
        <v>1699</v>
      </c>
      <c r="T16" s="51" t="s">
        <v>2105</v>
      </c>
      <c r="U16" s="60">
        <v>13.8</v>
      </c>
      <c r="V16" s="100">
        <v>0</v>
      </c>
      <c r="W16" s="67" t="s">
        <v>1044</v>
      </c>
      <c r="X16" s="51" t="s">
        <v>1044</v>
      </c>
      <c r="Y16" s="148">
        <v>100</v>
      </c>
      <c r="Z16" s="148">
        <v>100</v>
      </c>
      <c r="AA16" s="148">
        <v>0</v>
      </c>
      <c r="AB16" s="61"/>
      <c r="AC16" s="79">
        <f>39/66*71</f>
        <v>41.954545454545453</v>
      </c>
      <c r="AD16" s="79">
        <f t="shared" si="2"/>
        <v>42.919757389849416</v>
      </c>
      <c r="AE16" s="69">
        <f t="shared" si="3"/>
        <v>0.75967970580033473</v>
      </c>
      <c r="AF16" s="61">
        <f t="shared" si="4"/>
        <v>7.0054200499578627</v>
      </c>
      <c r="AG16" s="61">
        <f t="shared" si="5"/>
        <v>50.684857145607616</v>
      </c>
      <c r="AH16" s="69">
        <f t="shared" si="6"/>
        <v>2.7360386843364126</v>
      </c>
      <c r="AI16" s="69">
        <f t="shared" si="7"/>
        <v>53.42089582994403</v>
      </c>
      <c r="AJ16" s="69">
        <f t="shared" si="8"/>
        <v>3.772558405270515</v>
      </c>
      <c r="AK16" s="69">
        <f t="shared" si="9"/>
        <v>37.725584052705152</v>
      </c>
      <c r="AL16" s="69">
        <f t="shared" si="10"/>
        <v>18392725.055808634</v>
      </c>
      <c r="AM16" s="69">
        <f t="shared" si="11"/>
        <v>18666503.928760625</v>
      </c>
      <c r="AN16" s="69">
        <f t="shared" si="12"/>
        <v>2737.7887295199184</v>
      </c>
      <c r="AO16" s="69">
        <f t="shared" si="13"/>
        <v>2.4115379316643542</v>
      </c>
      <c r="AP16" s="228">
        <v>6.4279999999999999</v>
      </c>
      <c r="AQ16" s="61">
        <f t="shared" si="14"/>
        <v>8.8395379316643545</v>
      </c>
      <c r="AR16" s="79">
        <v>39</v>
      </c>
      <c r="AS16" s="79" t="s">
        <v>83</v>
      </c>
      <c r="AT16" s="100">
        <v>5</v>
      </c>
      <c r="AU16" s="100">
        <v>8</v>
      </c>
      <c r="AV16" s="19" t="s">
        <v>764</v>
      </c>
    </row>
    <row r="17" spans="1:69" s="7" customFormat="1" ht="19" x14ac:dyDescent="0.25">
      <c r="B17" s="11"/>
      <c r="C17" s="11"/>
      <c r="D17" s="71"/>
      <c r="E17" s="32"/>
      <c r="F17" s="32"/>
      <c r="G17" s="32"/>
      <c r="H17" s="32"/>
      <c r="K17" s="31"/>
      <c r="L17" s="17"/>
      <c r="O17" s="11"/>
      <c r="P17" s="11"/>
      <c r="Q17" s="11"/>
      <c r="R17" s="71"/>
      <c r="V17" s="11"/>
      <c r="W17" s="71"/>
      <c r="X17" s="71"/>
      <c r="AB17" s="55"/>
      <c r="AE17" s="55"/>
      <c r="AF17" s="55"/>
      <c r="AG17" s="55"/>
      <c r="AH17" s="55"/>
      <c r="AI17" s="55"/>
      <c r="AJ17" s="55"/>
      <c r="AL17" s="55"/>
      <c r="AM17" s="55"/>
      <c r="AN17" s="55"/>
      <c r="AO17" s="55"/>
      <c r="AP17" s="55"/>
      <c r="AQ17" s="55"/>
      <c r="AT17" s="55"/>
      <c r="AU17" s="55"/>
    </row>
    <row r="18" spans="1:69" s="165" customFormat="1" ht="19" x14ac:dyDescent="0.2">
      <c r="A18" s="47" t="s">
        <v>1039</v>
      </c>
      <c r="F18" s="254"/>
      <c r="H18" s="254"/>
      <c r="P18" s="254"/>
      <c r="Q18" s="254"/>
      <c r="T18" s="254"/>
      <c r="W18" s="254"/>
    </row>
    <row r="19" spans="1:69" s="165" customFormat="1" ht="19" x14ac:dyDescent="0.25">
      <c r="A19" s="7" t="s">
        <v>1063</v>
      </c>
      <c r="F19" s="254"/>
      <c r="H19" s="254"/>
      <c r="P19" s="254"/>
      <c r="Q19" s="254"/>
      <c r="T19" s="254"/>
      <c r="W19" s="254"/>
    </row>
    <row r="20" spans="1:69" s="165" customFormat="1" ht="19" x14ac:dyDescent="0.25">
      <c r="A20" s="7" t="s">
        <v>1055</v>
      </c>
      <c r="F20" s="254"/>
      <c r="H20" s="254"/>
      <c r="P20" s="254"/>
      <c r="Q20" s="254"/>
      <c r="T20" s="254"/>
      <c r="W20" s="254"/>
    </row>
    <row r="21" spans="1:69" s="7" customFormat="1" ht="19" x14ac:dyDescent="0.25">
      <c r="A21" s="7" t="s">
        <v>1095</v>
      </c>
      <c r="B21" s="14"/>
      <c r="C21" s="14"/>
      <c r="D21" s="14"/>
      <c r="E21" s="14"/>
      <c r="F21" s="192"/>
      <c r="G21" s="14"/>
      <c r="H21" s="192"/>
      <c r="I21" s="14"/>
      <c r="J21" s="14"/>
      <c r="K21" s="88"/>
      <c r="L21" s="14"/>
      <c r="M21" s="14"/>
      <c r="N21" s="14"/>
      <c r="O21" s="14"/>
      <c r="P21" s="192"/>
      <c r="Q21" s="192"/>
      <c r="R21" s="14"/>
      <c r="S21" s="14"/>
      <c r="T21" s="192"/>
      <c r="U21" s="14"/>
      <c r="V21" s="14"/>
      <c r="W21" s="192"/>
      <c r="X21" s="14"/>
      <c r="Y21" s="14"/>
      <c r="Z21" s="70"/>
      <c r="AA21" s="70"/>
      <c r="AB21" s="70"/>
      <c r="AC21" s="70"/>
      <c r="AD21" s="70"/>
      <c r="AE21" s="70"/>
      <c r="AF21" s="70"/>
      <c r="AG21" s="70"/>
      <c r="AH21" s="165"/>
      <c r="AI21" s="165"/>
      <c r="AJ21" s="165"/>
      <c r="AK21" s="165"/>
      <c r="AL21" s="165"/>
      <c r="AM21" s="165"/>
      <c r="AN21" s="165"/>
      <c r="AO21" s="165"/>
      <c r="AP21" s="70"/>
      <c r="AQ21" s="14"/>
      <c r="AR21" s="14"/>
      <c r="AS21" s="14"/>
      <c r="AT21" s="14"/>
      <c r="AU21" s="14"/>
      <c r="AV21" s="14"/>
      <c r="AW21" s="14"/>
      <c r="AX21" s="14"/>
      <c r="AY21" s="14"/>
      <c r="AZ21" s="14"/>
      <c r="BA21" s="14"/>
      <c r="BB21" s="14"/>
      <c r="BC21" s="14"/>
    </row>
    <row r="22" spans="1:69" s="7" customFormat="1" ht="19" x14ac:dyDescent="0.25">
      <c r="A22" s="7" t="s">
        <v>1002</v>
      </c>
      <c r="B22" s="165"/>
      <c r="C22" s="165"/>
      <c r="D22" s="10"/>
      <c r="E22" s="14"/>
      <c r="F22" s="192"/>
      <c r="M22" s="165"/>
      <c r="N22" s="165"/>
      <c r="R22" s="10"/>
      <c r="V22" s="165"/>
      <c r="W22" s="10"/>
      <c r="X22" s="10"/>
      <c r="Y22" s="165"/>
      <c r="Z22" s="165"/>
      <c r="AA22" s="165"/>
      <c r="AB22" s="165"/>
      <c r="AC22" s="165"/>
      <c r="AD22" s="165"/>
    </row>
    <row r="23" spans="1:69" s="7" customFormat="1" ht="19" x14ac:dyDescent="0.25">
      <c r="A23" s="7" t="s">
        <v>1057</v>
      </c>
      <c r="B23" s="165"/>
      <c r="C23" s="165"/>
      <c r="D23" s="10"/>
      <c r="L23" s="165"/>
      <c r="M23" s="165"/>
      <c r="N23" s="165"/>
      <c r="R23" s="14"/>
      <c r="V23" s="165"/>
      <c r="W23" s="10"/>
      <c r="X23" s="14"/>
      <c r="Y23" s="165"/>
      <c r="Z23" s="165"/>
      <c r="AA23" s="165"/>
      <c r="AB23" s="165"/>
      <c r="AH23" s="165"/>
      <c r="AI23" s="165"/>
      <c r="AJ23" s="165"/>
      <c r="AK23" s="165"/>
      <c r="AL23" s="165"/>
      <c r="AM23" s="165"/>
      <c r="AN23" s="165"/>
      <c r="AO23" s="165"/>
    </row>
    <row r="24" spans="1:69" s="7" customFormat="1" ht="19" x14ac:dyDescent="0.25">
      <c r="A24" s="7" t="s">
        <v>744</v>
      </c>
      <c r="B24" s="165"/>
      <c r="I24" s="165"/>
      <c r="J24" s="165"/>
      <c r="K24" s="23"/>
      <c r="L24" s="165"/>
      <c r="M24" s="165"/>
      <c r="N24" s="165"/>
      <c r="Y24" s="165"/>
      <c r="Z24" s="165"/>
    </row>
    <row r="25" spans="1:69" s="7" customFormat="1" ht="19" x14ac:dyDescent="0.25">
      <c r="A25" s="7" t="s">
        <v>1015</v>
      </c>
      <c r="B25" s="165"/>
      <c r="C25" s="165"/>
      <c r="D25" s="10"/>
      <c r="E25" s="14"/>
      <c r="F25" s="192"/>
      <c r="M25" s="165"/>
      <c r="N25" s="165"/>
      <c r="R25" s="10"/>
      <c r="V25" s="165"/>
      <c r="W25" s="10"/>
      <c r="X25" s="10"/>
      <c r="Y25" s="165"/>
      <c r="Z25" s="165"/>
      <c r="AA25" s="165"/>
      <c r="AB25" s="165"/>
      <c r="AC25" s="165"/>
      <c r="AK25" s="165"/>
    </row>
    <row r="26" spans="1:69" s="7" customFormat="1" ht="19" x14ac:dyDescent="0.25">
      <c r="A26" s="7" t="s">
        <v>1058</v>
      </c>
      <c r="B26" s="165"/>
      <c r="I26" s="165"/>
      <c r="J26" s="165"/>
      <c r="K26" s="23"/>
      <c r="L26" s="165"/>
      <c r="M26" s="165"/>
      <c r="N26" s="165"/>
      <c r="Y26" s="165"/>
      <c r="Z26" s="165"/>
    </row>
    <row r="27" spans="1:69" s="7" customFormat="1" ht="19" x14ac:dyDescent="0.25">
      <c r="A27" s="7" t="s">
        <v>1059</v>
      </c>
      <c r="B27" s="165"/>
      <c r="I27" s="165"/>
      <c r="J27" s="165"/>
      <c r="K27" s="23"/>
      <c r="L27" s="165"/>
      <c r="M27" s="165"/>
      <c r="N27" s="165"/>
      <c r="Y27" s="165"/>
      <c r="Z27" s="165"/>
    </row>
    <row r="28" spans="1:69" s="7" customFormat="1" ht="19" x14ac:dyDescent="0.25">
      <c r="A28" s="7" t="s">
        <v>1014</v>
      </c>
      <c r="E28" s="10"/>
      <c r="F28" s="10"/>
      <c r="G28" s="14"/>
      <c r="H28" s="192"/>
      <c r="J28" s="165"/>
      <c r="R28" s="23"/>
      <c r="V28" s="165"/>
      <c r="X28" s="23"/>
      <c r="Y28" s="165"/>
      <c r="Z28" s="165"/>
      <c r="AA28" s="165"/>
      <c r="AB28" s="165"/>
      <c r="AH28" s="59"/>
      <c r="AI28" s="165"/>
      <c r="AJ28" s="165"/>
      <c r="AK28" s="165"/>
      <c r="AL28" s="165"/>
      <c r="AM28" s="165"/>
      <c r="AN28" s="165"/>
      <c r="AO28" s="25"/>
      <c r="AP28" s="165"/>
      <c r="AQ28" s="165"/>
      <c r="AW28" s="59"/>
      <c r="AX28" s="165"/>
      <c r="AY28" s="165"/>
      <c r="AZ28" s="165"/>
      <c r="BA28" s="165"/>
      <c r="BB28" s="25"/>
      <c r="BC28" s="165"/>
      <c r="BD28" s="165"/>
      <c r="BJ28" s="59"/>
      <c r="BK28" s="165"/>
      <c r="BL28" s="165"/>
      <c r="BM28" s="165"/>
      <c r="BN28" s="165"/>
      <c r="BO28" s="25"/>
      <c r="BP28" s="165"/>
      <c r="BQ28" s="165"/>
    </row>
    <row r="29" spans="1:69" s="7" customFormat="1" ht="19" x14ac:dyDescent="0.25">
      <c r="D29" s="10"/>
      <c r="K29" s="10"/>
      <c r="L29" s="17"/>
      <c r="R29" s="10"/>
      <c r="W29" s="10"/>
      <c r="X29" s="10"/>
      <c r="AB29" s="55"/>
      <c r="AE29" s="55"/>
      <c r="AF29" s="55"/>
      <c r="AG29" s="55"/>
      <c r="AH29" s="55"/>
      <c r="AI29" s="55"/>
      <c r="AJ29" s="55"/>
      <c r="AK29" s="98"/>
      <c r="AL29" s="55"/>
      <c r="AM29" s="55"/>
      <c r="AN29" s="55"/>
      <c r="AO29" s="55"/>
      <c r="AP29" s="55"/>
      <c r="AQ29" s="55"/>
      <c r="AT29" s="55"/>
      <c r="AU29" s="55"/>
    </row>
  </sheetData>
  <autoFilter ref="B3:AV3" xr:uid="{3DA92697-706D-7343-A89D-B511A14B569E}">
    <sortState xmlns:xlrd2="http://schemas.microsoft.com/office/spreadsheetml/2017/richdata2" ref="B4:AV16">
      <sortCondition ref="E3:E16"/>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03512-C31D-DB4A-AB5F-621BB07F8EED}">
  <sheetPr codeName="Sheet6"/>
  <dimension ref="A1:BO37"/>
  <sheetViews>
    <sheetView workbookViewId="0">
      <pane xSplit="2" ySplit="3" topLeftCell="N4" activePane="bottomRight" state="frozen"/>
      <selection pane="topRight" activeCell="C1" sqref="C1"/>
      <selection pane="bottomLeft" activeCell="A3" sqref="A3"/>
      <selection pane="bottomRight" activeCell="J2" sqref="J2:L2"/>
    </sheetView>
  </sheetViews>
  <sheetFormatPr baseColWidth="10" defaultRowHeight="16" x14ac:dyDescent="0.2"/>
  <cols>
    <col min="1" max="1" width="4.83203125" style="82" customWidth="1"/>
    <col min="2" max="2" width="52" style="82" customWidth="1"/>
    <col min="3" max="3" width="16.1640625" style="98" customWidth="1"/>
    <col min="4" max="4" width="15.6640625" style="82" customWidth="1"/>
    <col min="5" max="5" width="25.1640625" style="82" customWidth="1"/>
    <col min="6" max="8" width="25.1640625" style="165" customWidth="1"/>
    <col min="9" max="9" width="16.33203125" style="98" customWidth="1"/>
    <col min="10" max="10" width="22.33203125" style="82" bestFit="1" customWidth="1"/>
    <col min="11" max="11" width="22.33203125" style="254" customWidth="1"/>
    <col min="12" max="12" width="13.6640625" style="82" customWidth="1"/>
    <col min="13" max="13" width="4.83203125" style="165" customWidth="1"/>
    <col min="14" max="14" width="25" style="82" customWidth="1"/>
    <col min="15" max="15" width="19.33203125" style="165" customWidth="1"/>
    <col min="16" max="16" width="12.5" style="82" bestFit="1" customWidth="1"/>
    <col min="17" max="17" width="12.83203125" style="82" customWidth="1"/>
    <col min="18" max="18" width="19" style="15" customWidth="1"/>
    <col min="19" max="19" width="19" style="90" customWidth="1"/>
    <col min="20" max="20" width="13.5" style="90" customWidth="1"/>
    <col min="21" max="21" width="4.83203125" style="165" customWidth="1"/>
    <col min="22" max="28" width="21.1640625" style="82" customWidth="1"/>
    <col min="29" max="30" width="21.1640625" style="98" customWidth="1"/>
    <col min="31" max="31" width="15.83203125" style="82" customWidth="1"/>
    <col min="32" max="32" width="15.83203125" style="98" customWidth="1"/>
    <col min="33" max="33" width="15.83203125" style="82" customWidth="1"/>
    <col min="34" max="34" width="15.83203125" style="98" customWidth="1"/>
    <col min="35" max="36" width="16.83203125" style="82" customWidth="1"/>
    <col min="37" max="37" width="43.6640625" style="82" customWidth="1"/>
    <col min="38" max="38" width="15.1640625" style="82" customWidth="1"/>
    <col min="39" max="40" width="7.5" style="82" bestFit="1" customWidth="1"/>
    <col min="41" max="16384" width="10.83203125" style="82"/>
  </cols>
  <sheetData>
    <row r="1" spans="1:37" s="7" customFormat="1" ht="21" x14ac:dyDescent="0.25">
      <c r="A1" s="78" t="s">
        <v>102</v>
      </c>
      <c r="B1" s="20" t="s">
        <v>748</v>
      </c>
      <c r="C1" s="20"/>
      <c r="M1" s="165"/>
      <c r="N1" s="47" t="s">
        <v>38</v>
      </c>
      <c r="O1" s="47"/>
      <c r="P1" s="24"/>
      <c r="Q1" s="24"/>
      <c r="U1" s="165"/>
      <c r="V1" s="47" t="s">
        <v>769</v>
      </c>
      <c r="X1" s="84">
        <v>1.77E-2</v>
      </c>
      <c r="Y1" s="69">
        <v>1.05</v>
      </c>
      <c r="Z1" s="69"/>
      <c r="AA1" s="84"/>
      <c r="AB1" s="84">
        <v>7.0000000000000007E-2</v>
      </c>
      <c r="AC1" s="7">
        <v>70</v>
      </c>
    </row>
    <row r="2" spans="1:37" s="12" customFormat="1" ht="40" x14ac:dyDescent="0.2">
      <c r="B2" s="21" t="s">
        <v>16</v>
      </c>
      <c r="C2" s="21" t="s">
        <v>2846</v>
      </c>
      <c r="D2" s="21" t="s">
        <v>13</v>
      </c>
      <c r="E2" s="21" t="s">
        <v>2853</v>
      </c>
      <c r="F2" s="62" t="s">
        <v>763</v>
      </c>
      <c r="G2" s="62" t="s">
        <v>762</v>
      </c>
      <c r="H2" s="21" t="s">
        <v>2842</v>
      </c>
      <c r="I2" s="21" t="s">
        <v>999</v>
      </c>
      <c r="J2" s="62" t="s">
        <v>2843</v>
      </c>
      <c r="K2" s="62" t="s">
        <v>2844</v>
      </c>
      <c r="L2" s="62" t="s">
        <v>88</v>
      </c>
      <c r="M2" s="165"/>
      <c r="N2" s="21" t="s">
        <v>996</v>
      </c>
      <c r="O2" s="21" t="s">
        <v>2845</v>
      </c>
      <c r="P2" s="21" t="s">
        <v>14</v>
      </c>
      <c r="Q2" s="21" t="s">
        <v>2850</v>
      </c>
      <c r="R2" s="21" t="s">
        <v>994</v>
      </c>
      <c r="S2" s="21" t="s">
        <v>1038</v>
      </c>
      <c r="T2" s="21" t="s">
        <v>995</v>
      </c>
      <c r="U2" s="165"/>
      <c r="V2" s="21" t="s">
        <v>1001</v>
      </c>
      <c r="W2" s="21" t="s">
        <v>1001</v>
      </c>
      <c r="X2" s="21" t="s">
        <v>743</v>
      </c>
      <c r="Y2" s="21" t="s">
        <v>745</v>
      </c>
      <c r="Z2" s="21" t="s">
        <v>794</v>
      </c>
      <c r="AA2" s="21" t="s">
        <v>746</v>
      </c>
      <c r="AB2" s="21" t="s">
        <v>993</v>
      </c>
      <c r="AC2" s="21" t="s">
        <v>991</v>
      </c>
      <c r="AD2" s="21" t="s">
        <v>1037</v>
      </c>
      <c r="AE2" s="21" t="s">
        <v>721</v>
      </c>
      <c r="AF2" s="21" t="s">
        <v>1035</v>
      </c>
      <c r="AG2" s="21" t="s">
        <v>1013</v>
      </c>
      <c r="AH2" s="21" t="s">
        <v>722</v>
      </c>
      <c r="AI2" s="21" t="s">
        <v>741</v>
      </c>
      <c r="AJ2" s="21" t="s">
        <v>718</v>
      </c>
      <c r="AK2" s="21" t="s">
        <v>45</v>
      </c>
    </row>
    <row r="3" spans="1:37" s="8" customFormat="1" ht="20" x14ac:dyDescent="0.2">
      <c r="B3" s="18"/>
      <c r="C3" s="18"/>
      <c r="D3" s="18"/>
      <c r="E3" s="18"/>
      <c r="F3" s="18"/>
      <c r="G3" s="18"/>
      <c r="H3" s="18"/>
      <c r="I3" s="18" t="s">
        <v>66</v>
      </c>
      <c r="J3" s="18"/>
      <c r="K3" s="18"/>
      <c r="L3" s="18" t="s">
        <v>64</v>
      </c>
      <c r="M3" s="165"/>
      <c r="N3" s="18"/>
      <c r="O3" s="18"/>
      <c r="P3" s="18" t="s">
        <v>17</v>
      </c>
      <c r="Q3" s="18" t="s">
        <v>17</v>
      </c>
      <c r="R3" s="18" t="s">
        <v>18</v>
      </c>
      <c r="S3" s="18" t="s">
        <v>30</v>
      </c>
      <c r="T3" s="18"/>
      <c r="U3" s="165"/>
      <c r="V3" s="18" t="s">
        <v>739</v>
      </c>
      <c r="W3" s="18" t="s">
        <v>742</v>
      </c>
      <c r="X3" s="18" t="s">
        <v>742</v>
      </c>
      <c r="Y3" s="18" t="s">
        <v>742</v>
      </c>
      <c r="Z3" s="18" t="s">
        <v>742</v>
      </c>
      <c r="AA3" s="18" t="s">
        <v>742</v>
      </c>
      <c r="AB3" s="18" t="s">
        <v>742</v>
      </c>
      <c r="AC3" s="50" t="s">
        <v>992</v>
      </c>
      <c r="AD3" s="18" t="s">
        <v>403</v>
      </c>
      <c r="AE3" s="50" t="s">
        <v>1061</v>
      </c>
      <c r="AF3" s="50" t="s">
        <v>21</v>
      </c>
      <c r="AG3" s="50" t="s">
        <v>21</v>
      </c>
      <c r="AH3" s="50" t="s">
        <v>21</v>
      </c>
      <c r="AI3" s="50" t="s">
        <v>719</v>
      </c>
      <c r="AJ3" s="50" t="s">
        <v>719</v>
      </c>
      <c r="AK3" s="18"/>
    </row>
    <row r="4" spans="1:37" s="8" customFormat="1" ht="20" x14ac:dyDescent="0.2">
      <c r="B4" s="102" t="s">
        <v>732</v>
      </c>
      <c r="C4" s="97" t="s">
        <v>1080</v>
      </c>
      <c r="D4" s="19" t="s">
        <v>106</v>
      </c>
      <c r="E4" s="19" t="s">
        <v>731</v>
      </c>
      <c r="F4" s="19"/>
      <c r="G4" s="19"/>
      <c r="H4" s="33" t="s">
        <v>1066</v>
      </c>
      <c r="I4" s="100">
        <v>700</v>
      </c>
      <c r="J4" s="33"/>
      <c r="K4" s="33"/>
      <c r="L4" s="33"/>
      <c r="M4" s="165"/>
      <c r="N4" s="104" t="s">
        <v>1044</v>
      </c>
      <c r="O4" s="51" t="s">
        <v>1044</v>
      </c>
      <c r="P4" s="103">
        <v>1128</v>
      </c>
      <c r="Q4" s="103">
        <v>1128</v>
      </c>
      <c r="R4" s="103">
        <v>6485</v>
      </c>
      <c r="S4" s="114">
        <f>R4*1000/(Q4*24*365)</f>
        <v>0.65629149260014896</v>
      </c>
      <c r="T4" s="153">
        <v>6</v>
      </c>
      <c r="U4" s="165"/>
      <c r="V4" s="103">
        <f>7647.4</f>
        <v>7647.4</v>
      </c>
      <c r="W4" s="103">
        <f>$W$19*V4</f>
        <v>12502.07947592747</v>
      </c>
      <c r="X4" s="69">
        <f>$X$1*W4</f>
        <v>221.28680672391624</v>
      </c>
      <c r="Y4" s="61">
        <f>((W4+X4)/AI4)*($Y$1+$Y$1^2+$Y$1^3+$Y$1^4+$Y$1^5+$Y$1^6+$Y$1^7+$Y$1^8+$Y$1^9+$Y$1^10+$Y$1^11)-(W4+X4)</f>
        <v>4530.8214086435219</v>
      </c>
      <c r="Z4" s="61">
        <f t="shared" ref="Z4:Z17" si="0">SUM(W4:Y4)</f>
        <v>17254.187691294908</v>
      </c>
      <c r="AA4" s="69">
        <f t="shared" ref="AA4:AA17" si="1">0.9539*Z4^0.6784</f>
        <v>714.18724521532079</v>
      </c>
      <c r="AB4" s="69">
        <f t="shared" ref="AB4:AB17" si="2">SUM(Z4:AA4)</f>
        <v>17968.37493651023</v>
      </c>
      <c r="AC4" s="69">
        <f t="shared" ref="AC4:AC17" si="3">(AB4*AB$1)/(1-(1+AB$1)^-AC$1)</f>
        <v>1268.9181422859481</v>
      </c>
      <c r="AD4" s="69">
        <f t="shared" ref="AD4:AD17" si="4">AC4*1000/Q4</f>
        <v>1124.927431104564</v>
      </c>
      <c r="AE4" s="69">
        <f t="shared" ref="AE4:AE17" si="5">466484*P4^-0.542</f>
        <v>10339.159148993418</v>
      </c>
      <c r="AF4" s="69">
        <f t="shared" ref="AF4:AF17" si="6">14.07*(P4^-0.383)</f>
        <v>0.95336611567878848</v>
      </c>
      <c r="AG4" s="228">
        <v>6.4279999999999999</v>
      </c>
      <c r="AH4" s="61">
        <f t="shared" ref="AH4:AH17" si="7">SUM(AF4:AG4)</f>
        <v>7.3813661156787882</v>
      </c>
      <c r="AI4" s="104">
        <v>11</v>
      </c>
      <c r="AJ4" s="104">
        <v>20</v>
      </c>
      <c r="AK4" s="19" t="s">
        <v>738</v>
      </c>
    </row>
    <row r="5" spans="1:37" s="8" customFormat="1" ht="20" x14ac:dyDescent="0.2">
      <c r="B5" s="102" t="s">
        <v>723</v>
      </c>
      <c r="C5" s="97" t="s">
        <v>1079</v>
      </c>
      <c r="D5" s="19" t="s">
        <v>106</v>
      </c>
      <c r="E5" s="19" t="s">
        <v>737</v>
      </c>
      <c r="F5" s="19"/>
      <c r="G5" s="19"/>
      <c r="H5" s="33" t="s">
        <v>1066</v>
      </c>
      <c r="I5" s="100">
        <v>25</v>
      </c>
      <c r="J5" s="33"/>
      <c r="K5" s="33"/>
      <c r="L5" s="33"/>
      <c r="M5" s="165"/>
      <c r="N5" s="104" t="s">
        <v>1067</v>
      </c>
      <c r="O5" s="51" t="s">
        <v>1067</v>
      </c>
      <c r="P5" s="103">
        <v>275</v>
      </c>
      <c r="Q5" s="103">
        <v>275</v>
      </c>
      <c r="R5" s="103">
        <v>1418</v>
      </c>
      <c r="S5" s="114">
        <f t="shared" ref="S5:S17" si="8">R5*1000/(Q5*24*365)</f>
        <v>0.58862598588625981</v>
      </c>
      <c r="T5" s="153">
        <v>5</v>
      </c>
      <c r="U5" s="165"/>
      <c r="V5" s="103">
        <f>1803.4</f>
        <v>1803.4</v>
      </c>
      <c r="W5" s="103">
        <f>$W$19*V5</f>
        <v>2948.2242496649319</v>
      </c>
      <c r="X5" s="69">
        <f>$X$1*W5</f>
        <v>52.183569219069298</v>
      </c>
      <c r="Y5" s="61">
        <f>((W5+X5)/AI5)*($Y$1+$Y$1^2+$Y$1^3+$Y$1^4+$Y$1^5+$Y$1^6+$Y$1^7+$Y$1^8+$Y$1^9+$Y$1^10)-(W5+X5)</f>
        <v>962.16692753405869</v>
      </c>
      <c r="Z5" s="61">
        <f t="shared" si="0"/>
        <v>3962.5747464180599</v>
      </c>
      <c r="AA5" s="69">
        <f t="shared" si="1"/>
        <v>263.2514443765142</v>
      </c>
      <c r="AB5" s="69">
        <f t="shared" si="2"/>
        <v>4225.8261907945744</v>
      </c>
      <c r="AC5" s="69">
        <f t="shared" si="3"/>
        <v>298.42584755679599</v>
      </c>
      <c r="AD5" s="69">
        <f t="shared" si="4"/>
        <v>1085.1849002065308</v>
      </c>
      <c r="AE5" s="69">
        <f t="shared" si="5"/>
        <v>22218.68911619479</v>
      </c>
      <c r="AF5" s="69">
        <f t="shared" si="6"/>
        <v>1.6369283702630386</v>
      </c>
      <c r="AG5" s="228">
        <v>6.4279999999999999</v>
      </c>
      <c r="AH5" s="61">
        <f t="shared" si="7"/>
        <v>8.0649283702630381</v>
      </c>
      <c r="AI5" s="104">
        <v>10</v>
      </c>
      <c r="AJ5" s="104">
        <v>18</v>
      </c>
      <c r="AK5" s="19"/>
    </row>
    <row r="6" spans="1:37" s="8" customFormat="1" ht="20" x14ac:dyDescent="0.2">
      <c r="B6" s="102" t="s">
        <v>730</v>
      </c>
      <c r="C6" s="97" t="s">
        <v>1070</v>
      </c>
      <c r="D6" s="19" t="s">
        <v>106</v>
      </c>
      <c r="E6" s="19" t="s">
        <v>731</v>
      </c>
      <c r="F6" s="19"/>
      <c r="G6" s="19"/>
      <c r="H6" s="33" t="s">
        <v>1066</v>
      </c>
      <c r="I6" s="100">
        <v>700</v>
      </c>
      <c r="J6" s="33"/>
      <c r="K6" s="33"/>
      <c r="L6" s="33"/>
      <c r="M6" s="165"/>
      <c r="N6" s="104" t="s">
        <v>1044</v>
      </c>
      <c r="O6" s="51" t="s">
        <v>1044</v>
      </c>
      <c r="P6" s="103">
        <v>2490</v>
      </c>
      <c r="Q6" s="103">
        <v>2490</v>
      </c>
      <c r="R6" s="103">
        <v>14315</v>
      </c>
      <c r="S6" s="114">
        <f t="shared" si="8"/>
        <v>0.65627808035796154</v>
      </c>
      <c r="T6" s="153">
        <v>6</v>
      </c>
      <c r="U6" s="165"/>
      <c r="V6" s="103">
        <f>6986.5</f>
        <v>6986.5</v>
      </c>
      <c r="W6" s="103">
        <f>$W$19*V6</f>
        <v>11421.630653368109</v>
      </c>
      <c r="X6" s="69">
        <f>$X$1*W6</f>
        <v>202.16286256461552</v>
      </c>
      <c r="Y6" s="61">
        <f>((W6+X6)/AI6)*($Y$1+$Y$1^2+$Y$1^3+$Y$1^4+$Y$1^5+$Y$1^6+$Y$1^7+$Y$1^8+$Y$1^9+$Y$1^10+$Y$1^11)-(W6+X6)</f>
        <v>4139.2608954007846</v>
      </c>
      <c r="Z6" s="61">
        <f t="shared" si="0"/>
        <v>15763.054411333509</v>
      </c>
      <c r="AA6" s="69">
        <f t="shared" si="1"/>
        <v>671.71041003661298</v>
      </c>
      <c r="AB6" s="69">
        <f t="shared" si="2"/>
        <v>16434.764821370121</v>
      </c>
      <c r="AC6" s="69">
        <f t="shared" si="3"/>
        <v>1160.6153210697478</v>
      </c>
      <c r="AD6" s="69">
        <f t="shared" si="4"/>
        <v>466.11057071074202</v>
      </c>
      <c r="AE6" s="69">
        <f t="shared" si="5"/>
        <v>6731.2652767672207</v>
      </c>
      <c r="AF6" s="69">
        <f t="shared" si="6"/>
        <v>0.70396286074700165</v>
      </c>
      <c r="AG6" s="228">
        <v>6.4279999999999999</v>
      </c>
      <c r="AH6" s="61">
        <f t="shared" si="7"/>
        <v>7.1319628607470014</v>
      </c>
      <c r="AI6" s="104">
        <v>11</v>
      </c>
      <c r="AJ6" s="104">
        <v>20</v>
      </c>
      <c r="AK6" s="19" t="s">
        <v>738</v>
      </c>
    </row>
    <row r="7" spans="1:37" s="8" customFormat="1" ht="20" x14ac:dyDescent="0.2">
      <c r="B7" s="214" t="s">
        <v>191</v>
      </c>
      <c r="C7" s="19" t="s">
        <v>1081</v>
      </c>
      <c r="D7" s="19" t="s">
        <v>106</v>
      </c>
      <c r="E7" s="19" t="s">
        <v>259</v>
      </c>
      <c r="F7" s="19"/>
      <c r="G7" s="19"/>
      <c r="H7" s="33" t="s">
        <v>1066</v>
      </c>
      <c r="I7" s="100">
        <v>25</v>
      </c>
      <c r="J7" s="33"/>
      <c r="K7" s="33"/>
      <c r="L7" s="33"/>
      <c r="M7" s="165"/>
      <c r="N7" s="80" t="s">
        <v>1043</v>
      </c>
      <c r="O7" s="51" t="s">
        <v>1043</v>
      </c>
      <c r="P7" s="79">
        <v>30</v>
      </c>
      <c r="Q7" s="79">
        <v>30</v>
      </c>
      <c r="R7" s="79">
        <v>103</v>
      </c>
      <c r="S7" s="114">
        <f t="shared" si="8"/>
        <v>0.3919330289193303</v>
      </c>
      <c r="T7" s="148">
        <v>0</v>
      </c>
      <c r="U7" s="165"/>
      <c r="V7" s="79">
        <v>250</v>
      </c>
      <c r="W7" s="79">
        <f>(133.4/130.4)*V7</f>
        <v>255.75153374233128</v>
      </c>
      <c r="X7" s="69">
        <f>AE$1*W7</f>
        <v>0</v>
      </c>
      <c r="Y7" s="69">
        <f>((W7+X7)/AI7)*(Y$1+Y$1^2+Y$1^3+Y$1^4+Y$1^5)-(W7+X7)</f>
        <v>41.018086344900325</v>
      </c>
      <c r="Z7" s="69">
        <f t="shared" si="0"/>
        <v>296.7696200872316</v>
      </c>
      <c r="AA7" s="69">
        <f t="shared" si="1"/>
        <v>45.372446516163038</v>
      </c>
      <c r="AB7" s="69">
        <f t="shared" si="2"/>
        <v>342.14206660339465</v>
      </c>
      <c r="AC7" s="69">
        <f t="shared" si="3"/>
        <v>24.161910973378994</v>
      </c>
      <c r="AD7" s="69">
        <f t="shared" si="4"/>
        <v>805.39703244596649</v>
      </c>
      <c r="AE7" s="69">
        <f t="shared" si="5"/>
        <v>73830.707870939805</v>
      </c>
      <c r="AF7" s="69">
        <f t="shared" si="6"/>
        <v>3.8243414172207211</v>
      </c>
      <c r="AG7" s="228">
        <v>6.4279999999999999</v>
      </c>
      <c r="AH7" s="69">
        <f t="shared" si="7"/>
        <v>10.252341417220721</v>
      </c>
      <c r="AI7" s="80">
        <v>5</v>
      </c>
      <c r="AJ7" s="80">
        <v>8</v>
      </c>
      <c r="AK7" s="19" t="s">
        <v>997</v>
      </c>
    </row>
    <row r="8" spans="1:37" s="8" customFormat="1" ht="20" x14ac:dyDescent="0.2">
      <c r="B8" s="102" t="s">
        <v>724</v>
      </c>
      <c r="C8" s="97" t="s">
        <v>1075</v>
      </c>
      <c r="D8" s="19" t="s">
        <v>106</v>
      </c>
      <c r="E8" s="19" t="s">
        <v>724</v>
      </c>
      <c r="F8" s="19"/>
      <c r="G8" s="19"/>
      <c r="H8" s="33" t="s">
        <v>1066</v>
      </c>
      <c r="I8" s="100">
        <v>50</v>
      </c>
      <c r="J8" s="33"/>
      <c r="K8" s="33"/>
      <c r="L8" s="33"/>
      <c r="M8" s="165"/>
      <c r="N8" s="104" t="s">
        <v>1067</v>
      </c>
      <c r="O8" s="51" t="s">
        <v>1067</v>
      </c>
      <c r="P8" s="103">
        <v>200</v>
      </c>
      <c r="Q8" s="103">
        <v>200</v>
      </c>
      <c r="R8" s="103">
        <v>945</v>
      </c>
      <c r="S8" s="114">
        <f t="shared" si="8"/>
        <v>0.53938356164383561</v>
      </c>
      <c r="T8" s="153">
        <v>2</v>
      </c>
      <c r="U8" s="165"/>
      <c r="V8" s="103">
        <f>1116.8</f>
        <v>1116.8</v>
      </c>
      <c r="W8" s="103">
        <f t="shared" ref="W8:W17" si="9">$W$19*V8</f>
        <v>1825.7606975855583</v>
      </c>
      <c r="X8" s="69">
        <f t="shared" ref="X8:X17" si="10">$X$1*W8</f>
        <v>32.315964347264384</v>
      </c>
      <c r="Y8" s="61">
        <f>((W8+X8)/AI8)*($Y$1+$Y$1^2+$Y$1^3+$Y$1^4+$Y$1^5)-(W8+X8)</f>
        <v>298.00309636223278</v>
      </c>
      <c r="Z8" s="61">
        <f t="shared" si="0"/>
        <v>2156.0797582950554</v>
      </c>
      <c r="AA8" s="69">
        <f t="shared" si="1"/>
        <v>174.20517985521292</v>
      </c>
      <c r="AB8" s="69">
        <f t="shared" si="2"/>
        <v>2330.2849381502683</v>
      </c>
      <c r="AC8" s="69">
        <f t="shared" si="3"/>
        <v>164.56362053678589</v>
      </c>
      <c r="AD8" s="69">
        <f t="shared" si="4"/>
        <v>822.81810268392951</v>
      </c>
      <c r="AE8" s="69">
        <f t="shared" si="5"/>
        <v>26404.53324050381</v>
      </c>
      <c r="AF8" s="69">
        <f t="shared" si="6"/>
        <v>1.8492669544687672</v>
      </c>
      <c r="AG8" s="228">
        <v>6.4279999999999999</v>
      </c>
      <c r="AH8" s="61">
        <f t="shared" si="7"/>
        <v>8.277266954468768</v>
      </c>
      <c r="AI8" s="104">
        <v>5</v>
      </c>
      <c r="AJ8" s="104">
        <v>9</v>
      </c>
      <c r="AK8" s="19"/>
    </row>
    <row r="9" spans="1:37" s="8" customFormat="1" ht="20" x14ac:dyDescent="0.2">
      <c r="B9" s="102" t="s">
        <v>740</v>
      </c>
      <c r="C9" s="97" t="s">
        <v>1068</v>
      </c>
      <c r="D9" s="19" t="s">
        <v>106</v>
      </c>
      <c r="E9" s="19" t="s">
        <v>731</v>
      </c>
      <c r="F9" s="19"/>
      <c r="G9" s="19"/>
      <c r="H9" s="33" t="s">
        <v>1066</v>
      </c>
      <c r="I9" s="100">
        <v>700</v>
      </c>
      <c r="J9" s="33"/>
      <c r="K9" s="33"/>
      <c r="L9" s="33"/>
      <c r="M9" s="165"/>
      <c r="N9" s="104" t="s">
        <v>1044</v>
      </c>
      <c r="O9" s="51" t="s">
        <v>1044</v>
      </c>
      <c r="P9" s="103">
        <v>700</v>
      </c>
      <c r="Q9" s="103">
        <v>700</v>
      </c>
      <c r="R9" s="103">
        <v>4024</v>
      </c>
      <c r="S9" s="114">
        <f t="shared" si="8"/>
        <v>0.65622961513372469</v>
      </c>
      <c r="T9" s="153">
        <v>4</v>
      </c>
      <c r="U9" s="165"/>
      <c r="V9" s="103">
        <f>2065</f>
        <v>2065</v>
      </c>
      <c r="W9" s="103">
        <f t="shared" si="9"/>
        <v>3375.8916910048156</v>
      </c>
      <c r="X9" s="69">
        <f t="shared" si="10"/>
        <v>59.75328293078524</v>
      </c>
      <c r="Y9" s="61">
        <f>((W9+X9)/AI9)*($Y$1+$Y$1^2+$Y$1^3+$Y$1^4+$Y$1^5+$Y$1^6+$Y$1^7)-(W9+X9)</f>
        <v>760.31258902241234</v>
      </c>
      <c r="Z9" s="61">
        <f t="shared" si="0"/>
        <v>4195.9575629580131</v>
      </c>
      <c r="AA9" s="69">
        <f t="shared" si="1"/>
        <v>273.67268831436678</v>
      </c>
      <c r="AB9" s="69">
        <f t="shared" si="2"/>
        <v>4469.6302512723796</v>
      </c>
      <c r="AC9" s="69">
        <f t="shared" si="3"/>
        <v>315.64317503334252</v>
      </c>
      <c r="AD9" s="69">
        <f t="shared" si="4"/>
        <v>450.91882147620356</v>
      </c>
      <c r="AE9" s="69">
        <f t="shared" si="5"/>
        <v>13390.401979712587</v>
      </c>
      <c r="AF9" s="69">
        <f t="shared" si="6"/>
        <v>1.1445151560205005</v>
      </c>
      <c r="AG9" s="228">
        <v>6.4279999999999999</v>
      </c>
      <c r="AH9" s="61">
        <f t="shared" si="7"/>
        <v>7.5725151560205006</v>
      </c>
      <c r="AI9" s="104">
        <v>7</v>
      </c>
      <c r="AJ9" s="104">
        <v>13</v>
      </c>
      <c r="AK9" s="19" t="s">
        <v>738</v>
      </c>
    </row>
    <row r="10" spans="1:37" s="8" customFormat="1" ht="20" x14ac:dyDescent="0.2">
      <c r="B10" s="102" t="s">
        <v>990</v>
      </c>
      <c r="C10" s="97" t="s">
        <v>1071</v>
      </c>
      <c r="D10" s="19" t="s">
        <v>106</v>
      </c>
      <c r="E10" s="19" t="s">
        <v>734</v>
      </c>
      <c r="F10" s="19"/>
      <c r="G10" s="19"/>
      <c r="H10" s="33" t="s">
        <v>1066</v>
      </c>
      <c r="I10" s="100">
        <v>150</v>
      </c>
      <c r="J10" s="33"/>
      <c r="K10" s="33"/>
      <c r="L10" s="33"/>
      <c r="M10" s="165"/>
      <c r="N10" s="104" t="s">
        <v>1067</v>
      </c>
      <c r="O10" s="51" t="s">
        <v>1067</v>
      </c>
      <c r="P10" s="103">
        <v>810</v>
      </c>
      <c r="Q10" s="103">
        <v>810</v>
      </c>
      <c r="R10" s="103">
        <v>3548</v>
      </c>
      <c r="S10" s="114">
        <f t="shared" si="8"/>
        <v>0.50002818648176339</v>
      </c>
      <c r="T10" s="153">
        <v>3</v>
      </c>
      <c r="U10" s="165"/>
      <c r="V10" s="103">
        <f>2596.4</f>
        <v>2596.4</v>
      </c>
      <c r="W10" s="103">
        <f t="shared" si="9"/>
        <v>4244.6320515859097</v>
      </c>
      <c r="X10" s="69">
        <f t="shared" si="10"/>
        <v>75.1299873130706</v>
      </c>
      <c r="Y10" s="61">
        <f>((W10+X10)/AI10)*($Y$1+$Y$1^2+$Y$1^3+$Y$1^4+$Y$1^5+$Y$1^6+$Y$1^7)-(W10+X10)</f>
        <v>955.96881653161745</v>
      </c>
      <c r="Z10" s="61">
        <f t="shared" si="0"/>
        <v>5275.7308554305973</v>
      </c>
      <c r="AA10" s="69">
        <f t="shared" si="1"/>
        <v>319.66816355450982</v>
      </c>
      <c r="AB10" s="69">
        <f t="shared" si="2"/>
        <v>5595.3990189851074</v>
      </c>
      <c r="AC10" s="69">
        <f t="shared" si="3"/>
        <v>395.14443312802791</v>
      </c>
      <c r="AD10" s="69">
        <f t="shared" si="4"/>
        <v>487.83263349139247</v>
      </c>
      <c r="AE10" s="69">
        <f t="shared" si="5"/>
        <v>12371.941909607567</v>
      </c>
      <c r="AF10" s="69">
        <f t="shared" si="6"/>
        <v>1.0822917182191298</v>
      </c>
      <c r="AG10" s="228">
        <v>6.4279999999999999</v>
      </c>
      <c r="AH10" s="61">
        <f t="shared" si="7"/>
        <v>7.51029171821913</v>
      </c>
      <c r="AI10" s="104">
        <v>7</v>
      </c>
      <c r="AJ10" s="104">
        <v>13</v>
      </c>
      <c r="AK10" s="19"/>
    </row>
    <row r="11" spans="1:37" s="8" customFormat="1" ht="20" x14ac:dyDescent="0.2">
      <c r="B11" s="102" t="s">
        <v>728</v>
      </c>
      <c r="C11" s="97" t="s">
        <v>1069</v>
      </c>
      <c r="D11" s="19" t="s">
        <v>106</v>
      </c>
      <c r="E11" s="19" t="s">
        <v>735</v>
      </c>
      <c r="F11" s="19"/>
      <c r="G11" s="19"/>
      <c r="H11" s="33" t="s">
        <v>1066</v>
      </c>
      <c r="I11" s="100">
        <v>50</v>
      </c>
      <c r="J11" s="33"/>
      <c r="K11" s="33"/>
      <c r="L11" s="33"/>
      <c r="M11" s="165"/>
      <c r="N11" s="104" t="s">
        <v>1044</v>
      </c>
      <c r="O11" s="51" t="s">
        <v>1044</v>
      </c>
      <c r="P11" s="103">
        <v>360</v>
      </c>
      <c r="Q11" s="103">
        <v>360</v>
      </c>
      <c r="R11" s="103">
        <v>1673</v>
      </c>
      <c r="S11" s="114">
        <f t="shared" si="8"/>
        <v>0.5305048198883815</v>
      </c>
      <c r="T11" s="153">
        <v>2</v>
      </c>
      <c r="U11" s="165"/>
      <c r="V11" s="103">
        <f>1117.4</f>
        <v>1117.4000000000001</v>
      </c>
      <c r="W11" s="103">
        <f t="shared" si="9"/>
        <v>1826.7415862124849</v>
      </c>
      <c r="X11" s="69">
        <f t="shared" si="10"/>
        <v>32.333326075960983</v>
      </c>
      <c r="Y11" s="61">
        <f>((W11+X11)/AI11)*($Y$1+$Y$1^2+$Y$1^3+$Y$1^4+$Y$1^5+$Y$1^6)-(W11+X11)</f>
        <v>353.84654413767066</v>
      </c>
      <c r="Z11" s="61">
        <f t="shared" si="0"/>
        <v>2212.9214564261165</v>
      </c>
      <c r="AA11" s="69">
        <f t="shared" si="1"/>
        <v>177.30777623780543</v>
      </c>
      <c r="AB11" s="69">
        <f t="shared" si="2"/>
        <v>2390.2292326639217</v>
      </c>
      <c r="AC11" s="69">
        <f t="shared" si="3"/>
        <v>168.79685827273443</v>
      </c>
      <c r="AD11" s="69">
        <f t="shared" si="4"/>
        <v>468.88016186870669</v>
      </c>
      <c r="AE11" s="69">
        <f t="shared" si="5"/>
        <v>19200.865126484015</v>
      </c>
      <c r="AF11" s="69">
        <f t="shared" si="6"/>
        <v>1.476489081144287</v>
      </c>
      <c r="AG11" s="228">
        <v>6.4279999999999999</v>
      </c>
      <c r="AH11" s="61">
        <f t="shared" si="7"/>
        <v>7.9044890811442867</v>
      </c>
      <c r="AI11" s="104">
        <v>6</v>
      </c>
      <c r="AJ11" s="104">
        <v>11</v>
      </c>
      <c r="AK11" s="19" t="s">
        <v>738</v>
      </c>
    </row>
    <row r="12" spans="1:37" s="8" customFormat="1" ht="20" x14ac:dyDescent="0.2">
      <c r="B12" s="102" t="s">
        <v>733</v>
      </c>
      <c r="C12" s="97" t="s">
        <v>1076</v>
      </c>
      <c r="D12" s="19" t="s">
        <v>106</v>
      </c>
      <c r="E12" s="19" t="s">
        <v>734</v>
      </c>
      <c r="F12" s="19"/>
      <c r="G12" s="19"/>
      <c r="H12" s="33" t="s">
        <v>1066</v>
      </c>
      <c r="I12" s="100">
        <v>150</v>
      </c>
      <c r="J12" s="33"/>
      <c r="K12" s="33"/>
      <c r="L12" s="33"/>
      <c r="M12" s="165"/>
      <c r="N12" s="104" t="s">
        <v>1067</v>
      </c>
      <c r="O12" s="51" t="s">
        <v>1067</v>
      </c>
      <c r="P12" s="103">
        <v>170</v>
      </c>
      <c r="Q12" s="103">
        <v>170</v>
      </c>
      <c r="R12" s="103">
        <v>745</v>
      </c>
      <c r="S12" s="114">
        <f t="shared" si="8"/>
        <v>0.50026860059092126</v>
      </c>
      <c r="T12" s="153">
        <v>2</v>
      </c>
      <c r="U12" s="165"/>
      <c r="V12" s="103">
        <f>923.5</f>
        <v>923.5</v>
      </c>
      <c r="W12" s="103">
        <f t="shared" si="9"/>
        <v>1509.7510782774561</v>
      </c>
      <c r="X12" s="69">
        <f t="shared" si="10"/>
        <v>26.722594085510973</v>
      </c>
      <c r="Y12" s="61">
        <f>((W12+X12)/AI12)*($Y$1+$Y$1^2+$Y$1^3+$Y$1^4+$Y$1^5+$Y$1^6)-(W12+X12)</f>
        <v>292.44432030708663</v>
      </c>
      <c r="Z12" s="61">
        <f t="shared" si="0"/>
        <v>1828.9179926700538</v>
      </c>
      <c r="AA12" s="69">
        <f t="shared" si="1"/>
        <v>155.80285660805006</v>
      </c>
      <c r="AB12" s="69">
        <f t="shared" si="2"/>
        <v>1984.7208492781037</v>
      </c>
      <c r="AC12" s="69">
        <f t="shared" si="3"/>
        <v>140.16004796877235</v>
      </c>
      <c r="AD12" s="69">
        <f t="shared" si="4"/>
        <v>824.47087040454323</v>
      </c>
      <c r="AE12" s="69">
        <f t="shared" si="5"/>
        <v>28835.895103821844</v>
      </c>
      <c r="AF12" s="69">
        <f t="shared" si="6"/>
        <v>1.9680320217970944</v>
      </c>
      <c r="AG12" s="228">
        <v>6.4279999999999999</v>
      </c>
      <c r="AH12" s="61">
        <f t="shared" si="7"/>
        <v>8.3960320217970938</v>
      </c>
      <c r="AI12" s="104">
        <v>6</v>
      </c>
      <c r="AJ12" s="104">
        <v>11</v>
      </c>
      <c r="AK12" s="19"/>
    </row>
    <row r="13" spans="1:37" s="8" customFormat="1" ht="20" x14ac:dyDescent="0.2">
      <c r="B13" s="102" t="s">
        <v>725</v>
      </c>
      <c r="C13" s="97" t="s">
        <v>1078</v>
      </c>
      <c r="D13" s="19" t="s">
        <v>106</v>
      </c>
      <c r="E13" s="19" t="s">
        <v>736</v>
      </c>
      <c r="F13" s="19"/>
      <c r="G13" s="19"/>
      <c r="H13" s="33" t="s">
        <v>1066</v>
      </c>
      <c r="I13" s="100">
        <v>150</v>
      </c>
      <c r="J13" s="33"/>
      <c r="K13" s="33"/>
      <c r="L13" s="33"/>
      <c r="M13" s="165"/>
      <c r="N13" s="104" t="s">
        <v>1067</v>
      </c>
      <c r="O13" s="51" t="s">
        <v>1067</v>
      </c>
      <c r="P13" s="103">
        <v>290</v>
      </c>
      <c r="Q13" s="103">
        <v>290</v>
      </c>
      <c r="R13" s="103">
        <v>1477</v>
      </c>
      <c r="S13" s="114">
        <f t="shared" si="8"/>
        <v>0.5814045032278381</v>
      </c>
      <c r="T13" s="153">
        <v>2</v>
      </c>
      <c r="U13" s="165"/>
      <c r="V13" s="103">
        <f>1757</f>
        <v>1757</v>
      </c>
      <c r="W13" s="103">
        <f t="shared" si="9"/>
        <v>2872.3688625159616</v>
      </c>
      <c r="X13" s="69">
        <f t="shared" si="10"/>
        <v>50.840928866532522</v>
      </c>
      <c r="Y13" s="61">
        <f>((W13+X13)/AI13)*($Y$1+$Y$1^2+$Y$1^3+$Y$1^4+$Y$1^5+$Y$1^6+$Y$1^7+$Y$1^8)-(W13+X13)</f>
        <v>740.50908272929291</v>
      </c>
      <c r="Z13" s="61">
        <f t="shared" si="0"/>
        <v>3663.718874111787</v>
      </c>
      <c r="AA13" s="69">
        <f t="shared" si="1"/>
        <v>249.61324707262537</v>
      </c>
      <c r="AB13" s="69">
        <f t="shared" si="2"/>
        <v>3913.3321211844122</v>
      </c>
      <c r="AC13" s="69">
        <f t="shared" si="3"/>
        <v>276.35766411303956</v>
      </c>
      <c r="AD13" s="69">
        <f t="shared" si="4"/>
        <v>952.95746245875705</v>
      </c>
      <c r="AE13" s="69">
        <f t="shared" si="5"/>
        <v>21588.230058579513</v>
      </c>
      <c r="AF13" s="69">
        <f t="shared" si="6"/>
        <v>1.6039678692832389</v>
      </c>
      <c r="AG13" s="228">
        <v>6.4279999999999999</v>
      </c>
      <c r="AH13" s="61">
        <f t="shared" si="7"/>
        <v>8.031967869283239</v>
      </c>
      <c r="AI13" s="104">
        <v>8</v>
      </c>
      <c r="AJ13" s="104">
        <v>14</v>
      </c>
      <c r="AK13" s="19"/>
    </row>
    <row r="14" spans="1:37" s="8" customFormat="1" ht="20" x14ac:dyDescent="0.2">
      <c r="B14" s="102" t="s">
        <v>747</v>
      </c>
      <c r="C14" s="97" t="s">
        <v>1077</v>
      </c>
      <c r="D14" s="19" t="s">
        <v>106</v>
      </c>
      <c r="E14" s="19" t="s">
        <v>737</v>
      </c>
      <c r="F14" s="19"/>
      <c r="G14" s="19"/>
      <c r="H14" s="33" t="s">
        <v>1066</v>
      </c>
      <c r="I14" s="100">
        <v>25</v>
      </c>
      <c r="J14" s="33"/>
      <c r="K14" s="33"/>
      <c r="L14" s="33"/>
      <c r="M14" s="165"/>
      <c r="N14" s="104" t="s">
        <v>1067</v>
      </c>
      <c r="O14" s="51" t="s">
        <v>1067</v>
      </c>
      <c r="P14" s="103">
        <v>275</v>
      </c>
      <c r="Q14" s="103">
        <v>275</v>
      </c>
      <c r="R14" s="103">
        <v>1794</v>
      </c>
      <c r="S14" s="114">
        <f t="shared" si="8"/>
        <v>0.74470734744707345</v>
      </c>
      <c r="T14" s="153">
        <v>5</v>
      </c>
      <c r="U14" s="165"/>
      <c r="V14" s="103">
        <f>1543.8</f>
        <v>1543.8</v>
      </c>
      <c r="W14" s="103">
        <f t="shared" si="9"/>
        <v>2523.8264370814691</v>
      </c>
      <c r="X14" s="69">
        <f t="shared" si="10"/>
        <v>44.671727936342002</v>
      </c>
      <c r="Y14" s="61">
        <f>((W14+X14)/AI14)*($Y$1+$Y$1^2+$Y$1^3+$Y$1^4+$Y$1^5+$Y$1^6+$Y$1^7+$Y$1^8)-(W14+X14)</f>
        <v>650.65334201336509</v>
      </c>
      <c r="Z14" s="61">
        <f t="shared" si="0"/>
        <v>3219.1515070311762</v>
      </c>
      <c r="AA14" s="69">
        <f t="shared" si="1"/>
        <v>228.64127119071313</v>
      </c>
      <c r="AB14" s="69">
        <f t="shared" si="2"/>
        <v>3447.7927782218894</v>
      </c>
      <c r="AC14" s="69">
        <f t="shared" si="3"/>
        <v>243.48149582735289</v>
      </c>
      <c r="AD14" s="69">
        <f t="shared" si="4"/>
        <v>885.38725755401049</v>
      </c>
      <c r="AE14" s="69">
        <f t="shared" si="5"/>
        <v>22218.68911619479</v>
      </c>
      <c r="AF14" s="69">
        <f t="shared" si="6"/>
        <v>1.6369283702630386</v>
      </c>
      <c r="AG14" s="228">
        <v>6.4279999999999999</v>
      </c>
      <c r="AH14" s="61">
        <f t="shared" si="7"/>
        <v>8.0649283702630381</v>
      </c>
      <c r="AI14" s="104">
        <v>8</v>
      </c>
      <c r="AJ14" s="104">
        <v>14</v>
      </c>
      <c r="AK14" s="19"/>
    </row>
    <row r="15" spans="1:37" s="8" customFormat="1" ht="20" x14ac:dyDescent="0.2">
      <c r="B15" s="102" t="s">
        <v>727</v>
      </c>
      <c r="C15" s="97" t="s">
        <v>1074</v>
      </c>
      <c r="D15" s="19" t="s">
        <v>106</v>
      </c>
      <c r="E15" s="19" t="s">
        <v>736</v>
      </c>
      <c r="F15" s="19"/>
      <c r="G15" s="19"/>
      <c r="H15" s="33" t="s">
        <v>1066</v>
      </c>
      <c r="I15" s="100">
        <v>150</v>
      </c>
      <c r="J15" s="33"/>
      <c r="K15" s="33"/>
      <c r="L15" s="33"/>
      <c r="M15" s="165"/>
      <c r="N15" s="104" t="s">
        <v>1067</v>
      </c>
      <c r="O15" s="51" t="s">
        <v>1067</v>
      </c>
      <c r="P15" s="103">
        <v>185</v>
      </c>
      <c r="Q15" s="103">
        <v>185</v>
      </c>
      <c r="R15" s="103">
        <v>942</v>
      </c>
      <c r="S15" s="114">
        <f t="shared" si="8"/>
        <v>0.5812661977045539</v>
      </c>
      <c r="T15" s="153">
        <v>1</v>
      </c>
      <c r="U15" s="165"/>
      <c r="V15" s="103">
        <f>926.4</f>
        <v>926.4</v>
      </c>
      <c r="W15" s="103">
        <f t="shared" si="9"/>
        <v>1514.4920399742668</v>
      </c>
      <c r="X15" s="69">
        <f t="shared" si="10"/>
        <v>26.806509107544525</v>
      </c>
      <c r="Y15" s="61">
        <f>((W15+X15)/AI15)*($Y$1+$Y$1^2+$Y$1^3+$Y$1^4+$Y$1^5+$Y$1^6)-(W15+X15)</f>
        <v>293.36266197345458</v>
      </c>
      <c r="Z15" s="61">
        <f t="shared" si="0"/>
        <v>1834.661211055266</v>
      </c>
      <c r="AA15" s="69">
        <f t="shared" si="1"/>
        <v>156.13460078207476</v>
      </c>
      <c r="AB15" s="69">
        <f t="shared" si="2"/>
        <v>1990.7958118373408</v>
      </c>
      <c r="AC15" s="69">
        <f t="shared" si="3"/>
        <v>140.58905895236779</v>
      </c>
      <c r="AD15" s="69">
        <f t="shared" si="4"/>
        <v>759.94085920198813</v>
      </c>
      <c r="AE15" s="69">
        <f t="shared" si="5"/>
        <v>27544.169079555119</v>
      </c>
      <c r="AF15" s="69">
        <f t="shared" si="6"/>
        <v>1.9053173642715009</v>
      </c>
      <c r="AG15" s="228">
        <v>6.4279999999999999</v>
      </c>
      <c r="AH15" s="61">
        <f t="shared" si="7"/>
        <v>8.333317364271501</v>
      </c>
      <c r="AI15" s="104">
        <v>6</v>
      </c>
      <c r="AJ15" s="104">
        <v>11</v>
      </c>
      <c r="AK15" s="19" t="s">
        <v>738</v>
      </c>
    </row>
    <row r="16" spans="1:37" s="8" customFormat="1" ht="20" x14ac:dyDescent="0.2">
      <c r="B16" s="102" t="s">
        <v>729</v>
      </c>
      <c r="C16" s="97" t="s">
        <v>1072</v>
      </c>
      <c r="D16" s="19" t="s">
        <v>106</v>
      </c>
      <c r="E16" s="19" t="s">
        <v>217</v>
      </c>
      <c r="F16" s="19"/>
      <c r="G16" s="19"/>
      <c r="H16" s="33" t="s">
        <v>1066</v>
      </c>
      <c r="I16" s="100">
        <v>50</v>
      </c>
      <c r="J16" s="33"/>
      <c r="K16" s="33"/>
      <c r="L16" s="33"/>
      <c r="M16" s="165"/>
      <c r="N16" s="104" t="s">
        <v>1067</v>
      </c>
      <c r="O16" s="51" t="s">
        <v>1067</v>
      </c>
      <c r="P16" s="103">
        <v>675</v>
      </c>
      <c r="Q16" s="103">
        <v>675</v>
      </c>
      <c r="R16" s="103">
        <v>3210</v>
      </c>
      <c r="S16" s="114">
        <f t="shared" si="8"/>
        <v>0.54287163876204969</v>
      </c>
      <c r="T16" s="153">
        <v>6</v>
      </c>
      <c r="U16" s="165"/>
      <c r="V16" s="103">
        <f>2547.7</f>
        <v>2547.6999999999998</v>
      </c>
      <c r="W16" s="103">
        <f t="shared" si="9"/>
        <v>4165.0165913670544</v>
      </c>
      <c r="X16" s="69">
        <f t="shared" si="10"/>
        <v>73.720793667196858</v>
      </c>
      <c r="Y16" s="61">
        <f>((W16+X16)/AI16)*($Y$1+$Y$1^2+$Y$1^3+$Y$1^4+$Y$1^5+$Y$1^6+$Y$1^7+$Y$1^8)-(W16+X16)</f>
        <v>1073.7592430673985</v>
      </c>
      <c r="Z16" s="61">
        <f t="shared" si="0"/>
        <v>5312.4966281016495</v>
      </c>
      <c r="AA16" s="69">
        <f t="shared" si="1"/>
        <v>321.17775992028089</v>
      </c>
      <c r="AB16" s="69">
        <f t="shared" si="2"/>
        <v>5633.6743880219301</v>
      </c>
      <c r="AC16" s="69">
        <f t="shared" si="3"/>
        <v>397.84742159221156</v>
      </c>
      <c r="AD16" s="69">
        <f t="shared" si="4"/>
        <v>589.40358754401711</v>
      </c>
      <c r="AE16" s="69">
        <f t="shared" si="5"/>
        <v>13656.962205485481</v>
      </c>
      <c r="AF16" s="69">
        <f t="shared" si="6"/>
        <v>1.1605684294954324</v>
      </c>
      <c r="AG16" s="228">
        <v>6.4279999999999999</v>
      </c>
      <c r="AH16" s="61">
        <f t="shared" si="7"/>
        <v>7.5885684294954325</v>
      </c>
      <c r="AI16" s="104">
        <v>8</v>
      </c>
      <c r="AJ16" s="104">
        <v>14</v>
      </c>
      <c r="AK16" s="19"/>
    </row>
    <row r="17" spans="1:53" s="17" customFormat="1" ht="20" x14ac:dyDescent="0.2">
      <c r="B17" s="102" t="s">
        <v>726</v>
      </c>
      <c r="C17" s="97" t="s">
        <v>1073</v>
      </c>
      <c r="D17" s="19" t="s">
        <v>106</v>
      </c>
      <c r="E17" s="19" t="s">
        <v>736</v>
      </c>
      <c r="F17" s="19"/>
      <c r="G17" s="19"/>
      <c r="H17" s="33" t="s">
        <v>1066</v>
      </c>
      <c r="I17" s="100">
        <v>150</v>
      </c>
      <c r="J17" s="33"/>
      <c r="K17" s="33"/>
      <c r="L17" s="33"/>
      <c r="M17" s="165"/>
      <c r="N17" s="104" t="s">
        <v>1067</v>
      </c>
      <c r="O17" s="51" t="s">
        <v>1067</v>
      </c>
      <c r="P17" s="103">
        <v>420</v>
      </c>
      <c r="Q17" s="103">
        <v>420</v>
      </c>
      <c r="R17" s="103">
        <v>2139</v>
      </c>
      <c r="S17" s="114">
        <f t="shared" si="8"/>
        <v>0.5813763861709067</v>
      </c>
      <c r="T17" s="153">
        <v>2</v>
      </c>
      <c r="U17" s="165"/>
      <c r="V17" s="103">
        <f>1655</f>
        <v>1655</v>
      </c>
      <c r="W17" s="103">
        <f t="shared" si="9"/>
        <v>2705.6177959384841</v>
      </c>
      <c r="X17" s="69">
        <f t="shared" si="10"/>
        <v>47.889434988111169</v>
      </c>
      <c r="Y17" s="61">
        <f>((W17+X17)/AI17)*($Y$1+$Y$1^2+$Y$1^3+$Y$1^4+$Y$1^5+$Y$1^6+$Y$1^7+$Y$1^8)-(W17+X17)</f>
        <v>697.51993848433676</v>
      </c>
      <c r="Z17" s="61">
        <f t="shared" si="0"/>
        <v>3451.0271694109319</v>
      </c>
      <c r="AA17" s="69">
        <f t="shared" si="1"/>
        <v>239.68840682532741</v>
      </c>
      <c r="AB17" s="69">
        <f t="shared" si="2"/>
        <v>3690.7155762362595</v>
      </c>
      <c r="AC17" s="69">
        <f t="shared" si="3"/>
        <v>260.63658896540636</v>
      </c>
      <c r="AD17" s="69">
        <f t="shared" si="4"/>
        <v>620.5633070604913</v>
      </c>
      <c r="AE17" s="69">
        <f t="shared" si="5"/>
        <v>17661.827428561654</v>
      </c>
      <c r="AF17" s="69">
        <f t="shared" si="6"/>
        <v>1.391840979758213</v>
      </c>
      <c r="AG17" s="228">
        <v>6.4279999999999999</v>
      </c>
      <c r="AH17" s="61">
        <f t="shared" si="7"/>
        <v>7.8198409797582134</v>
      </c>
      <c r="AI17" s="104">
        <v>8</v>
      </c>
      <c r="AJ17" s="104">
        <v>14</v>
      </c>
      <c r="AK17" s="19" t="s">
        <v>738</v>
      </c>
    </row>
    <row r="18" spans="1:53" s="17" customFormat="1" ht="19" x14ac:dyDescent="0.2">
      <c r="B18" s="19"/>
      <c r="C18" s="19"/>
      <c r="D18" s="19"/>
      <c r="E18" s="19"/>
      <c r="F18" s="19"/>
      <c r="G18" s="19"/>
      <c r="H18" s="19"/>
      <c r="I18" s="99"/>
      <c r="J18" s="33"/>
      <c r="K18" s="33"/>
      <c r="L18" s="33"/>
      <c r="M18" s="165"/>
      <c r="N18" s="51"/>
      <c r="O18" s="51"/>
      <c r="P18" s="61"/>
      <c r="Q18" s="61"/>
      <c r="R18" s="61"/>
      <c r="S18" s="61"/>
      <c r="T18" s="48"/>
      <c r="U18" s="165"/>
      <c r="V18" s="61"/>
      <c r="W18" s="61"/>
      <c r="X18" s="69"/>
      <c r="Y18" s="69"/>
      <c r="Z18" s="69"/>
      <c r="AA18" s="69"/>
      <c r="AB18" s="69"/>
      <c r="AC18" s="69"/>
      <c r="AD18" s="69"/>
      <c r="AE18" s="69"/>
      <c r="AF18" s="69"/>
      <c r="AG18" s="61"/>
      <c r="AH18" s="61"/>
      <c r="AI18" s="51"/>
      <c r="AJ18" s="51"/>
      <c r="AK18" s="19"/>
    </row>
    <row r="19" spans="1:53" s="17" customFormat="1" ht="19" x14ac:dyDescent="0.2">
      <c r="B19" s="19"/>
      <c r="C19" s="19"/>
      <c r="D19" s="19"/>
      <c r="E19" s="19"/>
      <c r="F19" s="19"/>
      <c r="G19" s="19"/>
      <c r="H19" s="19"/>
      <c r="I19" s="99"/>
      <c r="J19" s="33"/>
      <c r="K19" s="33"/>
      <c r="L19" s="33"/>
      <c r="M19" s="165"/>
      <c r="N19" s="51"/>
      <c r="O19" s="51"/>
      <c r="P19" s="61"/>
      <c r="Q19" s="61"/>
      <c r="R19" s="61"/>
      <c r="S19" s="61"/>
      <c r="T19" s="48"/>
      <c r="U19" s="165"/>
      <c r="V19" s="61" t="s">
        <v>1098</v>
      </c>
      <c r="W19" s="61">
        <f>W21/W20</f>
        <v>1.6348143782105644</v>
      </c>
      <c r="X19" s="69"/>
      <c r="Y19" s="69"/>
      <c r="Z19" s="69"/>
      <c r="AA19" s="69"/>
      <c r="AB19" s="69"/>
      <c r="AC19" s="69"/>
      <c r="AD19" s="69"/>
      <c r="AE19" s="69"/>
      <c r="AF19" s="69"/>
      <c r="AG19" s="61"/>
      <c r="AH19" s="61"/>
      <c r="AI19" s="51"/>
      <c r="AJ19" s="51"/>
      <c r="AK19" s="19"/>
    </row>
    <row r="20" spans="1:53" s="8" customFormat="1" ht="20" x14ac:dyDescent="0.2">
      <c r="B20" s="102" t="s">
        <v>1096</v>
      </c>
      <c r="C20" s="97"/>
      <c r="D20" s="19"/>
      <c r="E20" s="19"/>
      <c r="F20" s="19"/>
      <c r="G20" s="19"/>
      <c r="H20" s="19"/>
      <c r="I20" s="99"/>
      <c r="J20" s="33"/>
      <c r="K20" s="33"/>
      <c r="L20" s="33"/>
      <c r="M20" s="165"/>
      <c r="N20" s="104" t="s">
        <v>1067</v>
      </c>
      <c r="O20" s="51"/>
      <c r="P20" s="103">
        <v>1132</v>
      </c>
      <c r="Q20" s="103">
        <v>1132</v>
      </c>
      <c r="R20" s="103">
        <v>5100</v>
      </c>
      <c r="S20" s="103"/>
      <c r="T20" s="153"/>
      <c r="U20" s="165"/>
      <c r="V20" s="103">
        <v>4893.5219231168267</v>
      </c>
      <c r="W20" s="103">
        <f>V20</f>
        <v>4893.5219231168267</v>
      </c>
      <c r="X20" s="69">
        <f t="shared" ref="X20" si="11">$X$1*W20</f>
        <v>86.615338039167838</v>
      </c>
      <c r="Y20" s="61">
        <f>((W20+X20)/AI20)*($Y$1+$Y$1^2+$Y$1^3+$Y$1^4+$Y$1^5+$Y$1^6+$Y$1^7+$Y$1^8)-(W20+X20)</f>
        <v>1261.5710600026705</v>
      </c>
      <c r="Z20" s="61">
        <f t="shared" ref="Z20" si="12">SUM(W20:Y20)</f>
        <v>6241.7083211586651</v>
      </c>
      <c r="AA20" s="69">
        <f t="shared" ref="AA20" si="13">0.9539*Z20^0.6784</f>
        <v>358.29167951102141</v>
      </c>
      <c r="AB20" s="69">
        <f t="shared" ref="AB20" si="14">SUM(Z20:AA20)</f>
        <v>6600.0000006696864</v>
      </c>
      <c r="AC20" s="69">
        <f t="shared" ref="AC20" si="15">(AB20*AB$1)/(1-(1+AB$1)^-AC$1)</f>
        <v>466.08887946344117</v>
      </c>
      <c r="AD20" s="69">
        <f t="shared" ref="AD20" si="16">AC20*1000/Q20</f>
        <v>411.73929281222718</v>
      </c>
      <c r="AE20" s="69">
        <f t="shared" ref="AE20" si="17">466484*P20^-0.542</f>
        <v>10319.341599148027</v>
      </c>
      <c r="AF20" s="69">
        <f t="shared" ref="AF20" si="18">14.07*(P20^-0.383)</f>
        <v>0.95207446188858713</v>
      </c>
      <c r="AG20" s="228">
        <v>6.4279999999999999</v>
      </c>
      <c r="AH20" s="61">
        <f t="shared" ref="AH20" si="19">SUM(AF20:AG20)</f>
        <v>7.3800744618885874</v>
      </c>
      <c r="AI20" s="104">
        <v>8</v>
      </c>
      <c r="AJ20" s="104">
        <v>14</v>
      </c>
      <c r="AK20" s="19"/>
    </row>
    <row r="21" spans="1:53" s="8" customFormat="1" ht="20" x14ac:dyDescent="0.2">
      <c r="B21" s="102" t="s">
        <v>1097</v>
      </c>
      <c r="C21" s="97"/>
      <c r="D21" s="19"/>
      <c r="E21" s="19"/>
      <c r="F21" s="19"/>
      <c r="G21" s="19"/>
      <c r="H21" s="19"/>
      <c r="I21" s="99"/>
      <c r="J21" s="33"/>
      <c r="K21" s="33"/>
      <c r="L21" s="33"/>
      <c r="M21" s="165"/>
      <c r="N21" s="104" t="s">
        <v>1067</v>
      </c>
      <c r="O21" s="51"/>
      <c r="P21" s="103">
        <v>1132</v>
      </c>
      <c r="Q21" s="103">
        <v>1132</v>
      </c>
      <c r="R21" s="103">
        <v>5100</v>
      </c>
      <c r="S21" s="103"/>
      <c r="T21" s="153"/>
      <c r="U21" s="165"/>
      <c r="V21" s="103"/>
      <c r="W21" s="103">
        <v>8000</v>
      </c>
      <c r="X21" s="69">
        <f t="shared" ref="X21" si="20">$X$1*W21</f>
        <v>141.6</v>
      </c>
      <c r="Y21" s="61">
        <f>((W21+X21)/AI21)*($Y$1+$Y$1^2+$Y$1^3+$Y$1^4+$Y$1^5+$Y$1^6+$Y$1^7+$Y$1^8)-(W21+X21)</f>
        <v>2062.4345080267085</v>
      </c>
      <c r="Z21" s="61">
        <f t="shared" ref="Z21" si="21">SUM(W21:Y21)</f>
        <v>10204.034508026709</v>
      </c>
      <c r="AA21" s="69">
        <f t="shared" ref="AA21" si="22">0.9539*Z21^0.6784</f>
        <v>500.09638865782358</v>
      </c>
      <c r="AB21" s="69">
        <f t="shared" ref="AB21" si="23">SUM(Z21:AA21)</f>
        <v>10704.130896684532</v>
      </c>
      <c r="AC21" s="69">
        <f t="shared" ref="AC21" si="24">(AB21*AB$1)/(1-(1+AB$1)^-AC$1)</f>
        <v>755.92066284234306</v>
      </c>
      <c r="AD21" s="69">
        <f t="shared" ref="AD21" si="25">AC21*1000/Q21</f>
        <v>667.77443713987907</v>
      </c>
      <c r="AE21" s="69">
        <f t="shared" ref="AE21" si="26">466484*P21^-0.542</f>
        <v>10319.341599148027</v>
      </c>
      <c r="AF21" s="69">
        <f t="shared" ref="AF21" si="27">14.07*(P21^-0.383)</f>
        <v>0.95207446188858713</v>
      </c>
      <c r="AG21" s="228">
        <v>6.4279999999999999</v>
      </c>
      <c r="AH21" s="61">
        <f t="shared" ref="AH21" si="28">SUM(AF21:AG21)</f>
        <v>7.3800744618885874</v>
      </c>
      <c r="AI21" s="104">
        <v>8</v>
      </c>
      <c r="AJ21" s="104">
        <v>14</v>
      </c>
      <c r="AK21" s="19"/>
    </row>
    <row r="22" spans="1:53" s="73" customFormat="1" ht="19" x14ac:dyDescent="0.25">
      <c r="A22" s="72"/>
      <c r="C22" s="98"/>
      <c r="F22" s="165"/>
      <c r="G22" s="165"/>
      <c r="H22" s="165"/>
      <c r="I22" s="98"/>
      <c r="K22" s="254"/>
      <c r="M22" s="165"/>
      <c r="O22" s="165"/>
      <c r="S22" s="193"/>
      <c r="T22" s="98"/>
      <c r="U22" s="165"/>
      <c r="V22" s="7"/>
      <c r="W22" s="7"/>
      <c r="X22" s="7"/>
      <c r="Y22" s="7"/>
      <c r="Z22" s="7"/>
      <c r="AA22" s="7"/>
      <c r="AB22" s="7"/>
      <c r="AC22" s="7"/>
      <c r="AD22" s="98"/>
      <c r="AF22" s="98"/>
      <c r="AH22" s="98"/>
    </row>
    <row r="23" spans="1:53" s="165" customFormat="1" ht="19" x14ac:dyDescent="0.25">
      <c r="A23" s="47" t="s">
        <v>1042</v>
      </c>
      <c r="K23" s="254"/>
      <c r="S23" s="193"/>
      <c r="V23" s="7"/>
      <c r="W23" s="7"/>
      <c r="X23" s="7"/>
      <c r="Y23" s="7"/>
      <c r="Z23" s="7"/>
      <c r="AA23" s="7"/>
      <c r="AB23" s="7"/>
      <c r="AC23" s="7"/>
    </row>
    <row r="24" spans="1:53" s="165" customFormat="1" ht="19" x14ac:dyDescent="0.25">
      <c r="A24" s="7" t="s">
        <v>1099</v>
      </c>
      <c r="K24" s="254"/>
      <c r="S24" s="193"/>
      <c r="V24" s="7"/>
      <c r="W24" s="7"/>
      <c r="X24" s="7"/>
      <c r="Y24" s="7"/>
      <c r="Z24" s="7"/>
      <c r="AA24" s="7"/>
      <c r="AB24" s="7"/>
      <c r="AC24" s="7"/>
    </row>
    <row r="25" spans="1:53" s="165" customFormat="1" ht="19" x14ac:dyDescent="0.25">
      <c r="A25" s="72"/>
      <c r="K25" s="254"/>
      <c r="S25" s="193"/>
      <c r="V25" s="7"/>
      <c r="W25" s="7"/>
      <c r="X25" s="7"/>
      <c r="Y25" s="7"/>
      <c r="Z25" s="7"/>
      <c r="AA25" s="7"/>
      <c r="AB25" s="7"/>
      <c r="AC25" s="7"/>
    </row>
    <row r="26" spans="1:53" s="165" customFormat="1" ht="19" x14ac:dyDescent="0.2">
      <c r="A26" s="47" t="s">
        <v>1039</v>
      </c>
      <c r="K26" s="254"/>
      <c r="S26" s="193"/>
    </row>
    <row r="27" spans="1:53" s="165" customFormat="1" ht="19" x14ac:dyDescent="0.25">
      <c r="A27" s="7" t="s">
        <v>1060</v>
      </c>
      <c r="K27" s="254"/>
      <c r="S27" s="193"/>
    </row>
    <row r="28" spans="1:53" s="165" customFormat="1" ht="19" x14ac:dyDescent="0.25">
      <c r="A28" s="7" t="s">
        <v>1055</v>
      </c>
      <c r="K28" s="254"/>
      <c r="S28" s="193"/>
    </row>
    <row r="29" spans="1:53" s="7" customFormat="1" ht="19" x14ac:dyDescent="0.25">
      <c r="A29" s="7" t="s">
        <v>1056</v>
      </c>
      <c r="B29" s="14"/>
      <c r="C29" s="14"/>
      <c r="D29" s="14"/>
      <c r="E29" s="14"/>
      <c r="F29" s="14"/>
      <c r="G29" s="14"/>
      <c r="H29" s="14"/>
      <c r="I29" s="14"/>
      <c r="J29" s="88"/>
      <c r="K29" s="88"/>
      <c r="L29" s="88"/>
      <c r="M29" s="165"/>
      <c r="N29" s="14"/>
      <c r="O29" s="14"/>
      <c r="P29" s="14"/>
      <c r="Q29" s="14"/>
      <c r="R29" s="14"/>
      <c r="S29" s="192"/>
      <c r="T29" s="14"/>
      <c r="U29" s="165"/>
      <c r="V29" s="14"/>
      <c r="W29" s="14"/>
      <c r="X29" s="14"/>
      <c r="Y29" s="14"/>
      <c r="Z29" s="14"/>
      <c r="AA29" s="70"/>
      <c r="AB29" s="70"/>
      <c r="AC29" s="70"/>
      <c r="AD29" s="70"/>
      <c r="AE29" s="70"/>
      <c r="AF29" s="70"/>
      <c r="AG29" s="70"/>
      <c r="AH29" s="70"/>
      <c r="AI29" s="165"/>
      <c r="AJ29" s="165"/>
      <c r="AK29" s="165"/>
      <c r="AL29" s="165"/>
      <c r="AM29" s="165"/>
      <c r="AN29" s="165"/>
      <c r="AO29" s="14"/>
      <c r="AP29" s="14"/>
      <c r="AQ29" s="14"/>
      <c r="AR29" s="14"/>
      <c r="AS29" s="14"/>
      <c r="AT29" s="14"/>
      <c r="AU29" s="14"/>
      <c r="AV29" s="14"/>
      <c r="AW29" s="14"/>
      <c r="AX29" s="14"/>
      <c r="AY29" s="14"/>
      <c r="AZ29" s="14"/>
      <c r="BA29" s="14"/>
    </row>
    <row r="30" spans="1:53" s="7" customFormat="1" ht="19" x14ac:dyDescent="0.25">
      <c r="A30" s="7" t="s">
        <v>1002</v>
      </c>
      <c r="B30" s="165"/>
      <c r="C30" s="165"/>
      <c r="M30" s="165"/>
      <c r="N30" s="10"/>
      <c r="O30" s="10"/>
      <c r="P30" s="10"/>
      <c r="Q30" s="14"/>
      <c r="U30" s="165"/>
      <c r="W30" s="165"/>
      <c r="X30" s="165"/>
      <c r="Y30" s="165"/>
      <c r="Z30" s="165"/>
      <c r="AA30" s="165"/>
      <c r="AB30" s="165"/>
      <c r="AC30" s="165"/>
      <c r="AD30" s="165"/>
      <c r="AE30" s="165"/>
    </row>
    <row r="31" spans="1:53" s="7" customFormat="1" ht="19" x14ac:dyDescent="0.25">
      <c r="A31" s="7" t="s">
        <v>1057</v>
      </c>
      <c r="B31" s="165"/>
      <c r="C31" s="165"/>
      <c r="M31" s="165"/>
      <c r="N31" s="10"/>
      <c r="O31" s="10"/>
      <c r="P31" s="14"/>
      <c r="U31" s="165"/>
      <c r="V31" s="165"/>
      <c r="W31" s="165"/>
      <c r="X31" s="165"/>
      <c r="Y31" s="165"/>
      <c r="Z31" s="165"/>
      <c r="AA31" s="165"/>
      <c r="AB31" s="165"/>
      <c r="AC31" s="165"/>
      <c r="AI31" s="165"/>
      <c r="AJ31" s="165"/>
      <c r="AK31" s="165"/>
      <c r="AL31" s="165"/>
      <c r="AM31" s="165"/>
      <c r="AN31" s="165"/>
    </row>
    <row r="32" spans="1:53" s="7" customFormat="1" ht="19" x14ac:dyDescent="0.25">
      <c r="A32" s="7" t="s">
        <v>744</v>
      </c>
      <c r="B32" s="165"/>
      <c r="E32" s="165"/>
      <c r="F32" s="165"/>
      <c r="G32" s="165"/>
      <c r="H32" s="165"/>
      <c r="J32" s="23"/>
      <c r="K32" s="23"/>
      <c r="L32" s="14"/>
      <c r="M32" s="165"/>
      <c r="T32" s="165"/>
      <c r="U32" s="165"/>
      <c r="V32" s="165"/>
      <c r="W32" s="165"/>
      <c r="X32" s="165"/>
      <c r="Z32" s="165"/>
      <c r="AA32" s="165"/>
    </row>
    <row r="33" spans="1:67" s="7" customFormat="1" ht="19" x14ac:dyDescent="0.25">
      <c r="A33" s="7" t="s">
        <v>1015</v>
      </c>
      <c r="B33" s="165"/>
      <c r="C33" s="165"/>
      <c r="M33" s="165"/>
      <c r="N33" s="10"/>
      <c r="O33" s="10"/>
      <c r="P33" s="10"/>
      <c r="Q33" s="14"/>
      <c r="U33" s="165"/>
      <c r="W33" s="165"/>
      <c r="X33" s="165"/>
      <c r="Y33" s="165"/>
      <c r="Z33" s="165"/>
      <c r="AA33" s="165"/>
      <c r="AB33" s="165"/>
      <c r="AC33" s="165"/>
      <c r="AD33" s="165"/>
      <c r="AL33" s="165"/>
    </row>
    <row r="34" spans="1:67" s="7" customFormat="1" ht="19" x14ac:dyDescent="0.25">
      <c r="A34" s="7" t="s">
        <v>1058</v>
      </c>
      <c r="B34" s="165"/>
      <c r="E34" s="165"/>
      <c r="F34" s="165"/>
      <c r="G34" s="165"/>
      <c r="H34" s="165"/>
      <c r="J34" s="23"/>
      <c r="K34" s="23"/>
      <c r="L34" s="14"/>
      <c r="M34" s="165"/>
      <c r="T34" s="165"/>
      <c r="U34" s="165"/>
      <c r="V34" s="165"/>
      <c r="W34" s="165"/>
      <c r="X34" s="165"/>
      <c r="Z34" s="165"/>
      <c r="AA34" s="165"/>
    </row>
    <row r="35" spans="1:67" s="7" customFormat="1" ht="19" x14ac:dyDescent="0.25">
      <c r="A35" s="7" t="s">
        <v>1059</v>
      </c>
      <c r="B35" s="165"/>
      <c r="E35" s="165"/>
      <c r="F35" s="165"/>
      <c r="G35" s="165"/>
      <c r="H35" s="165"/>
      <c r="J35" s="23"/>
      <c r="K35" s="23"/>
      <c r="L35" s="14"/>
      <c r="M35" s="165"/>
      <c r="T35" s="165"/>
      <c r="U35" s="165"/>
      <c r="V35" s="165"/>
      <c r="W35" s="165"/>
      <c r="X35" s="165"/>
      <c r="Z35" s="165"/>
      <c r="AA35" s="165"/>
    </row>
    <row r="36" spans="1:67" s="7" customFormat="1" ht="19" x14ac:dyDescent="0.25">
      <c r="A36" s="7" t="s">
        <v>1014</v>
      </c>
      <c r="M36" s="165"/>
      <c r="P36" s="23"/>
      <c r="Q36" s="10"/>
      <c r="R36" s="14"/>
      <c r="S36" s="192"/>
      <c r="U36" s="165"/>
      <c r="Y36" s="165"/>
      <c r="Z36" s="165"/>
      <c r="AA36" s="165"/>
      <c r="AB36" s="165"/>
      <c r="AC36" s="165"/>
      <c r="AI36" s="59"/>
      <c r="AJ36" s="165"/>
      <c r="AK36" s="165"/>
      <c r="AL36" s="165"/>
      <c r="AM36" s="165"/>
      <c r="AN36" s="25"/>
      <c r="AO36" s="165"/>
      <c r="AU36" s="59"/>
      <c r="AV36" s="165"/>
      <c r="AW36" s="165"/>
      <c r="AX36" s="165"/>
      <c r="AY36" s="165"/>
      <c r="AZ36" s="25"/>
      <c r="BA36" s="165"/>
      <c r="BB36" s="165"/>
      <c r="BH36" s="59"/>
      <c r="BI36" s="165"/>
      <c r="BJ36" s="165"/>
      <c r="BK36" s="165"/>
      <c r="BL36" s="165"/>
      <c r="BM36" s="25"/>
      <c r="BN36" s="165"/>
      <c r="BO36" s="165"/>
    </row>
    <row r="37" spans="1:67" s="7" customFormat="1" ht="19" x14ac:dyDescent="0.25">
      <c r="M37" s="165"/>
      <c r="N37" s="10"/>
      <c r="O37" s="10"/>
      <c r="P37" s="14"/>
      <c r="U37" s="165"/>
      <c r="V37" s="73"/>
      <c r="W37" s="73"/>
      <c r="X37" s="73"/>
      <c r="Y37" s="73"/>
      <c r="Z37" s="73"/>
      <c r="AA37" s="73"/>
      <c r="AB37" s="73"/>
      <c r="AC37" s="98"/>
      <c r="AD37" s="98"/>
    </row>
  </sheetData>
  <autoFilter ref="B3:AK3" xr:uid="{7B98F35A-5089-804D-96F4-CB2B682097CF}">
    <sortState xmlns:xlrd2="http://schemas.microsoft.com/office/spreadsheetml/2017/richdata2" ref="B4:AK17">
      <sortCondition ref="B3:B17"/>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91170-A1E0-2741-9FD2-046F7103DF78}">
  <sheetPr codeName="Sheet8"/>
  <dimension ref="A1:AY1164"/>
  <sheetViews>
    <sheetView zoomScaleNormal="100" workbookViewId="0">
      <pane xSplit="3" ySplit="3" topLeftCell="L781" activePane="bottomRight" state="frozen"/>
      <selection pane="topRight" activeCell="E1" sqref="E1"/>
      <selection pane="bottomLeft" activeCell="A4" sqref="A4"/>
      <selection pane="bottomRight" activeCell="B1154" sqref="B1154"/>
    </sheetView>
  </sheetViews>
  <sheetFormatPr baseColWidth="10" defaultRowHeight="16" x14ac:dyDescent="0.2"/>
  <cols>
    <col min="1" max="1" width="4.83203125" style="29" customWidth="1"/>
    <col min="2" max="2" width="40.83203125" style="40" customWidth="1"/>
    <col min="3" max="3" width="24.83203125" style="41" customWidth="1"/>
    <col min="4" max="4" width="24.6640625" style="41" customWidth="1"/>
    <col min="5" max="5" width="12.83203125" style="37" customWidth="1"/>
    <col min="6" max="6" width="12.83203125" style="38" customWidth="1"/>
    <col min="7" max="8" width="10.83203125" style="39" customWidth="1"/>
    <col min="9" max="9" width="12.83203125" style="40" customWidth="1"/>
    <col min="10" max="10" width="14.83203125" style="41" customWidth="1"/>
    <col min="11" max="11" width="20.83203125" style="178" customWidth="1"/>
    <col min="12" max="12" width="12.83203125" style="40" customWidth="1"/>
    <col min="13" max="15" width="12.83203125" style="41" customWidth="1"/>
    <col min="16" max="18" width="14.83203125" style="41" customWidth="1"/>
    <col min="19" max="19" width="60.83203125" style="193" customWidth="1"/>
    <col min="20" max="20" width="20.83203125" style="90" customWidth="1"/>
    <col min="21" max="21" width="60.83203125" style="193" customWidth="1"/>
    <col min="22" max="22" width="20.83203125" style="90" customWidth="1"/>
    <col min="23" max="23" width="80.83203125" style="90" customWidth="1"/>
    <col min="24" max="24" width="80.83203125" style="183" customWidth="1"/>
    <col min="25" max="25" width="14.83203125" style="183" customWidth="1"/>
    <col min="26" max="26" width="15" style="29" customWidth="1"/>
    <col min="27" max="27" width="10.83203125" style="36"/>
    <col min="28" max="28" width="17" style="29" customWidth="1"/>
    <col min="29" max="31" width="17" style="36" customWidth="1"/>
    <col min="32" max="16384" width="10.83203125" style="29"/>
  </cols>
  <sheetData>
    <row r="1" spans="1:25" s="7" customFormat="1" ht="21" x14ac:dyDescent="0.25">
      <c r="A1" s="46" t="s">
        <v>102</v>
      </c>
      <c r="B1" s="20" t="s">
        <v>85</v>
      </c>
      <c r="C1" s="36"/>
      <c r="D1" s="254"/>
      <c r="F1" s="39"/>
      <c r="G1" s="40"/>
      <c r="H1" s="41"/>
      <c r="I1" s="40"/>
      <c r="J1" s="41"/>
      <c r="K1" s="41"/>
      <c r="L1" s="40"/>
      <c r="M1" s="41"/>
      <c r="N1" s="41"/>
      <c r="O1" s="41"/>
      <c r="P1" s="41"/>
      <c r="Q1" s="41"/>
      <c r="R1" s="41"/>
      <c r="S1" s="90"/>
      <c r="T1" s="90"/>
      <c r="U1" s="193"/>
      <c r="V1" s="90"/>
      <c r="W1" s="90"/>
      <c r="X1" s="181"/>
      <c r="Y1" s="181"/>
    </row>
    <row r="2" spans="1:25" s="58" customFormat="1" ht="40" x14ac:dyDescent="0.2">
      <c r="B2" s="21" t="s">
        <v>62</v>
      </c>
      <c r="C2" s="21" t="s">
        <v>13</v>
      </c>
      <c r="D2" s="21" t="s">
        <v>2945</v>
      </c>
      <c r="E2" s="21" t="s">
        <v>61</v>
      </c>
      <c r="F2" s="21" t="s">
        <v>1969</v>
      </c>
      <c r="G2" s="21" t="s">
        <v>41</v>
      </c>
      <c r="H2" s="21" t="s">
        <v>41</v>
      </c>
      <c r="I2" s="21" t="s">
        <v>40</v>
      </c>
      <c r="J2" s="21" t="s">
        <v>1973</v>
      </c>
      <c r="K2" s="21" t="s">
        <v>2866</v>
      </c>
      <c r="L2" s="21" t="s">
        <v>1126</v>
      </c>
      <c r="M2" s="21" t="s">
        <v>1127</v>
      </c>
      <c r="N2" s="21" t="s">
        <v>1972</v>
      </c>
      <c r="O2" s="21" t="s">
        <v>1971</v>
      </c>
      <c r="P2" s="21" t="s">
        <v>1131</v>
      </c>
      <c r="Q2" s="21" t="s">
        <v>2029</v>
      </c>
      <c r="R2" s="21" t="s">
        <v>2028</v>
      </c>
      <c r="S2" s="21" t="s">
        <v>2021</v>
      </c>
      <c r="T2" s="21" t="s">
        <v>2022</v>
      </c>
      <c r="U2" s="21" t="s">
        <v>2622</v>
      </c>
      <c r="V2" s="21" t="s">
        <v>2848</v>
      </c>
      <c r="W2" s="21" t="s">
        <v>1100</v>
      </c>
      <c r="X2" s="21" t="s">
        <v>45</v>
      </c>
      <c r="Y2" s="21" t="s">
        <v>1970</v>
      </c>
    </row>
    <row r="3" spans="1:25" s="6" customFormat="1" ht="20" x14ac:dyDescent="0.2">
      <c r="B3" s="18"/>
      <c r="C3" s="18"/>
      <c r="D3" s="18"/>
      <c r="E3" s="18"/>
      <c r="F3" s="18" t="s">
        <v>63</v>
      </c>
      <c r="G3" s="18" t="s">
        <v>66</v>
      </c>
      <c r="H3" s="18" t="s">
        <v>2858</v>
      </c>
      <c r="I3" s="18" t="s">
        <v>64</v>
      </c>
      <c r="J3" s="18" t="s">
        <v>2887</v>
      </c>
      <c r="K3" s="50"/>
      <c r="L3" s="18" t="s">
        <v>65</v>
      </c>
      <c r="M3" s="18" t="s">
        <v>65</v>
      </c>
      <c r="N3" s="18" t="s">
        <v>2030</v>
      </c>
      <c r="O3" s="18" t="s">
        <v>2030</v>
      </c>
      <c r="P3" s="50"/>
      <c r="Q3" s="18" t="s">
        <v>17</v>
      </c>
      <c r="R3" s="18" t="s">
        <v>17</v>
      </c>
      <c r="S3" s="193"/>
      <c r="T3" s="90"/>
      <c r="U3" s="193"/>
      <c r="V3" s="90"/>
      <c r="W3" s="90"/>
      <c r="X3" s="182"/>
      <c r="Y3" s="182"/>
    </row>
    <row r="4" spans="1:25" s="117" customFormat="1" ht="20" x14ac:dyDescent="0.2">
      <c r="B4" s="150" t="s">
        <v>610</v>
      </c>
      <c r="C4" s="33" t="s">
        <v>106</v>
      </c>
      <c r="D4" s="33" t="s">
        <v>2876</v>
      </c>
      <c r="E4" s="175">
        <v>1</v>
      </c>
      <c r="F4" s="151" t="s">
        <v>1128</v>
      </c>
      <c r="G4" s="152">
        <v>75</v>
      </c>
      <c r="H4" s="152">
        <v>46.296296296296291</v>
      </c>
      <c r="I4" s="175">
        <v>230</v>
      </c>
      <c r="J4" s="266">
        <f>_xlfn.XLOOKUP($I4,Inputs!$C$6:$C$23,Inputs!$D$6:$D$23)*$G4</f>
        <v>36</v>
      </c>
      <c r="K4" s="255"/>
      <c r="L4" s="186">
        <v>1053</v>
      </c>
      <c r="M4" s="186">
        <v>1277</v>
      </c>
      <c r="N4" s="99">
        <f t="shared" ref="N4:N35" si="0">(SQRT(3)*L4*$I4)/1000</f>
        <v>419.48538508510637</v>
      </c>
      <c r="O4" s="99">
        <f t="shared" ref="O4:O35" si="1">(SQRT(3)*M4*$I4)/1000</f>
        <v>508.72064269105499</v>
      </c>
      <c r="P4" s="131">
        <v>0.9</v>
      </c>
      <c r="Q4" s="186">
        <f>N4*$P4</f>
        <v>377.53684657659574</v>
      </c>
      <c r="R4" s="186">
        <f>O4*$P4</f>
        <v>457.84857842194953</v>
      </c>
      <c r="S4" s="151" t="s">
        <v>1815</v>
      </c>
      <c r="T4" s="51" t="s">
        <v>3297</v>
      </c>
      <c r="U4" s="151" t="s">
        <v>1561</v>
      </c>
      <c r="V4" s="51" t="s">
        <v>3213</v>
      </c>
      <c r="W4" s="19"/>
      <c r="X4" s="19"/>
      <c r="Y4" s="99">
        <v>466</v>
      </c>
    </row>
    <row r="5" spans="1:25" s="13" customFormat="1" ht="20" x14ac:dyDescent="0.2">
      <c r="B5" s="150" t="s">
        <v>1442</v>
      </c>
      <c r="C5" s="33" t="s">
        <v>106</v>
      </c>
      <c r="D5" s="33" t="s">
        <v>2876</v>
      </c>
      <c r="E5" s="175">
        <v>1</v>
      </c>
      <c r="F5" s="151" t="s">
        <v>1128</v>
      </c>
      <c r="G5" s="152">
        <v>0.76672590000000007</v>
      </c>
      <c r="H5" s="152">
        <v>0.47328759259259262</v>
      </c>
      <c r="I5" s="175">
        <v>138</v>
      </c>
      <c r="J5" s="266">
        <f>_xlfn.XLOOKUP($I5,Inputs!$C$6:$C$23,Inputs!$D$6:$D$23)*$G5</f>
        <v>0.33243044378571435</v>
      </c>
      <c r="K5" s="267">
        <f>IF((42.4*(H5)^(-0.6595))&gt;=3,3,(IF(42.4*(H5)^(-0.6595)&lt;=0.5,0.5,(42.4*(H5)^(-0.6595)))))</f>
        <v>3</v>
      </c>
      <c r="L5" s="99"/>
      <c r="M5" s="99"/>
      <c r="N5" s="99">
        <f t="shared" si="0"/>
        <v>0</v>
      </c>
      <c r="O5" s="99">
        <f t="shared" si="1"/>
        <v>0</v>
      </c>
      <c r="P5" s="131">
        <v>0.9</v>
      </c>
      <c r="Q5" s="305">
        <f>_xlfn.XLOOKUP($I5,Inputs!$G$6:$G$23,Inputs!J$6:J$23)*$K5</f>
        <v>141</v>
      </c>
      <c r="R5" s="305">
        <f>_xlfn.XLOOKUP($I5,Inputs!$G$6:$G$23,Inputs!K$6:K$23)*$K5</f>
        <v>156</v>
      </c>
      <c r="S5" s="151" t="s">
        <v>2439</v>
      </c>
      <c r="T5" s="51" t="s">
        <v>2090</v>
      </c>
      <c r="U5" s="151" t="s">
        <v>1562</v>
      </c>
      <c r="V5" s="51" t="s">
        <v>3359</v>
      </c>
      <c r="W5" s="19"/>
      <c r="X5" s="19"/>
      <c r="Y5" s="99">
        <v>231</v>
      </c>
    </row>
    <row r="6" spans="1:25" s="13" customFormat="1" ht="20" x14ac:dyDescent="0.2">
      <c r="B6" s="150" t="s">
        <v>481</v>
      </c>
      <c r="C6" s="33" t="s">
        <v>106</v>
      </c>
      <c r="D6" s="33" t="s">
        <v>2876</v>
      </c>
      <c r="E6" s="175">
        <v>1</v>
      </c>
      <c r="F6" s="151" t="s">
        <v>1128</v>
      </c>
      <c r="G6" s="152">
        <v>25.42</v>
      </c>
      <c r="H6" s="152">
        <v>15.691358024691358</v>
      </c>
      <c r="I6" s="175">
        <v>138</v>
      </c>
      <c r="J6" s="266">
        <f>_xlfn.XLOOKUP($I6,Inputs!$C$6:$C$23,Inputs!$D$6:$D$23)*$G6</f>
        <v>11.021385714285715</v>
      </c>
      <c r="K6" s="255"/>
      <c r="L6" s="186">
        <v>1076</v>
      </c>
      <c r="M6" s="186">
        <v>1351</v>
      </c>
      <c r="N6" s="99">
        <f t="shared" si="0"/>
        <v>257.18876031428744</v>
      </c>
      <c r="O6" s="99">
        <f t="shared" si="1"/>
        <v>322.92008846152635</v>
      </c>
      <c r="P6" s="131">
        <v>0.9</v>
      </c>
      <c r="Q6" s="186">
        <f t="shared" ref="Q6:Q14" si="2">N6*$P6</f>
        <v>231.46988428285869</v>
      </c>
      <c r="R6" s="186">
        <f t="shared" ref="R6:R14" si="3">O6*$P6</f>
        <v>290.62807961537374</v>
      </c>
      <c r="S6" s="151" t="s">
        <v>2438</v>
      </c>
      <c r="T6" s="51" t="s">
        <v>2091</v>
      </c>
      <c r="U6" s="151" t="s">
        <v>2439</v>
      </c>
      <c r="V6" s="51" t="s">
        <v>2090</v>
      </c>
      <c r="W6" s="19"/>
      <c r="X6" s="19"/>
      <c r="Y6" s="99">
        <v>230</v>
      </c>
    </row>
    <row r="7" spans="1:25" s="13" customFormat="1" ht="20" x14ac:dyDescent="0.2">
      <c r="B7" s="150" t="s">
        <v>1202</v>
      </c>
      <c r="C7" s="33" t="s">
        <v>106</v>
      </c>
      <c r="D7" s="33" t="s">
        <v>2876</v>
      </c>
      <c r="E7" s="175">
        <v>1</v>
      </c>
      <c r="F7" s="151" t="s">
        <v>1128</v>
      </c>
      <c r="G7" s="152">
        <v>2.04</v>
      </c>
      <c r="H7" s="152">
        <v>1.2592592592592593</v>
      </c>
      <c r="I7" s="175">
        <v>69</v>
      </c>
      <c r="J7" s="266">
        <f>_xlfn.XLOOKUP($I7,Inputs!$C$6:$C$23,Inputs!$D$6:$D$23)*$G7</f>
        <v>0.78394285714285716</v>
      </c>
      <c r="K7" s="255"/>
      <c r="L7" s="186">
        <v>730</v>
      </c>
      <c r="M7" s="186">
        <v>940</v>
      </c>
      <c r="N7" s="99">
        <f t="shared" si="0"/>
        <v>87.243399177244342</v>
      </c>
      <c r="O7" s="99">
        <f t="shared" si="1"/>
        <v>112.34081537891738</v>
      </c>
      <c r="P7" s="131">
        <v>0.9</v>
      </c>
      <c r="Q7" s="186">
        <f t="shared" si="2"/>
        <v>78.519059259519906</v>
      </c>
      <c r="R7" s="186">
        <f t="shared" si="3"/>
        <v>101.10673384102564</v>
      </c>
      <c r="S7" s="151" t="s">
        <v>2508</v>
      </c>
      <c r="T7" s="51" t="s">
        <v>2166</v>
      </c>
      <c r="U7" s="151" t="s">
        <v>1563</v>
      </c>
      <c r="V7" s="51" t="s">
        <v>3524</v>
      </c>
      <c r="W7" s="19"/>
      <c r="X7" s="19"/>
      <c r="Y7" s="99">
        <v>675</v>
      </c>
    </row>
    <row r="8" spans="1:25" s="13" customFormat="1" ht="20" x14ac:dyDescent="0.2">
      <c r="B8" s="150" t="s">
        <v>1205</v>
      </c>
      <c r="C8" s="33" t="s">
        <v>106</v>
      </c>
      <c r="D8" s="33" t="s">
        <v>2876</v>
      </c>
      <c r="E8" s="175">
        <v>1</v>
      </c>
      <c r="F8" s="151" t="s">
        <v>1128</v>
      </c>
      <c r="G8" s="152">
        <v>2.04</v>
      </c>
      <c r="H8" s="152">
        <v>1.2592592592592593</v>
      </c>
      <c r="I8" s="175">
        <v>69</v>
      </c>
      <c r="J8" s="266">
        <f>_xlfn.XLOOKUP($I8,Inputs!$C$6:$C$23,Inputs!$D$6:$D$23)*$G8</f>
        <v>0.78394285714285716</v>
      </c>
      <c r="K8" s="255"/>
      <c r="L8" s="186">
        <v>750</v>
      </c>
      <c r="M8" s="186">
        <v>960</v>
      </c>
      <c r="N8" s="99">
        <f t="shared" si="0"/>
        <v>89.633629291689402</v>
      </c>
      <c r="O8" s="99">
        <f t="shared" si="1"/>
        <v>114.73104549336242</v>
      </c>
      <c r="P8" s="131">
        <v>0.9</v>
      </c>
      <c r="Q8" s="186">
        <f t="shared" si="2"/>
        <v>80.670266362520465</v>
      </c>
      <c r="R8" s="186">
        <f t="shared" si="3"/>
        <v>103.25794094402617</v>
      </c>
      <c r="S8" s="151" t="s">
        <v>2508</v>
      </c>
      <c r="T8" s="51" t="s">
        <v>2166</v>
      </c>
      <c r="U8" s="151" t="s">
        <v>1563</v>
      </c>
      <c r="V8" s="51" t="s">
        <v>3524</v>
      </c>
      <c r="W8" s="19"/>
      <c r="X8" s="19"/>
      <c r="Y8" s="99">
        <v>680</v>
      </c>
    </row>
    <row r="9" spans="1:25" s="13" customFormat="1" ht="20" x14ac:dyDescent="0.2">
      <c r="B9" s="150" t="s">
        <v>1318</v>
      </c>
      <c r="C9" s="33" t="s">
        <v>106</v>
      </c>
      <c r="D9" s="33" t="s">
        <v>2876</v>
      </c>
      <c r="E9" s="175">
        <v>1</v>
      </c>
      <c r="F9" s="151" t="s">
        <v>1128</v>
      </c>
      <c r="G9" s="152">
        <v>1</v>
      </c>
      <c r="H9" s="152">
        <v>0.61728395061728392</v>
      </c>
      <c r="I9" s="175">
        <v>69</v>
      </c>
      <c r="J9" s="266">
        <f>_xlfn.XLOOKUP($I9,Inputs!$C$6:$C$23,Inputs!$D$6:$D$23)*$G9</f>
        <v>0.38428571428571429</v>
      </c>
      <c r="K9" s="255"/>
      <c r="L9" s="186">
        <v>265</v>
      </c>
      <c r="M9" s="186">
        <v>488</v>
      </c>
      <c r="N9" s="99">
        <f t="shared" si="0"/>
        <v>31.670549016396919</v>
      </c>
      <c r="O9" s="99">
        <f t="shared" si="1"/>
        <v>58.321614792459229</v>
      </c>
      <c r="P9" s="131">
        <v>0.9</v>
      </c>
      <c r="Q9" s="186">
        <f t="shared" si="2"/>
        <v>28.503494114757228</v>
      </c>
      <c r="R9" s="186">
        <f t="shared" si="3"/>
        <v>52.489453313213311</v>
      </c>
      <c r="S9" s="151" t="s">
        <v>2563</v>
      </c>
      <c r="T9" s="51" t="s">
        <v>2220</v>
      </c>
      <c r="U9" s="151" t="s">
        <v>1564</v>
      </c>
      <c r="V9" s="51" t="s">
        <v>3087</v>
      </c>
      <c r="W9" s="19"/>
      <c r="X9" s="19"/>
      <c r="Y9" s="99">
        <v>877</v>
      </c>
    </row>
    <row r="10" spans="1:25" s="13" customFormat="1" ht="20" x14ac:dyDescent="0.2">
      <c r="B10" s="150" t="s">
        <v>1318</v>
      </c>
      <c r="C10" s="33" t="s">
        <v>106</v>
      </c>
      <c r="D10" s="33" t="s">
        <v>2876</v>
      </c>
      <c r="E10" s="175">
        <v>1</v>
      </c>
      <c r="F10" s="151" t="s">
        <v>1128</v>
      </c>
      <c r="G10" s="152">
        <v>1</v>
      </c>
      <c r="H10" s="152">
        <v>0.61728395061728392</v>
      </c>
      <c r="I10" s="175">
        <v>69</v>
      </c>
      <c r="J10" s="266">
        <f>_xlfn.XLOOKUP($I10,Inputs!$C$6:$C$23,Inputs!$D$6:$D$23)*$G10</f>
        <v>0.38428571428571429</v>
      </c>
      <c r="K10" s="255"/>
      <c r="L10" s="186">
        <v>265</v>
      </c>
      <c r="M10" s="186">
        <v>488</v>
      </c>
      <c r="N10" s="99">
        <f t="shared" si="0"/>
        <v>31.670549016396919</v>
      </c>
      <c r="O10" s="99">
        <f t="shared" si="1"/>
        <v>58.321614792459229</v>
      </c>
      <c r="P10" s="131">
        <v>0.9</v>
      </c>
      <c r="Q10" s="186">
        <f t="shared" si="2"/>
        <v>28.503494114757228</v>
      </c>
      <c r="R10" s="186">
        <f t="shared" si="3"/>
        <v>52.489453313213311</v>
      </c>
      <c r="S10" s="151" t="s">
        <v>2626</v>
      </c>
      <c r="T10" s="51" t="s">
        <v>2222</v>
      </c>
      <c r="U10" s="151" t="s">
        <v>2563</v>
      </c>
      <c r="V10" s="51" t="s">
        <v>2220</v>
      </c>
      <c r="W10" s="19"/>
      <c r="X10" s="19"/>
      <c r="Y10" s="99">
        <v>876</v>
      </c>
    </row>
    <row r="11" spans="1:25" s="13" customFormat="1" ht="20" x14ac:dyDescent="0.2">
      <c r="B11" s="150" t="s">
        <v>1322</v>
      </c>
      <c r="C11" s="33" t="s">
        <v>106</v>
      </c>
      <c r="D11" s="33" t="s">
        <v>2876</v>
      </c>
      <c r="E11" s="175">
        <v>1</v>
      </c>
      <c r="F11" s="151" t="s">
        <v>1128</v>
      </c>
      <c r="G11" s="152">
        <v>32.087159399999997</v>
      </c>
      <c r="H11" s="152">
        <v>19.806888518518516</v>
      </c>
      <c r="I11" s="175">
        <v>69</v>
      </c>
      <c r="J11" s="266">
        <f>_xlfn.XLOOKUP($I11,Inputs!$C$6:$C$23,Inputs!$D$6:$D$23)*$G11</f>
        <v>12.33063696942857</v>
      </c>
      <c r="K11" s="255"/>
      <c r="L11" s="186">
        <v>265</v>
      </c>
      <c r="M11" s="186">
        <v>488</v>
      </c>
      <c r="N11" s="99">
        <f t="shared" si="0"/>
        <v>31.670549016396919</v>
      </c>
      <c r="O11" s="99">
        <f t="shared" si="1"/>
        <v>58.321614792459229</v>
      </c>
      <c r="P11" s="131">
        <v>0.9</v>
      </c>
      <c r="Q11" s="186">
        <f t="shared" si="2"/>
        <v>28.503494114757228</v>
      </c>
      <c r="R11" s="186">
        <f t="shared" si="3"/>
        <v>52.489453313213311</v>
      </c>
      <c r="S11" s="151" t="s">
        <v>2566</v>
      </c>
      <c r="T11" s="51" t="s">
        <v>2225</v>
      </c>
      <c r="U11" s="151" t="s">
        <v>2563</v>
      </c>
      <c r="V11" s="51" t="s">
        <v>2220</v>
      </c>
      <c r="W11" s="19"/>
      <c r="X11" s="19"/>
      <c r="Y11" s="99">
        <v>886</v>
      </c>
    </row>
    <row r="12" spans="1:25" s="13" customFormat="1" ht="20" x14ac:dyDescent="0.2">
      <c r="B12" s="150" t="s">
        <v>665</v>
      </c>
      <c r="C12" s="33" t="s">
        <v>106</v>
      </c>
      <c r="D12" s="33" t="s">
        <v>2876</v>
      </c>
      <c r="E12" s="175">
        <v>1</v>
      </c>
      <c r="F12" s="151" t="s">
        <v>1128</v>
      </c>
      <c r="G12" s="152">
        <v>83.696084400000004</v>
      </c>
      <c r="H12" s="152">
        <v>51.66424962962963</v>
      </c>
      <c r="I12" s="175">
        <v>500</v>
      </c>
      <c r="J12" s="266">
        <f>_xlfn.XLOOKUP($I12,Inputs!$C$6:$C$23,Inputs!$D$6:$D$23)*$G12</f>
        <v>33.059953338</v>
      </c>
      <c r="K12" s="255"/>
      <c r="L12" s="186">
        <v>2870</v>
      </c>
      <c r="M12" s="186">
        <v>3302</v>
      </c>
      <c r="N12" s="99">
        <f t="shared" si="0"/>
        <v>2485.4929088613389</v>
      </c>
      <c r="O12" s="99">
        <f t="shared" si="1"/>
        <v>2859.6158832962165</v>
      </c>
      <c r="P12" s="131">
        <v>0.9</v>
      </c>
      <c r="Q12" s="186">
        <f t="shared" si="2"/>
        <v>2236.9436179752051</v>
      </c>
      <c r="R12" s="186">
        <f t="shared" si="3"/>
        <v>2573.654294966595</v>
      </c>
      <c r="S12" s="151" t="s">
        <v>1855</v>
      </c>
      <c r="T12" s="51" t="s">
        <v>3152</v>
      </c>
      <c r="U12" s="151" t="s">
        <v>1565</v>
      </c>
      <c r="V12" s="51" t="s">
        <v>3206</v>
      </c>
      <c r="W12" s="19"/>
      <c r="X12" s="19"/>
      <c r="Y12" s="99">
        <v>541</v>
      </c>
    </row>
    <row r="13" spans="1:25" s="13" customFormat="1" ht="20" x14ac:dyDescent="0.2">
      <c r="B13" s="150" t="s">
        <v>667</v>
      </c>
      <c r="C13" s="33" t="s">
        <v>106</v>
      </c>
      <c r="D13" s="33" t="s">
        <v>2876</v>
      </c>
      <c r="E13" s="175">
        <v>1</v>
      </c>
      <c r="F13" s="151" t="s">
        <v>1128</v>
      </c>
      <c r="G13" s="152">
        <v>83.731546600000001</v>
      </c>
      <c r="H13" s="152">
        <v>51.686139876543209</v>
      </c>
      <c r="I13" s="175">
        <v>500</v>
      </c>
      <c r="J13" s="266">
        <f>_xlfn.XLOOKUP($I13,Inputs!$C$6:$C$23,Inputs!$D$6:$D$23)*$G13</f>
        <v>33.073960907</v>
      </c>
      <c r="K13" s="255"/>
      <c r="L13" s="186">
        <v>2265</v>
      </c>
      <c r="M13" s="186">
        <v>3302</v>
      </c>
      <c r="N13" s="99">
        <f t="shared" si="0"/>
        <v>1961.5475395717535</v>
      </c>
      <c r="O13" s="99">
        <f t="shared" si="1"/>
        <v>2859.6158832962165</v>
      </c>
      <c r="P13" s="131">
        <v>0.9</v>
      </c>
      <c r="Q13" s="186">
        <f t="shared" si="2"/>
        <v>1765.3927856145783</v>
      </c>
      <c r="R13" s="186">
        <f t="shared" si="3"/>
        <v>2573.654294966595</v>
      </c>
      <c r="S13" s="151" t="s">
        <v>1855</v>
      </c>
      <c r="T13" s="51" t="s">
        <v>3152</v>
      </c>
      <c r="U13" s="151" t="s">
        <v>1565</v>
      </c>
      <c r="V13" s="51" t="s">
        <v>3206</v>
      </c>
      <c r="W13" s="19"/>
      <c r="X13" s="19"/>
      <c r="Y13" s="99">
        <v>543</v>
      </c>
    </row>
    <row r="14" spans="1:25" s="13" customFormat="1" ht="20" x14ac:dyDescent="0.2">
      <c r="B14" s="150" t="s">
        <v>673</v>
      </c>
      <c r="C14" s="33" t="s">
        <v>106</v>
      </c>
      <c r="D14" s="33" t="s">
        <v>2876</v>
      </c>
      <c r="E14" s="175">
        <v>1</v>
      </c>
      <c r="F14" s="151" t="s">
        <v>1128</v>
      </c>
      <c r="G14" s="152">
        <v>223.06163860000001</v>
      </c>
      <c r="H14" s="152">
        <v>137.69236950617284</v>
      </c>
      <c r="I14" s="175">
        <v>500</v>
      </c>
      <c r="J14" s="266">
        <f>_xlfn.XLOOKUP($I14,Inputs!$C$6:$C$23,Inputs!$D$6:$D$23)*$G14</f>
        <v>88.109347247000002</v>
      </c>
      <c r="K14" s="255"/>
      <c r="L14" s="186">
        <v>2369</v>
      </c>
      <c r="M14" s="186">
        <v>3344</v>
      </c>
      <c r="N14" s="99">
        <f t="shared" si="0"/>
        <v>2051.614181565335</v>
      </c>
      <c r="O14" s="99">
        <f t="shared" si="1"/>
        <v>2895.9889502551628</v>
      </c>
      <c r="P14" s="131">
        <v>0.9</v>
      </c>
      <c r="Q14" s="186">
        <f t="shared" si="2"/>
        <v>1846.4527634088015</v>
      </c>
      <c r="R14" s="186">
        <f t="shared" si="3"/>
        <v>2606.3900552296464</v>
      </c>
      <c r="S14" s="151" t="s">
        <v>1876</v>
      </c>
      <c r="T14" s="51" t="s">
        <v>3326</v>
      </c>
      <c r="U14" s="151" t="s">
        <v>1565</v>
      </c>
      <c r="V14" s="51" t="s">
        <v>3206</v>
      </c>
      <c r="W14" s="19"/>
      <c r="X14" s="19"/>
      <c r="Y14" s="99">
        <v>549</v>
      </c>
    </row>
    <row r="15" spans="1:25" s="13" customFormat="1" ht="20" x14ac:dyDescent="0.2">
      <c r="B15" s="151" t="s">
        <v>1498</v>
      </c>
      <c r="C15" s="33" t="s">
        <v>106</v>
      </c>
      <c r="D15" s="33" t="s">
        <v>2876</v>
      </c>
      <c r="E15" s="175">
        <v>1</v>
      </c>
      <c r="F15" s="151" t="s">
        <v>1128</v>
      </c>
      <c r="G15" s="174">
        <v>1</v>
      </c>
      <c r="H15" s="152">
        <v>0.61728395061728392</v>
      </c>
      <c r="I15" s="175">
        <v>138</v>
      </c>
      <c r="J15" s="266">
        <f>_xlfn.XLOOKUP($I15,Inputs!$C$6:$C$23,Inputs!$D$6:$D$23)*$G15</f>
        <v>0.43357142857142861</v>
      </c>
      <c r="K15" s="267">
        <f>IF((42.4*(H15)^(-0.6595))&gt;=3,3,(IF(42.4*(H15)^(-0.6595)&lt;=0.5,0.5,(42.4*(H15)^(-0.6595)))))</f>
        <v>3</v>
      </c>
      <c r="L15" s="99"/>
      <c r="M15" s="99"/>
      <c r="N15" s="99">
        <f t="shared" si="0"/>
        <v>0</v>
      </c>
      <c r="O15" s="99">
        <f t="shared" si="1"/>
        <v>0</v>
      </c>
      <c r="P15" s="131">
        <v>0.9</v>
      </c>
      <c r="Q15" s="305">
        <f>_xlfn.XLOOKUP($I15,Inputs!$G$6:$G$23,Inputs!J$6:J$23)*$K15</f>
        <v>141</v>
      </c>
      <c r="R15" s="305">
        <f>_xlfn.XLOOKUP($I15,Inputs!$G$6:$G$23,Inputs!K$6:K$23)*$K15</f>
        <v>156</v>
      </c>
      <c r="S15" s="151" t="s">
        <v>2418</v>
      </c>
      <c r="T15" s="51" t="s">
        <v>2069</v>
      </c>
      <c r="U15" s="151" t="s">
        <v>1566</v>
      </c>
      <c r="V15" s="51" t="s">
        <v>3606</v>
      </c>
      <c r="W15" s="19"/>
      <c r="X15" s="19"/>
      <c r="Y15" s="99">
        <v>173</v>
      </c>
    </row>
    <row r="16" spans="1:25" s="13" customFormat="1" ht="20" x14ac:dyDescent="0.2">
      <c r="B16" s="150" t="s">
        <v>471</v>
      </c>
      <c r="C16" s="33" t="s">
        <v>106</v>
      </c>
      <c r="D16" s="33" t="s">
        <v>2876</v>
      </c>
      <c r="E16" s="175">
        <v>1</v>
      </c>
      <c r="F16" s="151" t="s">
        <v>1128</v>
      </c>
      <c r="G16" s="152">
        <v>25</v>
      </c>
      <c r="H16" s="152">
        <v>15.432098765432098</v>
      </c>
      <c r="I16" s="175">
        <v>138</v>
      </c>
      <c r="J16" s="266">
        <f>_xlfn.XLOOKUP($I16,Inputs!$C$6:$C$23,Inputs!$D$6:$D$23)*$G16</f>
        <v>10.839285714285715</v>
      </c>
      <c r="K16" s="255"/>
      <c r="L16" s="186">
        <v>714</v>
      </c>
      <c r="M16" s="186">
        <v>912</v>
      </c>
      <c r="N16" s="99">
        <f t="shared" si="0"/>
        <v>170.66243017137663</v>
      </c>
      <c r="O16" s="99">
        <f t="shared" si="1"/>
        <v>217.9889864373886</v>
      </c>
      <c r="P16" s="131">
        <v>0.9</v>
      </c>
      <c r="Q16" s="186">
        <f>N16*$P16</f>
        <v>153.59618715423898</v>
      </c>
      <c r="R16" s="186">
        <f>O16*$P16</f>
        <v>196.19008779364975</v>
      </c>
      <c r="S16" s="151" t="s">
        <v>2817</v>
      </c>
      <c r="T16" s="51" t="s">
        <v>3725</v>
      </c>
      <c r="U16" s="151" t="s">
        <v>2418</v>
      </c>
      <c r="V16" s="51" t="s">
        <v>2069</v>
      </c>
      <c r="W16" s="19"/>
      <c r="X16" s="19"/>
      <c r="Y16" s="99">
        <v>172</v>
      </c>
    </row>
    <row r="17" spans="2:51" s="73" customFormat="1" ht="20" x14ac:dyDescent="0.25">
      <c r="B17" s="150" t="s">
        <v>1381</v>
      </c>
      <c r="C17" s="33" t="s">
        <v>106</v>
      </c>
      <c r="D17" s="33" t="s">
        <v>2876</v>
      </c>
      <c r="E17" s="175">
        <v>1</v>
      </c>
      <c r="F17" s="151" t="s">
        <v>1128</v>
      </c>
      <c r="G17" s="152">
        <v>2.3734931000000001</v>
      </c>
      <c r="H17" s="152">
        <v>1.4651191975308642</v>
      </c>
      <c r="I17" s="175">
        <v>69</v>
      </c>
      <c r="J17" s="266">
        <f>_xlfn.XLOOKUP($I17,Inputs!$C$6:$C$23,Inputs!$D$6:$D$23)*$G17</f>
        <v>0.91209949128571433</v>
      </c>
      <c r="K17" s="267">
        <f>IF((42.4*(H17)^(-0.6595))&gt;=3,3,(IF(42.4*(H17)^(-0.6595)&lt;=0.5,0.5,(42.4*(H17)^(-0.6595)))))</f>
        <v>3</v>
      </c>
      <c r="L17" s="99"/>
      <c r="M17" s="99"/>
      <c r="N17" s="99">
        <f t="shared" si="0"/>
        <v>0</v>
      </c>
      <c r="O17" s="99">
        <f t="shared" si="1"/>
        <v>0</v>
      </c>
      <c r="P17" s="131">
        <v>0.9</v>
      </c>
      <c r="Q17" s="305">
        <f>_xlfn.XLOOKUP($I17,Inputs!$G$6:$G$23,Inputs!J$6:J$23)*$K17</f>
        <v>36</v>
      </c>
      <c r="R17" s="305">
        <f>_xlfn.XLOOKUP($I17,Inputs!$G$6:$G$23,Inputs!K$6:K$23)*$K17</f>
        <v>39</v>
      </c>
      <c r="S17" s="151" t="s">
        <v>2601</v>
      </c>
      <c r="T17" s="51" t="s">
        <v>2260</v>
      </c>
      <c r="U17" s="151" t="s">
        <v>1567</v>
      </c>
      <c r="V17" s="51" t="s">
        <v>3611</v>
      </c>
      <c r="W17" s="19"/>
      <c r="X17" s="19"/>
      <c r="Y17" s="99">
        <v>986</v>
      </c>
      <c r="AD17" s="7"/>
      <c r="AJ17" s="74"/>
      <c r="AW17" s="7"/>
      <c r="AX17" s="7"/>
      <c r="AY17" s="7"/>
    </row>
    <row r="18" spans="2:51" s="165" customFormat="1" ht="20" x14ac:dyDescent="0.25">
      <c r="B18" s="150" t="s">
        <v>1380</v>
      </c>
      <c r="C18" s="33" t="s">
        <v>106</v>
      </c>
      <c r="D18" s="33" t="s">
        <v>2876</v>
      </c>
      <c r="E18" s="175">
        <v>1</v>
      </c>
      <c r="F18" s="151" t="s">
        <v>1128</v>
      </c>
      <c r="G18" s="152">
        <v>5</v>
      </c>
      <c r="H18" s="152">
        <v>3.0864197530864197</v>
      </c>
      <c r="I18" s="175">
        <v>69</v>
      </c>
      <c r="J18" s="266">
        <f>_xlfn.XLOOKUP($I18,Inputs!$C$6:$C$23,Inputs!$D$6:$D$23)*$G18</f>
        <v>1.9214285714285715</v>
      </c>
      <c r="K18" s="255"/>
      <c r="L18" s="186">
        <v>360</v>
      </c>
      <c r="M18" s="186">
        <v>535</v>
      </c>
      <c r="N18" s="99">
        <f t="shared" si="0"/>
        <v>43.024142060010909</v>
      </c>
      <c r="O18" s="99">
        <f t="shared" si="1"/>
        <v>63.938655561405106</v>
      </c>
      <c r="P18" s="131">
        <v>0.9</v>
      </c>
      <c r="Q18" s="186">
        <f t="shared" ref="Q18:R21" si="4">N18*$P18</f>
        <v>38.721727854009821</v>
      </c>
      <c r="R18" s="186">
        <f t="shared" si="4"/>
        <v>57.544790005264595</v>
      </c>
      <c r="S18" s="151" t="s">
        <v>1677</v>
      </c>
      <c r="T18" s="51" t="s">
        <v>3249</v>
      </c>
      <c r="U18" s="151" t="s">
        <v>2601</v>
      </c>
      <c r="V18" s="51" t="s">
        <v>2260</v>
      </c>
      <c r="W18" s="19"/>
      <c r="X18" s="19"/>
      <c r="Y18" s="99">
        <v>985</v>
      </c>
      <c r="AD18" s="7"/>
      <c r="AJ18" s="83"/>
      <c r="AW18" s="7"/>
      <c r="AX18" s="7"/>
      <c r="AY18" s="7"/>
    </row>
    <row r="19" spans="2:51" s="13" customFormat="1" ht="20" x14ac:dyDescent="0.2">
      <c r="B19" s="151" t="s">
        <v>1542</v>
      </c>
      <c r="C19" s="33" t="s">
        <v>106</v>
      </c>
      <c r="D19" s="33" t="s">
        <v>2876</v>
      </c>
      <c r="E19" s="175">
        <v>1</v>
      </c>
      <c r="F19" s="151" t="s">
        <v>1128</v>
      </c>
      <c r="G19" s="174">
        <v>2</v>
      </c>
      <c r="H19" s="152">
        <v>1.2345679012345678</v>
      </c>
      <c r="I19" s="175">
        <v>69</v>
      </c>
      <c r="J19" s="266">
        <f>_xlfn.XLOOKUP($I19,Inputs!$C$6:$C$23,Inputs!$D$6:$D$23)*$G19</f>
        <v>0.76857142857142857</v>
      </c>
      <c r="K19" s="255"/>
      <c r="L19" s="186">
        <v>493</v>
      </c>
      <c r="M19" s="186">
        <v>627</v>
      </c>
      <c r="N19" s="99">
        <f t="shared" si="0"/>
        <v>58.919172321070498</v>
      </c>
      <c r="O19" s="99">
        <f t="shared" si="1"/>
        <v>74.933714087852337</v>
      </c>
      <c r="P19" s="131">
        <v>0.9</v>
      </c>
      <c r="Q19" s="186">
        <f t="shared" si="4"/>
        <v>53.02725508896345</v>
      </c>
      <c r="R19" s="186">
        <f t="shared" si="4"/>
        <v>67.440342679067101</v>
      </c>
      <c r="S19" s="184" t="s">
        <v>2499</v>
      </c>
      <c r="T19" s="51" t="s">
        <v>2157</v>
      </c>
      <c r="U19" s="151" t="s">
        <v>1568</v>
      </c>
      <c r="V19" s="51" t="s">
        <v>3184</v>
      </c>
      <c r="W19" s="19"/>
      <c r="X19" s="19"/>
      <c r="Y19" s="99">
        <v>633</v>
      </c>
    </row>
    <row r="20" spans="2:51" s="13" customFormat="1" ht="20" x14ac:dyDescent="0.2">
      <c r="B20" s="150" t="s">
        <v>1176</v>
      </c>
      <c r="C20" s="33" t="s">
        <v>106</v>
      </c>
      <c r="D20" s="33" t="s">
        <v>2876</v>
      </c>
      <c r="E20" s="175">
        <v>1</v>
      </c>
      <c r="F20" s="151" t="s">
        <v>1128</v>
      </c>
      <c r="G20" s="152">
        <v>5</v>
      </c>
      <c r="H20" s="152">
        <v>3.0864197530864197</v>
      </c>
      <c r="I20" s="175">
        <v>69</v>
      </c>
      <c r="J20" s="266">
        <f>_xlfn.XLOOKUP($I20,Inputs!$C$6:$C$23,Inputs!$D$6:$D$23)*$G20</f>
        <v>1.9214285714285715</v>
      </c>
      <c r="K20" s="255"/>
      <c r="L20" s="186">
        <v>427</v>
      </c>
      <c r="M20" s="186">
        <v>604</v>
      </c>
      <c r="N20" s="99">
        <f t="shared" si="0"/>
        <v>51.031412943401833</v>
      </c>
      <c r="O20" s="99">
        <f t="shared" si="1"/>
        <v>72.184949456240517</v>
      </c>
      <c r="P20" s="131">
        <v>0.9</v>
      </c>
      <c r="Q20" s="186">
        <f t="shared" si="4"/>
        <v>45.928271649061649</v>
      </c>
      <c r="R20" s="186">
        <f t="shared" si="4"/>
        <v>64.966454510616472</v>
      </c>
      <c r="S20" s="151" t="s">
        <v>2498</v>
      </c>
      <c r="T20" s="51" t="s">
        <v>2158</v>
      </c>
      <c r="U20" s="151" t="s">
        <v>2499</v>
      </c>
      <c r="V20" s="51" t="s">
        <v>2157</v>
      </c>
      <c r="W20" s="19"/>
      <c r="X20" s="19"/>
      <c r="Y20" s="99">
        <v>632</v>
      </c>
    </row>
    <row r="21" spans="2:51" s="7" customFormat="1" ht="20" x14ac:dyDescent="0.25">
      <c r="B21" s="150" t="s">
        <v>566</v>
      </c>
      <c r="C21" s="33" t="s">
        <v>106</v>
      </c>
      <c r="D21" s="33" t="s">
        <v>2876</v>
      </c>
      <c r="E21" s="175">
        <v>1</v>
      </c>
      <c r="F21" s="151" t="s">
        <v>1128</v>
      </c>
      <c r="G21" s="152">
        <v>23.955862199999999</v>
      </c>
      <c r="H21" s="152">
        <v>14.787569259259257</v>
      </c>
      <c r="I21" s="175">
        <v>230</v>
      </c>
      <c r="J21" s="266">
        <f>_xlfn.XLOOKUP($I21,Inputs!$C$6:$C$23,Inputs!$D$6:$D$23)*$G21</f>
        <v>11.498813855999998</v>
      </c>
      <c r="K21" s="255"/>
      <c r="L21" s="186">
        <v>1700</v>
      </c>
      <c r="M21" s="186">
        <v>2204</v>
      </c>
      <c r="N21" s="99">
        <f t="shared" si="0"/>
        <v>677.23186575943089</v>
      </c>
      <c r="O21" s="99">
        <f t="shared" si="1"/>
        <v>878.01119537281522</v>
      </c>
      <c r="P21" s="131">
        <v>0.9</v>
      </c>
      <c r="Q21" s="186">
        <f t="shared" si="4"/>
        <v>609.50867918348786</v>
      </c>
      <c r="R21" s="186">
        <f t="shared" si="4"/>
        <v>790.21007583553376</v>
      </c>
      <c r="S21" s="151" t="s">
        <v>1612</v>
      </c>
      <c r="T21" s="51" t="s">
        <v>3233</v>
      </c>
      <c r="U21" s="151" t="s">
        <v>1570</v>
      </c>
      <c r="V21" s="51" t="s">
        <v>3214</v>
      </c>
      <c r="W21" s="19"/>
      <c r="X21" s="19"/>
      <c r="Y21" s="99">
        <v>415</v>
      </c>
      <c r="Z21" s="14"/>
      <c r="AC21" s="14"/>
    </row>
    <row r="22" spans="2:51" s="13" customFormat="1" ht="20" x14ac:dyDescent="0.2">
      <c r="B22" s="150" t="s">
        <v>1179</v>
      </c>
      <c r="C22" s="33" t="s">
        <v>106</v>
      </c>
      <c r="D22" s="33" t="s">
        <v>2876</v>
      </c>
      <c r="E22" s="175">
        <v>1</v>
      </c>
      <c r="F22" s="151" t="s">
        <v>1128</v>
      </c>
      <c r="G22" s="152">
        <v>3.1402899999999997E-2</v>
      </c>
      <c r="H22" s="152">
        <v>1.9384506172839502E-2</v>
      </c>
      <c r="I22" s="175">
        <v>69</v>
      </c>
      <c r="J22" s="266">
        <f>_xlfn.XLOOKUP($I22,Inputs!$C$6:$C$23,Inputs!$D$6:$D$23)*$G22</f>
        <v>1.2067685857142857E-2</v>
      </c>
      <c r="K22" s="267">
        <f>IF((42.4*(H22)^(-0.6595))&gt;=3,3,(IF(42.4*(H22)^(-0.6595)&lt;=0.5,0.5,(42.4*(H22)^(-0.6595)))))</f>
        <v>3</v>
      </c>
      <c r="L22" s="99"/>
      <c r="M22" s="99"/>
      <c r="N22" s="99">
        <f t="shared" si="0"/>
        <v>0</v>
      </c>
      <c r="O22" s="99">
        <f t="shared" si="1"/>
        <v>0</v>
      </c>
      <c r="P22" s="131">
        <v>0.9</v>
      </c>
      <c r="Q22" s="305">
        <f>_xlfn.XLOOKUP($I22,Inputs!$G$6:$G$23,Inputs!J$6:J$23)*$K22</f>
        <v>36</v>
      </c>
      <c r="R22" s="305">
        <f>_xlfn.XLOOKUP($I22,Inputs!$G$6:$G$23,Inputs!K$6:K$23)*$K22</f>
        <v>39</v>
      </c>
      <c r="S22" s="151" t="s">
        <v>2501</v>
      </c>
      <c r="T22" s="51" t="s">
        <v>2159</v>
      </c>
      <c r="U22" s="151" t="s">
        <v>1571</v>
      </c>
      <c r="V22" s="51" t="s">
        <v>3363</v>
      </c>
      <c r="W22" s="19"/>
      <c r="X22" s="19"/>
      <c r="Y22" s="99">
        <v>639</v>
      </c>
    </row>
    <row r="23" spans="2:51" s="7" customFormat="1" ht="20" x14ac:dyDescent="0.25">
      <c r="B23" s="150" t="s">
        <v>1244</v>
      </c>
      <c r="C23" s="33" t="s">
        <v>106</v>
      </c>
      <c r="D23" s="33" t="s">
        <v>2876</v>
      </c>
      <c r="E23" s="175">
        <v>1</v>
      </c>
      <c r="F23" s="151" t="s">
        <v>1128</v>
      </c>
      <c r="G23" s="152">
        <v>5.4272100000000004E-2</v>
      </c>
      <c r="H23" s="152">
        <v>3.3501296296296293E-2</v>
      </c>
      <c r="I23" s="175">
        <v>69</v>
      </c>
      <c r="J23" s="266">
        <f>_xlfn.XLOOKUP($I23,Inputs!$C$6:$C$23,Inputs!$D$6:$D$23)*$G23</f>
        <v>2.0855992714285714E-2</v>
      </c>
      <c r="K23" s="255"/>
      <c r="L23" s="186">
        <v>810</v>
      </c>
      <c r="M23" s="186">
        <v>940</v>
      </c>
      <c r="N23" s="99">
        <f t="shared" si="0"/>
        <v>96.804319635024541</v>
      </c>
      <c r="O23" s="99">
        <f t="shared" si="1"/>
        <v>112.34081537891738</v>
      </c>
      <c r="P23" s="131">
        <v>0.9</v>
      </c>
      <c r="Q23" s="186">
        <f t="shared" ref="Q23:R25" si="5">N23*$P23</f>
        <v>87.123887671522084</v>
      </c>
      <c r="R23" s="186">
        <f t="shared" si="5"/>
        <v>101.10673384102564</v>
      </c>
      <c r="S23" s="151" t="s">
        <v>2501</v>
      </c>
      <c r="T23" s="51" t="s">
        <v>2159</v>
      </c>
      <c r="U23" s="151" t="s">
        <v>1571</v>
      </c>
      <c r="V23" s="51" t="s">
        <v>3363</v>
      </c>
      <c r="W23" s="19"/>
      <c r="X23" s="19"/>
      <c r="Y23" s="99">
        <v>749</v>
      </c>
    </row>
    <row r="24" spans="2:51" s="7" customFormat="1" ht="20" x14ac:dyDescent="0.25">
      <c r="B24" s="150" t="s">
        <v>1178</v>
      </c>
      <c r="C24" s="33" t="s">
        <v>106</v>
      </c>
      <c r="D24" s="33" t="s">
        <v>2876</v>
      </c>
      <c r="E24" s="175">
        <v>1</v>
      </c>
      <c r="F24" s="151" t="s">
        <v>1128</v>
      </c>
      <c r="G24" s="152">
        <v>1</v>
      </c>
      <c r="H24" s="152">
        <v>0.61728395061728392</v>
      </c>
      <c r="I24" s="175">
        <v>69</v>
      </c>
      <c r="J24" s="266">
        <f>_xlfn.XLOOKUP($I24,Inputs!$C$6:$C$23,Inputs!$D$6:$D$23)*$G24</f>
        <v>0.38428571428571429</v>
      </c>
      <c r="K24" s="255"/>
      <c r="L24" s="186">
        <v>490</v>
      </c>
      <c r="M24" s="186">
        <v>515</v>
      </c>
      <c r="N24" s="99">
        <f t="shared" si="0"/>
        <v>58.560637803903738</v>
      </c>
      <c r="O24" s="99">
        <f t="shared" si="1"/>
        <v>61.548425446960046</v>
      </c>
      <c r="P24" s="131">
        <v>0.9</v>
      </c>
      <c r="Q24" s="186">
        <f t="shared" si="5"/>
        <v>52.704574023513366</v>
      </c>
      <c r="R24" s="186">
        <f t="shared" si="5"/>
        <v>55.393582902264043</v>
      </c>
      <c r="S24" s="151" t="s">
        <v>2500</v>
      </c>
      <c r="T24" s="51" t="s">
        <v>2161</v>
      </c>
      <c r="U24" s="151" t="s">
        <v>2501</v>
      </c>
      <c r="V24" s="51" t="s">
        <v>2159</v>
      </c>
      <c r="W24" s="19"/>
      <c r="X24" s="19"/>
      <c r="Y24" s="99">
        <v>638</v>
      </c>
    </row>
    <row r="25" spans="2:51" s="14" customFormat="1" ht="20" x14ac:dyDescent="0.25">
      <c r="B25" s="150" t="s">
        <v>1243</v>
      </c>
      <c r="C25" s="33" t="s">
        <v>106</v>
      </c>
      <c r="D25" s="33" t="s">
        <v>2876</v>
      </c>
      <c r="E25" s="175">
        <v>1</v>
      </c>
      <c r="F25" s="151" t="s">
        <v>1128</v>
      </c>
      <c r="G25" s="152">
        <v>4.3</v>
      </c>
      <c r="H25" s="152">
        <v>2.6543209876543208</v>
      </c>
      <c r="I25" s="175">
        <v>69</v>
      </c>
      <c r="J25" s="266">
        <f>_xlfn.XLOOKUP($I25,Inputs!$C$6:$C$23,Inputs!$D$6:$D$23)*$G25</f>
        <v>1.6524285714285714</v>
      </c>
      <c r="K25" s="255"/>
      <c r="L25" s="186">
        <v>810</v>
      </c>
      <c r="M25" s="186">
        <v>940</v>
      </c>
      <c r="N25" s="99">
        <f t="shared" si="0"/>
        <v>96.804319635024541</v>
      </c>
      <c r="O25" s="99">
        <f t="shared" si="1"/>
        <v>112.34081537891738</v>
      </c>
      <c r="P25" s="131">
        <v>0.9</v>
      </c>
      <c r="Q25" s="186">
        <f t="shared" si="5"/>
        <v>87.123887671522084</v>
      </c>
      <c r="R25" s="186">
        <f t="shared" si="5"/>
        <v>101.10673384102564</v>
      </c>
      <c r="S25" s="151" t="s">
        <v>1582</v>
      </c>
      <c r="T25" s="51" t="s">
        <v>3216</v>
      </c>
      <c r="U25" s="151" t="s">
        <v>2501</v>
      </c>
      <c r="V25" s="51" t="s">
        <v>2159</v>
      </c>
      <c r="W25" s="19"/>
      <c r="X25" s="19"/>
      <c r="Y25" s="99">
        <v>748</v>
      </c>
    </row>
    <row r="26" spans="2:51" s="7" customFormat="1" ht="20" x14ac:dyDescent="0.25">
      <c r="B26" s="151" t="s">
        <v>1502</v>
      </c>
      <c r="C26" s="33" t="s">
        <v>106</v>
      </c>
      <c r="D26" s="33" t="s">
        <v>2876</v>
      </c>
      <c r="E26" s="175">
        <v>1</v>
      </c>
      <c r="F26" s="151" t="s">
        <v>1128</v>
      </c>
      <c r="G26" s="174">
        <v>4.6051799999999997E-2</v>
      </c>
      <c r="H26" s="152">
        <v>2.8427037037037032E-2</v>
      </c>
      <c r="I26" s="175">
        <v>138</v>
      </c>
      <c r="J26" s="266">
        <f>_xlfn.XLOOKUP($I26,Inputs!$C$6:$C$23,Inputs!$D$6:$D$23)*$G26</f>
        <v>1.9966744714285715E-2</v>
      </c>
      <c r="K26" s="267">
        <f>IF((42.4*(H26)^(-0.6595))&gt;=3,3,(IF(42.4*(H26)^(-0.6595)&lt;=0.5,0.5,(42.4*(H26)^(-0.6595)))))</f>
        <v>3</v>
      </c>
      <c r="L26" s="99"/>
      <c r="M26" s="99"/>
      <c r="N26" s="99">
        <f t="shared" si="0"/>
        <v>0</v>
      </c>
      <c r="O26" s="99">
        <f t="shared" si="1"/>
        <v>0</v>
      </c>
      <c r="P26" s="131">
        <v>0.9</v>
      </c>
      <c r="Q26" s="305">
        <f>_xlfn.XLOOKUP($I26,Inputs!$G$6:$G$23,Inputs!J$6:J$23)*$K26</f>
        <v>141</v>
      </c>
      <c r="R26" s="305">
        <f>_xlfn.XLOOKUP($I26,Inputs!$G$6:$G$23,Inputs!K$6:K$23)*$K26</f>
        <v>156</v>
      </c>
      <c r="S26" s="151" t="s">
        <v>2436</v>
      </c>
      <c r="T26" s="51" t="s">
        <v>2086</v>
      </c>
      <c r="U26" s="151" t="s">
        <v>114</v>
      </c>
      <c r="V26" s="51" t="s">
        <v>3364</v>
      </c>
      <c r="W26" s="19"/>
      <c r="X26" s="19"/>
      <c r="Y26" s="99">
        <v>217</v>
      </c>
    </row>
    <row r="27" spans="2:51" s="7" customFormat="1" ht="20" x14ac:dyDescent="0.25">
      <c r="B27" s="150" t="s">
        <v>479</v>
      </c>
      <c r="C27" s="33" t="s">
        <v>106</v>
      </c>
      <c r="D27" s="33" t="s">
        <v>2876</v>
      </c>
      <c r="E27" s="175">
        <v>1</v>
      </c>
      <c r="F27" s="151" t="s">
        <v>1128</v>
      </c>
      <c r="G27" s="152">
        <v>12</v>
      </c>
      <c r="H27" s="152">
        <v>7.4074074074074066</v>
      </c>
      <c r="I27" s="175">
        <v>138</v>
      </c>
      <c r="J27" s="266">
        <f>_xlfn.XLOOKUP($I27,Inputs!$C$6:$C$23,Inputs!$D$6:$D$23)*$G27</f>
        <v>5.2028571428571428</v>
      </c>
      <c r="K27" s="255"/>
      <c r="L27" s="186">
        <v>571</v>
      </c>
      <c r="M27" s="186">
        <v>728</v>
      </c>
      <c r="N27" s="99">
        <f t="shared" si="0"/>
        <v>136.4821395348124</v>
      </c>
      <c r="O27" s="99">
        <f t="shared" si="1"/>
        <v>174.00875233159968</v>
      </c>
      <c r="P27" s="131">
        <v>0.9</v>
      </c>
      <c r="Q27" s="186">
        <f t="shared" ref="Q27:R33" si="6">N27*$P27</f>
        <v>122.83392558133117</v>
      </c>
      <c r="R27" s="186">
        <f t="shared" si="6"/>
        <v>156.60787709843973</v>
      </c>
      <c r="S27" s="151" t="s">
        <v>2435</v>
      </c>
      <c r="T27" s="51" t="s">
        <v>2087</v>
      </c>
      <c r="U27" s="151" t="s">
        <v>2436</v>
      </c>
      <c r="V27" s="51" t="s">
        <v>2086</v>
      </c>
      <c r="W27" s="19"/>
      <c r="X27" s="19"/>
      <c r="Y27" s="99">
        <v>216</v>
      </c>
      <c r="Z27" s="14"/>
      <c r="AC27" s="14"/>
    </row>
    <row r="28" spans="2:51" s="7" customFormat="1" ht="20" x14ac:dyDescent="0.25">
      <c r="B28" s="150" t="s">
        <v>526</v>
      </c>
      <c r="C28" s="33" t="s">
        <v>106</v>
      </c>
      <c r="D28" s="33" t="s">
        <v>2876</v>
      </c>
      <c r="E28" s="175">
        <v>1</v>
      </c>
      <c r="F28" s="151" t="s">
        <v>1128</v>
      </c>
      <c r="G28" s="152">
        <v>14</v>
      </c>
      <c r="H28" s="152">
        <v>8.6419753086419746</v>
      </c>
      <c r="I28" s="175">
        <v>230</v>
      </c>
      <c r="J28" s="266">
        <f>_xlfn.XLOOKUP($I28,Inputs!$C$6:$C$23,Inputs!$D$6:$D$23)*$G28</f>
        <v>6.72</v>
      </c>
      <c r="K28" s="255"/>
      <c r="L28" s="186">
        <v>2084</v>
      </c>
      <c r="M28" s="186">
        <v>2540</v>
      </c>
      <c r="N28" s="99">
        <f t="shared" si="0"/>
        <v>830.2065930839143</v>
      </c>
      <c r="O28" s="99">
        <f t="shared" si="1"/>
        <v>1011.8640817817379</v>
      </c>
      <c r="P28" s="131">
        <v>0.9</v>
      </c>
      <c r="Q28" s="186">
        <f t="shared" si="6"/>
        <v>747.18593377552293</v>
      </c>
      <c r="R28" s="186">
        <f t="shared" si="6"/>
        <v>910.67767360356413</v>
      </c>
      <c r="S28" s="151" t="s">
        <v>2473</v>
      </c>
      <c r="T28" s="51" t="s">
        <v>2125</v>
      </c>
      <c r="U28" s="151" t="s">
        <v>1572</v>
      </c>
      <c r="V28" s="51" t="s">
        <v>3194</v>
      </c>
      <c r="W28" s="19"/>
      <c r="X28" s="19"/>
      <c r="Y28" s="99">
        <v>358</v>
      </c>
    </row>
    <row r="29" spans="2:51" s="7" customFormat="1" ht="20" x14ac:dyDescent="0.25">
      <c r="B29" s="150" t="s">
        <v>528</v>
      </c>
      <c r="C29" s="33" t="s">
        <v>106</v>
      </c>
      <c r="D29" s="33" t="s">
        <v>2876</v>
      </c>
      <c r="E29" s="175">
        <v>1</v>
      </c>
      <c r="F29" s="151" t="s">
        <v>1128</v>
      </c>
      <c r="G29" s="152">
        <v>16.941259900000002</v>
      </c>
      <c r="H29" s="152">
        <v>10.457567839506174</v>
      </c>
      <c r="I29" s="175">
        <v>230</v>
      </c>
      <c r="J29" s="266">
        <f>_xlfn.XLOOKUP($I29,Inputs!$C$6:$C$23,Inputs!$D$6:$D$23)*$G29</f>
        <v>8.1318047520000007</v>
      </c>
      <c r="K29" s="255"/>
      <c r="L29" s="186">
        <v>585</v>
      </c>
      <c r="M29" s="186">
        <v>933</v>
      </c>
      <c r="N29" s="99">
        <f t="shared" si="0"/>
        <v>233.04743615839243</v>
      </c>
      <c r="O29" s="99">
        <f t="shared" si="1"/>
        <v>371.68078279620539</v>
      </c>
      <c r="P29" s="131">
        <v>0.9</v>
      </c>
      <c r="Q29" s="186">
        <f t="shared" si="6"/>
        <v>209.74269254255319</v>
      </c>
      <c r="R29" s="186">
        <f t="shared" si="6"/>
        <v>334.51270451658485</v>
      </c>
      <c r="S29" s="151" t="s">
        <v>1730</v>
      </c>
      <c r="T29" s="51" t="s">
        <v>3204</v>
      </c>
      <c r="U29" s="151" t="s">
        <v>1572</v>
      </c>
      <c r="V29" s="51" t="s">
        <v>3194</v>
      </c>
      <c r="W29" s="19"/>
      <c r="X29" s="19"/>
      <c r="Y29" s="99">
        <v>360</v>
      </c>
    </row>
    <row r="30" spans="2:51" s="14" customFormat="1" ht="20" x14ac:dyDescent="0.25">
      <c r="B30" s="150" t="s">
        <v>557</v>
      </c>
      <c r="C30" s="33" t="s">
        <v>106</v>
      </c>
      <c r="D30" s="33" t="s">
        <v>2876</v>
      </c>
      <c r="E30" s="175">
        <v>1</v>
      </c>
      <c r="F30" s="151" t="s">
        <v>1128</v>
      </c>
      <c r="G30" s="152">
        <v>14</v>
      </c>
      <c r="H30" s="152">
        <v>8.6419753086419746</v>
      </c>
      <c r="I30" s="175">
        <v>230</v>
      </c>
      <c r="J30" s="266">
        <f>_xlfn.XLOOKUP($I30,Inputs!$C$6:$C$23,Inputs!$D$6:$D$23)*$G30</f>
        <v>6.72</v>
      </c>
      <c r="K30" s="255"/>
      <c r="L30" s="186">
        <v>585</v>
      </c>
      <c r="M30" s="186">
        <v>933</v>
      </c>
      <c r="N30" s="99">
        <f t="shared" si="0"/>
        <v>233.04743615839243</v>
      </c>
      <c r="O30" s="99">
        <f t="shared" si="1"/>
        <v>371.68078279620539</v>
      </c>
      <c r="P30" s="131">
        <v>0.9</v>
      </c>
      <c r="Q30" s="186">
        <f t="shared" si="6"/>
        <v>209.74269254255319</v>
      </c>
      <c r="R30" s="186">
        <f t="shared" si="6"/>
        <v>334.51270451658485</v>
      </c>
      <c r="S30" s="151" t="s">
        <v>2473</v>
      </c>
      <c r="T30" s="51" t="s">
        <v>2125</v>
      </c>
      <c r="U30" s="151" t="s">
        <v>1572</v>
      </c>
      <c r="V30" s="51" t="s">
        <v>3194</v>
      </c>
      <c r="W30" s="19"/>
      <c r="X30" s="19"/>
      <c r="Y30" s="99">
        <v>404</v>
      </c>
    </row>
    <row r="31" spans="2:51" s="7" customFormat="1" ht="20" x14ac:dyDescent="0.25">
      <c r="B31" s="150" t="s">
        <v>561</v>
      </c>
      <c r="C31" s="33" t="s">
        <v>106</v>
      </c>
      <c r="D31" s="33" t="s">
        <v>2876</v>
      </c>
      <c r="E31" s="175">
        <v>1</v>
      </c>
      <c r="F31" s="151" t="s">
        <v>1128</v>
      </c>
      <c r="G31" s="152">
        <v>14</v>
      </c>
      <c r="H31" s="152">
        <v>8.6419753086419746</v>
      </c>
      <c r="I31" s="175">
        <v>230</v>
      </c>
      <c r="J31" s="266">
        <f>_xlfn.XLOOKUP($I31,Inputs!$C$6:$C$23,Inputs!$D$6:$D$23)*$G31</f>
        <v>6.72</v>
      </c>
      <c r="K31" s="255"/>
      <c r="L31" s="186">
        <v>2084</v>
      </c>
      <c r="M31" s="3">
        <v>2540</v>
      </c>
      <c r="N31" s="99">
        <f t="shared" si="0"/>
        <v>830.2065930839143</v>
      </c>
      <c r="O31" s="99">
        <f t="shared" si="1"/>
        <v>1011.8640817817379</v>
      </c>
      <c r="P31" s="131">
        <v>0.9</v>
      </c>
      <c r="Q31" s="186">
        <f t="shared" si="6"/>
        <v>747.18593377552293</v>
      </c>
      <c r="R31" s="186">
        <f t="shared" si="6"/>
        <v>910.67767360356413</v>
      </c>
      <c r="S31" s="151" t="s">
        <v>2473</v>
      </c>
      <c r="T31" s="51" t="s">
        <v>2125</v>
      </c>
      <c r="U31" s="151" t="s">
        <v>1572</v>
      </c>
      <c r="V31" s="179" t="s">
        <v>3194</v>
      </c>
      <c r="W31" s="19"/>
      <c r="X31" s="19"/>
      <c r="Y31" s="99">
        <v>410</v>
      </c>
    </row>
    <row r="32" spans="2:51" s="7" customFormat="1" ht="20" x14ac:dyDescent="0.25">
      <c r="B32" s="150" t="s">
        <v>1221</v>
      </c>
      <c r="C32" s="33" t="s">
        <v>106</v>
      </c>
      <c r="D32" s="33" t="s">
        <v>2876</v>
      </c>
      <c r="E32" s="175">
        <v>1</v>
      </c>
      <c r="F32" s="151" t="s">
        <v>1128</v>
      </c>
      <c r="G32" s="152">
        <v>8.41</v>
      </c>
      <c r="H32" s="152">
        <v>5.1913580246913575</v>
      </c>
      <c r="I32" s="175">
        <v>69</v>
      </c>
      <c r="J32" s="266">
        <f>_xlfn.XLOOKUP($I32,Inputs!$C$6:$C$23,Inputs!$D$6:$D$23)*$G32</f>
        <v>3.231842857142857</v>
      </c>
      <c r="K32" s="255"/>
      <c r="L32" s="186">
        <v>845</v>
      </c>
      <c r="M32" s="186">
        <v>1010</v>
      </c>
      <c r="N32" s="99">
        <f t="shared" si="0"/>
        <v>100.98722233530337</v>
      </c>
      <c r="O32" s="99">
        <f t="shared" si="1"/>
        <v>120.70662077947505</v>
      </c>
      <c r="P32" s="131">
        <v>0.9</v>
      </c>
      <c r="Q32" s="186">
        <f t="shared" si="6"/>
        <v>90.888500101773033</v>
      </c>
      <c r="R32" s="186">
        <f t="shared" si="6"/>
        <v>108.63595870152754</v>
      </c>
      <c r="S32" s="151" t="s">
        <v>1610</v>
      </c>
      <c r="T32" s="51" t="s">
        <v>3618</v>
      </c>
      <c r="U32" s="151" t="s">
        <v>1572</v>
      </c>
      <c r="V32" s="51" t="s">
        <v>3194</v>
      </c>
      <c r="W32" s="19"/>
      <c r="X32" s="19"/>
      <c r="Y32" s="99">
        <v>703</v>
      </c>
    </row>
    <row r="33" spans="2:45" s="7" customFormat="1" ht="20" x14ac:dyDescent="0.25">
      <c r="B33" s="150" t="s">
        <v>463</v>
      </c>
      <c r="C33" s="33" t="s">
        <v>106</v>
      </c>
      <c r="D33" s="33" t="s">
        <v>2876</v>
      </c>
      <c r="E33" s="175">
        <v>1</v>
      </c>
      <c r="F33" s="151" t="s">
        <v>1128</v>
      </c>
      <c r="G33" s="152">
        <v>16.179309499999999</v>
      </c>
      <c r="H33" s="152">
        <v>9.9872280864197513</v>
      </c>
      <c r="I33" s="175">
        <v>138</v>
      </c>
      <c r="J33" s="266">
        <f>_xlfn.XLOOKUP($I33,Inputs!$C$6:$C$23,Inputs!$D$6:$D$23)*$G33</f>
        <v>7.0148863332142861</v>
      </c>
      <c r="K33" s="255"/>
      <c r="L33" s="186">
        <v>395</v>
      </c>
      <c r="M33" s="186">
        <v>565</v>
      </c>
      <c r="N33" s="99">
        <f t="shared" si="0"/>
        <v>94.414089520579495</v>
      </c>
      <c r="O33" s="99">
        <f t="shared" si="1"/>
        <v>135.04800146614537</v>
      </c>
      <c r="P33" s="131">
        <v>0.9</v>
      </c>
      <c r="Q33" s="186">
        <f t="shared" si="6"/>
        <v>84.972680568521554</v>
      </c>
      <c r="R33" s="186">
        <f t="shared" si="6"/>
        <v>121.54320131953084</v>
      </c>
      <c r="S33" s="151" t="s">
        <v>1692</v>
      </c>
      <c r="T33" s="51" t="s">
        <v>3192</v>
      </c>
      <c r="U33" s="151" t="s">
        <v>1573</v>
      </c>
      <c r="V33" s="51" t="s">
        <v>3090</v>
      </c>
      <c r="W33" s="19"/>
      <c r="X33" s="19"/>
      <c r="Y33" s="99">
        <v>151</v>
      </c>
    </row>
    <row r="34" spans="2:45" s="7" customFormat="1" ht="20" x14ac:dyDescent="0.25">
      <c r="B34" s="150" t="s">
        <v>1458</v>
      </c>
      <c r="C34" s="33" t="s">
        <v>106</v>
      </c>
      <c r="D34" s="33" t="s">
        <v>2876</v>
      </c>
      <c r="E34" s="175">
        <v>1</v>
      </c>
      <c r="F34" s="151" t="s">
        <v>1128</v>
      </c>
      <c r="G34" s="152">
        <v>2.8191487999999998</v>
      </c>
      <c r="H34" s="152">
        <v>1.7402153086419752</v>
      </c>
      <c r="I34" s="175">
        <v>230</v>
      </c>
      <c r="J34" s="266">
        <f>_xlfn.XLOOKUP($I34,Inputs!$C$6:$C$23,Inputs!$D$6:$D$23)*$G34</f>
        <v>1.3531914239999998</v>
      </c>
      <c r="K34" s="267">
        <f>IF((42.4*(H34)^(-0.6595))&gt;=3,3,(IF(42.4*(H34)^(-0.6595)&lt;=0.5,0.5,(42.4*(H34)^(-0.6595)))))</f>
        <v>3</v>
      </c>
      <c r="L34" s="99"/>
      <c r="M34" s="99"/>
      <c r="N34" s="99">
        <f t="shared" si="0"/>
        <v>0</v>
      </c>
      <c r="O34" s="99">
        <f t="shared" si="1"/>
        <v>0</v>
      </c>
      <c r="P34" s="131">
        <v>0.9</v>
      </c>
      <c r="Q34" s="305">
        <f>_xlfn.XLOOKUP($I34,Inputs!$G$6:$G$23,Inputs!J$6:J$23)*$K34</f>
        <v>402</v>
      </c>
      <c r="R34" s="305">
        <f>_xlfn.XLOOKUP($I34,Inputs!$G$6:$G$23,Inputs!K$6:K$23)*$K34</f>
        <v>435</v>
      </c>
      <c r="S34" s="151" t="s">
        <v>2624</v>
      </c>
      <c r="T34" s="51" t="s">
        <v>2126</v>
      </c>
      <c r="U34" s="151" t="s">
        <v>1574</v>
      </c>
      <c r="V34" s="51" t="s">
        <v>3091</v>
      </c>
      <c r="W34" s="19"/>
      <c r="X34" s="19"/>
      <c r="Y34" s="99">
        <v>363</v>
      </c>
    </row>
    <row r="35" spans="2:45" s="7" customFormat="1" ht="20" x14ac:dyDescent="0.25">
      <c r="B35" s="150" t="s">
        <v>530</v>
      </c>
      <c r="C35" s="33" t="s">
        <v>106</v>
      </c>
      <c r="D35" s="33" t="s">
        <v>2876</v>
      </c>
      <c r="E35" s="175">
        <v>1</v>
      </c>
      <c r="F35" s="151" t="s">
        <v>1128</v>
      </c>
      <c r="G35" s="152">
        <v>18</v>
      </c>
      <c r="H35" s="152">
        <v>11.111111111111111</v>
      </c>
      <c r="I35" s="175">
        <v>230</v>
      </c>
      <c r="J35" s="266">
        <f>_xlfn.XLOOKUP($I35,Inputs!$C$6:$C$23,Inputs!$D$6:$D$23)*$G35</f>
        <v>8.64</v>
      </c>
      <c r="K35" s="255"/>
      <c r="L35" s="186">
        <v>542</v>
      </c>
      <c r="M35" s="186">
        <v>1021</v>
      </c>
      <c r="N35" s="99">
        <f t="shared" si="0"/>
        <v>215.91745367153624</v>
      </c>
      <c r="O35" s="99">
        <f t="shared" si="1"/>
        <v>406.73749114139946</v>
      </c>
      <c r="P35" s="131">
        <v>0.9</v>
      </c>
      <c r="Q35" s="186">
        <f>N35*$P35</f>
        <v>194.32570830438263</v>
      </c>
      <c r="R35" s="186">
        <f>O35*$P35</f>
        <v>366.06374202725954</v>
      </c>
      <c r="S35" s="151" t="s">
        <v>1617</v>
      </c>
      <c r="T35" s="51" t="s">
        <v>3189</v>
      </c>
      <c r="U35" s="151" t="s">
        <v>2624</v>
      </c>
      <c r="V35" s="51" t="s">
        <v>2126</v>
      </c>
      <c r="W35" s="19"/>
      <c r="X35" s="19"/>
      <c r="Y35" s="99">
        <v>362</v>
      </c>
    </row>
    <row r="36" spans="2:45" s="7" customFormat="1" ht="20" x14ac:dyDescent="0.25">
      <c r="B36" s="230" t="s">
        <v>1117</v>
      </c>
      <c r="C36" s="51" t="s">
        <v>173</v>
      </c>
      <c r="D36" s="33" t="s">
        <v>2876</v>
      </c>
      <c r="E36" s="231">
        <v>1</v>
      </c>
      <c r="F36" s="230" t="s">
        <v>1128</v>
      </c>
      <c r="G36" s="232">
        <v>60</v>
      </c>
      <c r="H36" s="232">
        <v>37.037037037037038</v>
      </c>
      <c r="I36" s="231">
        <v>161</v>
      </c>
      <c r="J36" s="266">
        <f>_xlfn.XLOOKUP($I36,Inputs!$C$6:$C$23,Inputs!$D$6:$D$23)*$G36</f>
        <v>27</v>
      </c>
      <c r="K36" s="267">
        <f>IF((42.4*(H36)^(-0.6595))&gt;=3,3,(IF(42.4*(H36)^(-0.6595)&lt;=0.5,0.5,(42.4*(H36)^(-0.6595)))))</f>
        <v>3</v>
      </c>
      <c r="L36" s="99"/>
      <c r="M36" s="99"/>
      <c r="N36" s="99"/>
      <c r="O36" s="99"/>
      <c r="P36" s="69"/>
      <c r="Q36" s="305">
        <f>_xlfn.XLOOKUP($I36,Inputs!$G$6:$G$23,Inputs!J$6:J$23)*$K36</f>
        <v>192.96029776674939</v>
      </c>
      <c r="R36" s="305">
        <f>_xlfn.XLOOKUP($I36,Inputs!$G$6:$G$23,Inputs!K$6:K$23)*$K36</f>
        <v>212.46721311475409</v>
      </c>
      <c r="S36" s="230" t="s">
        <v>3565</v>
      </c>
      <c r="T36" s="51" t="s">
        <v>3566</v>
      </c>
      <c r="U36" s="230" t="s">
        <v>3561</v>
      </c>
      <c r="V36" s="51" t="s">
        <v>3560</v>
      </c>
      <c r="W36" s="19"/>
      <c r="X36" s="19"/>
      <c r="Y36" s="99">
        <v>1041</v>
      </c>
    </row>
    <row r="37" spans="2:45" s="7" customFormat="1" ht="20" x14ac:dyDescent="0.25">
      <c r="B37" s="150" t="s">
        <v>1296</v>
      </c>
      <c r="C37" s="33" t="s">
        <v>106</v>
      </c>
      <c r="D37" s="33" t="s">
        <v>2876</v>
      </c>
      <c r="E37" s="175">
        <v>1</v>
      </c>
      <c r="F37" s="151" t="s">
        <v>1128</v>
      </c>
      <c r="G37" s="152">
        <v>0.14325860000000001</v>
      </c>
      <c r="H37" s="152">
        <v>8.8431234567901237E-2</v>
      </c>
      <c r="I37" s="175">
        <v>69</v>
      </c>
      <c r="J37" s="266">
        <f>_xlfn.XLOOKUP($I37,Inputs!$C$6:$C$23,Inputs!$D$6:$D$23)*$G37</f>
        <v>5.5052233428571434E-2</v>
      </c>
      <c r="K37" s="255"/>
      <c r="L37" s="186">
        <v>828</v>
      </c>
      <c r="M37" s="186">
        <v>1003</v>
      </c>
      <c r="N37" s="99">
        <f t="shared" ref="N37:O43" si="7">(SQRT(3)*L37*$I37)/1000</f>
        <v>98.955526738025085</v>
      </c>
      <c r="O37" s="99">
        <f t="shared" si="7"/>
        <v>119.8700402394193</v>
      </c>
      <c r="P37" s="131">
        <v>0.9</v>
      </c>
      <c r="Q37" s="186">
        <f t="shared" ref="Q37:R40" si="8">N37*$P37</f>
        <v>89.059974064222573</v>
      </c>
      <c r="R37" s="186">
        <f t="shared" si="8"/>
        <v>107.88303621547738</v>
      </c>
      <c r="S37" s="151" t="s">
        <v>2554</v>
      </c>
      <c r="T37" s="51" t="s">
        <v>2207</v>
      </c>
      <c r="U37" s="151" t="s">
        <v>1575</v>
      </c>
      <c r="V37" s="51" t="s">
        <v>3365</v>
      </c>
      <c r="W37" s="19"/>
      <c r="X37" s="19"/>
      <c r="Y37" s="99">
        <v>847</v>
      </c>
    </row>
    <row r="38" spans="2:45" s="7" customFormat="1" ht="20" x14ac:dyDescent="0.25">
      <c r="B38" s="150" t="s">
        <v>1303</v>
      </c>
      <c r="C38" s="33" t="s">
        <v>106</v>
      </c>
      <c r="D38" s="33" t="s">
        <v>2876</v>
      </c>
      <c r="E38" s="175">
        <v>1</v>
      </c>
      <c r="F38" s="151" t="s">
        <v>1128</v>
      </c>
      <c r="G38" s="152">
        <v>0.13870979999999999</v>
      </c>
      <c r="H38" s="152">
        <v>8.5623333333333329E-2</v>
      </c>
      <c r="I38" s="175">
        <v>69</v>
      </c>
      <c r="J38" s="266">
        <f>_xlfn.XLOOKUP($I38,Inputs!$C$6:$C$23,Inputs!$D$6:$D$23)*$G38</f>
        <v>5.330419457142857E-2</v>
      </c>
      <c r="K38" s="255"/>
      <c r="L38" s="186">
        <v>433</v>
      </c>
      <c r="M38" s="186">
        <v>829</v>
      </c>
      <c r="N38" s="99">
        <f t="shared" si="7"/>
        <v>51.748481977735345</v>
      </c>
      <c r="O38" s="99">
        <f t="shared" si="7"/>
        <v>99.075038243747343</v>
      </c>
      <c r="P38" s="131">
        <v>0.9</v>
      </c>
      <c r="Q38" s="186">
        <f t="shared" si="8"/>
        <v>46.57363377996181</v>
      </c>
      <c r="R38" s="186">
        <f t="shared" si="8"/>
        <v>89.167534419372615</v>
      </c>
      <c r="S38" s="151" t="s">
        <v>2554</v>
      </c>
      <c r="T38" s="51" t="s">
        <v>2207</v>
      </c>
      <c r="U38" s="151" t="s">
        <v>1575</v>
      </c>
      <c r="V38" s="51" t="s">
        <v>3365</v>
      </c>
      <c r="W38" s="19"/>
      <c r="X38" s="19"/>
      <c r="Y38" s="99">
        <v>850</v>
      </c>
    </row>
    <row r="39" spans="2:45" s="7" customFormat="1" ht="20" x14ac:dyDescent="0.25">
      <c r="B39" s="150" t="s">
        <v>1295</v>
      </c>
      <c r="C39" s="33" t="s">
        <v>106</v>
      </c>
      <c r="D39" s="33" t="s">
        <v>2876</v>
      </c>
      <c r="E39" s="175">
        <v>1</v>
      </c>
      <c r="F39" s="151" t="s">
        <v>1128</v>
      </c>
      <c r="G39" s="152">
        <v>30</v>
      </c>
      <c r="H39" s="152">
        <v>18.518518518518519</v>
      </c>
      <c r="I39" s="175">
        <v>69</v>
      </c>
      <c r="J39" s="266">
        <f>_xlfn.XLOOKUP($I39,Inputs!$C$6:$C$23,Inputs!$D$6:$D$23)*$G39</f>
        <v>11.528571428571428</v>
      </c>
      <c r="K39" s="255"/>
      <c r="L39" s="186">
        <v>349</v>
      </c>
      <c r="M39" s="186">
        <v>453</v>
      </c>
      <c r="N39" s="99">
        <f t="shared" si="7"/>
        <v>41.709515497066128</v>
      </c>
      <c r="O39" s="99">
        <f t="shared" si="7"/>
        <v>54.138712092180391</v>
      </c>
      <c r="P39" s="131">
        <v>0.9</v>
      </c>
      <c r="Q39" s="186">
        <f t="shared" si="8"/>
        <v>37.538563947359513</v>
      </c>
      <c r="R39" s="186">
        <f t="shared" si="8"/>
        <v>48.724840882962354</v>
      </c>
      <c r="S39" s="151" t="s">
        <v>2553</v>
      </c>
      <c r="T39" s="51" t="s">
        <v>2210</v>
      </c>
      <c r="U39" s="151" t="s">
        <v>2554</v>
      </c>
      <c r="V39" s="51" t="s">
        <v>2207</v>
      </c>
      <c r="W39" s="19"/>
      <c r="X39" s="19"/>
      <c r="Y39" s="99">
        <v>846</v>
      </c>
    </row>
    <row r="40" spans="2:45" s="7" customFormat="1" ht="20" x14ac:dyDescent="0.25">
      <c r="B40" s="150" t="s">
        <v>1302</v>
      </c>
      <c r="C40" s="33" t="s">
        <v>106</v>
      </c>
      <c r="D40" s="33" t="s">
        <v>2876</v>
      </c>
      <c r="E40" s="175">
        <v>1</v>
      </c>
      <c r="F40" s="151" t="s">
        <v>1128</v>
      </c>
      <c r="G40" s="152">
        <v>12.52</v>
      </c>
      <c r="H40" s="152">
        <v>7.7283950617283939</v>
      </c>
      <c r="I40" s="175">
        <v>69</v>
      </c>
      <c r="J40" s="266">
        <f>_xlfn.XLOOKUP($I40,Inputs!$C$6:$C$23,Inputs!$D$6:$D$23)*$G40</f>
        <v>4.8112571428571425</v>
      </c>
      <c r="K40" s="255"/>
      <c r="L40" s="186">
        <v>629</v>
      </c>
      <c r="M40" s="186">
        <v>957</v>
      </c>
      <c r="N40" s="99">
        <f t="shared" si="7"/>
        <v>75.172737099296839</v>
      </c>
      <c r="O40" s="99">
        <f t="shared" si="7"/>
        <v>114.37251097619567</v>
      </c>
      <c r="P40" s="131">
        <v>0.9</v>
      </c>
      <c r="Q40" s="186">
        <f t="shared" si="8"/>
        <v>67.655463389367156</v>
      </c>
      <c r="R40" s="186">
        <f t="shared" si="8"/>
        <v>102.9352598785761</v>
      </c>
      <c r="S40" s="151" t="s">
        <v>1731</v>
      </c>
      <c r="T40" s="51" t="s">
        <v>3208</v>
      </c>
      <c r="U40" s="151" t="s">
        <v>2554</v>
      </c>
      <c r="V40" s="51" t="s">
        <v>2207</v>
      </c>
      <c r="W40" s="19"/>
      <c r="X40" s="19"/>
      <c r="Y40" s="99">
        <v>849</v>
      </c>
    </row>
    <row r="41" spans="2:45" s="7" customFormat="1" ht="20" x14ac:dyDescent="0.25">
      <c r="B41" s="150" t="s">
        <v>1430</v>
      </c>
      <c r="C41" s="33" t="s">
        <v>106</v>
      </c>
      <c r="D41" s="33" t="s">
        <v>2876</v>
      </c>
      <c r="E41" s="175">
        <v>1</v>
      </c>
      <c r="F41" s="151" t="s">
        <v>1128</v>
      </c>
      <c r="G41" s="152">
        <v>3.9881E-2</v>
      </c>
      <c r="H41" s="152">
        <v>2.4617901234567901E-2</v>
      </c>
      <c r="I41" s="175">
        <v>138</v>
      </c>
      <c r="J41" s="266">
        <f>_xlfn.XLOOKUP($I41,Inputs!$C$6:$C$23,Inputs!$D$6:$D$23)*$G41</f>
        <v>1.7291262142857144E-2</v>
      </c>
      <c r="K41" s="267">
        <f>IF((42.4*(H41)^(-0.6595))&gt;=3,3,(IF(42.4*(H41)^(-0.6595)&lt;=0.5,0.5,(42.4*(H41)^(-0.6595)))))</f>
        <v>3</v>
      </c>
      <c r="L41" s="99"/>
      <c r="M41" s="99"/>
      <c r="N41" s="99">
        <f t="shared" si="7"/>
        <v>0</v>
      </c>
      <c r="O41" s="99">
        <f t="shared" si="7"/>
        <v>0</v>
      </c>
      <c r="P41" s="131">
        <v>0.9</v>
      </c>
      <c r="Q41" s="305">
        <f>_xlfn.XLOOKUP($I41,Inputs!$G$6:$G$23,Inputs!J$6:J$23)*$K41</f>
        <v>141</v>
      </c>
      <c r="R41" s="305">
        <f>_xlfn.XLOOKUP($I41,Inputs!$G$6:$G$23,Inputs!K$6:K$23)*$K41</f>
        <v>156</v>
      </c>
      <c r="S41" s="151" t="s">
        <v>2431</v>
      </c>
      <c r="T41" s="51" t="s">
        <v>2082</v>
      </c>
      <c r="U41" s="151" t="s">
        <v>1576</v>
      </c>
      <c r="V41" s="51" t="s">
        <v>3366</v>
      </c>
      <c r="W41" s="19"/>
      <c r="X41" s="19"/>
      <c r="Y41" s="99">
        <v>203</v>
      </c>
    </row>
    <row r="42" spans="2:45" s="7" customFormat="1" ht="20" x14ac:dyDescent="0.25">
      <c r="B42" s="150" t="s">
        <v>1540</v>
      </c>
      <c r="C42" s="33" t="s">
        <v>106</v>
      </c>
      <c r="D42" s="33" t="s">
        <v>2876</v>
      </c>
      <c r="E42" s="175">
        <v>1</v>
      </c>
      <c r="F42" s="151" t="s">
        <v>1128</v>
      </c>
      <c r="G42" s="152">
        <v>6.9288799999999998E-2</v>
      </c>
      <c r="H42" s="152">
        <v>4.2770864197530858E-2</v>
      </c>
      <c r="I42" s="175">
        <v>138</v>
      </c>
      <c r="J42" s="266">
        <f>_xlfn.XLOOKUP($I42,Inputs!$C$6:$C$23,Inputs!$D$6:$D$23)*$G42</f>
        <v>3.0041644000000003E-2</v>
      </c>
      <c r="K42" s="267">
        <f>IF((42.4*(H42)^(-0.6595))&gt;=3,3,(IF(42.4*(H42)^(-0.6595)&lt;=0.5,0.5,(42.4*(H42)^(-0.6595)))))</f>
        <v>3</v>
      </c>
      <c r="L42" s="99"/>
      <c r="M42" s="99"/>
      <c r="N42" s="99">
        <f t="shared" si="7"/>
        <v>0</v>
      </c>
      <c r="O42" s="99">
        <f t="shared" si="7"/>
        <v>0</v>
      </c>
      <c r="P42" s="131">
        <v>0.9</v>
      </c>
      <c r="Q42" s="305">
        <f>_xlfn.XLOOKUP($I42,Inputs!$G$6:$G$23,Inputs!J$6:J$23)*$K42</f>
        <v>141</v>
      </c>
      <c r="R42" s="305">
        <f>_xlfn.XLOOKUP($I42,Inputs!$G$6:$G$23,Inputs!K$6:K$23)*$K42</f>
        <v>156</v>
      </c>
      <c r="S42" s="151" t="s">
        <v>2431</v>
      </c>
      <c r="T42" s="51" t="s">
        <v>2082</v>
      </c>
      <c r="U42" s="151" t="s">
        <v>1576</v>
      </c>
      <c r="V42" s="51" t="s">
        <v>3366</v>
      </c>
      <c r="W42" s="19"/>
      <c r="X42" s="19"/>
      <c r="Y42" s="99">
        <v>204</v>
      </c>
    </row>
    <row r="43" spans="2:45" s="7" customFormat="1" ht="20" x14ac:dyDescent="0.25">
      <c r="B43" s="150" t="s">
        <v>475</v>
      </c>
      <c r="C43" s="33" t="s">
        <v>106</v>
      </c>
      <c r="D43" s="33" t="s">
        <v>2876</v>
      </c>
      <c r="E43" s="175">
        <v>1</v>
      </c>
      <c r="F43" s="151" t="s">
        <v>1128</v>
      </c>
      <c r="G43" s="152">
        <v>25</v>
      </c>
      <c r="H43" s="152">
        <v>15.432098765432098</v>
      </c>
      <c r="I43" s="175">
        <v>138</v>
      </c>
      <c r="J43" s="266">
        <f>_xlfn.XLOOKUP($I43,Inputs!$C$6:$C$23,Inputs!$D$6:$D$23)*$G43</f>
        <v>10.839285714285715</v>
      </c>
      <c r="K43" s="255"/>
      <c r="L43" s="186">
        <v>254</v>
      </c>
      <c r="M43" s="186">
        <v>488</v>
      </c>
      <c r="N43" s="99">
        <f t="shared" si="7"/>
        <v>60.711844906904282</v>
      </c>
      <c r="O43" s="99">
        <f t="shared" si="7"/>
        <v>116.64322958491846</v>
      </c>
      <c r="P43" s="131">
        <v>0.9</v>
      </c>
      <c r="Q43" s="186">
        <f>N43*$P43</f>
        <v>54.640660416213855</v>
      </c>
      <c r="R43" s="186">
        <f>O43*$P43</f>
        <v>104.97890662642662</v>
      </c>
      <c r="S43" s="151" t="s">
        <v>2430</v>
      </c>
      <c r="T43" s="51" t="s">
        <v>2079</v>
      </c>
      <c r="U43" s="151" t="s">
        <v>2431</v>
      </c>
      <c r="V43" s="51" t="s">
        <v>2082</v>
      </c>
      <c r="W43" s="19"/>
      <c r="X43" s="19"/>
      <c r="Y43" s="99">
        <v>201</v>
      </c>
      <c r="AB43" s="10"/>
    </row>
    <row r="44" spans="2:45" s="7" customFormat="1" ht="20" x14ac:dyDescent="0.25">
      <c r="B44" s="230" t="s">
        <v>2674</v>
      </c>
      <c r="C44" s="51" t="s">
        <v>173</v>
      </c>
      <c r="D44" s="33" t="s">
        <v>2876</v>
      </c>
      <c r="E44" s="231">
        <v>1</v>
      </c>
      <c r="F44" s="230" t="s">
        <v>1128</v>
      </c>
      <c r="G44" s="232">
        <v>7.5</v>
      </c>
      <c r="H44" s="232">
        <v>4.6296296296296298</v>
      </c>
      <c r="I44" s="231">
        <v>63</v>
      </c>
      <c r="J44" s="266">
        <f>_xlfn.XLOOKUP($I44,Inputs!$C$6:$C$23,Inputs!$D$6:$D$23)*$G44</f>
        <v>2.85</v>
      </c>
      <c r="K44" s="267">
        <f>IF((42.4*(H44)^(-0.6595))&gt;=3,3,(IF(42.4*(H44)^(-0.6595)&lt;=0.5,0.5,(42.4*(H44)^(-0.6595)))))</f>
        <v>3</v>
      </c>
      <c r="L44" s="99"/>
      <c r="M44" s="99"/>
      <c r="N44" s="99"/>
      <c r="O44" s="99"/>
      <c r="P44" s="69"/>
      <c r="Q44" s="305">
        <f>_xlfn.XLOOKUP($I44,Inputs!$G$6:$G$23,Inputs!J$6:J$23)*$K44</f>
        <v>29.767499999999998</v>
      </c>
      <c r="R44" s="305">
        <f>_xlfn.XLOOKUP($I44,Inputs!$G$6:$G$23,Inputs!K$6:K$23)*$K44</f>
        <v>32.532786885245905</v>
      </c>
      <c r="S44" s="230" t="s">
        <v>2682</v>
      </c>
      <c r="T44" s="51" t="s">
        <v>3352</v>
      </c>
      <c r="U44" s="230" t="s">
        <v>2683</v>
      </c>
      <c r="V44" s="51" t="s">
        <v>3553</v>
      </c>
      <c r="W44" s="19"/>
      <c r="X44" s="19"/>
      <c r="Y44" s="99">
        <v>1102</v>
      </c>
    </row>
    <row r="45" spans="2:45" s="7" customFormat="1" ht="20" x14ac:dyDescent="0.25">
      <c r="B45" s="151" t="s">
        <v>1398</v>
      </c>
      <c r="C45" s="33" t="s">
        <v>106</v>
      </c>
      <c r="D45" s="33" t="s">
        <v>2876</v>
      </c>
      <c r="E45" s="175">
        <v>1</v>
      </c>
      <c r="F45" s="151" t="s">
        <v>1128</v>
      </c>
      <c r="G45" s="174">
        <v>1</v>
      </c>
      <c r="H45" s="152">
        <v>0.61728395061728392</v>
      </c>
      <c r="I45" s="175">
        <v>69</v>
      </c>
      <c r="J45" s="266">
        <f>_xlfn.XLOOKUP($I45,Inputs!$C$6:$C$23,Inputs!$D$6:$D$23)*$G45</f>
        <v>0.38428571428571429</v>
      </c>
      <c r="K45" s="255"/>
      <c r="L45" s="186">
        <v>317</v>
      </c>
      <c r="M45" s="186">
        <v>379</v>
      </c>
      <c r="N45" s="99">
        <f t="shared" ref="N45:N63" si="9">(SQRT(3)*L45*$I45)/1000</f>
        <v>37.88514731395405</v>
      </c>
      <c r="O45" s="99">
        <f t="shared" ref="O45:O63" si="10">(SQRT(3)*M45*$I45)/1000</f>
        <v>45.294860668733712</v>
      </c>
      <c r="P45" s="131">
        <v>0.9</v>
      </c>
      <c r="Q45" s="186">
        <f t="shared" ref="Q45:Q63" si="11">N45*$P45</f>
        <v>34.096632582558648</v>
      </c>
      <c r="R45" s="186">
        <f t="shared" ref="R45:R63" si="12">O45*$P45</f>
        <v>40.765374601860344</v>
      </c>
      <c r="S45" s="151" t="s">
        <v>2574</v>
      </c>
      <c r="T45" s="51" t="s">
        <v>2231</v>
      </c>
      <c r="U45" s="151" t="s">
        <v>1577</v>
      </c>
      <c r="V45" s="51" t="s">
        <v>3367</v>
      </c>
      <c r="W45" s="19"/>
      <c r="X45" s="19"/>
      <c r="Y45" s="99">
        <v>907</v>
      </c>
      <c r="AB45" s="10"/>
    </row>
    <row r="46" spans="2:45" s="7" customFormat="1" ht="20" x14ac:dyDescent="0.25">
      <c r="B46" s="150" t="s">
        <v>1331</v>
      </c>
      <c r="C46" s="33" t="s">
        <v>106</v>
      </c>
      <c r="D46" s="33" t="s">
        <v>2876</v>
      </c>
      <c r="E46" s="175">
        <v>1</v>
      </c>
      <c r="F46" s="151" t="s">
        <v>1128</v>
      </c>
      <c r="G46" s="152">
        <v>40</v>
      </c>
      <c r="H46" s="152">
        <v>24.691358024691358</v>
      </c>
      <c r="I46" s="175">
        <v>69</v>
      </c>
      <c r="J46" s="266">
        <f>_xlfn.XLOOKUP($I46,Inputs!$C$6:$C$23,Inputs!$D$6:$D$23)*$G46</f>
        <v>15.371428571428572</v>
      </c>
      <c r="K46" s="255"/>
      <c r="L46" s="186">
        <v>265</v>
      </c>
      <c r="M46" s="186">
        <v>441</v>
      </c>
      <c r="N46" s="99">
        <f t="shared" si="9"/>
        <v>31.670549016396919</v>
      </c>
      <c r="O46" s="99">
        <f t="shared" si="10"/>
        <v>52.704574023513366</v>
      </c>
      <c r="P46" s="131">
        <v>0.9</v>
      </c>
      <c r="Q46" s="186">
        <f t="shared" si="11"/>
        <v>28.503494114757228</v>
      </c>
      <c r="R46" s="186">
        <f t="shared" si="12"/>
        <v>47.434116621162033</v>
      </c>
      <c r="S46" s="151" t="s">
        <v>2573</v>
      </c>
      <c r="T46" s="51" t="s">
        <v>2232</v>
      </c>
      <c r="U46" s="151" t="s">
        <v>2574</v>
      </c>
      <c r="V46" s="51" t="s">
        <v>2231</v>
      </c>
      <c r="W46" s="19"/>
      <c r="X46" s="19"/>
      <c r="Y46" s="99">
        <v>906</v>
      </c>
    </row>
    <row r="47" spans="2:45" s="82" customFormat="1" ht="20" x14ac:dyDescent="0.2">
      <c r="B47" s="150" t="s">
        <v>1180</v>
      </c>
      <c r="C47" s="33" t="s">
        <v>106</v>
      </c>
      <c r="D47" s="33" t="s">
        <v>2876</v>
      </c>
      <c r="E47" s="175">
        <v>1</v>
      </c>
      <c r="F47" s="151" t="s">
        <v>1128</v>
      </c>
      <c r="G47" s="152">
        <v>1.5590344999999999</v>
      </c>
      <c r="H47" s="152">
        <v>0.96236697530864179</v>
      </c>
      <c r="I47" s="175">
        <v>69</v>
      </c>
      <c r="J47" s="266">
        <f>_xlfn.XLOOKUP($I47,Inputs!$C$6:$C$23,Inputs!$D$6:$D$23)*$G47</f>
        <v>0.59911468642857135</v>
      </c>
      <c r="K47" s="255"/>
      <c r="L47" s="186">
        <v>505</v>
      </c>
      <c r="M47" s="186">
        <v>605</v>
      </c>
      <c r="N47" s="99">
        <f t="shared" si="9"/>
        <v>60.353310389737523</v>
      </c>
      <c r="O47" s="99">
        <f t="shared" si="10"/>
        <v>72.304460961962775</v>
      </c>
      <c r="P47" s="131">
        <v>0.9</v>
      </c>
      <c r="Q47" s="186">
        <f t="shared" si="11"/>
        <v>54.317979350763771</v>
      </c>
      <c r="R47" s="186">
        <f t="shared" si="12"/>
        <v>65.0740148657665</v>
      </c>
      <c r="S47" s="151" t="s">
        <v>2502</v>
      </c>
      <c r="T47" s="51" t="s">
        <v>2160</v>
      </c>
      <c r="U47" s="151" t="s">
        <v>2025</v>
      </c>
      <c r="V47" s="51" t="s">
        <v>3610</v>
      </c>
      <c r="W47" s="19"/>
      <c r="X47" s="19"/>
      <c r="Y47" s="99">
        <v>641</v>
      </c>
    </row>
    <row r="48" spans="2:45" s="7" customFormat="1" ht="20" x14ac:dyDescent="0.25">
      <c r="B48" s="150" t="s">
        <v>1245</v>
      </c>
      <c r="C48" s="33" t="s">
        <v>106</v>
      </c>
      <c r="D48" s="33" t="s">
        <v>2876</v>
      </c>
      <c r="E48" s="175">
        <v>1</v>
      </c>
      <c r="F48" s="151" t="s">
        <v>1128</v>
      </c>
      <c r="G48" s="152">
        <v>1.5466788</v>
      </c>
      <c r="H48" s="152">
        <v>0.95473999999999992</v>
      </c>
      <c r="I48" s="175">
        <v>69</v>
      </c>
      <c r="J48" s="266">
        <f>_xlfn.XLOOKUP($I48,Inputs!$C$6:$C$23,Inputs!$D$6:$D$23)*$G48</f>
        <v>0.59436656742857141</v>
      </c>
      <c r="K48" s="255"/>
      <c r="L48" s="186">
        <v>500</v>
      </c>
      <c r="M48" s="186">
        <v>600</v>
      </c>
      <c r="N48" s="99">
        <f t="shared" si="9"/>
        <v>59.755752861126261</v>
      </c>
      <c r="O48" s="99">
        <f t="shared" si="10"/>
        <v>71.706903433351513</v>
      </c>
      <c r="P48" s="131">
        <v>0.9</v>
      </c>
      <c r="Q48" s="186">
        <f t="shared" si="11"/>
        <v>53.780177575013639</v>
      </c>
      <c r="R48" s="186">
        <f t="shared" si="12"/>
        <v>64.536213090016361</v>
      </c>
      <c r="S48" s="151" t="s">
        <v>2502</v>
      </c>
      <c r="T48" s="51" t="s">
        <v>2160</v>
      </c>
      <c r="U48" s="151" t="s">
        <v>2025</v>
      </c>
      <c r="V48" s="51" t="s">
        <v>3610</v>
      </c>
      <c r="W48" s="19"/>
      <c r="X48" s="19"/>
      <c r="Y48" s="99">
        <v>751</v>
      </c>
      <c r="AA48" s="124"/>
      <c r="AB48" s="59"/>
      <c r="AC48" s="98"/>
      <c r="AD48" s="98"/>
      <c r="AE48" s="25"/>
      <c r="AF48" s="83"/>
      <c r="AG48" s="98"/>
      <c r="AH48" s="98"/>
      <c r="AJ48" s="98"/>
      <c r="AK48" s="98"/>
      <c r="AO48" s="30"/>
      <c r="AS48" s="98"/>
    </row>
    <row r="49" spans="2:45" s="165" customFormat="1" ht="20" x14ac:dyDescent="0.2">
      <c r="B49" s="150" t="s">
        <v>1178</v>
      </c>
      <c r="C49" s="33" t="s">
        <v>106</v>
      </c>
      <c r="D49" s="33" t="s">
        <v>2876</v>
      </c>
      <c r="E49" s="175">
        <v>1</v>
      </c>
      <c r="F49" s="151" t="s">
        <v>1128</v>
      </c>
      <c r="G49" s="152">
        <v>1.5</v>
      </c>
      <c r="H49" s="152">
        <v>0.92592592592592582</v>
      </c>
      <c r="I49" s="175">
        <v>69</v>
      </c>
      <c r="J49" s="266">
        <f>_xlfn.XLOOKUP($I49,Inputs!$C$6:$C$23,Inputs!$D$6:$D$23)*$G49</f>
        <v>0.5764285714285714</v>
      </c>
      <c r="K49" s="255"/>
      <c r="L49" s="186">
        <v>810</v>
      </c>
      <c r="M49" s="3">
        <v>940</v>
      </c>
      <c r="N49" s="99">
        <f t="shared" si="9"/>
        <v>96.804319635024541</v>
      </c>
      <c r="O49" s="99">
        <f t="shared" si="10"/>
        <v>112.34081537891738</v>
      </c>
      <c r="P49" s="131">
        <v>0.9</v>
      </c>
      <c r="Q49" s="186">
        <f t="shared" si="11"/>
        <v>87.123887671522084</v>
      </c>
      <c r="R49" s="186">
        <f t="shared" si="12"/>
        <v>101.10673384102564</v>
      </c>
      <c r="S49" s="151" t="s">
        <v>2501</v>
      </c>
      <c r="T49" s="51" t="s">
        <v>2159</v>
      </c>
      <c r="U49" s="151" t="s">
        <v>2502</v>
      </c>
      <c r="V49" s="51" t="s">
        <v>2160</v>
      </c>
      <c r="W49" s="19"/>
      <c r="X49" s="19"/>
      <c r="Y49" s="99">
        <v>640</v>
      </c>
    </row>
    <row r="50" spans="2:45" s="7" customFormat="1" ht="20" x14ac:dyDescent="0.25">
      <c r="B50" s="150" t="s">
        <v>1243</v>
      </c>
      <c r="C50" s="33" t="s">
        <v>106</v>
      </c>
      <c r="D50" s="33" t="s">
        <v>2876</v>
      </c>
      <c r="E50" s="175">
        <v>1</v>
      </c>
      <c r="F50" s="151" t="s">
        <v>1128</v>
      </c>
      <c r="G50" s="152">
        <v>0.2</v>
      </c>
      <c r="H50" s="152">
        <v>0.12345679012345678</v>
      </c>
      <c r="I50" s="175">
        <v>69</v>
      </c>
      <c r="J50" s="266">
        <f>_xlfn.XLOOKUP($I50,Inputs!$C$6:$C$23,Inputs!$D$6:$D$23)*$G50</f>
        <v>7.685714285714286E-2</v>
      </c>
      <c r="K50" s="255"/>
      <c r="L50" s="186">
        <v>810</v>
      </c>
      <c r="M50" s="186">
        <v>940</v>
      </c>
      <c r="N50" s="99">
        <f t="shared" si="9"/>
        <v>96.804319635024541</v>
      </c>
      <c r="O50" s="99">
        <f t="shared" si="10"/>
        <v>112.34081537891738</v>
      </c>
      <c r="P50" s="131">
        <v>0.9</v>
      </c>
      <c r="Q50" s="186">
        <f t="shared" si="11"/>
        <v>87.123887671522084</v>
      </c>
      <c r="R50" s="186">
        <f t="shared" si="12"/>
        <v>101.10673384102564</v>
      </c>
      <c r="S50" s="151" t="s">
        <v>2501</v>
      </c>
      <c r="T50" s="51" t="s">
        <v>2159</v>
      </c>
      <c r="U50" s="151" t="s">
        <v>2502</v>
      </c>
      <c r="V50" s="51" t="s">
        <v>2160</v>
      </c>
      <c r="W50" s="19"/>
      <c r="X50" s="19"/>
      <c r="Y50" s="99">
        <v>750</v>
      </c>
      <c r="AA50" s="124"/>
      <c r="AB50" s="59"/>
      <c r="AC50" s="165"/>
      <c r="AD50" s="165"/>
      <c r="AE50" s="25"/>
      <c r="AF50" s="83"/>
      <c r="AG50" s="165"/>
      <c r="AH50" s="165"/>
      <c r="AJ50" s="165"/>
      <c r="AK50" s="165"/>
      <c r="AO50" s="30"/>
      <c r="AS50" s="165"/>
    </row>
    <row r="51" spans="2:45" ht="20" x14ac:dyDescent="0.2">
      <c r="B51" s="150" t="s">
        <v>513</v>
      </c>
      <c r="C51" s="33" t="s">
        <v>106</v>
      </c>
      <c r="D51" s="33" t="s">
        <v>2876</v>
      </c>
      <c r="E51" s="175">
        <v>1</v>
      </c>
      <c r="F51" s="151" t="s">
        <v>1128</v>
      </c>
      <c r="G51" s="152">
        <v>105.7431644</v>
      </c>
      <c r="H51" s="152">
        <v>65.273558271604927</v>
      </c>
      <c r="I51" s="175">
        <v>138</v>
      </c>
      <c r="J51" s="266">
        <f>_xlfn.XLOOKUP($I51,Inputs!$C$6:$C$23,Inputs!$D$6:$D$23)*$G51</f>
        <v>45.847214850571433</v>
      </c>
      <c r="K51" s="255"/>
      <c r="L51" s="186">
        <v>265</v>
      </c>
      <c r="M51" s="186">
        <v>440</v>
      </c>
      <c r="N51" s="99">
        <f t="shared" si="9"/>
        <v>63.341098032793838</v>
      </c>
      <c r="O51" s="99">
        <f t="shared" si="10"/>
        <v>105.17012503558223</v>
      </c>
      <c r="P51" s="131">
        <v>0.9</v>
      </c>
      <c r="Q51" s="186">
        <f t="shared" si="11"/>
        <v>57.006988229514455</v>
      </c>
      <c r="R51" s="186">
        <f t="shared" si="12"/>
        <v>94.653112532024011</v>
      </c>
      <c r="S51" s="151" t="s">
        <v>1884</v>
      </c>
      <c r="T51" s="51" t="s">
        <v>3328</v>
      </c>
      <c r="U51" s="151" t="s">
        <v>1578</v>
      </c>
      <c r="V51" s="51" t="s">
        <v>3215</v>
      </c>
      <c r="W51" s="19"/>
      <c r="X51" s="19"/>
      <c r="Y51" s="99">
        <v>326</v>
      </c>
    </row>
    <row r="52" spans="2:45" s="165" customFormat="1" ht="20" x14ac:dyDescent="0.2">
      <c r="B52" s="150" t="s">
        <v>514</v>
      </c>
      <c r="C52" s="33" t="s">
        <v>106</v>
      </c>
      <c r="D52" s="33" t="s">
        <v>2876</v>
      </c>
      <c r="E52" s="175">
        <v>1</v>
      </c>
      <c r="F52" s="151" t="s">
        <v>1128</v>
      </c>
      <c r="G52" s="152">
        <v>43.245447900000002</v>
      </c>
      <c r="H52" s="152">
        <v>26.694720925925925</v>
      </c>
      <c r="I52" s="175">
        <v>138</v>
      </c>
      <c r="J52" s="266">
        <f>_xlfn.XLOOKUP($I52,Inputs!$C$6:$C$23,Inputs!$D$6:$D$23)*$G52</f>
        <v>18.749990625214288</v>
      </c>
      <c r="K52" s="255"/>
      <c r="L52" s="186">
        <v>280</v>
      </c>
      <c r="M52" s="186">
        <v>450</v>
      </c>
      <c r="N52" s="99">
        <f t="shared" si="9"/>
        <v>66.926443204461421</v>
      </c>
      <c r="O52" s="99">
        <f t="shared" si="10"/>
        <v>107.56035515002728</v>
      </c>
      <c r="P52" s="131">
        <v>0.9</v>
      </c>
      <c r="Q52" s="186">
        <f t="shared" si="11"/>
        <v>60.233798884015279</v>
      </c>
      <c r="R52" s="186">
        <f t="shared" si="12"/>
        <v>96.804319635024555</v>
      </c>
      <c r="S52" s="151" t="s">
        <v>1918</v>
      </c>
      <c r="T52" s="51" t="s">
        <v>3344</v>
      </c>
      <c r="U52" s="151" t="s">
        <v>1579</v>
      </c>
      <c r="V52" s="51" t="s">
        <v>3541</v>
      </c>
      <c r="W52" s="19"/>
      <c r="X52" s="19"/>
      <c r="Y52" s="99">
        <v>327</v>
      </c>
    </row>
    <row r="53" spans="2:45" ht="20" x14ac:dyDescent="0.2">
      <c r="B53" s="150" t="s">
        <v>1141</v>
      </c>
      <c r="C53" s="33" t="s">
        <v>106</v>
      </c>
      <c r="D53" s="33" t="s">
        <v>2876</v>
      </c>
      <c r="E53" s="175">
        <v>1</v>
      </c>
      <c r="F53" s="151" t="s">
        <v>1128</v>
      </c>
      <c r="G53" s="152">
        <v>8.3453207000000003</v>
      </c>
      <c r="H53" s="152">
        <v>5.1514325308641977</v>
      </c>
      <c r="I53" s="175">
        <v>69</v>
      </c>
      <c r="J53" s="266">
        <f>_xlfn.XLOOKUP($I53,Inputs!$C$6:$C$23,Inputs!$D$6:$D$23)*$G53</f>
        <v>3.2069875261428571</v>
      </c>
      <c r="K53" s="255"/>
      <c r="L53" s="186">
        <v>215</v>
      </c>
      <c r="M53" s="186">
        <v>290</v>
      </c>
      <c r="N53" s="99">
        <f t="shared" si="9"/>
        <v>25.694973730284296</v>
      </c>
      <c r="O53" s="99">
        <f t="shared" si="10"/>
        <v>34.658336659453234</v>
      </c>
      <c r="P53" s="131">
        <v>0.9</v>
      </c>
      <c r="Q53" s="186">
        <f t="shared" si="11"/>
        <v>23.125476357255867</v>
      </c>
      <c r="R53" s="186">
        <f t="shared" si="12"/>
        <v>31.192502993507912</v>
      </c>
      <c r="S53" s="151" t="s">
        <v>2483</v>
      </c>
      <c r="T53" s="51" t="s">
        <v>2138</v>
      </c>
      <c r="U53" s="151" t="s">
        <v>1580</v>
      </c>
      <c r="V53" s="51" t="s">
        <v>3368</v>
      </c>
      <c r="W53" s="19"/>
      <c r="X53" s="19"/>
      <c r="Y53" s="99">
        <v>567</v>
      </c>
    </row>
    <row r="54" spans="2:45" s="185" customFormat="1" ht="20" x14ac:dyDescent="0.2">
      <c r="B54" s="150" t="s">
        <v>1142</v>
      </c>
      <c r="C54" s="33" t="s">
        <v>106</v>
      </c>
      <c r="D54" s="33" t="s">
        <v>2876</v>
      </c>
      <c r="E54" s="175">
        <v>1</v>
      </c>
      <c r="F54" s="151" t="s">
        <v>1128</v>
      </c>
      <c r="G54" s="152">
        <v>8.2252942999999998</v>
      </c>
      <c r="H54" s="152">
        <v>5.0773421604938269</v>
      </c>
      <c r="I54" s="175">
        <v>69</v>
      </c>
      <c r="J54" s="266">
        <f>_xlfn.XLOOKUP($I54,Inputs!$C$6:$C$23,Inputs!$D$6:$D$23)*$G54</f>
        <v>3.1608630952857144</v>
      </c>
      <c r="K54" s="255"/>
      <c r="L54" s="186">
        <v>215</v>
      </c>
      <c r="M54" s="186">
        <v>290</v>
      </c>
      <c r="N54" s="99">
        <f t="shared" si="9"/>
        <v>25.694973730284296</v>
      </c>
      <c r="O54" s="99">
        <f t="shared" si="10"/>
        <v>34.658336659453234</v>
      </c>
      <c r="P54" s="131">
        <v>0.9</v>
      </c>
      <c r="Q54" s="186">
        <f t="shared" si="11"/>
        <v>23.125476357255867</v>
      </c>
      <c r="R54" s="186">
        <f t="shared" si="12"/>
        <v>31.192502993507912</v>
      </c>
      <c r="S54" s="151" t="s">
        <v>2483</v>
      </c>
      <c r="T54" s="51" t="s">
        <v>2138</v>
      </c>
      <c r="U54" s="151" t="s">
        <v>1580</v>
      </c>
      <c r="V54" s="51" t="s">
        <v>3368</v>
      </c>
      <c r="W54" s="19"/>
      <c r="X54" s="19"/>
      <c r="Y54" s="99">
        <v>571</v>
      </c>
    </row>
    <row r="55" spans="2:45" s="185" customFormat="1" ht="20" x14ac:dyDescent="0.2">
      <c r="B55" s="150" t="s">
        <v>1141</v>
      </c>
      <c r="C55" s="33" t="s">
        <v>106</v>
      </c>
      <c r="D55" s="33" t="s">
        <v>2876</v>
      </c>
      <c r="E55" s="175">
        <v>1</v>
      </c>
      <c r="F55" s="151" t="s">
        <v>1128</v>
      </c>
      <c r="G55" s="152">
        <v>7</v>
      </c>
      <c r="H55" s="152">
        <v>4.3209876543209873</v>
      </c>
      <c r="I55" s="175">
        <v>69</v>
      </c>
      <c r="J55" s="266">
        <f>_xlfn.XLOOKUP($I55,Inputs!$C$6:$C$23,Inputs!$D$6:$D$23)*$G55</f>
        <v>2.69</v>
      </c>
      <c r="K55" s="255"/>
      <c r="L55" s="186">
        <v>735</v>
      </c>
      <c r="M55" s="186">
        <v>875</v>
      </c>
      <c r="N55" s="99">
        <f t="shared" si="9"/>
        <v>87.840956705855618</v>
      </c>
      <c r="O55" s="99">
        <f t="shared" si="10"/>
        <v>104.57256750697096</v>
      </c>
      <c r="P55" s="131">
        <v>0.9</v>
      </c>
      <c r="Q55" s="186">
        <f t="shared" si="11"/>
        <v>79.05686103527006</v>
      </c>
      <c r="R55" s="186">
        <f t="shared" si="12"/>
        <v>94.115310756273857</v>
      </c>
      <c r="S55" s="151" t="s">
        <v>1832</v>
      </c>
      <c r="T55" s="51" t="s">
        <v>3309</v>
      </c>
      <c r="U55" s="151" t="s">
        <v>2483</v>
      </c>
      <c r="V55" s="51" t="s">
        <v>2138</v>
      </c>
      <c r="W55" s="19"/>
      <c r="X55" s="19"/>
      <c r="Y55" s="99">
        <v>566</v>
      </c>
    </row>
    <row r="56" spans="2:45" s="185" customFormat="1" ht="20" x14ac:dyDescent="0.2">
      <c r="B56" s="150" t="s">
        <v>1142</v>
      </c>
      <c r="C56" s="33" t="s">
        <v>106</v>
      </c>
      <c r="D56" s="33" t="s">
        <v>2876</v>
      </c>
      <c r="E56" s="175">
        <v>1</v>
      </c>
      <c r="F56" s="151" t="s">
        <v>1128</v>
      </c>
      <c r="G56" s="152">
        <v>7</v>
      </c>
      <c r="H56" s="152">
        <v>4.3209876543209873</v>
      </c>
      <c r="I56" s="175">
        <v>69</v>
      </c>
      <c r="J56" s="266">
        <f>_xlfn.XLOOKUP($I56,Inputs!$C$6:$C$23,Inputs!$D$6:$D$23)*$G56</f>
        <v>2.69</v>
      </c>
      <c r="K56" s="255"/>
      <c r="L56" s="186">
        <v>730</v>
      </c>
      <c r="M56" s="186">
        <v>940</v>
      </c>
      <c r="N56" s="99">
        <f t="shared" si="9"/>
        <v>87.243399177244342</v>
      </c>
      <c r="O56" s="99">
        <f t="shared" si="10"/>
        <v>112.34081537891738</v>
      </c>
      <c r="P56" s="131">
        <v>0.9</v>
      </c>
      <c r="Q56" s="186">
        <f t="shared" si="11"/>
        <v>78.519059259519906</v>
      </c>
      <c r="R56" s="186">
        <f t="shared" si="12"/>
        <v>101.10673384102564</v>
      </c>
      <c r="S56" s="151" t="s">
        <v>1832</v>
      </c>
      <c r="T56" s="51" t="s">
        <v>3309</v>
      </c>
      <c r="U56" s="151" t="s">
        <v>2483</v>
      </c>
      <c r="V56" s="51" t="s">
        <v>2138</v>
      </c>
      <c r="W56" s="19"/>
      <c r="X56" s="19"/>
      <c r="Y56" s="99">
        <v>570</v>
      </c>
    </row>
    <row r="57" spans="2:45" s="185" customFormat="1" ht="20" x14ac:dyDescent="0.2">
      <c r="B57" s="151" t="s">
        <v>1395</v>
      </c>
      <c r="C57" s="33" t="s">
        <v>106</v>
      </c>
      <c r="D57" s="33" t="s">
        <v>2876</v>
      </c>
      <c r="E57" s="175">
        <v>1</v>
      </c>
      <c r="F57" s="151" t="s">
        <v>1128</v>
      </c>
      <c r="G57" s="174">
        <v>2</v>
      </c>
      <c r="H57" s="152">
        <v>1.2345679012345678</v>
      </c>
      <c r="I57" s="175">
        <v>69</v>
      </c>
      <c r="J57" s="266">
        <f>_xlfn.XLOOKUP($I57,Inputs!$C$6:$C$23,Inputs!$D$6:$D$23)*$G57</f>
        <v>0.76857142857142857</v>
      </c>
      <c r="K57" s="255"/>
      <c r="L57" s="186">
        <v>630</v>
      </c>
      <c r="M57" s="186">
        <v>810</v>
      </c>
      <c r="N57" s="99">
        <f t="shared" si="9"/>
        <v>75.292248605019097</v>
      </c>
      <c r="O57" s="99">
        <f t="shared" si="10"/>
        <v>96.804319635024541</v>
      </c>
      <c r="P57" s="131">
        <v>0.9</v>
      </c>
      <c r="Q57" s="186">
        <f t="shared" si="11"/>
        <v>67.763023744517184</v>
      </c>
      <c r="R57" s="186">
        <f t="shared" si="12"/>
        <v>87.123887671522084</v>
      </c>
      <c r="S57" s="151" t="s">
        <v>2484</v>
      </c>
      <c r="T57" s="51" t="s">
        <v>2141</v>
      </c>
      <c r="U57" s="151" t="s">
        <v>2483</v>
      </c>
      <c r="V57" s="51" t="s">
        <v>2138</v>
      </c>
      <c r="W57" s="19"/>
      <c r="X57" s="19"/>
      <c r="Y57" s="99">
        <v>578</v>
      </c>
    </row>
    <row r="58" spans="2:45" s="185" customFormat="1" ht="20" x14ac:dyDescent="0.2">
      <c r="B58" s="150" t="s">
        <v>1431</v>
      </c>
      <c r="C58" s="33" t="s">
        <v>106</v>
      </c>
      <c r="D58" s="33" t="s">
        <v>2876</v>
      </c>
      <c r="E58" s="175">
        <v>1</v>
      </c>
      <c r="F58" s="151" t="s">
        <v>1128</v>
      </c>
      <c r="G58" s="152">
        <v>0.16008310000000001</v>
      </c>
      <c r="H58" s="152">
        <v>9.8816728395061726E-2</v>
      </c>
      <c r="I58" s="175">
        <v>138</v>
      </c>
      <c r="J58" s="266">
        <f>_xlfn.XLOOKUP($I58,Inputs!$C$6:$C$23,Inputs!$D$6:$D$23)*$G58</f>
        <v>6.9407458357142862E-2</v>
      </c>
      <c r="K58" s="255"/>
      <c r="L58" s="186">
        <v>493</v>
      </c>
      <c r="M58" s="186">
        <v>627</v>
      </c>
      <c r="N58" s="99">
        <f t="shared" si="9"/>
        <v>117.838344642141</v>
      </c>
      <c r="O58" s="99">
        <f t="shared" si="10"/>
        <v>149.86742817570467</v>
      </c>
      <c r="P58" s="131">
        <v>0.9</v>
      </c>
      <c r="Q58" s="186">
        <f t="shared" si="11"/>
        <v>106.0545101779269</v>
      </c>
      <c r="R58" s="186">
        <f t="shared" si="12"/>
        <v>134.8806853581342</v>
      </c>
      <c r="S58" s="151" t="s">
        <v>2425</v>
      </c>
      <c r="T58" s="51" t="s">
        <v>2074</v>
      </c>
      <c r="U58" s="151" t="s">
        <v>1581</v>
      </c>
      <c r="V58" s="51" t="s">
        <v>3369</v>
      </c>
      <c r="W58" s="19"/>
      <c r="X58" s="19"/>
      <c r="Y58" s="99">
        <v>191</v>
      </c>
    </row>
    <row r="59" spans="2:45" s="165" customFormat="1" ht="20" x14ac:dyDescent="0.2">
      <c r="B59" s="150" t="s">
        <v>475</v>
      </c>
      <c r="C59" s="33" t="s">
        <v>106</v>
      </c>
      <c r="D59" s="33" t="s">
        <v>2876</v>
      </c>
      <c r="E59" s="175">
        <v>1</v>
      </c>
      <c r="F59" s="151" t="s">
        <v>1128</v>
      </c>
      <c r="G59" s="152">
        <v>35</v>
      </c>
      <c r="H59" s="152">
        <v>21.604938271604937</v>
      </c>
      <c r="I59" s="175">
        <v>138</v>
      </c>
      <c r="J59" s="266">
        <f>_xlfn.XLOOKUP($I59,Inputs!$C$6:$C$23,Inputs!$D$6:$D$23)*$G59</f>
        <v>15.175000000000001</v>
      </c>
      <c r="K59" s="255"/>
      <c r="L59" s="186">
        <v>484</v>
      </c>
      <c r="M59" s="186">
        <v>622</v>
      </c>
      <c r="N59" s="99">
        <f t="shared" si="9"/>
        <v>115.68713753914044</v>
      </c>
      <c r="O59" s="99">
        <f t="shared" si="10"/>
        <v>148.67231311848212</v>
      </c>
      <c r="P59" s="131">
        <v>0.9</v>
      </c>
      <c r="Q59" s="186">
        <f t="shared" si="11"/>
        <v>104.1184237852264</v>
      </c>
      <c r="R59" s="186">
        <f t="shared" si="12"/>
        <v>133.80508180663392</v>
      </c>
      <c r="S59" s="151" t="s">
        <v>2424</v>
      </c>
      <c r="T59" s="51" t="s">
        <v>2078</v>
      </c>
      <c r="U59" s="151" t="s">
        <v>2425</v>
      </c>
      <c r="V59" s="51" t="s">
        <v>2074</v>
      </c>
      <c r="W59" s="19"/>
      <c r="X59" s="19"/>
      <c r="Y59" s="99">
        <v>190</v>
      </c>
    </row>
    <row r="60" spans="2:45" ht="20" x14ac:dyDescent="0.2">
      <c r="B60" s="150" t="s">
        <v>1143</v>
      </c>
      <c r="C60" s="33" t="s">
        <v>106</v>
      </c>
      <c r="D60" s="33" t="s">
        <v>2876</v>
      </c>
      <c r="E60" s="175">
        <v>1</v>
      </c>
      <c r="F60" s="151" t="s">
        <v>1128</v>
      </c>
      <c r="G60" s="152">
        <v>25.79</v>
      </c>
      <c r="H60" s="152">
        <v>15.919753086419751</v>
      </c>
      <c r="I60" s="175">
        <v>69</v>
      </c>
      <c r="J60" s="266">
        <f>_xlfn.XLOOKUP($I60,Inputs!$C$6:$C$23,Inputs!$D$6:$D$23)*$G60</f>
        <v>9.9107285714285709</v>
      </c>
      <c r="K60" s="255"/>
      <c r="L60" s="186">
        <v>440</v>
      </c>
      <c r="M60" s="186">
        <v>555</v>
      </c>
      <c r="N60" s="99">
        <f t="shared" si="9"/>
        <v>52.585062517791116</v>
      </c>
      <c r="O60" s="99">
        <f t="shared" si="10"/>
        <v>66.328885675850145</v>
      </c>
      <c r="P60" s="131">
        <v>0.9</v>
      </c>
      <c r="Q60" s="186">
        <f t="shared" si="11"/>
        <v>47.326556266012005</v>
      </c>
      <c r="R60" s="186">
        <f t="shared" si="12"/>
        <v>59.695997108265132</v>
      </c>
      <c r="S60" s="151" t="s">
        <v>1908</v>
      </c>
      <c r="T60" s="51" t="s">
        <v>3338</v>
      </c>
      <c r="U60" s="151" t="s">
        <v>3693</v>
      </c>
      <c r="V60" s="51" t="s">
        <v>3719</v>
      </c>
      <c r="W60" s="19"/>
      <c r="X60" s="19"/>
      <c r="Y60" s="99">
        <v>583</v>
      </c>
    </row>
    <row r="61" spans="2:45" ht="20" x14ac:dyDescent="0.2">
      <c r="B61" s="150" t="s">
        <v>1143</v>
      </c>
      <c r="C61" s="33" t="s">
        <v>106</v>
      </c>
      <c r="D61" s="33" t="s">
        <v>2876</v>
      </c>
      <c r="E61" s="175">
        <v>1</v>
      </c>
      <c r="F61" s="151" t="s">
        <v>1128</v>
      </c>
      <c r="G61" s="152">
        <v>20</v>
      </c>
      <c r="H61" s="152">
        <v>12.345679012345679</v>
      </c>
      <c r="I61" s="175">
        <v>69</v>
      </c>
      <c r="J61" s="266">
        <f>_xlfn.XLOOKUP($I61,Inputs!$C$6:$C$23,Inputs!$D$6:$D$23)*$G61</f>
        <v>7.6857142857142859</v>
      </c>
      <c r="K61" s="255"/>
      <c r="L61" s="186">
        <v>440</v>
      </c>
      <c r="M61" s="186">
        <v>555</v>
      </c>
      <c r="N61" s="99">
        <f t="shared" si="9"/>
        <v>52.585062517791116</v>
      </c>
      <c r="O61" s="99">
        <f t="shared" si="10"/>
        <v>66.328885675850145</v>
      </c>
      <c r="P61" s="131">
        <v>0.9</v>
      </c>
      <c r="Q61" s="186">
        <f t="shared" si="11"/>
        <v>47.326556266012005</v>
      </c>
      <c r="R61" s="186">
        <f t="shared" si="12"/>
        <v>59.695997108265132</v>
      </c>
      <c r="S61" s="151" t="s">
        <v>2485</v>
      </c>
      <c r="T61" s="51" t="s">
        <v>2343</v>
      </c>
      <c r="U61" s="151" t="s">
        <v>2486</v>
      </c>
      <c r="V61" s="51" t="s">
        <v>2344</v>
      </c>
      <c r="W61" s="19"/>
      <c r="X61" s="19"/>
      <c r="Y61" s="99">
        <v>581</v>
      </c>
    </row>
    <row r="62" spans="2:45" s="165" customFormat="1" ht="20" x14ac:dyDescent="0.2">
      <c r="B62" s="150" t="s">
        <v>1182</v>
      </c>
      <c r="C62" s="33" t="s">
        <v>106</v>
      </c>
      <c r="D62" s="33" t="s">
        <v>2876</v>
      </c>
      <c r="E62" s="175">
        <v>1</v>
      </c>
      <c r="F62" s="151" t="s">
        <v>1128</v>
      </c>
      <c r="G62" s="152">
        <v>8.43</v>
      </c>
      <c r="H62" s="152">
        <v>5.2037037037037033</v>
      </c>
      <c r="I62" s="175">
        <v>69</v>
      </c>
      <c r="J62" s="266">
        <f>_xlfn.XLOOKUP($I62,Inputs!$C$6:$C$23,Inputs!$D$6:$D$23)*$G62</f>
        <v>3.2395285714285715</v>
      </c>
      <c r="K62" s="255"/>
      <c r="L62" s="186">
        <v>642</v>
      </c>
      <c r="M62" s="186">
        <v>692</v>
      </c>
      <c r="N62" s="99">
        <f t="shared" si="9"/>
        <v>76.726386673686122</v>
      </c>
      <c r="O62" s="99">
        <f t="shared" si="10"/>
        <v>82.701961959798751</v>
      </c>
      <c r="P62" s="131">
        <v>0.9</v>
      </c>
      <c r="Q62" s="186">
        <f t="shared" si="11"/>
        <v>69.053748006317505</v>
      </c>
      <c r="R62" s="186">
        <f t="shared" si="12"/>
        <v>74.431765763818873</v>
      </c>
      <c r="S62" s="151" t="s">
        <v>2503</v>
      </c>
      <c r="T62" s="51" t="s">
        <v>2162</v>
      </c>
      <c r="U62" s="151" t="s">
        <v>1582</v>
      </c>
      <c r="V62" s="51" t="s">
        <v>3216</v>
      </c>
      <c r="W62" s="19"/>
      <c r="X62" s="19"/>
      <c r="Y62" s="99">
        <v>646</v>
      </c>
    </row>
    <row r="63" spans="2:45" ht="20" x14ac:dyDescent="0.2">
      <c r="B63" s="150" t="s">
        <v>1261</v>
      </c>
      <c r="C63" s="33" t="s">
        <v>106</v>
      </c>
      <c r="D63" s="33" t="s">
        <v>2876</v>
      </c>
      <c r="E63" s="175">
        <v>1</v>
      </c>
      <c r="F63" s="151" t="s">
        <v>1128</v>
      </c>
      <c r="G63" s="152">
        <v>9.4152162000000015</v>
      </c>
      <c r="H63" s="152">
        <v>5.8118618518518526</v>
      </c>
      <c r="I63" s="175">
        <v>69</v>
      </c>
      <c r="J63" s="266">
        <f>_xlfn.XLOOKUP($I63,Inputs!$C$6:$C$23,Inputs!$D$6:$D$23)*$G63</f>
        <v>3.6181330825714291</v>
      </c>
      <c r="K63" s="255"/>
      <c r="L63" s="186">
        <v>750</v>
      </c>
      <c r="M63" s="186">
        <v>965</v>
      </c>
      <c r="N63" s="99">
        <f t="shared" si="9"/>
        <v>89.633629291689402</v>
      </c>
      <c r="O63" s="99">
        <f t="shared" si="10"/>
        <v>115.32860302197369</v>
      </c>
      <c r="P63" s="131">
        <v>0.9</v>
      </c>
      <c r="Q63" s="186">
        <f t="shared" si="11"/>
        <v>80.670266362520465</v>
      </c>
      <c r="R63" s="186">
        <f t="shared" si="12"/>
        <v>103.79574271977633</v>
      </c>
      <c r="S63" s="151" t="s">
        <v>1749</v>
      </c>
      <c r="T63" s="51" t="s">
        <v>3279</v>
      </c>
      <c r="U63" s="151" t="s">
        <v>1582</v>
      </c>
      <c r="V63" s="51" t="s">
        <v>3216</v>
      </c>
      <c r="W63" s="19"/>
      <c r="X63" s="19"/>
      <c r="Y63" s="99">
        <v>777</v>
      </c>
      <c r="AA63" s="29"/>
      <c r="AC63" s="29"/>
      <c r="AD63" s="29"/>
      <c r="AE63" s="29"/>
    </row>
    <row r="64" spans="2:45" ht="20" x14ac:dyDescent="0.2">
      <c r="B64" s="230" t="s">
        <v>1112</v>
      </c>
      <c r="C64" s="51" t="s">
        <v>173</v>
      </c>
      <c r="D64" s="33" t="s">
        <v>2876</v>
      </c>
      <c r="E64" s="231">
        <v>1</v>
      </c>
      <c r="F64" s="230" t="s">
        <v>1128</v>
      </c>
      <c r="G64" s="232">
        <v>27.5</v>
      </c>
      <c r="H64" s="232">
        <v>16.975308641975307</v>
      </c>
      <c r="I64" s="231">
        <v>138</v>
      </c>
      <c r="J64" s="266">
        <f>_xlfn.XLOOKUP($I64,Inputs!$C$6:$C$23,Inputs!$D$6:$D$23)*$G64</f>
        <v>11.923214285714288</v>
      </c>
      <c r="K64" s="267">
        <f>IF((42.4*(H64)^(-0.6595))&gt;=3,3,(IF(42.4*(H64)^(-0.6595)&lt;=0.5,0.5,(42.4*(H64)^(-0.6595)))))</f>
        <v>3</v>
      </c>
      <c r="L64" s="99"/>
      <c r="M64" s="99"/>
      <c r="N64" s="99"/>
      <c r="O64" s="99"/>
      <c r="P64" s="69"/>
      <c r="Q64" s="305">
        <f>_xlfn.XLOOKUP($I64,Inputs!$G$6:$G$23,Inputs!J$6:J$23)*$K64</f>
        <v>141</v>
      </c>
      <c r="R64" s="305">
        <f>_xlfn.XLOOKUP($I64,Inputs!$G$6:$G$23,Inputs!K$6:K$23)*$K64</f>
        <v>156</v>
      </c>
      <c r="S64" s="230" t="s">
        <v>2652</v>
      </c>
      <c r="T64" s="51" t="s">
        <v>3312</v>
      </c>
      <c r="U64" s="230" t="s">
        <v>2655</v>
      </c>
      <c r="V64" s="51" t="s">
        <v>3612</v>
      </c>
      <c r="W64" s="19"/>
      <c r="X64" s="19"/>
      <c r="Y64" s="99">
        <v>1094</v>
      </c>
    </row>
    <row r="65" spans="2:31" ht="20" x14ac:dyDescent="0.2">
      <c r="B65" s="150" t="s">
        <v>1357</v>
      </c>
      <c r="C65" s="33" t="s">
        <v>106</v>
      </c>
      <c r="D65" s="33" t="s">
        <v>2876</v>
      </c>
      <c r="E65" s="175">
        <v>1</v>
      </c>
      <c r="F65" s="151" t="s">
        <v>1128</v>
      </c>
      <c r="G65" s="152">
        <v>3.7443699999999996E-2</v>
      </c>
      <c r="H65" s="152">
        <v>2.3113395061728392E-2</v>
      </c>
      <c r="I65" s="175">
        <v>69</v>
      </c>
      <c r="J65" s="266">
        <f>_xlfn.XLOOKUP($I65,Inputs!$C$6:$C$23,Inputs!$D$6:$D$23)*$G65</f>
        <v>1.4389078999999999E-2</v>
      </c>
      <c r="K65" s="255"/>
      <c r="L65" s="186">
        <v>850</v>
      </c>
      <c r="M65" s="186">
        <v>1020</v>
      </c>
      <c r="N65" s="99">
        <f t="shared" ref="N65:N73" si="13">(SQRT(3)*L65*$I65)/1000</f>
        <v>101.58477986391465</v>
      </c>
      <c r="O65" s="99">
        <f t="shared" ref="O65:O73" si="14">(SQRT(3)*M65*$I65)/1000</f>
        <v>121.90173583669757</v>
      </c>
      <c r="P65" s="131">
        <v>0.9</v>
      </c>
      <c r="Q65" s="186">
        <f t="shared" ref="Q65:R68" si="15">N65*$P65</f>
        <v>91.426301877523187</v>
      </c>
      <c r="R65" s="186">
        <f t="shared" si="15"/>
        <v>109.71156225302781</v>
      </c>
      <c r="S65" s="151" t="s">
        <v>2589</v>
      </c>
      <c r="T65" s="51" t="s">
        <v>2248</v>
      </c>
      <c r="U65" s="151" t="s">
        <v>1584</v>
      </c>
      <c r="V65" s="51" t="s">
        <v>3607</v>
      </c>
      <c r="W65" s="19"/>
      <c r="X65" s="19"/>
      <c r="Y65" s="99">
        <v>946</v>
      </c>
      <c r="AA65" s="29"/>
      <c r="AC65" s="29"/>
      <c r="AD65" s="29"/>
      <c r="AE65" s="29"/>
    </row>
    <row r="66" spans="2:31" ht="20" x14ac:dyDescent="0.2">
      <c r="B66" s="150" t="s">
        <v>1362</v>
      </c>
      <c r="C66" s="33" t="s">
        <v>106</v>
      </c>
      <c r="D66" s="33" t="s">
        <v>2876</v>
      </c>
      <c r="E66" s="175">
        <v>1</v>
      </c>
      <c r="F66" s="151" t="s">
        <v>1128</v>
      </c>
      <c r="G66" s="152">
        <v>4.9927300000000001E-2</v>
      </c>
      <c r="H66" s="152">
        <v>3.081932098765432E-2</v>
      </c>
      <c r="I66" s="175">
        <v>69</v>
      </c>
      <c r="J66" s="266">
        <f>_xlfn.XLOOKUP($I66,Inputs!$C$6:$C$23,Inputs!$D$6:$D$23)*$G66</f>
        <v>1.9186348142857142E-2</v>
      </c>
      <c r="K66" s="255"/>
      <c r="L66" s="186">
        <v>850</v>
      </c>
      <c r="M66" s="186">
        <v>1020</v>
      </c>
      <c r="N66" s="99">
        <f t="shared" si="13"/>
        <v>101.58477986391465</v>
      </c>
      <c r="O66" s="99">
        <f t="shared" si="14"/>
        <v>121.90173583669757</v>
      </c>
      <c r="P66" s="131">
        <v>0.9</v>
      </c>
      <c r="Q66" s="186">
        <f t="shared" si="15"/>
        <v>91.426301877523187</v>
      </c>
      <c r="R66" s="186">
        <f t="shared" si="15"/>
        <v>109.71156225302781</v>
      </c>
      <c r="S66" s="151" t="s">
        <v>2589</v>
      </c>
      <c r="T66" s="51" t="s">
        <v>2248</v>
      </c>
      <c r="U66" s="151" t="s">
        <v>1584</v>
      </c>
      <c r="V66" s="51" t="s">
        <v>3607</v>
      </c>
      <c r="W66" s="19"/>
      <c r="X66" s="19"/>
      <c r="Y66" s="99">
        <v>954</v>
      </c>
      <c r="AA66" s="29"/>
      <c r="AC66" s="29"/>
      <c r="AD66" s="29"/>
      <c r="AE66" s="29"/>
    </row>
    <row r="67" spans="2:31" s="165" customFormat="1" ht="20" x14ac:dyDescent="0.2">
      <c r="B67" s="150" t="s">
        <v>1356</v>
      </c>
      <c r="C67" s="33" t="s">
        <v>106</v>
      </c>
      <c r="D67" s="33" t="s">
        <v>2876</v>
      </c>
      <c r="E67" s="175">
        <v>1</v>
      </c>
      <c r="F67" s="151" t="s">
        <v>1128</v>
      </c>
      <c r="G67" s="152">
        <v>13</v>
      </c>
      <c r="H67" s="152">
        <v>8.0246913580246915</v>
      </c>
      <c r="I67" s="175">
        <v>69</v>
      </c>
      <c r="J67" s="266">
        <f>_xlfn.XLOOKUP($I67,Inputs!$C$6:$C$23,Inputs!$D$6:$D$23)*$G67</f>
        <v>4.9957142857142856</v>
      </c>
      <c r="K67" s="255"/>
      <c r="L67" s="186">
        <v>850</v>
      </c>
      <c r="M67" s="186">
        <v>1020</v>
      </c>
      <c r="N67" s="99">
        <f t="shared" si="13"/>
        <v>101.58477986391465</v>
      </c>
      <c r="O67" s="99">
        <f t="shared" si="14"/>
        <v>121.90173583669757</v>
      </c>
      <c r="P67" s="131">
        <v>0.9</v>
      </c>
      <c r="Q67" s="186">
        <f t="shared" si="15"/>
        <v>91.426301877523187</v>
      </c>
      <c r="R67" s="186">
        <f t="shared" si="15"/>
        <v>109.71156225302781</v>
      </c>
      <c r="S67" s="151" t="s">
        <v>365</v>
      </c>
      <c r="T67" s="51" t="s">
        <v>3355</v>
      </c>
      <c r="U67" s="151" t="s">
        <v>2589</v>
      </c>
      <c r="V67" s="51" t="s">
        <v>2248</v>
      </c>
      <c r="W67" s="19"/>
      <c r="X67" s="19"/>
      <c r="Y67" s="99">
        <v>945</v>
      </c>
    </row>
    <row r="68" spans="2:31" ht="20" x14ac:dyDescent="0.2">
      <c r="B68" s="150" t="s">
        <v>1361</v>
      </c>
      <c r="C68" s="33" t="s">
        <v>106</v>
      </c>
      <c r="D68" s="33" t="s">
        <v>2876</v>
      </c>
      <c r="E68" s="175">
        <v>1</v>
      </c>
      <c r="F68" s="151" t="s">
        <v>1128</v>
      </c>
      <c r="G68" s="152">
        <v>13.5</v>
      </c>
      <c r="H68" s="152">
        <v>8.3333333333333321</v>
      </c>
      <c r="I68" s="175">
        <v>69</v>
      </c>
      <c r="J68" s="266">
        <f>_xlfn.XLOOKUP($I68,Inputs!$C$6:$C$23,Inputs!$D$6:$D$23)*$G68</f>
        <v>5.1878571428571432</v>
      </c>
      <c r="K68" s="255"/>
      <c r="L68" s="186">
        <v>850</v>
      </c>
      <c r="M68" s="186">
        <v>1020</v>
      </c>
      <c r="N68" s="99">
        <f t="shared" si="13"/>
        <v>101.58477986391465</v>
      </c>
      <c r="O68" s="99">
        <f t="shared" si="14"/>
        <v>121.90173583669757</v>
      </c>
      <c r="P68" s="131">
        <v>0.9</v>
      </c>
      <c r="Q68" s="186">
        <f t="shared" si="15"/>
        <v>91.426301877523187</v>
      </c>
      <c r="R68" s="186">
        <f t="shared" si="15"/>
        <v>109.71156225302781</v>
      </c>
      <c r="S68" s="151" t="s">
        <v>365</v>
      </c>
      <c r="T68" s="51" t="s">
        <v>3355</v>
      </c>
      <c r="U68" s="151" t="s">
        <v>2589</v>
      </c>
      <c r="V68" s="51" t="s">
        <v>2248</v>
      </c>
      <c r="W68" s="19"/>
      <c r="X68" s="19"/>
      <c r="Y68" s="99">
        <v>953</v>
      </c>
      <c r="AA68" s="29"/>
      <c r="AC68" s="29"/>
      <c r="AD68" s="29"/>
      <c r="AE68" s="29"/>
    </row>
    <row r="69" spans="2:31" ht="20" x14ac:dyDescent="0.2">
      <c r="B69" s="150" t="s">
        <v>618</v>
      </c>
      <c r="C69" s="33" t="s">
        <v>106</v>
      </c>
      <c r="D69" s="33" t="s">
        <v>2876</v>
      </c>
      <c r="E69" s="175">
        <v>1</v>
      </c>
      <c r="F69" s="151" t="s">
        <v>1128</v>
      </c>
      <c r="G69" s="152">
        <v>9.9169300000000002E-2</v>
      </c>
      <c r="H69" s="152">
        <v>6.1215617283950613E-2</v>
      </c>
      <c r="I69" s="175">
        <v>230</v>
      </c>
      <c r="J69" s="266">
        <f>_xlfn.XLOOKUP($I69,Inputs!$C$6:$C$23,Inputs!$D$6:$D$23)*$G69</f>
        <v>4.7601263999999997E-2</v>
      </c>
      <c r="K69" s="267">
        <f>IF((42.4*(H69)^(-0.6595))&gt;=3,3,(IF(42.4*(H69)^(-0.6595)&lt;=0.5,0.5,(42.4*(H69)^(-0.6595)))))</f>
        <v>3</v>
      </c>
      <c r="L69" s="99"/>
      <c r="M69" s="99"/>
      <c r="N69" s="99">
        <f t="shared" si="13"/>
        <v>0</v>
      </c>
      <c r="O69" s="99">
        <f t="shared" si="14"/>
        <v>0</v>
      </c>
      <c r="P69" s="131">
        <v>0.9</v>
      </c>
      <c r="Q69" s="305">
        <f>_xlfn.XLOOKUP($I69,Inputs!$G$6:$G$23,Inputs!J$6:J$23)*$K69</f>
        <v>402</v>
      </c>
      <c r="R69" s="305">
        <f>_xlfn.XLOOKUP($I69,Inputs!$G$6:$G$23,Inputs!K$6:K$23)*$K69</f>
        <v>435</v>
      </c>
      <c r="S69" s="151" t="s">
        <v>274</v>
      </c>
      <c r="T69" s="51" t="s">
        <v>3343</v>
      </c>
      <c r="U69" s="151" t="s">
        <v>1585</v>
      </c>
      <c r="V69" s="51" t="s">
        <v>3613</v>
      </c>
      <c r="W69" s="19"/>
      <c r="X69" s="19"/>
      <c r="Y69" s="99">
        <v>484</v>
      </c>
      <c r="AA69" s="29"/>
      <c r="AC69" s="29"/>
      <c r="AD69" s="29"/>
      <c r="AE69" s="29"/>
    </row>
    <row r="70" spans="2:31" s="165" customFormat="1" ht="20" x14ac:dyDescent="0.2">
      <c r="B70" s="150" t="s">
        <v>2378</v>
      </c>
      <c r="C70" s="33" t="s">
        <v>106</v>
      </c>
      <c r="D70" s="33" t="s">
        <v>2876</v>
      </c>
      <c r="E70" s="175">
        <v>1</v>
      </c>
      <c r="F70" s="151" t="s">
        <v>1128</v>
      </c>
      <c r="G70" s="152">
        <v>0.5</v>
      </c>
      <c r="H70" s="152">
        <v>0.30864197530864196</v>
      </c>
      <c r="I70" s="175">
        <v>230</v>
      </c>
      <c r="J70" s="266">
        <f>_xlfn.XLOOKUP($I70,Inputs!$C$6:$C$23,Inputs!$D$6:$D$23)*$G70</f>
        <v>0.24</v>
      </c>
      <c r="K70" s="255"/>
      <c r="L70" s="186">
        <v>1047</v>
      </c>
      <c r="M70" s="186">
        <v>1274</v>
      </c>
      <c r="N70" s="99">
        <f t="shared" si="13"/>
        <v>417.09515497066133</v>
      </c>
      <c r="O70" s="99">
        <f t="shared" si="14"/>
        <v>507.52552763383244</v>
      </c>
      <c r="P70" s="131">
        <v>0.9</v>
      </c>
      <c r="Q70" s="186">
        <f t="shared" ref="Q70:R73" si="16">N70*$P70</f>
        <v>375.38563947359518</v>
      </c>
      <c r="R70" s="186">
        <f t="shared" si="16"/>
        <v>456.77297487044922</v>
      </c>
      <c r="S70" s="151" t="s">
        <v>2474</v>
      </c>
      <c r="T70" s="51" t="s">
        <v>2377</v>
      </c>
      <c r="U70" s="151" t="s">
        <v>2291</v>
      </c>
      <c r="V70" s="179" t="s">
        <v>3092</v>
      </c>
      <c r="W70" s="19"/>
      <c r="X70" s="19"/>
      <c r="Y70" s="99">
        <v>385</v>
      </c>
    </row>
    <row r="71" spans="2:31" s="165" customFormat="1" ht="20" x14ac:dyDescent="0.2">
      <c r="B71" s="150" t="s">
        <v>2376</v>
      </c>
      <c r="C71" s="33" t="s">
        <v>106</v>
      </c>
      <c r="D71" s="33" t="s">
        <v>2876</v>
      </c>
      <c r="E71" s="175">
        <v>1</v>
      </c>
      <c r="F71" s="151" t="s">
        <v>1128</v>
      </c>
      <c r="G71" s="152">
        <v>40</v>
      </c>
      <c r="H71" s="152">
        <v>24.691358024691358</v>
      </c>
      <c r="I71" s="175">
        <v>230</v>
      </c>
      <c r="J71" s="266">
        <f>_xlfn.XLOOKUP($I71,Inputs!$C$6:$C$23,Inputs!$D$6:$D$23)*$G71</f>
        <v>19.2</v>
      </c>
      <c r="K71" s="255"/>
      <c r="L71" s="186">
        <v>1047</v>
      </c>
      <c r="M71" s="186">
        <v>1274</v>
      </c>
      <c r="N71" s="99">
        <f t="shared" si="13"/>
        <v>417.09515497066133</v>
      </c>
      <c r="O71" s="99">
        <f t="shared" si="14"/>
        <v>507.52552763383244</v>
      </c>
      <c r="P71" s="131">
        <v>0.9</v>
      </c>
      <c r="Q71" s="186">
        <f t="shared" si="16"/>
        <v>375.38563947359518</v>
      </c>
      <c r="R71" s="186">
        <f t="shared" si="16"/>
        <v>456.77297487044922</v>
      </c>
      <c r="S71" s="151" t="s">
        <v>1913</v>
      </c>
      <c r="T71" s="51" t="s">
        <v>3198</v>
      </c>
      <c r="U71" s="151" t="s">
        <v>2474</v>
      </c>
      <c r="V71" s="179" t="s">
        <v>2377</v>
      </c>
      <c r="W71" s="19"/>
      <c r="X71" s="19"/>
      <c r="Y71" s="99">
        <v>384</v>
      </c>
    </row>
    <row r="72" spans="2:31" ht="20" x14ac:dyDescent="0.2">
      <c r="B72" s="150" t="s">
        <v>1478</v>
      </c>
      <c r="C72" s="33" t="s">
        <v>106</v>
      </c>
      <c r="D72" s="33" t="s">
        <v>2876</v>
      </c>
      <c r="E72" s="175">
        <v>1</v>
      </c>
      <c r="F72" s="151" t="s">
        <v>1128</v>
      </c>
      <c r="G72" s="152">
        <v>0.72880840000000002</v>
      </c>
      <c r="H72" s="152">
        <v>0.44988172839506169</v>
      </c>
      <c r="I72" s="175">
        <v>138</v>
      </c>
      <c r="J72" s="266">
        <f>_xlfn.XLOOKUP($I72,Inputs!$C$6:$C$23,Inputs!$D$6:$D$23)*$G72</f>
        <v>0.31599049914285721</v>
      </c>
      <c r="K72" s="255"/>
      <c r="L72" s="186">
        <v>710</v>
      </c>
      <c r="M72" s="186">
        <v>920</v>
      </c>
      <c r="N72" s="99">
        <f t="shared" si="13"/>
        <v>169.70633812559859</v>
      </c>
      <c r="O72" s="99">
        <f t="shared" si="14"/>
        <v>219.90117052894468</v>
      </c>
      <c r="P72" s="131">
        <v>0.9</v>
      </c>
      <c r="Q72" s="186">
        <f t="shared" si="16"/>
        <v>152.73570431303872</v>
      </c>
      <c r="R72" s="186">
        <f t="shared" si="16"/>
        <v>197.9110534760502</v>
      </c>
      <c r="S72" s="151" t="s">
        <v>2441</v>
      </c>
      <c r="T72" s="51" t="s">
        <v>2092</v>
      </c>
      <c r="U72" s="151" t="s">
        <v>1586</v>
      </c>
      <c r="V72" s="51" t="s">
        <v>3692</v>
      </c>
      <c r="W72" s="19"/>
      <c r="X72" s="19"/>
      <c r="Y72" s="99">
        <v>239</v>
      </c>
      <c r="AA72" s="29"/>
      <c r="AC72" s="29"/>
      <c r="AD72" s="29"/>
      <c r="AE72" s="29"/>
    </row>
    <row r="73" spans="2:31" s="165" customFormat="1" ht="20" x14ac:dyDescent="0.2">
      <c r="B73" s="150" t="s">
        <v>485</v>
      </c>
      <c r="C73" s="33" t="s">
        <v>106</v>
      </c>
      <c r="D73" s="33" t="s">
        <v>2876</v>
      </c>
      <c r="E73" s="175">
        <v>1</v>
      </c>
      <c r="F73" s="151" t="s">
        <v>1128</v>
      </c>
      <c r="G73" s="152">
        <v>13.23</v>
      </c>
      <c r="H73" s="152">
        <v>8.1666666666666661</v>
      </c>
      <c r="I73" s="175">
        <v>138</v>
      </c>
      <c r="J73" s="266">
        <f>_xlfn.XLOOKUP($I73,Inputs!$C$6:$C$23,Inputs!$D$6:$D$23)*$G73</f>
        <v>5.7361500000000003</v>
      </c>
      <c r="K73" s="255"/>
      <c r="L73" s="186">
        <v>710</v>
      </c>
      <c r="M73" s="186">
        <v>920</v>
      </c>
      <c r="N73" s="99">
        <f t="shared" si="13"/>
        <v>169.70633812559859</v>
      </c>
      <c r="O73" s="99">
        <f t="shared" si="14"/>
        <v>219.90117052894468</v>
      </c>
      <c r="P73" s="131">
        <v>0.9</v>
      </c>
      <c r="Q73" s="186">
        <f t="shared" si="16"/>
        <v>152.73570431303872</v>
      </c>
      <c r="R73" s="186">
        <f t="shared" si="16"/>
        <v>197.9110534760502</v>
      </c>
      <c r="S73" s="151" t="s">
        <v>2440</v>
      </c>
      <c r="T73" s="51" t="s">
        <v>2093</v>
      </c>
      <c r="U73" s="151" t="s">
        <v>2441</v>
      </c>
      <c r="V73" s="51" t="s">
        <v>2092</v>
      </c>
      <c r="W73" s="19"/>
      <c r="X73" s="19"/>
      <c r="Y73" s="99">
        <v>238</v>
      </c>
    </row>
    <row r="74" spans="2:31" s="165" customFormat="1" ht="20" x14ac:dyDescent="0.2">
      <c r="B74" s="230" t="s">
        <v>1112</v>
      </c>
      <c r="C74" s="51" t="s">
        <v>173</v>
      </c>
      <c r="D74" s="33" t="s">
        <v>2876</v>
      </c>
      <c r="E74" s="231">
        <v>1</v>
      </c>
      <c r="F74" s="230" t="s">
        <v>1128</v>
      </c>
      <c r="G74" s="232">
        <v>24</v>
      </c>
      <c r="H74" s="232">
        <v>14.814814814814813</v>
      </c>
      <c r="I74" s="231">
        <v>138</v>
      </c>
      <c r="J74" s="266">
        <f>_xlfn.XLOOKUP($I74,Inputs!$C$6:$C$23,Inputs!$D$6:$D$23)*$G74</f>
        <v>10.405714285714286</v>
      </c>
      <c r="K74" s="267">
        <f>IF((42.4*(H74)^(-0.6595))&gt;=3,3,(IF(42.4*(H74)^(-0.6595)&lt;=0.5,0.5,(42.4*(H74)^(-0.6595)))))</f>
        <v>3</v>
      </c>
      <c r="L74" s="99"/>
      <c r="M74" s="99"/>
      <c r="N74" s="99"/>
      <c r="O74" s="99"/>
      <c r="P74" s="69"/>
      <c r="Q74" s="305">
        <f>_xlfn.XLOOKUP($I74,Inputs!$G$6:$G$23,Inputs!J$6:J$23)*$K74</f>
        <v>141</v>
      </c>
      <c r="R74" s="305">
        <f>_xlfn.XLOOKUP($I74,Inputs!$G$6:$G$23,Inputs!K$6:K$23)*$K74</f>
        <v>156</v>
      </c>
      <c r="S74" s="230" t="s">
        <v>2657</v>
      </c>
      <c r="T74" s="51" t="s">
        <v>3276</v>
      </c>
      <c r="U74" s="230" t="s">
        <v>3562</v>
      </c>
      <c r="V74" s="51" t="s">
        <v>3563</v>
      </c>
      <c r="W74" s="19"/>
      <c r="X74" s="19"/>
      <c r="Y74" s="99">
        <v>1098</v>
      </c>
    </row>
    <row r="75" spans="2:31" ht="20" x14ac:dyDescent="0.2">
      <c r="B75" s="230" t="s">
        <v>2708</v>
      </c>
      <c r="C75" s="51" t="s">
        <v>173</v>
      </c>
      <c r="D75" s="33" t="s">
        <v>2876</v>
      </c>
      <c r="E75" s="231">
        <v>1</v>
      </c>
      <c r="F75" s="230" t="s">
        <v>1128</v>
      </c>
      <c r="G75" s="232">
        <v>8.5</v>
      </c>
      <c r="H75" s="232">
        <v>5.2469135802469129</v>
      </c>
      <c r="I75" s="231">
        <v>63</v>
      </c>
      <c r="J75" s="266">
        <f>_xlfn.XLOOKUP($I75,Inputs!$C$6:$C$23,Inputs!$D$6:$D$23)*$G75</f>
        <v>3.23</v>
      </c>
      <c r="K75" s="267">
        <f>IF((42.4*(H75)^(-0.6595))&gt;=3,3,(IF(42.4*(H75)^(-0.6595)&lt;=0.5,0.5,(42.4*(H75)^(-0.6595)))))</f>
        <v>3</v>
      </c>
      <c r="L75" s="99"/>
      <c r="M75" s="99"/>
      <c r="N75" s="99"/>
      <c r="O75" s="99"/>
      <c r="P75" s="69"/>
      <c r="Q75" s="305">
        <f>_xlfn.XLOOKUP($I75,Inputs!$G$6:$G$23,Inputs!J$6:J$23)*$K75</f>
        <v>29.767499999999998</v>
      </c>
      <c r="R75" s="305">
        <f>_xlfn.XLOOKUP($I75,Inputs!$G$6:$G$23,Inputs!K$6:K$23)*$K75</f>
        <v>32.532786885245905</v>
      </c>
      <c r="S75" s="230" t="s">
        <v>3604</v>
      </c>
      <c r="T75" s="51" t="s">
        <v>3605</v>
      </c>
      <c r="U75" s="230" t="s">
        <v>2709</v>
      </c>
      <c r="V75" s="51" t="s">
        <v>3218</v>
      </c>
      <c r="W75" s="19"/>
      <c r="X75" s="19"/>
      <c r="Y75" s="99">
        <v>1053</v>
      </c>
      <c r="AA75" s="29"/>
      <c r="AC75" s="29"/>
      <c r="AD75" s="29"/>
      <c r="AE75" s="29"/>
    </row>
    <row r="76" spans="2:31" s="165" customFormat="1" ht="20" x14ac:dyDescent="0.2">
      <c r="B76" s="230" t="s">
        <v>2711</v>
      </c>
      <c r="C76" s="51" t="s">
        <v>173</v>
      </c>
      <c r="D76" s="33" t="s">
        <v>2876</v>
      </c>
      <c r="E76" s="231">
        <v>1</v>
      </c>
      <c r="F76" s="230" t="s">
        <v>1128</v>
      </c>
      <c r="G76" s="232">
        <v>5.5</v>
      </c>
      <c r="H76" s="232">
        <v>3.3950617283950617</v>
      </c>
      <c r="I76" s="231">
        <v>63</v>
      </c>
      <c r="J76" s="266">
        <f>_xlfn.XLOOKUP($I76,Inputs!$C$6:$C$23,Inputs!$D$6:$D$23)*$G76</f>
        <v>2.09</v>
      </c>
      <c r="K76" s="267">
        <f>IF((42.4*(H76)^(-0.6595))&gt;=3,3,(IF(42.4*(H76)^(-0.6595)&lt;=0.5,0.5,(42.4*(H76)^(-0.6595)))))</f>
        <v>3</v>
      </c>
      <c r="L76" s="99"/>
      <c r="M76" s="99"/>
      <c r="N76" s="99"/>
      <c r="O76" s="99"/>
      <c r="P76" s="69"/>
      <c r="Q76" s="305">
        <f>_xlfn.XLOOKUP($I76,Inputs!$G$6:$G$23,Inputs!J$6:J$23)*$K76</f>
        <v>29.767499999999998</v>
      </c>
      <c r="R76" s="305">
        <f>_xlfn.XLOOKUP($I76,Inputs!$G$6:$G$23,Inputs!K$6:K$23)*$K76</f>
        <v>32.532786885245905</v>
      </c>
      <c r="S76" s="230" t="s">
        <v>2710</v>
      </c>
      <c r="T76" s="51" t="s">
        <v>3255</v>
      </c>
      <c r="U76" s="230" t="s">
        <v>2709</v>
      </c>
      <c r="V76" s="51" t="s">
        <v>3218</v>
      </c>
      <c r="W76" s="19"/>
      <c r="X76" s="19"/>
      <c r="Y76" s="99">
        <v>1057</v>
      </c>
    </row>
    <row r="77" spans="2:31" ht="20" x14ac:dyDescent="0.2">
      <c r="B77" s="150" t="s">
        <v>476</v>
      </c>
      <c r="C77" s="33" t="s">
        <v>106</v>
      </c>
      <c r="D77" s="33" t="s">
        <v>2876</v>
      </c>
      <c r="E77" s="175">
        <v>1</v>
      </c>
      <c r="F77" s="151" t="s">
        <v>1128</v>
      </c>
      <c r="G77" s="152">
        <v>22</v>
      </c>
      <c r="H77" s="152">
        <v>13.580246913580247</v>
      </c>
      <c r="I77" s="175">
        <v>138</v>
      </c>
      <c r="J77" s="266">
        <f>_xlfn.XLOOKUP($I77,Inputs!$C$6:$C$23,Inputs!$D$6:$D$23)*$G77</f>
        <v>9.53857142857143</v>
      </c>
      <c r="K77" s="255"/>
      <c r="L77" s="186">
        <v>1052</v>
      </c>
      <c r="M77" s="186">
        <v>1347</v>
      </c>
      <c r="N77" s="99">
        <f>(SQRT(3)*L77*$I77)/1000</f>
        <v>251.45220803961931</v>
      </c>
      <c r="O77" s="99">
        <f>(SQRT(3)*M77*$I77)/1000</f>
        <v>321.96399641574828</v>
      </c>
      <c r="P77" s="131">
        <v>0.9</v>
      </c>
      <c r="Q77" s="186">
        <f>N77*$P77</f>
        <v>226.30698723565737</v>
      </c>
      <c r="R77" s="186">
        <f>O77*$P77</f>
        <v>289.76759677417346</v>
      </c>
      <c r="S77" s="151" t="s">
        <v>2434</v>
      </c>
      <c r="T77" s="51" t="s">
        <v>2084</v>
      </c>
      <c r="U77" s="151" t="s">
        <v>1587</v>
      </c>
      <c r="V77" s="51" t="s">
        <v>3219</v>
      </c>
      <c r="W77" s="19"/>
      <c r="X77" s="19"/>
      <c r="Y77" s="99">
        <v>211</v>
      </c>
      <c r="AA77" s="29"/>
      <c r="AC77" s="29"/>
      <c r="AD77" s="29"/>
      <c r="AE77" s="29"/>
    </row>
    <row r="78" spans="2:31" ht="20" x14ac:dyDescent="0.2">
      <c r="B78" s="230" t="s">
        <v>2636</v>
      </c>
      <c r="C78" s="51" t="s">
        <v>173</v>
      </c>
      <c r="D78" s="33" t="s">
        <v>2876</v>
      </c>
      <c r="E78" s="231">
        <v>1</v>
      </c>
      <c r="F78" s="230" t="s">
        <v>1128</v>
      </c>
      <c r="G78" s="232">
        <v>2.5</v>
      </c>
      <c r="H78" s="232">
        <v>1.5432098765432098</v>
      </c>
      <c r="I78" s="231">
        <v>138</v>
      </c>
      <c r="J78" s="266">
        <f>_xlfn.XLOOKUP($I78,Inputs!$C$6:$C$23,Inputs!$D$6:$D$23)*$G78</f>
        <v>1.0839285714285716</v>
      </c>
      <c r="K78" s="267">
        <f>IF((42.4*(H78)^(-0.6595))&gt;=3,3,(IF(42.4*(H78)^(-0.6595)&lt;=0.5,0.5,(42.4*(H78)^(-0.6595)))))</f>
        <v>3</v>
      </c>
      <c r="L78" s="99"/>
      <c r="M78" s="99"/>
      <c r="N78" s="99"/>
      <c r="O78" s="99"/>
      <c r="P78" s="69"/>
      <c r="Q78" s="305">
        <f>_xlfn.XLOOKUP($I78,Inputs!$G$6:$G$23,Inputs!J$6:J$23)*$K78</f>
        <v>141</v>
      </c>
      <c r="R78" s="305">
        <f>_xlfn.XLOOKUP($I78,Inputs!$G$6:$G$23,Inputs!K$6:K$23)*$K78</f>
        <v>156</v>
      </c>
      <c r="S78" s="230" t="s">
        <v>2637</v>
      </c>
      <c r="T78" s="51" t="s">
        <v>3303</v>
      </c>
      <c r="U78" s="230" t="s">
        <v>2638</v>
      </c>
      <c r="V78" s="51" t="s">
        <v>3220</v>
      </c>
      <c r="W78" s="19"/>
      <c r="X78" s="19"/>
      <c r="Y78" s="99">
        <v>1115</v>
      </c>
      <c r="AA78" s="29"/>
      <c r="AC78" s="29"/>
      <c r="AD78" s="29"/>
      <c r="AE78" s="29"/>
    </row>
    <row r="79" spans="2:31" s="165" customFormat="1" ht="20" x14ac:dyDescent="0.2">
      <c r="B79" s="150" t="s">
        <v>429</v>
      </c>
      <c r="C79" s="33" t="s">
        <v>106</v>
      </c>
      <c r="D79" s="33" t="s">
        <v>2876</v>
      </c>
      <c r="E79" s="175">
        <v>1</v>
      </c>
      <c r="F79" s="151" t="s">
        <v>1128</v>
      </c>
      <c r="G79" s="152">
        <v>3</v>
      </c>
      <c r="H79" s="152">
        <v>1.8518518518518516</v>
      </c>
      <c r="I79" s="175">
        <v>138</v>
      </c>
      <c r="J79" s="266">
        <f>_xlfn.XLOOKUP($I79,Inputs!$C$6:$C$23,Inputs!$D$6:$D$23)*$G79</f>
        <v>1.3007142857142857</v>
      </c>
      <c r="K79" s="255"/>
      <c r="L79" s="186">
        <v>490</v>
      </c>
      <c r="M79" s="186">
        <v>590</v>
      </c>
      <c r="N79" s="99">
        <f t="shared" ref="N79:N88" si="17">(SQRT(3)*L79*$I79)/1000</f>
        <v>117.12127560780748</v>
      </c>
      <c r="O79" s="99">
        <f t="shared" ref="O79:O88" si="18">(SQRT(3)*M79*$I79)/1000</f>
        <v>141.02357675225798</v>
      </c>
      <c r="P79" s="131">
        <v>0.9</v>
      </c>
      <c r="Q79" s="186">
        <f t="shared" ref="Q79:R82" si="19">N79*$P79</f>
        <v>105.40914804702673</v>
      </c>
      <c r="R79" s="186">
        <f t="shared" si="19"/>
        <v>126.92121907703219</v>
      </c>
      <c r="S79" s="151" t="s">
        <v>2301</v>
      </c>
      <c r="T79" s="51" t="s">
        <v>3108</v>
      </c>
      <c r="U79" s="151" t="s">
        <v>2292</v>
      </c>
      <c r="V79" s="51" t="s">
        <v>3093</v>
      </c>
      <c r="W79" s="19"/>
      <c r="X79" s="19" t="s">
        <v>1964</v>
      </c>
      <c r="Y79" s="99">
        <v>50</v>
      </c>
    </row>
    <row r="80" spans="2:31" ht="20" x14ac:dyDescent="0.2">
      <c r="B80" s="150" t="s">
        <v>1965</v>
      </c>
      <c r="C80" s="33" t="s">
        <v>106</v>
      </c>
      <c r="D80" s="33" t="s">
        <v>2876</v>
      </c>
      <c r="E80" s="175">
        <v>1</v>
      </c>
      <c r="F80" s="151" t="s">
        <v>1128</v>
      </c>
      <c r="G80" s="152">
        <v>5</v>
      </c>
      <c r="H80" s="152">
        <v>3.0864197530864197</v>
      </c>
      <c r="I80" s="175">
        <v>138</v>
      </c>
      <c r="J80" s="266">
        <f>_xlfn.XLOOKUP($I80,Inputs!$C$6:$C$23,Inputs!$D$6:$D$23)*$G80</f>
        <v>2.1678571428571431</v>
      </c>
      <c r="K80" s="255"/>
      <c r="L80" s="186">
        <v>490</v>
      </c>
      <c r="M80" s="186">
        <v>590</v>
      </c>
      <c r="N80" s="99">
        <f t="shared" si="17"/>
        <v>117.12127560780748</v>
      </c>
      <c r="O80" s="99">
        <f t="shared" si="18"/>
        <v>141.02357675225798</v>
      </c>
      <c r="P80" s="131">
        <v>0.9</v>
      </c>
      <c r="Q80" s="186">
        <f t="shared" si="19"/>
        <v>105.40914804702673</v>
      </c>
      <c r="R80" s="186">
        <f t="shared" si="19"/>
        <v>126.92121907703219</v>
      </c>
      <c r="S80" s="151" t="s">
        <v>2292</v>
      </c>
      <c r="T80" s="51" t="s">
        <v>3093</v>
      </c>
      <c r="U80" s="151" t="s">
        <v>2293</v>
      </c>
      <c r="V80" s="51" t="s">
        <v>3094</v>
      </c>
      <c r="W80" s="19"/>
      <c r="X80" s="19" t="s">
        <v>1964</v>
      </c>
      <c r="Y80" s="99">
        <v>52</v>
      </c>
      <c r="AA80" s="29"/>
      <c r="AC80" s="29"/>
      <c r="AD80" s="29"/>
      <c r="AE80" s="29"/>
    </row>
    <row r="81" spans="2:31" ht="20" x14ac:dyDescent="0.2">
      <c r="B81" s="150" t="s">
        <v>2364</v>
      </c>
      <c r="C81" s="33" t="s">
        <v>106</v>
      </c>
      <c r="D81" s="33" t="s">
        <v>2876</v>
      </c>
      <c r="E81" s="175">
        <v>1</v>
      </c>
      <c r="F81" s="151" t="s">
        <v>1128</v>
      </c>
      <c r="G81" s="152">
        <v>66</v>
      </c>
      <c r="H81" s="152">
        <v>40.74074074074074</v>
      </c>
      <c r="I81" s="175">
        <v>138</v>
      </c>
      <c r="J81" s="266">
        <f>_xlfn.XLOOKUP($I81,Inputs!$C$6:$C$23,Inputs!$D$6:$D$23)*$G81</f>
        <v>28.615714285714287</v>
      </c>
      <c r="K81" s="255"/>
      <c r="L81" s="186">
        <v>430</v>
      </c>
      <c r="M81" s="186">
        <v>545</v>
      </c>
      <c r="N81" s="99">
        <f t="shared" si="17"/>
        <v>102.77989492113718</v>
      </c>
      <c r="O81" s="99">
        <f t="shared" si="18"/>
        <v>130.26754123725524</v>
      </c>
      <c r="P81" s="131">
        <v>0.9</v>
      </c>
      <c r="Q81" s="186">
        <f t="shared" si="19"/>
        <v>92.501905429023466</v>
      </c>
      <c r="R81" s="186">
        <f t="shared" si="19"/>
        <v>117.24078711352972</v>
      </c>
      <c r="S81" s="151" t="s">
        <v>3564</v>
      </c>
      <c r="T81" s="51" t="s">
        <v>3567</v>
      </c>
      <c r="U81" s="151" t="s">
        <v>2365</v>
      </c>
      <c r="V81" s="51" t="s">
        <v>3696</v>
      </c>
      <c r="W81" s="19"/>
      <c r="X81" s="19"/>
      <c r="Y81" s="99">
        <v>338</v>
      </c>
      <c r="AA81" s="29"/>
      <c r="AC81" s="29"/>
      <c r="AD81" s="29"/>
      <c r="AE81" s="29"/>
    </row>
    <row r="82" spans="2:31" s="165" customFormat="1" ht="20" x14ac:dyDescent="0.2">
      <c r="B82" s="150" t="s">
        <v>2362</v>
      </c>
      <c r="C82" s="33" t="s">
        <v>106</v>
      </c>
      <c r="D82" s="33" t="s">
        <v>2876</v>
      </c>
      <c r="E82" s="175">
        <v>1</v>
      </c>
      <c r="F82" s="151" t="s">
        <v>1128</v>
      </c>
      <c r="G82" s="152">
        <v>8</v>
      </c>
      <c r="H82" s="152">
        <v>4.9382716049382713</v>
      </c>
      <c r="I82" s="175">
        <v>138</v>
      </c>
      <c r="J82" s="266">
        <f>_xlfn.XLOOKUP($I82,Inputs!$C$6:$C$23,Inputs!$D$6:$D$23)*$G82</f>
        <v>3.4685714285714289</v>
      </c>
      <c r="K82" s="255"/>
      <c r="L82" s="186">
        <v>430</v>
      </c>
      <c r="M82" s="186">
        <v>545</v>
      </c>
      <c r="N82" s="99">
        <f t="shared" si="17"/>
        <v>102.77989492113718</v>
      </c>
      <c r="O82" s="99">
        <f t="shared" si="18"/>
        <v>130.26754123725524</v>
      </c>
      <c r="P82" s="131">
        <v>0.9</v>
      </c>
      <c r="Q82" s="186">
        <f t="shared" si="19"/>
        <v>92.501905429023466</v>
      </c>
      <c r="R82" s="186">
        <f t="shared" si="19"/>
        <v>117.24078711352972</v>
      </c>
      <c r="S82" s="151" t="s">
        <v>1768</v>
      </c>
      <c r="T82" s="51" t="s">
        <v>3285</v>
      </c>
      <c r="U82" s="151" t="s">
        <v>3564</v>
      </c>
      <c r="V82" s="51" t="s">
        <v>3567</v>
      </c>
      <c r="W82" s="19"/>
      <c r="X82" s="19"/>
      <c r="Y82" s="99">
        <v>337</v>
      </c>
    </row>
    <row r="83" spans="2:31" ht="20" x14ac:dyDescent="0.2">
      <c r="B83" s="150" t="s">
        <v>1412</v>
      </c>
      <c r="C83" s="33" t="s">
        <v>106</v>
      </c>
      <c r="D83" s="33" t="s">
        <v>2876</v>
      </c>
      <c r="E83" s="175">
        <v>1</v>
      </c>
      <c r="F83" s="151" t="s">
        <v>1128</v>
      </c>
      <c r="G83" s="152">
        <v>8.9427499999999993E-2</v>
      </c>
      <c r="H83" s="152">
        <v>5.5202160493827153E-2</v>
      </c>
      <c r="I83" s="175">
        <v>138</v>
      </c>
      <c r="J83" s="266">
        <f>_xlfn.XLOOKUP($I83,Inputs!$C$6:$C$23,Inputs!$D$6:$D$23)*$G83</f>
        <v>3.8773208928571432E-2</v>
      </c>
      <c r="K83" s="267">
        <f>IF((42.4*(H83)^(-0.6595))&gt;=3,3,(IF(42.4*(H83)^(-0.6595)&lt;=0.5,0.5,(42.4*(H83)^(-0.6595)))))</f>
        <v>3</v>
      </c>
      <c r="L83" s="99"/>
      <c r="M83" s="99"/>
      <c r="N83" s="99">
        <f t="shared" si="17"/>
        <v>0</v>
      </c>
      <c r="O83" s="99">
        <f t="shared" si="18"/>
        <v>0</v>
      </c>
      <c r="P83" s="131">
        <v>0.9</v>
      </c>
      <c r="Q83" s="305">
        <f>_xlfn.XLOOKUP($I83,Inputs!$G$6:$G$23,Inputs!J$6:J$23)*$K83</f>
        <v>141</v>
      </c>
      <c r="R83" s="305">
        <f>_xlfn.XLOOKUP($I83,Inputs!$G$6:$G$23,Inputs!K$6:K$23)*$K83</f>
        <v>156</v>
      </c>
      <c r="S83" s="151" t="s">
        <v>2397</v>
      </c>
      <c r="T83" s="51" t="s">
        <v>2046</v>
      </c>
      <c r="U83" s="151" t="s">
        <v>1588</v>
      </c>
      <c r="V83" s="51" t="s">
        <v>3372</v>
      </c>
      <c r="W83" s="19"/>
      <c r="X83" s="19"/>
      <c r="Y83" s="99">
        <v>64</v>
      </c>
      <c r="AA83" s="29"/>
      <c r="AC83" s="29"/>
      <c r="AD83" s="29"/>
      <c r="AE83" s="29"/>
    </row>
    <row r="84" spans="2:31" ht="20" x14ac:dyDescent="0.2">
      <c r="B84" s="150" t="s">
        <v>1415</v>
      </c>
      <c r="C84" s="33" t="s">
        <v>106</v>
      </c>
      <c r="D84" s="33" t="s">
        <v>2876</v>
      </c>
      <c r="E84" s="175">
        <v>1</v>
      </c>
      <c r="F84" s="151" t="s">
        <v>1128</v>
      </c>
      <c r="G84" s="152">
        <v>0.1771924</v>
      </c>
      <c r="H84" s="152">
        <v>0.10937802469135802</v>
      </c>
      <c r="I84" s="175">
        <v>138</v>
      </c>
      <c r="J84" s="266">
        <f>_xlfn.XLOOKUP($I84,Inputs!$C$6:$C$23,Inputs!$D$6:$D$23)*$G84</f>
        <v>7.6825562E-2</v>
      </c>
      <c r="K84" s="255"/>
      <c r="L84" s="186">
        <v>650</v>
      </c>
      <c r="M84" s="186">
        <v>830</v>
      </c>
      <c r="N84" s="99">
        <f t="shared" si="17"/>
        <v>155.36495743892829</v>
      </c>
      <c r="O84" s="99">
        <f t="shared" si="18"/>
        <v>198.3890994989392</v>
      </c>
      <c r="P84" s="131">
        <v>0.9</v>
      </c>
      <c r="Q84" s="186">
        <f t="shared" ref="Q84:R88" si="20">N84*$P84</f>
        <v>139.82846169503546</v>
      </c>
      <c r="R84" s="186">
        <f t="shared" si="20"/>
        <v>178.55018954904529</v>
      </c>
      <c r="S84" s="151" t="s">
        <v>2397</v>
      </c>
      <c r="T84" s="51" t="s">
        <v>2046</v>
      </c>
      <c r="U84" s="151" t="s">
        <v>1588</v>
      </c>
      <c r="V84" s="51" t="s">
        <v>3372</v>
      </c>
      <c r="W84" s="19"/>
      <c r="X84" s="19"/>
      <c r="Y84" s="99">
        <v>110</v>
      </c>
      <c r="AA84" s="29"/>
      <c r="AC84" s="29"/>
      <c r="AD84" s="29"/>
      <c r="AE84" s="29"/>
    </row>
    <row r="85" spans="2:31" ht="20" x14ac:dyDescent="0.2">
      <c r="B85" s="150" t="s">
        <v>433</v>
      </c>
      <c r="C85" s="33" t="s">
        <v>106</v>
      </c>
      <c r="D85" s="33" t="s">
        <v>2876</v>
      </c>
      <c r="E85" s="175">
        <v>1</v>
      </c>
      <c r="F85" s="151" t="s">
        <v>1128</v>
      </c>
      <c r="G85" s="152">
        <v>20</v>
      </c>
      <c r="H85" s="152">
        <v>12.345679012345679</v>
      </c>
      <c r="I85" s="175">
        <v>138</v>
      </c>
      <c r="J85" s="266">
        <f>_xlfn.XLOOKUP($I85,Inputs!$C$6:$C$23,Inputs!$D$6:$D$23)*$G85</f>
        <v>8.6714285714285726</v>
      </c>
      <c r="K85" s="255"/>
      <c r="L85" s="186">
        <v>625</v>
      </c>
      <c r="M85" s="186">
        <v>805</v>
      </c>
      <c r="N85" s="99">
        <f t="shared" si="17"/>
        <v>149.38938215281567</v>
      </c>
      <c r="O85" s="99">
        <f t="shared" si="18"/>
        <v>192.41352421282656</v>
      </c>
      <c r="P85" s="131">
        <v>0.9</v>
      </c>
      <c r="Q85" s="186">
        <f t="shared" si="20"/>
        <v>134.45044393753412</v>
      </c>
      <c r="R85" s="186">
        <f t="shared" si="20"/>
        <v>173.17217179154392</v>
      </c>
      <c r="S85" s="151" t="s">
        <v>1651</v>
      </c>
      <c r="T85" s="51" t="s">
        <v>3244</v>
      </c>
      <c r="U85" s="151" t="s">
        <v>2397</v>
      </c>
      <c r="V85" s="51" t="s">
        <v>2046</v>
      </c>
      <c r="W85" s="19"/>
      <c r="X85" s="19"/>
      <c r="Y85" s="99">
        <v>63</v>
      </c>
      <c r="AA85" s="29"/>
      <c r="AC85" s="29"/>
      <c r="AD85" s="29"/>
      <c r="AE85" s="29"/>
    </row>
    <row r="86" spans="2:31" ht="20" x14ac:dyDescent="0.2">
      <c r="B86" s="150" t="s">
        <v>447</v>
      </c>
      <c r="C86" s="33" t="s">
        <v>106</v>
      </c>
      <c r="D86" s="33" t="s">
        <v>2876</v>
      </c>
      <c r="E86" s="175">
        <v>1</v>
      </c>
      <c r="F86" s="151" t="s">
        <v>1128</v>
      </c>
      <c r="G86" s="152">
        <v>20</v>
      </c>
      <c r="H86" s="152">
        <v>12.345679012345679</v>
      </c>
      <c r="I86" s="175">
        <v>138</v>
      </c>
      <c r="J86" s="266">
        <f>_xlfn.XLOOKUP($I86,Inputs!$C$6:$C$23,Inputs!$D$6:$D$23)*$G86</f>
        <v>8.6714285714285726</v>
      </c>
      <c r="K86" s="255"/>
      <c r="L86" s="186">
        <v>635</v>
      </c>
      <c r="M86" s="186">
        <v>810</v>
      </c>
      <c r="N86" s="99">
        <f t="shared" si="17"/>
        <v>151.77961226726069</v>
      </c>
      <c r="O86" s="99">
        <f t="shared" si="18"/>
        <v>193.60863927004908</v>
      </c>
      <c r="P86" s="131">
        <v>0.9</v>
      </c>
      <c r="Q86" s="186">
        <f t="shared" si="20"/>
        <v>136.60165104053462</v>
      </c>
      <c r="R86" s="186">
        <f t="shared" si="20"/>
        <v>174.24777534304417</v>
      </c>
      <c r="S86" s="151" t="s">
        <v>1651</v>
      </c>
      <c r="T86" s="51" t="s">
        <v>3244</v>
      </c>
      <c r="U86" s="151" t="s">
        <v>2397</v>
      </c>
      <c r="V86" s="51" t="s">
        <v>2046</v>
      </c>
      <c r="W86" s="19"/>
      <c r="X86" s="19"/>
      <c r="Y86" s="99">
        <v>109</v>
      </c>
      <c r="AA86" s="29"/>
      <c r="AC86" s="29"/>
      <c r="AD86" s="29"/>
      <c r="AE86" s="29"/>
    </row>
    <row r="87" spans="2:31" s="165" customFormat="1" ht="20" x14ac:dyDescent="0.2">
      <c r="B87" s="150" t="s">
        <v>2618</v>
      </c>
      <c r="C87" s="33" t="s">
        <v>106</v>
      </c>
      <c r="D87" s="33" t="s">
        <v>2876</v>
      </c>
      <c r="E87" s="175">
        <v>1</v>
      </c>
      <c r="F87" s="151" t="s">
        <v>1128</v>
      </c>
      <c r="G87" s="152">
        <v>3.05</v>
      </c>
      <c r="H87" s="152">
        <v>1.8827160493827158</v>
      </c>
      <c r="I87" s="175">
        <v>138</v>
      </c>
      <c r="J87" s="266">
        <f>_xlfn.XLOOKUP($I87,Inputs!$C$6:$C$23,Inputs!$D$6:$D$23)*$G87</f>
        <v>1.3223928571428571</v>
      </c>
      <c r="K87" s="255"/>
      <c r="L87" s="186">
        <v>714</v>
      </c>
      <c r="M87" s="186">
        <v>886</v>
      </c>
      <c r="N87" s="99">
        <f t="shared" si="17"/>
        <v>170.66243017137663</v>
      </c>
      <c r="O87" s="99">
        <f t="shared" si="18"/>
        <v>211.77438813983147</v>
      </c>
      <c r="P87" s="131">
        <v>0.9</v>
      </c>
      <c r="Q87" s="186">
        <f t="shared" si="20"/>
        <v>153.59618715423898</v>
      </c>
      <c r="R87" s="186">
        <f t="shared" si="20"/>
        <v>190.59694932584833</v>
      </c>
      <c r="S87" s="151" t="s">
        <v>2617</v>
      </c>
      <c r="T87" s="51" t="s">
        <v>3353</v>
      </c>
      <c r="U87" s="151" t="s">
        <v>1589</v>
      </c>
      <c r="V87" s="51" t="s">
        <v>3221</v>
      </c>
      <c r="W87" s="19"/>
      <c r="X87" s="19"/>
      <c r="Y87" s="99">
        <v>226</v>
      </c>
    </row>
    <row r="88" spans="2:31" s="165" customFormat="1" ht="20" x14ac:dyDescent="0.2">
      <c r="B88" s="150" t="s">
        <v>482</v>
      </c>
      <c r="C88" s="33" t="s">
        <v>106</v>
      </c>
      <c r="D88" s="33" t="s">
        <v>2876</v>
      </c>
      <c r="E88" s="175">
        <v>1</v>
      </c>
      <c r="F88" s="151" t="s">
        <v>1128</v>
      </c>
      <c r="G88" s="152">
        <v>13.2689425</v>
      </c>
      <c r="H88" s="152">
        <v>8.1907052469135788</v>
      </c>
      <c r="I88" s="175">
        <v>138</v>
      </c>
      <c r="J88" s="266">
        <f>_xlfn.XLOOKUP($I88,Inputs!$C$6:$C$23,Inputs!$D$6:$D$23)*$G88</f>
        <v>5.7530343553571432</v>
      </c>
      <c r="K88" s="255"/>
      <c r="L88" s="186">
        <v>725</v>
      </c>
      <c r="M88" s="186">
        <v>923</v>
      </c>
      <c r="N88" s="99">
        <f t="shared" si="17"/>
        <v>173.29168329726616</v>
      </c>
      <c r="O88" s="99">
        <f t="shared" si="18"/>
        <v>220.61823956327817</v>
      </c>
      <c r="P88" s="131">
        <v>0.9</v>
      </c>
      <c r="Q88" s="186">
        <f t="shared" si="20"/>
        <v>155.96251496753956</v>
      </c>
      <c r="R88" s="186">
        <f t="shared" si="20"/>
        <v>198.55641560695037</v>
      </c>
      <c r="S88" s="151" t="s">
        <v>1934</v>
      </c>
      <c r="T88" s="51" t="s">
        <v>3350</v>
      </c>
      <c r="U88" s="151" t="s">
        <v>1589</v>
      </c>
      <c r="V88" s="51" t="s">
        <v>3221</v>
      </c>
      <c r="W88" s="19"/>
      <c r="X88" s="19"/>
      <c r="Y88" s="99">
        <v>233</v>
      </c>
    </row>
    <row r="89" spans="2:31" ht="20" x14ac:dyDescent="0.2">
      <c r="B89" s="230" t="s">
        <v>2747</v>
      </c>
      <c r="C89" s="51" t="s">
        <v>173</v>
      </c>
      <c r="D89" s="33" t="s">
        <v>2876</v>
      </c>
      <c r="E89" s="231">
        <v>1</v>
      </c>
      <c r="F89" s="230" t="s">
        <v>1128</v>
      </c>
      <c r="G89" s="232">
        <v>5</v>
      </c>
      <c r="H89" s="232">
        <v>3.0864197530864197</v>
      </c>
      <c r="I89" s="231">
        <v>63</v>
      </c>
      <c r="J89" s="266">
        <f>_xlfn.XLOOKUP($I89,Inputs!$C$6:$C$23,Inputs!$D$6:$D$23)*$G89</f>
        <v>1.9</v>
      </c>
      <c r="K89" s="267">
        <f>IF((42.4*(H89)^(-0.6595))&gt;=3,3,(IF(42.4*(H89)^(-0.6595)&lt;=0.5,0.5,(42.4*(H89)^(-0.6595)))))</f>
        <v>3</v>
      </c>
      <c r="L89" s="99"/>
      <c r="M89" s="99"/>
      <c r="N89" s="99"/>
      <c r="O89" s="99"/>
      <c r="P89" s="69"/>
      <c r="Q89" s="305">
        <f>_xlfn.XLOOKUP($I89,Inputs!$G$6:$G$23,Inputs!J$6:J$23)*$K89</f>
        <v>29.767499999999998</v>
      </c>
      <c r="R89" s="305">
        <f>_xlfn.XLOOKUP($I89,Inputs!$G$6:$G$23,Inputs!K$6:K$23)*$K89</f>
        <v>32.532786885245905</v>
      </c>
      <c r="S89" s="230" t="s">
        <v>2749</v>
      </c>
      <c r="T89" s="51" t="s">
        <v>3305</v>
      </c>
      <c r="U89" s="230" t="s">
        <v>2750</v>
      </c>
      <c r="V89" s="51" t="s">
        <v>3493</v>
      </c>
      <c r="W89" s="19"/>
      <c r="X89" s="19" t="s">
        <v>3703</v>
      </c>
      <c r="Y89" s="99">
        <v>1017</v>
      </c>
      <c r="AA89" s="29"/>
      <c r="AC89" s="29"/>
      <c r="AD89" s="29"/>
      <c r="AE89" s="29"/>
    </row>
    <row r="90" spans="2:31" s="165" customFormat="1" ht="20" x14ac:dyDescent="0.2">
      <c r="B90" s="230" t="s">
        <v>2753</v>
      </c>
      <c r="C90" s="51" t="s">
        <v>173</v>
      </c>
      <c r="D90" s="33" t="s">
        <v>2876</v>
      </c>
      <c r="E90" s="231">
        <v>1</v>
      </c>
      <c r="F90" s="230" t="s">
        <v>1128</v>
      </c>
      <c r="G90" s="232">
        <v>5</v>
      </c>
      <c r="H90" s="232">
        <v>3.0864197530864197</v>
      </c>
      <c r="I90" s="231">
        <v>63</v>
      </c>
      <c r="J90" s="266">
        <f>_xlfn.XLOOKUP($I90,Inputs!$C$6:$C$23,Inputs!$D$6:$D$23)*$G90</f>
        <v>1.9</v>
      </c>
      <c r="K90" s="267">
        <f>IF((42.4*(H90)^(-0.6595))&gt;=3,3,(IF(42.4*(H90)^(-0.6595)&lt;=0.5,0.5,(42.4*(H90)^(-0.6595)))))</f>
        <v>3</v>
      </c>
      <c r="L90" s="99"/>
      <c r="M90" s="99"/>
      <c r="N90" s="99"/>
      <c r="O90" s="99"/>
      <c r="P90" s="69"/>
      <c r="Q90" s="305">
        <f>_xlfn.XLOOKUP($I90,Inputs!$G$6:$G$23,Inputs!J$6:J$23)*$K90</f>
        <v>29.767499999999998</v>
      </c>
      <c r="R90" s="305">
        <f>_xlfn.XLOOKUP($I90,Inputs!$G$6:$G$23,Inputs!K$6:K$23)*$K90</f>
        <v>32.532786885245905</v>
      </c>
      <c r="S90" s="230" t="s">
        <v>2749</v>
      </c>
      <c r="T90" s="51" t="s">
        <v>3305</v>
      </c>
      <c r="U90" s="230" t="s">
        <v>2750</v>
      </c>
      <c r="V90" s="51" t="s">
        <v>3493</v>
      </c>
      <c r="W90" s="19"/>
      <c r="X90" s="19" t="s">
        <v>3703</v>
      </c>
      <c r="Y90" s="99">
        <v>1072</v>
      </c>
    </row>
    <row r="91" spans="2:31" ht="20" x14ac:dyDescent="0.2">
      <c r="B91" s="230" t="s">
        <v>2747</v>
      </c>
      <c r="C91" s="51" t="s">
        <v>173</v>
      </c>
      <c r="D91" s="33" t="s">
        <v>2876</v>
      </c>
      <c r="E91" s="231">
        <v>1</v>
      </c>
      <c r="F91" s="230" t="s">
        <v>1128</v>
      </c>
      <c r="G91" s="232">
        <v>1</v>
      </c>
      <c r="H91" s="232">
        <v>0.61728395061728392</v>
      </c>
      <c r="I91" s="231">
        <v>63</v>
      </c>
      <c r="J91" s="266">
        <f>_xlfn.XLOOKUP($I91,Inputs!$C$6:$C$23,Inputs!$D$6:$D$23)*$G91</f>
        <v>0.38</v>
      </c>
      <c r="K91" s="267">
        <f>IF((42.4*(H91)^(-0.6595))&gt;=3,3,(IF(42.4*(H91)^(-0.6595)&lt;=0.5,0.5,(42.4*(H91)^(-0.6595)))))</f>
        <v>3</v>
      </c>
      <c r="L91" s="99"/>
      <c r="M91" s="99"/>
      <c r="N91" s="99"/>
      <c r="O91" s="99"/>
      <c r="P91" s="69"/>
      <c r="Q91" s="305">
        <f>_xlfn.XLOOKUP($I91,Inputs!$G$6:$G$23,Inputs!J$6:J$23)*$K91</f>
        <v>29.767499999999998</v>
      </c>
      <c r="R91" s="305">
        <f>_xlfn.XLOOKUP($I91,Inputs!$G$6:$G$23,Inputs!K$6:K$23)*$K91</f>
        <v>32.532786885245905</v>
      </c>
      <c r="S91" s="230" t="s">
        <v>3570</v>
      </c>
      <c r="T91" s="51" t="s">
        <v>3571</v>
      </c>
      <c r="U91" s="230" t="s">
        <v>2748</v>
      </c>
      <c r="V91" s="51" t="s">
        <v>2763</v>
      </c>
      <c r="W91" s="19"/>
      <c r="X91" s="19" t="s">
        <v>3703</v>
      </c>
      <c r="Y91" s="99">
        <v>1015</v>
      </c>
      <c r="AA91" s="29"/>
      <c r="AC91" s="29"/>
      <c r="AD91" s="29"/>
      <c r="AE91" s="29"/>
    </row>
    <row r="92" spans="2:31" s="165" customFormat="1" ht="20" x14ac:dyDescent="0.2">
      <c r="B92" s="230" t="s">
        <v>2753</v>
      </c>
      <c r="C92" s="51" t="s">
        <v>173</v>
      </c>
      <c r="D92" s="33" t="s">
        <v>2876</v>
      </c>
      <c r="E92" s="231">
        <v>1</v>
      </c>
      <c r="F92" s="230" t="s">
        <v>1128</v>
      </c>
      <c r="G92" s="232">
        <v>1</v>
      </c>
      <c r="H92" s="232">
        <v>0.61728395061728392</v>
      </c>
      <c r="I92" s="231">
        <v>63</v>
      </c>
      <c r="J92" s="266">
        <f>_xlfn.XLOOKUP($I92,Inputs!$C$6:$C$23,Inputs!$D$6:$D$23)*$G92</f>
        <v>0.38</v>
      </c>
      <c r="K92" s="267">
        <f>IF((42.4*(H92)^(-0.6595))&gt;=3,3,(IF(42.4*(H92)^(-0.6595)&lt;=0.5,0.5,(42.4*(H92)^(-0.6595)))))</f>
        <v>3</v>
      </c>
      <c r="L92" s="99"/>
      <c r="M92" s="99"/>
      <c r="N92" s="99"/>
      <c r="O92" s="99"/>
      <c r="P92" s="69"/>
      <c r="Q92" s="305">
        <f>_xlfn.XLOOKUP($I92,Inputs!$G$6:$G$23,Inputs!J$6:J$23)*$K92</f>
        <v>29.767499999999998</v>
      </c>
      <c r="R92" s="305">
        <f>_xlfn.XLOOKUP($I92,Inputs!$G$6:$G$23,Inputs!K$6:K$23)*$K92</f>
        <v>32.532786885245905</v>
      </c>
      <c r="S92" s="230" t="s">
        <v>3570</v>
      </c>
      <c r="T92" s="51" t="s">
        <v>3571</v>
      </c>
      <c r="U92" s="230" t="s">
        <v>2748</v>
      </c>
      <c r="V92" s="51" t="s">
        <v>2763</v>
      </c>
      <c r="W92" s="19"/>
      <c r="X92" s="19" t="s">
        <v>3703</v>
      </c>
      <c r="Y92" s="99">
        <v>1070</v>
      </c>
    </row>
    <row r="93" spans="2:31" ht="20" x14ac:dyDescent="0.2">
      <c r="B93" s="150" t="s">
        <v>1439</v>
      </c>
      <c r="C93" s="33" t="s">
        <v>106</v>
      </c>
      <c r="D93" s="33" t="s">
        <v>2876</v>
      </c>
      <c r="E93" s="175">
        <v>1</v>
      </c>
      <c r="F93" s="151" t="s">
        <v>1128</v>
      </c>
      <c r="G93" s="152">
        <v>2.1543899999999998</v>
      </c>
      <c r="H93" s="152">
        <v>1.3298703703703703</v>
      </c>
      <c r="I93" s="175">
        <v>138</v>
      </c>
      <c r="J93" s="266">
        <f>_xlfn.XLOOKUP($I93,Inputs!$C$6:$C$23,Inputs!$D$6:$D$23)*$G93</f>
        <v>0.93408194999999994</v>
      </c>
      <c r="K93" s="267">
        <f>IF((42.4*(H93)^(-0.6595))&gt;=3,3,(IF(42.4*(H93)^(-0.6595)&lt;=0.5,0.5,(42.4*(H93)^(-0.6595)))))</f>
        <v>3</v>
      </c>
      <c r="L93" s="99"/>
      <c r="M93" s="99"/>
      <c r="N93" s="99">
        <f>(SQRT(3)*L93*$I93)/1000</f>
        <v>0</v>
      </c>
      <c r="O93" s="99">
        <f>(SQRT(3)*M93*$I93)/1000</f>
        <v>0</v>
      </c>
      <c r="P93" s="131">
        <v>0.9</v>
      </c>
      <c r="Q93" s="305">
        <f>_xlfn.XLOOKUP($I93,Inputs!$G$6:$G$23,Inputs!J$6:J$23)*$K93</f>
        <v>141</v>
      </c>
      <c r="R93" s="305">
        <f>_xlfn.XLOOKUP($I93,Inputs!$G$6:$G$23,Inputs!K$6:K$23)*$K93</f>
        <v>156</v>
      </c>
      <c r="S93" s="151" t="s">
        <v>2433</v>
      </c>
      <c r="T93" s="51" t="s">
        <v>2083</v>
      </c>
      <c r="U93" s="151" t="s">
        <v>1590</v>
      </c>
      <c r="V93" s="51" t="s">
        <v>3373</v>
      </c>
      <c r="W93" s="19"/>
      <c r="X93" s="19"/>
      <c r="Y93" s="99">
        <v>208</v>
      </c>
      <c r="AA93" s="29"/>
      <c r="AC93" s="29"/>
      <c r="AD93" s="29"/>
      <c r="AE93" s="29"/>
    </row>
    <row r="94" spans="2:31" ht="20" x14ac:dyDescent="0.2">
      <c r="B94" s="150" t="s">
        <v>476</v>
      </c>
      <c r="C94" s="33" t="s">
        <v>106</v>
      </c>
      <c r="D94" s="33" t="s">
        <v>2876</v>
      </c>
      <c r="E94" s="175">
        <v>1</v>
      </c>
      <c r="F94" s="151" t="s">
        <v>1128</v>
      </c>
      <c r="G94" s="152">
        <v>19</v>
      </c>
      <c r="H94" s="152">
        <v>11.728395061728394</v>
      </c>
      <c r="I94" s="175">
        <v>138</v>
      </c>
      <c r="J94" s="266">
        <f>_xlfn.XLOOKUP($I94,Inputs!$C$6:$C$23,Inputs!$D$6:$D$23)*$G94</f>
        <v>8.237857142857143</v>
      </c>
      <c r="K94" s="255"/>
      <c r="L94" s="186">
        <v>484</v>
      </c>
      <c r="M94" s="186">
        <v>622</v>
      </c>
      <c r="N94" s="99">
        <f>(SQRT(3)*L94*$I94)/1000</f>
        <v>115.68713753914044</v>
      </c>
      <c r="O94" s="99">
        <f>(SQRT(3)*M94*$I94)/1000</f>
        <v>148.67231311848212</v>
      </c>
      <c r="P94" s="131">
        <v>0.9</v>
      </c>
      <c r="Q94" s="186">
        <f>N94*$P94</f>
        <v>104.1184237852264</v>
      </c>
      <c r="R94" s="186">
        <f>O94*$P94</f>
        <v>133.80508180663392</v>
      </c>
      <c r="S94" s="151" t="s">
        <v>2432</v>
      </c>
      <c r="T94" s="51" t="s">
        <v>2085</v>
      </c>
      <c r="U94" s="151" t="s">
        <v>2433</v>
      </c>
      <c r="V94" s="51" t="s">
        <v>2083</v>
      </c>
      <c r="W94" s="19"/>
      <c r="X94" s="19"/>
      <c r="Y94" s="99">
        <v>207</v>
      </c>
      <c r="AA94" s="29"/>
      <c r="AC94" s="29"/>
      <c r="AD94" s="29"/>
      <c r="AE94" s="29"/>
    </row>
    <row r="95" spans="2:31" s="165" customFormat="1" ht="20" x14ac:dyDescent="0.2">
      <c r="B95" s="230" t="s">
        <v>2640</v>
      </c>
      <c r="C95" s="51" t="s">
        <v>173</v>
      </c>
      <c r="D95" s="33" t="s">
        <v>2876</v>
      </c>
      <c r="E95" s="231">
        <v>1</v>
      </c>
      <c r="F95" s="230" t="s">
        <v>1128</v>
      </c>
      <c r="G95" s="232">
        <v>4</v>
      </c>
      <c r="H95" s="232">
        <v>2.4691358024691357</v>
      </c>
      <c r="I95" s="231">
        <v>138</v>
      </c>
      <c r="J95" s="266">
        <f>_xlfn.XLOOKUP($I95,Inputs!$C$6:$C$23,Inputs!$D$6:$D$23)*$G95</f>
        <v>1.7342857142857144</v>
      </c>
      <c r="K95" s="267">
        <f>IF((42.4*(H95)^(-0.6595))&gt;=3,3,(IF(42.4*(H95)^(-0.6595)&lt;=0.5,0.5,(42.4*(H95)^(-0.6595)))))</f>
        <v>3</v>
      </c>
      <c r="L95" s="99"/>
      <c r="M95" s="99"/>
      <c r="N95" s="99"/>
      <c r="O95" s="99"/>
      <c r="P95" s="69"/>
      <c r="Q95" s="305">
        <f>_xlfn.XLOOKUP($I95,Inputs!$G$6:$G$23,Inputs!J$6:J$23)*$K95</f>
        <v>141</v>
      </c>
      <c r="R95" s="305">
        <f>_xlfn.XLOOKUP($I95,Inputs!$G$6:$G$23,Inputs!K$6:K$23)*$K95</f>
        <v>156</v>
      </c>
      <c r="S95" s="230" t="s">
        <v>3574</v>
      </c>
      <c r="T95" s="51" t="s">
        <v>3575</v>
      </c>
      <c r="U95" s="230" t="s">
        <v>2641</v>
      </c>
      <c r="V95" s="51" t="s">
        <v>3222</v>
      </c>
      <c r="W95" s="19"/>
      <c r="X95" s="19"/>
      <c r="Y95" s="99">
        <v>1124</v>
      </c>
    </row>
    <row r="96" spans="2:31" ht="20" x14ac:dyDescent="0.2">
      <c r="B96" s="150" t="s">
        <v>619</v>
      </c>
      <c r="C96" s="33" t="s">
        <v>106</v>
      </c>
      <c r="D96" s="33" t="s">
        <v>2876</v>
      </c>
      <c r="E96" s="175">
        <v>1</v>
      </c>
      <c r="F96" s="151" t="s">
        <v>1128</v>
      </c>
      <c r="G96" s="152">
        <v>28.033961699999999</v>
      </c>
      <c r="H96" s="152">
        <v>17.304914629629629</v>
      </c>
      <c r="I96" s="175">
        <v>230</v>
      </c>
      <c r="J96" s="266">
        <f>_xlfn.XLOOKUP($I96,Inputs!$C$6:$C$23,Inputs!$D$6:$D$23)*$G96</f>
        <v>13.456301615999999</v>
      </c>
      <c r="K96" s="255"/>
      <c r="L96" s="186">
        <v>1055</v>
      </c>
      <c r="M96" s="186">
        <v>1280</v>
      </c>
      <c r="N96" s="99">
        <f t="shared" ref="N96:N128" si="21">(SQRT(3)*L96*$I96)/1000</f>
        <v>420.282128456588</v>
      </c>
      <c r="O96" s="99">
        <f t="shared" ref="O96:O128" si="22">(SQRT(3)*M96*$I96)/1000</f>
        <v>509.91575774827737</v>
      </c>
      <c r="P96" s="131">
        <v>0.9</v>
      </c>
      <c r="Q96" s="186">
        <f t="shared" ref="Q96:Q111" si="23">N96*$P96</f>
        <v>378.2539156109292</v>
      </c>
      <c r="R96" s="186">
        <f t="shared" ref="R96:R111" si="24">O96*$P96</f>
        <v>458.92418197344966</v>
      </c>
      <c r="S96" s="151" t="s">
        <v>274</v>
      </c>
      <c r="T96" s="51" t="s">
        <v>3343</v>
      </c>
      <c r="U96" s="151" t="s">
        <v>1591</v>
      </c>
      <c r="V96" s="51" t="s">
        <v>3536</v>
      </c>
      <c r="W96" s="19"/>
      <c r="X96" s="19"/>
      <c r="Y96" s="99">
        <v>485</v>
      </c>
      <c r="AA96" s="29"/>
      <c r="AC96" s="29"/>
      <c r="AD96" s="29"/>
      <c r="AE96" s="29"/>
    </row>
    <row r="97" spans="2:31" ht="20" x14ac:dyDescent="0.2">
      <c r="B97" s="150" t="s">
        <v>1432</v>
      </c>
      <c r="C97" s="33" t="s">
        <v>106</v>
      </c>
      <c r="D97" s="33" t="s">
        <v>2876</v>
      </c>
      <c r="E97" s="175">
        <v>1</v>
      </c>
      <c r="F97" s="151" t="s">
        <v>1128</v>
      </c>
      <c r="G97" s="152">
        <v>0.47433749999999997</v>
      </c>
      <c r="H97" s="152">
        <v>0.29280092592592588</v>
      </c>
      <c r="I97" s="175">
        <v>138</v>
      </c>
      <c r="J97" s="266">
        <f>_xlfn.XLOOKUP($I97,Inputs!$C$6:$C$23,Inputs!$D$6:$D$23)*$G97</f>
        <v>0.20565918750000001</v>
      </c>
      <c r="K97" s="255"/>
      <c r="L97" s="186">
        <v>254</v>
      </c>
      <c r="M97" s="186">
        <v>488</v>
      </c>
      <c r="N97" s="99">
        <f t="shared" si="21"/>
        <v>60.711844906904282</v>
      </c>
      <c r="O97" s="99">
        <f t="shared" si="22"/>
        <v>116.64322958491846</v>
      </c>
      <c r="P97" s="131">
        <v>0.9</v>
      </c>
      <c r="Q97" s="186">
        <f t="shared" si="23"/>
        <v>54.640660416213855</v>
      </c>
      <c r="R97" s="186">
        <f t="shared" si="24"/>
        <v>104.97890662642662</v>
      </c>
      <c r="S97" s="151" t="s">
        <v>2427</v>
      </c>
      <c r="T97" s="51" t="s">
        <v>2075</v>
      </c>
      <c r="U97" s="151" t="s">
        <v>1592</v>
      </c>
      <c r="V97" s="51" t="s">
        <v>3374</v>
      </c>
      <c r="W97" s="19"/>
      <c r="X97" s="19"/>
      <c r="Y97" s="99">
        <v>195</v>
      </c>
      <c r="AA97" s="29"/>
      <c r="AC97" s="29"/>
      <c r="AD97" s="29"/>
      <c r="AE97" s="29"/>
    </row>
    <row r="98" spans="2:31" ht="20" x14ac:dyDescent="0.2">
      <c r="B98" s="150" t="s">
        <v>475</v>
      </c>
      <c r="C98" s="33" t="s">
        <v>106</v>
      </c>
      <c r="D98" s="33" t="s">
        <v>2876</v>
      </c>
      <c r="E98" s="175">
        <v>1</v>
      </c>
      <c r="F98" s="151" t="s">
        <v>1128</v>
      </c>
      <c r="G98" s="152">
        <v>25</v>
      </c>
      <c r="H98" s="152">
        <v>15.432098765432098</v>
      </c>
      <c r="I98" s="175">
        <v>138</v>
      </c>
      <c r="J98" s="266">
        <f>_xlfn.XLOOKUP($I98,Inputs!$C$6:$C$23,Inputs!$D$6:$D$23)*$G98</f>
        <v>10.839285714285715</v>
      </c>
      <c r="K98" s="255"/>
      <c r="L98" s="186">
        <v>484</v>
      </c>
      <c r="M98" s="186">
        <v>622</v>
      </c>
      <c r="N98" s="99">
        <f t="shared" si="21"/>
        <v>115.68713753914044</v>
      </c>
      <c r="O98" s="99">
        <f t="shared" si="22"/>
        <v>148.67231311848212</v>
      </c>
      <c r="P98" s="131">
        <v>0.9</v>
      </c>
      <c r="Q98" s="186">
        <f t="shared" si="23"/>
        <v>104.1184237852264</v>
      </c>
      <c r="R98" s="186">
        <f t="shared" si="24"/>
        <v>133.80508180663392</v>
      </c>
      <c r="S98" s="151" t="s">
        <v>2426</v>
      </c>
      <c r="T98" s="51" t="s">
        <v>2077</v>
      </c>
      <c r="U98" s="151" t="s">
        <v>2427</v>
      </c>
      <c r="V98" s="51" t="s">
        <v>2075</v>
      </c>
      <c r="W98" s="19"/>
      <c r="X98" s="19"/>
      <c r="Y98" s="99">
        <v>194</v>
      </c>
      <c r="AA98" s="29"/>
      <c r="AC98" s="29"/>
      <c r="AD98" s="29"/>
      <c r="AE98" s="29"/>
    </row>
    <row r="99" spans="2:31" s="165" customFormat="1" ht="20" x14ac:dyDescent="0.2">
      <c r="B99" s="150" t="s">
        <v>1440</v>
      </c>
      <c r="C99" s="33" t="s">
        <v>106</v>
      </c>
      <c r="D99" s="33" t="s">
        <v>2876</v>
      </c>
      <c r="E99" s="175">
        <v>1</v>
      </c>
      <c r="F99" s="151" t="s">
        <v>1128</v>
      </c>
      <c r="G99" s="152">
        <v>0.1022581</v>
      </c>
      <c r="H99" s="152">
        <v>6.3122283950617281E-2</v>
      </c>
      <c r="I99" s="175">
        <v>138</v>
      </c>
      <c r="J99" s="266">
        <f>_xlfn.XLOOKUP($I99,Inputs!$C$6:$C$23,Inputs!$D$6:$D$23)*$G99</f>
        <v>4.4336190500000004E-2</v>
      </c>
      <c r="K99" s="255"/>
      <c r="L99" s="186">
        <v>506</v>
      </c>
      <c r="M99" s="186">
        <v>1351</v>
      </c>
      <c r="N99" s="99">
        <f t="shared" si="21"/>
        <v>120.94564379091955</v>
      </c>
      <c r="O99" s="99">
        <f t="shared" si="22"/>
        <v>322.92008846152635</v>
      </c>
      <c r="P99" s="131">
        <v>0.9</v>
      </c>
      <c r="Q99" s="186">
        <f t="shared" si="23"/>
        <v>108.8510794118276</v>
      </c>
      <c r="R99" s="186">
        <f t="shared" si="24"/>
        <v>290.62807961537374</v>
      </c>
      <c r="S99" s="151" t="s">
        <v>2434</v>
      </c>
      <c r="T99" s="51" t="s">
        <v>2084</v>
      </c>
      <c r="U99" s="151" t="s">
        <v>1593</v>
      </c>
      <c r="V99" s="51" t="s">
        <v>3375</v>
      </c>
      <c r="W99" s="19"/>
      <c r="X99" s="19"/>
      <c r="Y99" s="99">
        <v>210</v>
      </c>
    </row>
    <row r="100" spans="2:31" ht="20" x14ac:dyDescent="0.2">
      <c r="B100" s="150" t="s">
        <v>476</v>
      </c>
      <c r="C100" s="33" t="s">
        <v>106</v>
      </c>
      <c r="D100" s="33" t="s">
        <v>2876</v>
      </c>
      <c r="E100" s="175">
        <v>1</v>
      </c>
      <c r="F100" s="151" t="s">
        <v>1128</v>
      </c>
      <c r="G100" s="152">
        <v>2.44</v>
      </c>
      <c r="H100" s="152">
        <v>1.5061728395061726</v>
      </c>
      <c r="I100" s="175">
        <v>138</v>
      </c>
      <c r="J100" s="266">
        <f>_xlfn.XLOOKUP($I100,Inputs!$C$6:$C$23,Inputs!$D$6:$D$23)*$G100</f>
        <v>1.0579142857142858</v>
      </c>
      <c r="K100" s="255"/>
      <c r="L100" s="186">
        <v>484</v>
      </c>
      <c r="M100" s="186">
        <v>622</v>
      </c>
      <c r="N100" s="99">
        <f t="shared" si="21"/>
        <v>115.68713753914044</v>
      </c>
      <c r="O100" s="99">
        <f t="shared" si="22"/>
        <v>148.67231311848212</v>
      </c>
      <c r="P100" s="131">
        <v>0.9</v>
      </c>
      <c r="Q100" s="186">
        <f t="shared" si="23"/>
        <v>104.1184237852264</v>
      </c>
      <c r="R100" s="186">
        <f t="shared" si="24"/>
        <v>133.80508180663392</v>
      </c>
      <c r="S100" s="151" t="s">
        <v>2433</v>
      </c>
      <c r="T100" s="51" t="s">
        <v>2083</v>
      </c>
      <c r="U100" s="151" t="s">
        <v>2434</v>
      </c>
      <c r="V100" s="51" t="s">
        <v>2084</v>
      </c>
      <c r="W100" s="19"/>
      <c r="X100" s="19"/>
      <c r="Y100" s="99">
        <v>209</v>
      </c>
      <c r="AA100" s="29"/>
      <c r="AC100" s="29"/>
      <c r="AD100" s="29"/>
      <c r="AE100" s="29"/>
    </row>
    <row r="101" spans="2:31" s="165" customFormat="1" ht="20" x14ac:dyDescent="0.2">
      <c r="B101" s="150" t="s">
        <v>630</v>
      </c>
      <c r="C101" s="33" t="s">
        <v>106</v>
      </c>
      <c r="D101" s="33" t="s">
        <v>2876</v>
      </c>
      <c r="E101" s="175">
        <v>1</v>
      </c>
      <c r="F101" s="151" t="s">
        <v>1128</v>
      </c>
      <c r="G101" s="152">
        <v>9.1457595999999999</v>
      </c>
      <c r="H101" s="152">
        <v>5.6455306172839501</v>
      </c>
      <c r="I101" s="175">
        <v>230</v>
      </c>
      <c r="J101" s="266">
        <f>_xlfn.XLOOKUP($I101,Inputs!$C$6:$C$23,Inputs!$D$6:$D$23)*$G101</f>
        <v>4.3899646079999997</v>
      </c>
      <c r="K101" s="255"/>
      <c r="L101" s="186">
        <v>537</v>
      </c>
      <c r="M101" s="186">
        <v>942</v>
      </c>
      <c r="N101" s="99">
        <f t="shared" si="21"/>
        <v>213.925595242832</v>
      </c>
      <c r="O101" s="99">
        <f t="shared" si="22"/>
        <v>375.26612796787288</v>
      </c>
      <c r="P101" s="131">
        <v>0.9</v>
      </c>
      <c r="Q101" s="186">
        <f t="shared" si="23"/>
        <v>192.5330357185488</v>
      </c>
      <c r="R101" s="186">
        <f t="shared" si="24"/>
        <v>337.7395151710856</v>
      </c>
      <c r="S101" s="151" t="s">
        <v>1851</v>
      </c>
      <c r="T101" s="51" t="s">
        <v>3315</v>
      </c>
      <c r="U101" s="151" t="s">
        <v>1594</v>
      </c>
      <c r="V101" s="51" t="s">
        <v>3223</v>
      </c>
      <c r="W101" s="19"/>
      <c r="X101" s="19"/>
      <c r="Y101" s="99">
        <v>503</v>
      </c>
    </row>
    <row r="102" spans="2:31" s="165" customFormat="1" ht="20" x14ac:dyDescent="0.2">
      <c r="B102" s="150" t="s">
        <v>1326</v>
      </c>
      <c r="C102" s="33" t="s">
        <v>106</v>
      </c>
      <c r="D102" s="33" t="s">
        <v>2876</v>
      </c>
      <c r="E102" s="175">
        <v>1</v>
      </c>
      <c r="F102" s="151" t="s">
        <v>1128</v>
      </c>
      <c r="G102" s="152">
        <v>20.149999999999999</v>
      </c>
      <c r="H102" s="152">
        <v>12.43827160493827</v>
      </c>
      <c r="I102" s="175">
        <v>69</v>
      </c>
      <c r="J102" s="266">
        <f>_xlfn.XLOOKUP($I102,Inputs!$C$6:$C$23,Inputs!$D$6:$D$23)*$G102</f>
        <v>7.7433571428571426</v>
      </c>
      <c r="K102" s="255"/>
      <c r="L102" s="186">
        <v>230</v>
      </c>
      <c r="M102" s="186">
        <v>380</v>
      </c>
      <c r="N102" s="99">
        <f t="shared" si="21"/>
        <v>27.487646316118084</v>
      </c>
      <c r="O102" s="99">
        <f t="shared" si="22"/>
        <v>45.414372174455956</v>
      </c>
      <c r="P102" s="131">
        <v>0.9</v>
      </c>
      <c r="Q102" s="186">
        <f t="shared" si="23"/>
        <v>24.738881684506275</v>
      </c>
      <c r="R102" s="186">
        <f t="shared" si="24"/>
        <v>40.872934957010358</v>
      </c>
      <c r="S102" s="151" t="s">
        <v>2571</v>
      </c>
      <c r="T102" s="51" t="s">
        <v>2230</v>
      </c>
      <c r="U102" s="151" t="s">
        <v>1594</v>
      </c>
      <c r="V102" s="51" t="s">
        <v>3223</v>
      </c>
      <c r="W102" s="19"/>
      <c r="X102" s="19"/>
      <c r="Y102" s="99">
        <v>901</v>
      </c>
    </row>
    <row r="103" spans="2:31" ht="20" x14ac:dyDescent="0.2">
      <c r="B103" s="150" t="s">
        <v>1338</v>
      </c>
      <c r="C103" s="33" t="s">
        <v>106</v>
      </c>
      <c r="D103" s="33" t="s">
        <v>2876</v>
      </c>
      <c r="E103" s="175">
        <v>1</v>
      </c>
      <c r="F103" s="151" t="s">
        <v>1128</v>
      </c>
      <c r="G103" s="152">
        <v>3</v>
      </c>
      <c r="H103" s="152">
        <v>1.8518518518518516</v>
      </c>
      <c r="I103" s="175">
        <v>69</v>
      </c>
      <c r="J103" s="266">
        <f>_xlfn.XLOOKUP($I103,Inputs!$C$6:$C$23,Inputs!$D$6:$D$23)*$G103</f>
        <v>1.1528571428571428</v>
      </c>
      <c r="K103" s="255"/>
      <c r="L103" s="186">
        <v>850</v>
      </c>
      <c r="M103" s="186">
        <v>1020</v>
      </c>
      <c r="N103" s="99">
        <f t="shared" si="21"/>
        <v>101.58477986391465</v>
      </c>
      <c r="O103" s="99">
        <f t="shared" si="22"/>
        <v>121.90173583669757</v>
      </c>
      <c r="P103" s="131">
        <v>0.9</v>
      </c>
      <c r="Q103" s="186">
        <f t="shared" si="23"/>
        <v>91.426301877523187</v>
      </c>
      <c r="R103" s="186">
        <f t="shared" si="24"/>
        <v>109.71156225302781</v>
      </c>
      <c r="S103" s="151" t="s">
        <v>2579</v>
      </c>
      <c r="T103" s="51" t="s">
        <v>2238</v>
      </c>
      <c r="U103" s="151" t="s">
        <v>1594</v>
      </c>
      <c r="V103" s="51" t="s">
        <v>3223</v>
      </c>
      <c r="W103" s="19"/>
      <c r="X103" s="19"/>
      <c r="Y103" s="99">
        <v>920</v>
      </c>
      <c r="AA103" s="29"/>
      <c r="AC103" s="29"/>
      <c r="AD103" s="29"/>
      <c r="AE103" s="29"/>
    </row>
    <row r="104" spans="2:31" s="165" customFormat="1" ht="20" x14ac:dyDescent="0.2">
      <c r="B104" s="151" t="s">
        <v>1535</v>
      </c>
      <c r="C104" s="33" t="s">
        <v>106</v>
      </c>
      <c r="D104" s="33" t="s">
        <v>2876</v>
      </c>
      <c r="E104" s="175">
        <v>1</v>
      </c>
      <c r="F104" s="151" t="s">
        <v>1128</v>
      </c>
      <c r="G104" s="174">
        <v>5.66</v>
      </c>
      <c r="H104" s="152">
        <v>3.4938271604938271</v>
      </c>
      <c r="I104" s="175">
        <v>69</v>
      </c>
      <c r="J104" s="266">
        <f>_xlfn.XLOOKUP($I104,Inputs!$C$6:$C$23,Inputs!$D$6:$D$23)*$G104</f>
        <v>2.1750571428571428</v>
      </c>
      <c r="K104" s="255"/>
      <c r="L104" s="186">
        <v>850</v>
      </c>
      <c r="M104" s="186">
        <v>1020</v>
      </c>
      <c r="N104" s="99">
        <f t="shared" si="21"/>
        <v>101.58477986391465</v>
      </c>
      <c r="O104" s="99">
        <f t="shared" si="22"/>
        <v>121.90173583669757</v>
      </c>
      <c r="P104" s="131">
        <v>0.9</v>
      </c>
      <c r="Q104" s="186">
        <f t="shared" si="23"/>
        <v>91.426301877523187</v>
      </c>
      <c r="R104" s="186">
        <f t="shared" si="24"/>
        <v>109.71156225302781</v>
      </c>
      <c r="S104" s="151" t="s">
        <v>2581</v>
      </c>
      <c r="T104" s="51" t="s">
        <v>2240</v>
      </c>
      <c r="U104" s="151" t="s">
        <v>1594</v>
      </c>
      <c r="V104" s="51" t="s">
        <v>3223</v>
      </c>
      <c r="W104" s="19"/>
      <c r="X104" s="19"/>
      <c r="Y104" s="99">
        <v>924</v>
      </c>
    </row>
    <row r="105" spans="2:31" ht="20" x14ac:dyDescent="0.2">
      <c r="B105" s="150" t="s">
        <v>1365</v>
      </c>
      <c r="C105" s="33" t="s">
        <v>106</v>
      </c>
      <c r="D105" s="33" t="s">
        <v>2876</v>
      </c>
      <c r="E105" s="175">
        <v>1</v>
      </c>
      <c r="F105" s="151" t="s">
        <v>1128</v>
      </c>
      <c r="G105" s="152">
        <v>36.85</v>
      </c>
      <c r="H105" s="152">
        <v>22.746913580246915</v>
      </c>
      <c r="I105" s="175">
        <v>69</v>
      </c>
      <c r="J105" s="266">
        <f>_xlfn.XLOOKUP($I105,Inputs!$C$6:$C$23,Inputs!$D$6:$D$23)*$G105</f>
        <v>14.160928571428572</v>
      </c>
      <c r="K105" s="255"/>
      <c r="L105" s="186">
        <v>280</v>
      </c>
      <c r="M105" s="3">
        <v>450</v>
      </c>
      <c r="N105" s="99">
        <f t="shared" si="21"/>
        <v>33.463221602230711</v>
      </c>
      <c r="O105" s="99">
        <f t="shared" si="22"/>
        <v>53.780177575013639</v>
      </c>
      <c r="P105" s="131">
        <v>0.9</v>
      </c>
      <c r="Q105" s="186">
        <f t="shared" si="23"/>
        <v>30.116899442007639</v>
      </c>
      <c r="R105" s="186">
        <f t="shared" si="24"/>
        <v>48.402159817512278</v>
      </c>
      <c r="S105" s="151" t="s">
        <v>2595</v>
      </c>
      <c r="T105" s="51" t="s">
        <v>2253</v>
      </c>
      <c r="U105" s="151" t="s">
        <v>1594</v>
      </c>
      <c r="V105" s="51" t="s">
        <v>3223</v>
      </c>
      <c r="W105" s="19"/>
      <c r="X105" s="19"/>
      <c r="Y105" s="99">
        <v>966</v>
      </c>
      <c r="AA105" s="29"/>
      <c r="AC105" s="29"/>
      <c r="AD105" s="29"/>
      <c r="AE105" s="29"/>
    </row>
    <row r="106" spans="2:31" s="165" customFormat="1" ht="20" x14ac:dyDescent="0.2">
      <c r="B106" s="150" t="s">
        <v>1341</v>
      </c>
      <c r="C106" s="33" t="s">
        <v>106</v>
      </c>
      <c r="D106" s="33" t="s">
        <v>2876</v>
      </c>
      <c r="E106" s="175">
        <v>1</v>
      </c>
      <c r="F106" s="151" t="s">
        <v>1128</v>
      </c>
      <c r="G106" s="152">
        <v>5.66</v>
      </c>
      <c r="H106" s="152">
        <v>3.4938271604938271</v>
      </c>
      <c r="I106" s="175">
        <v>69</v>
      </c>
      <c r="J106" s="266">
        <f>_xlfn.XLOOKUP($I106,Inputs!$C$6:$C$23,Inputs!$D$6:$D$23)*$G106</f>
        <v>2.1750571428571428</v>
      </c>
      <c r="K106" s="255"/>
      <c r="L106" s="186">
        <v>850</v>
      </c>
      <c r="M106" s="186">
        <v>1020</v>
      </c>
      <c r="N106" s="99">
        <f t="shared" si="21"/>
        <v>101.58477986391465</v>
      </c>
      <c r="O106" s="99">
        <f t="shared" si="22"/>
        <v>121.90173583669757</v>
      </c>
      <c r="P106" s="131">
        <v>0.9</v>
      </c>
      <c r="Q106" s="186">
        <f t="shared" si="23"/>
        <v>91.426301877523187</v>
      </c>
      <c r="R106" s="186">
        <f t="shared" si="24"/>
        <v>109.71156225302781</v>
      </c>
      <c r="S106" s="151" t="s">
        <v>2580</v>
      </c>
      <c r="T106" s="51" t="s">
        <v>2239</v>
      </c>
      <c r="U106" s="151" t="s">
        <v>2581</v>
      </c>
      <c r="V106" s="51" t="s">
        <v>2240</v>
      </c>
      <c r="W106" s="19"/>
      <c r="X106" s="19"/>
      <c r="Y106" s="99">
        <v>923</v>
      </c>
    </row>
    <row r="107" spans="2:31" ht="20" x14ac:dyDescent="0.2">
      <c r="B107" s="150" t="s">
        <v>1190</v>
      </c>
      <c r="C107" s="33" t="s">
        <v>106</v>
      </c>
      <c r="D107" s="33" t="s">
        <v>2876</v>
      </c>
      <c r="E107" s="175">
        <v>1</v>
      </c>
      <c r="F107" s="151" t="s">
        <v>1128</v>
      </c>
      <c r="G107" s="152">
        <v>1.739832</v>
      </c>
      <c r="H107" s="152">
        <v>1.0739703703703702</v>
      </c>
      <c r="I107" s="175">
        <v>69</v>
      </c>
      <c r="J107" s="266">
        <f>_xlfn.XLOOKUP($I107,Inputs!$C$6:$C$23,Inputs!$D$6:$D$23)*$G107</f>
        <v>0.66859258285714285</v>
      </c>
      <c r="K107" s="255"/>
      <c r="L107" s="186">
        <v>440</v>
      </c>
      <c r="M107" s="186">
        <v>555</v>
      </c>
      <c r="N107" s="99">
        <f t="shared" si="21"/>
        <v>52.585062517791116</v>
      </c>
      <c r="O107" s="99">
        <f t="shared" si="22"/>
        <v>66.328885675850145</v>
      </c>
      <c r="P107" s="131">
        <v>0.9</v>
      </c>
      <c r="Q107" s="186">
        <f t="shared" si="23"/>
        <v>47.326556266012005</v>
      </c>
      <c r="R107" s="186">
        <f t="shared" si="24"/>
        <v>59.695997108265132</v>
      </c>
      <c r="S107" s="151" t="s">
        <v>2505</v>
      </c>
      <c r="T107" s="51" t="s">
        <v>2163</v>
      </c>
      <c r="U107" s="151" t="s">
        <v>1595</v>
      </c>
      <c r="V107" s="51" t="s">
        <v>3376</v>
      </c>
      <c r="W107" s="19"/>
      <c r="X107" s="19"/>
      <c r="Y107" s="99">
        <v>657</v>
      </c>
      <c r="AA107" s="29"/>
      <c r="AC107" s="29"/>
      <c r="AD107" s="29"/>
      <c r="AE107" s="29"/>
    </row>
    <row r="108" spans="2:31" s="165" customFormat="1" ht="20" x14ac:dyDescent="0.2">
      <c r="B108" s="150" t="s">
        <v>1189</v>
      </c>
      <c r="C108" s="33" t="s">
        <v>106</v>
      </c>
      <c r="D108" s="33" t="s">
        <v>2876</v>
      </c>
      <c r="E108" s="175">
        <v>1</v>
      </c>
      <c r="F108" s="151" t="s">
        <v>1128</v>
      </c>
      <c r="G108" s="152">
        <v>1</v>
      </c>
      <c r="H108" s="152">
        <v>0.61728395061728392</v>
      </c>
      <c r="I108" s="175">
        <v>69</v>
      </c>
      <c r="J108" s="266">
        <f>_xlfn.XLOOKUP($I108,Inputs!$C$6:$C$23,Inputs!$D$6:$D$23)*$G108</f>
        <v>0.38428571428571429</v>
      </c>
      <c r="K108" s="255"/>
      <c r="L108" s="186">
        <v>750</v>
      </c>
      <c r="M108" s="186">
        <v>965</v>
      </c>
      <c r="N108" s="99">
        <f t="shared" si="21"/>
        <v>89.633629291689402</v>
      </c>
      <c r="O108" s="99">
        <f t="shared" si="22"/>
        <v>115.32860302197369</v>
      </c>
      <c r="P108" s="131">
        <v>0.9</v>
      </c>
      <c r="Q108" s="186">
        <f t="shared" si="23"/>
        <v>80.670266362520465</v>
      </c>
      <c r="R108" s="186">
        <f t="shared" si="24"/>
        <v>103.79574271977633</v>
      </c>
      <c r="S108" s="151" t="s">
        <v>2504</v>
      </c>
      <c r="T108" s="51" t="s">
        <v>2164</v>
      </c>
      <c r="U108" s="151" t="s">
        <v>2505</v>
      </c>
      <c r="V108" s="51" t="s">
        <v>2163</v>
      </c>
      <c r="W108" s="19"/>
      <c r="X108" s="19"/>
      <c r="Y108" s="99">
        <v>655</v>
      </c>
    </row>
    <row r="109" spans="2:31" s="165" customFormat="1" ht="20" x14ac:dyDescent="0.2">
      <c r="B109" s="150" t="s">
        <v>621</v>
      </c>
      <c r="C109" s="33" t="s">
        <v>106</v>
      </c>
      <c r="D109" s="33" t="s">
        <v>2876</v>
      </c>
      <c r="E109" s="175">
        <v>1</v>
      </c>
      <c r="F109" s="151" t="s">
        <v>1128</v>
      </c>
      <c r="G109" s="152">
        <v>44.555191000000001</v>
      </c>
      <c r="H109" s="152">
        <v>27.503204320987653</v>
      </c>
      <c r="I109" s="175">
        <v>230</v>
      </c>
      <c r="J109" s="266">
        <f>_xlfn.XLOOKUP($I109,Inputs!$C$6:$C$23,Inputs!$D$6:$D$23)*$G109</f>
        <v>21.386491679999999</v>
      </c>
      <c r="K109" s="255"/>
      <c r="L109" s="186">
        <v>1664</v>
      </c>
      <c r="M109" s="186">
        <v>2217</v>
      </c>
      <c r="N109" s="99">
        <f t="shared" si="21"/>
        <v>662.89048507276061</v>
      </c>
      <c r="O109" s="99">
        <f t="shared" si="22"/>
        <v>883.19002728744624</v>
      </c>
      <c r="P109" s="131">
        <v>0.9</v>
      </c>
      <c r="Q109" s="186">
        <f t="shared" si="23"/>
        <v>596.60143656548462</v>
      </c>
      <c r="R109" s="186">
        <f t="shared" si="24"/>
        <v>794.87102455870161</v>
      </c>
      <c r="S109" s="151" t="s">
        <v>1881</v>
      </c>
      <c r="T109" s="51" t="s">
        <v>3678</v>
      </c>
      <c r="U109" s="151" t="s">
        <v>1596</v>
      </c>
      <c r="V109" s="51" t="s">
        <v>3224</v>
      </c>
      <c r="W109" s="19"/>
      <c r="X109" s="19"/>
      <c r="Y109" s="99">
        <v>489</v>
      </c>
    </row>
    <row r="110" spans="2:31" ht="20" x14ac:dyDescent="0.2">
      <c r="B110" s="150" t="s">
        <v>623</v>
      </c>
      <c r="C110" s="33" t="s">
        <v>106</v>
      </c>
      <c r="D110" s="33" t="s">
        <v>2876</v>
      </c>
      <c r="E110" s="175">
        <v>1</v>
      </c>
      <c r="F110" s="151" t="s">
        <v>1128</v>
      </c>
      <c r="G110" s="152">
        <v>44.577745999999998</v>
      </c>
      <c r="H110" s="152">
        <v>27.517127160493825</v>
      </c>
      <c r="I110" s="175">
        <v>230</v>
      </c>
      <c r="J110" s="266">
        <f>_xlfn.XLOOKUP($I110,Inputs!$C$6:$C$23,Inputs!$D$6:$D$23)*$G110</f>
        <v>21.397318079999998</v>
      </c>
      <c r="K110" s="255"/>
      <c r="L110" s="186">
        <v>1664</v>
      </c>
      <c r="M110" s="186">
        <v>2217</v>
      </c>
      <c r="N110" s="99">
        <f t="shared" si="21"/>
        <v>662.89048507276061</v>
      </c>
      <c r="O110" s="99">
        <f t="shared" si="22"/>
        <v>883.19002728744624</v>
      </c>
      <c r="P110" s="131">
        <v>0.9</v>
      </c>
      <c r="Q110" s="186">
        <f t="shared" si="23"/>
        <v>596.60143656548462</v>
      </c>
      <c r="R110" s="186">
        <f t="shared" si="24"/>
        <v>794.87102455870161</v>
      </c>
      <c r="S110" s="151" t="s">
        <v>1881</v>
      </c>
      <c r="T110" s="51" t="s">
        <v>3678</v>
      </c>
      <c r="U110" s="151" t="s">
        <v>1596</v>
      </c>
      <c r="V110" s="51" t="s">
        <v>3224</v>
      </c>
      <c r="W110" s="19"/>
      <c r="X110" s="19"/>
      <c r="Y110" s="99">
        <v>491</v>
      </c>
      <c r="AA110" s="29"/>
      <c r="AC110" s="29"/>
      <c r="AD110" s="29"/>
      <c r="AE110" s="29"/>
    </row>
    <row r="111" spans="2:31" s="165" customFormat="1" ht="20" x14ac:dyDescent="0.2">
      <c r="B111" s="151" t="s">
        <v>1130</v>
      </c>
      <c r="C111" s="33" t="s">
        <v>106</v>
      </c>
      <c r="D111" s="33" t="s">
        <v>2876</v>
      </c>
      <c r="E111" s="175">
        <v>1</v>
      </c>
      <c r="F111" s="151" t="s">
        <v>1128</v>
      </c>
      <c r="G111" s="174">
        <v>12</v>
      </c>
      <c r="H111" s="152">
        <v>7.4074074074074066</v>
      </c>
      <c r="I111" s="175">
        <v>138</v>
      </c>
      <c r="J111" s="266">
        <f>_xlfn.XLOOKUP($I111,Inputs!$C$6:$C$23,Inputs!$D$6:$D$23)*$G111</f>
        <v>5.2028571428571428</v>
      </c>
      <c r="K111" s="255"/>
      <c r="L111" s="186">
        <v>468</v>
      </c>
      <c r="M111" s="186">
        <v>628</v>
      </c>
      <c r="N111" s="99">
        <f t="shared" si="21"/>
        <v>111.86276935602835</v>
      </c>
      <c r="O111" s="99">
        <f t="shared" si="22"/>
        <v>150.10645118714916</v>
      </c>
      <c r="P111" s="131">
        <v>0.9</v>
      </c>
      <c r="Q111" s="186">
        <f t="shared" si="23"/>
        <v>100.67649242042552</v>
      </c>
      <c r="R111" s="186">
        <f t="shared" si="24"/>
        <v>135.09580606843426</v>
      </c>
      <c r="S111" s="151" t="s">
        <v>1596</v>
      </c>
      <c r="T111" s="51" t="s">
        <v>3224</v>
      </c>
      <c r="U111" s="151" t="s">
        <v>2288</v>
      </c>
      <c r="V111" s="51" t="s">
        <v>3095</v>
      </c>
      <c r="W111" s="19"/>
      <c r="X111" s="19"/>
      <c r="Y111" s="99">
        <v>261</v>
      </c>
    </row>
    <row r="112" spans="2:31" s="165" customFormat="1" ht="20" x14ac:dyDescent="0.2">
      <c r="B112" s="151" t="s">
        <v>1504</v>
      </c>
      <c r="C112" s="33" t="s">
        <v>106</v>
      </c>
      <c r="D112" s="33" t="s">
        <v>2876</v>
      </c>
      <c r="E112" s="175">
        <v>1</v>
      </c>
      <c r="F112" s="151" t="s">
        <v>1128</v>
      </c>
      <c r="G112" s="174">
        <v>0.1</v>
      </c>
      <c r="H112" s="152">
        <v>6.1728395061728392E-2</v>
      </c>
      <c r="I112" s="175">
        <v>138</v>
      </c>
      <c r="J112" s="266">
        <f>_xlfn.XLOOKUP($I112,Inputs!$C$6:$C$23,Inputs!$D$6:$D$23)*$G112</f>
        <v>4.3357142857142865E-2</v>
      </c>
      <c r="K112" s="267">
        <f>IF((42.4*(H112)^(-0.6595))&gt;=3,3,(IF(42.4*(H112)^(-0.6595)&lt;=0.5,0.5,(42.4*(H112)^(-0.6595)))))</f>
        <v>3</v>
      </c>
      <c r="L112" s="99"/>
      <c r="M112" s="99"/>
      <c r="N112" s="99">
        <f t="shared" si="21"/>
        <v>0</v>
      </c>
      <c r="O112" s="99">
        <f t="shared" si="22"/>
        <v>0</v>
      </c>
      <c r="P112" s="131">
        <v>0.9</v>
      </c>
      <c r="Q112" s="305">
        <f>_xlfn.XLOOKUP($I112,Inputs!$G$6:$G$23,Inputs!J$6:J$23)*$K112</f>
        <v>141</v>
      </c>
      <c r="R112" s="305">
        <f>_xlfn.XLOOKUP($I112,Inputs!$G$6:$G$23,Inputs!K$6:K$23)*$K112</f>
        <v>156</v>
      </c>
      <c r="S112" s="151" t="s">
        <v>1587</v>
      </c>
      <c r="T112" s="51" t="s">
        <v>3219</v>
      </c>
      <c r="U112" s="151" t="s">
        <v>1597</v>
      </c>
      <c r="V112" s="51" t="s">
        <v>3096</v>
      </c>
      <c r="W112" s="19"/>
      <c r="X112" s="19"/>
      <c r="Y112" s="99">
        <v>228</v>
      </c>
    </row>
    <row r="113" spans="2:31" s="165" customFormat="1" ht="20" x14ac:dyDescent="0.2">
      <c r="B113" s="150" t="s">
        <v>543</v>
      </c>
      <c r="C113" s="33" t="s">
        <v>106</v>
      </c>
      <c r="D113" s="33" t="s">
        <v>2876</v>
      </c>
      <c r="E113" s="175">
        <v>1</v>
      </c>
      <c r="F113" s="151" t="s">
        <v>1128</v>
      </c>
      <c r="G113" s="152">
        <v>7.39</v>
      </c>
      <c r="H113" s="152">
        <v>4.5617283950617278</v>
      </c>
      <c r="I113" s="175">
        <v>230</v>
      </c>
      <c r="J113" s="266">
        <f>_xlfn.XLOOKUP($I113,Inputs!$C$6:$C$23,Inputs!$D$6:$D$23)*$G113</f>
        <v>3.5471999999999997</v>
      </c>
      <c r="K113" s="255"/>
      <c r="L113" s="186">
        <v>950</v>
      </c>
      <c r="M113" s="186">
        <v>950</v>
      </c>
      <c r="N113" s="99">
        <f t="shared" si="21"/>
        <v>378.45310145379972</v>
      </c>
      <c r="O113" s="99">
        <f t="shared" si="22"/>
        <v>378.45310145379972</v>
      </c>
      <c r="P113" s="131">
        <v>0.9</v>
      </c>
      <c r="Q113" s="186">
        <f t="shared" ref="Q113:Q128" si="25">N113*$P113</f>
        <v>340.60779130841973</v>
      </c>
      <c r="R113" s="186">
        <f t="shared" ref="R113:R128" si="26">O113*$P113</f>
        <v>340.60779130841973</v>
      </c>
      <c r="S113" s="151" t="s">
        <v>1804</v>
      </c>
      <c r="T113" s="51" t="s">
        <v>3295</v>
      </c>
      <c r="U113" s="151" t="s">
        <v>1598</v>
      </c>
      <c r="V113" s="51" t="s">
        <v>3225</v>
      </c>
      <c r="W113" s="19"/>
      <c r="X113" s="19"/>
      <c r="Y113" s="99">
        <v>381</v>
      </c>
    </row>
    <row r="114" spans="2:31" s="165" customFormat="1" ht="20" x14ac:dyDescent="0.2">
      <c r="B114" s="151" t="s">
        <v>551</v>
      </c>
      <c r="C114" s="33" t="s">
        <v>106</v>
      </c>
      <c r="D114" s="33" t="s">
        <v>2876</v>
      </c>
      <c r="E114" s="175">
        <v>1</v>
      </c>
      <c r="F114" s="151" t="s">
        <v>1128</v>
      </c>
      <c r="G114" s="174">
        <v>8.9700000000000006</v>
      </c>
      <c r="H114" s="152">
        <v>5.5370370370370372</v>
      </c>
      <c r="I114" s="175">
        <v>230</v>
      </c>
      <c r="J114" s="266">
        <f>_xlfn.XLOOKUP($I114,Inputs!$C$6:$C$23,Inputs!$D$6:$D$23)*$G114</f>
        <v>4.3056000000000001</v>
      </c>
      <c r="K114" s="255"/>
      <c r="L114" s="186">
        <v>1075</v>
      </c>
      <c r="M114" s="186">
        <v>1247</v>
      </c>
      <c r="N114" s="99">
        <f t="shared" si="21"/>
        <v>428.24956217140488</v>
      </c>
      <c r="O114" s="99">
        <f t="shared" si="22"/>
        <v>496.7694921188297</v>
      </c>
      <c r="P114" s="131">
        <v>0.9</v>
      </c>
      <c r="Q114" s="186">
        <f t="shared" si="25"/>
        <v>385.42460595426439</v>
      </c>
      <c r="R114" s="186">
        <f t="shared" si="26"/>
        <v>447.09254290694673</v>
      </c>
      <c r="S114" s="151" t="s">
        <v>1630</v>
      </c>
      <c r="T114" s="51" t="s">
        <v>3235</v>
      </c>
      <c r="U114" s="151" t="s">
        <v>1598</v>
      </c>
      <c r="V114" s="179" t="s">
        <v>3225</v>
      </c>
      <c r="W114" s="19"/>
      <c r="X114" s="19"/>
      <c r="Y114" s="99">
        <v>393</v>
      </c>
    </row>
    <row r="115" spans="2:31" ht="20" x14ac:dyDescent="0.2">
      <c r="B115" s="150" t="s">
        <v>1132</v>
      </c>
      <c r="C115" s="33" t="s">
        <v>106</v>
      </c>
      <c r="D115" s="33" t="s">
        <v>2876</v>
      </c>
      <c r="E115" s="175">
        <v>1</v>
      </c>
      <c r="F115" s="151" t="s">
        <v>1128</v>
      </c>
      <c r="G115" s="152">
        <v>7.5959719999999997</v>
      </c>
      <c r="H115" s="152">
        <v>4.6888716049382708</v>
      </c>
      <c r="I115" s="175">
        <v>69</v>
      </c>
      <c r="J115" s="266">
        <f>_xlfn.XLOOKUP($I115,Inputs!$C$6:$C$23,Inputs!$D$6:$D$23)*$G115</f>
        <v>2.9190235257142856</v>
      </c>
      <c r="K115" s="255"/>
      <c r="L115" s="186">
        <v>580</v>
      </c>
      <c r="M115" s="186">
        <v>740</v>
      </c>
      <c r="N115" s="99">
        <f t="shared" si="21"/>
        <v>69.316673318906467</v>
      </c>
      <c r="O115" s="99">
        <f t="shared" si="22"/>
        <v>88.438514234466865</v>
      </c>
      <c r="P115" s="131">
        <v>0.9</v>
      </c>
      <c r="Q115" s="186">
        <f t="shared" si="25"/>
        <v>62.385005987015823</v>
      </c>
      <c r="R115" s="186">
        <f t="shared" si="26"/>
        <v>79.594662811020186</v>
      </c>
      <c r="S115" s="151" t="s">
        <v>1630</v>
      </c>
      <c r="T115" s="51" t="s">
        <v>3235</v>
      </c>
      <c r="U115" s="151" t="s">
        <v>1598</v>
      </c>
      <c r="V115" s="51" t="s">
        <v>3225</v>
      </c>
      <c r="W115" s="19"/>
      <c r="X115" s="19"/>
      <c r="Y115" s="99">
        <v>554</v>
      </c>
      <c r="AA115" s="29"/>
      <c r="AC115" s="29"/>
      <c r="AD115" s="29"/>
      <c r="AE115" s="29"/>
    </row>
    <row r="116" spans="2:31" ht="20" x14ac:dyDescent="0.2">
      <c r="B116" s="150" t="s">
        <v>1146</v>
      </c>
      <c r="C116" s="33" t="s">
        <v>106</v>
      </c>
      <c r="D116" s="33" t="s">
        <v>2876</v>
      </c>
      <c r="E116" s="175">
        <v>1</v>
      </c>
      <c r="F116" s="151" t="s">
        <v>1128</v>
      </c>
      <c r="G116" s="152">
        <v>2.35</v>
      </c>
      <c r="H116" s="152">
        <v>1.4506172839506173</v>
      </c>
      <c r="I116" s="175">
        <v>69</v>
      </c>
      <c r="J116" s="266">
        <f>_xlfn.XLOOKUP($I116,Inputs!$C$6:$C$23,Inputs!$D$6:$D$23)*$G116</f>
        <v>0.90307142857142864</v>
      </c>
      <c r="K116" s="255"/>
      <c r="L116" s="186">
        <v>400</v>
      </c>
      <c r="M116" s="186">
        <v>510</v>
      </c>
      <c r="N116" s="99">
        <f t="shared" si="21"/>
        <v>47.804602288901016</v>
      </c>
      <c r="O116" s="99">
        <f t="shared" si="22"/>
        <v>60.950867918348784</v>
      </c>
      <c r="P116" s="131">
        <v>0.9</v>
      </c>
      <c r="Q116" s="186">
        <f t="shared" si="25"/>
        <v>43.024142060010917</v>
      </c>
      <c r="R116" s="186">
        <f t="shared" si="26"/>
        <v>54.855781126513904</v>
      </c>
      <c r="S116" s="151" t="s">
        <v>2487</v>
      </c>
      <c r="T116" s="51" t="s">
        <v>2144</v>
      </c>
      <c r="U116" s="151" t="s">
        <v>1598</v>
      </c>
      <c r="V116" s="51" t="s">
        <v>3225</v>
      </c>
      <c r="W116" s="19"/>
      <c r="X116" s="19"/>
      <c r="Y116" s="99">
        <v>587</v>
      </c>
      <c r="AA116" s="29"/>
      <c r="AC116" s="29"/>
      <c r="AD116" s="29"/>
      <c r="AE116" s="29"/>
    </row>
    <row r="117" spans="2:31" s="165" customFormat="1" ht="20" x14ac:dyDescent="0.2">
      <c r="B117" s="150" t="s">
        <v>1155</v>
      </c>
      <c r="C117" s="33" t="s">
        <v>106</v>
      </c>
      <c r="D117" s="33" t="s">
        <v>2876</v>
      </c>
      <c r="E117" s="175">
        <v>1</v>
      </c>
      <c r="F117" s="151" t="s">
        <v>1128</v>
      </c>
      <c r="G117" s="152">
        <v>6</v>
      </c>
      <c r="H117" s="152">
        <v>3.7037037037037033</v>
      </c>
      <c r="I117" s="175">
        <v>69</v>
      </c>
      <c r="J117" s="266">
        <f>_xlfn.XLOOKUP($I117,Inputs!$C$6:$C$23,Inputs!$D$6:$D$23)*$G117</f>
        <v>2.3057142857142856</v>
      </c>
      <c r="K117" s="255"/>
      <c r="L117" s="186">
        <v>580</v>
      </c>
      <c r="M117" s="186">
        <v>740</v>
      </c>
      <c r="N117" s="99">
        <f t="shared" si="21"/>
        <v>69.316673318906467</v>
      </c>
      <c r="O117" s="99">
        <f t="shared" si="22"/>
        <v>88.438514234466865</v>
      </c>
      <c r="P117" s="131">
        <v>0.9</v>
      </c>
      <c r="Q117" s="186">
        <f t="shared" si="25"/>
        <v>62.385005987015823</v>
      </c>
      <c r="R117" s="186">
        <f t="shared" si="26"/>
        <v>79.594662811020186</v>
      </c>
      <c r="S117" s="151" t="s">
        <v>2490</v>
      </c>
      <c r="T117" s="51" t="s">
        <v>2147</v>
      </c>
      <c r="U117" s="151" t="s">
        <v>1598</v>
      </c>
      <c r="V117" s="51" t="s">
        <v>3225</v>
      </c>
      <c r="W117" s="19"/>
      <c r="X117" s="19"/>
      <c r="Y117" s="99">
        <v>600</v>
      </c>
    </row>
    <row r="118" spans="2:31" ht="20" x14ac:dyDescent="0.2">
      <c r="B118" s="150" t="s">
        <v>1173</v>
      </c>
      <c r="C118" s="33" t="s">
        <v>106</v>
      </c>
      <c r="D118" s="33" t="s">
        <v>2876</v>
      </c>
      <c r="E118" s="175">
        <v>1</v>
      </c>
      <c r="F118" s="151" t="s">
        <v>1128</v>
      </c>
      <c r="G118" s="152">
        <v>7.6052110000000006</v>
      </c>
      <c r="H118" s="152">
        <v>4.6945746913580244</v>
      </c>
      <c r="I118" s="175">
        <v>69</v>
      </c>
      <c r="J118" s="266">
        <f>_xlfn.XLOOKUP($I118,Inputs!$C$6:$C$23,Inputs!$D$6:$D$23)*$G118</f>
        <v>2.9225739414285719</v>
      </c>
      <c r="K118" s="255"/>
      <c r="L118" s="186">
        <v>580</v>
      </c>
      <c r="M118" s="186">
        <v>740</v>
      </c>
      <c r="N118" s="99">
        <f t="shared" si="21"/>
        <v>69.316673318906467</v>
      </c>
      <c r="O118" s="99">
        <f t="shared" si="22"/>
        <v>88.438514234466865</v>
      </c>
      <c r="P118" s="131">
        <v>0.9</v>
      </c>
      <c r="Q118" s="186">
        <f t="shared" si="25"/>
        <v>62.385005987015823</v>
      </c>
      <c r="R118" s="186">
        <f t="shared" si="26"/>
        <v>79.594662811020186</v>
      </c>
      <c r="S118" s="151" t="s">
        <v>1630</v>
      </c>
      <c r="T118" s="51" t="s">
        <v>3235</v>
      </c>
      <c r="U118" s="151" t="s">
        <v>1598</v>
      </c>
      <c r="V118" s="51" t="s">
        <v>3225</v>
      </c>
      <c r="W118" s="19"/>
      <c r="X118" s="19"/>
      <c r="Y118" s="99">
        <v>627</v>
      </c>
      <c r="AA118" s="29"/>
      <c r="AC118" s="29"/>
      <c r="AD118" s="29"/>
      <c r="AE118" s="29"/>
    </row>
    <row r="119" spans="2:31" s="165" customFormat="1" ht="20" x14ac:dyDescent="0.2">
      <c r="B119" s="150" t="s">
        <v>1185</v>
      </c>
      <c r="C119" s="33" t="s">
        <v>106</v>
      </c>
      <c r="D119" s="33" t="s">
        <v>2876</v>
      </c>
      <c r="E119" s="175">
        <v>1</v>
      </c>
      <c r="F119" s="151" t="s">
        <v>1128</v>
      </c>
      <c r="G119" s="152">
        <v>7.6149592000000004</v>
      </c>
      <c r="H119" s="152">
        <v>4.7005920987654317</v>
      </c>
      <c r="I119" s="175">
        <v>69</v>
      </c>
      <c r="J119" s="266">
        <f>_xlfn.XLOOKUP($I119,Inputs!$C$6:$C$23,Inputs!$D$6:$D$23)*$G119</f>
        <v>2.9263200354285717</v>
      </c>
      <c r="K119" s="255"/>
      <c r="L119" s="186">
        <v>750</v>
      </c>
      <c r="M119" s="186">
        <v>960</v>
      </c>
      <c r="N119" s="99">
        <f t="shared" si="21"/>
        <v>89.633629291689402</v>
      </c>
      <c r="O119" s="99">
        <f t="shared" si="22"/>
        <v>114.73104549336242</v>
      </c>
      <c r="P119" s="131">
        <v>0.9</v>
      </c>
      <c r="Q119" s="186">
        <f t="shared" si="25"/>
        <v>80.670266362520465</v>
      </c>
      <c r="R119" s="186">
        <f t="shared" si="26"/>
        <v>103.25794094402617</v>
      </c>
      <c r="S119" s="151" t="s">
        <v>1804</v>
      </c>
      <c r="T119" s="51" t="s">
        <v>3295</v>
      </c>
      <c r="U119" s="151" t="s">
        <v>1598</v>
      </c>
      <c r="V119" s="51" t="s">
        <v>3225</v>
      </c>
      <c r="W119" s="19"/>
      <c r="X119" s="19"/>
      <c r="Y119" s="99">
        <v>648</v>
      </c>
    </row>
    <row r="120" spans="2:31" ht="20" x14ac:dyDescent="0.2">
      <c r="B120" s="150" t="s">
        <v>1186</v>
      </c>
      <c r="C120" s="33" t="s">
        <v>106</v>
      </c>
      <c r="D120" s="33" t="s">
        <v>2876</v>
      </c>
      <c r="E120" s="175">
        <v>1</v>
      </c>
      <c r="F120" s="151" t="s">
        <v>1128</v>
      </c>
      <c r="G120" s="152">
        <v>7.6417482000000003</v>
      </c>
      <c r="H120" s="152">
        <v>4.7171285185185186</v>
      </c>
      <c r="I120" s="175">
        <v>69</v>
      </c>
      <c r="J120" s="266">
        <f>_xlfn.XLOOKUP($I120,Inputs!$C$6:$C$23,Inputs!$D$6:$D$23)*$G120</f>
        <v>2.9366146654285714</v>
      </c>
      <c r="K120" s="255"/>
      <c r="L120" s="186">
        <v>630</v>
      </c>
      <c r="M120" s="186">
        <v>810</v>
      </c>
      <c r="N120" s="99">
        <f t="shared" si="21"/>
        <v>75.292248605019097</v>
      </c>
      <c r="O120" s="99">
        <f t="shared" si="22"/>
        <v>96.804319635024541</v>
      </c>
      <c r="P120" s="131">
        <v>0.9</v>
      </c>
      <c r="Q120" s="186">
        <f t="shared" si="25"/>
        <v>67.763023744517184</v>
      </c>
      <c r="R120" s="186">
        <f t="shared" si="26"/>
        <v>87.123887671522084</v>
      </c>
      <c r="S120" s="151" t="s">
        <v>1804</v>
      </c>
      <c r="T120" s="51" t="s">
        <v>3295</v>
      </c>
      <c r="U120" s="151" t="s">
        <v>1598</v>
      </c>
      <c r="V120" s="51" t="s">
        <v>3225</v>
      </c>
      <c r="W120" s="19"/>
      <c r="X120" s="19"/>
      <c r="Y120" s="99">
        <v>650</v>
      </c>
      <c r="AA120" s="29"/>
      <c r="AC120" s="29"/>
      <c r="AD120" s="29"/>
      <c r="AE120" s="29"/>
    </row>
    <row r="121" spans="2:31" ht="20" x14ac:dyDescent="0.2">
      <c r="B121" s="150" t="s">
        <v>1189</v>
      </c>
      <c r="C121" s="33" t="s">
        <v>106</v>
      </c>
      <c r="D121" s="33" t="s">
        <v>2876</v>
      </c>
      <c r="E121" s="175">
        <v>1</v>
      </c>
      <c r="F121" s="151" t="s">
        <v>1128</v>
      </c>
      <c r="G121" s="152">
        <v>4</v>
      </c>
      <c r="H121" s="152">
        <v>2.4691358024691357</v>
      </c>
      <c r="I121" s="175">
        <v>69</v>
      </c>
      <c r="J121" s="266">
        <f>_xlfn.XLOOKUP($I121,Inputs!$C$6:$C$23,Inputs!$D$6:$D$23)*$G121</f>
        <v>1.5371428571428571</v>
      </c>
      <c r="K121" s="255"/>
      <c r="L121" s="186">
        <v>730</v>
      </c>
      <c r="M121" s="186">
        <v>940</v>
      </c>
      <c r="N121" s="99">
        <f t="shared" si="21"/>
        <v>87.243399177244342</v>
      </c>
      <c r="O121" s="99">
        <f t="shared" si="22"/>
        <v>112.34081537891738</v>
      </c>
      <c r="P121" s="131">
        <v>0.9</v>
      </c>
      <c r="Q121" s="186">
        <f t="shared" si="25"/>
        <v>78.519059259519906</v>
      </c>
      <c r="R121" s="186">
        <f t="shared" si="26"/>
        <v>101.10673384102564</v>
      </c>
      <c r="S121" s="151" t="s">
        <v>2505</v>
      </c>
      <c r="T121" s="51" t="s">
        <v>2163</v>
      </c>
      <c r="U121" s="151" t="s">
        <v>1598</v>
      </c>
      <c r="V121" s="51" t="s">
        <v>3225</v>
      </c>
      <c r="W121" s="19"/>
      <c r="X121" s="19"/>
      <c r="Y121" s="99">
        <v>656</v>
      </c>
      <c r="AA121" s="29"/>
      <c r="AC121" s="29"/>
      <c r="AD121" s="29"/>
      <c r="AE121" s="29"/>
    </row>
    <row r="122" spans="2:31" ht="20" x14ac:dyDescent="0.2">
      <c r="B122" s="150" t="s">
        <v>1192</v>
      </c>
      <c r="C122" s="33" t="s">
        <v>106</v>
      </c>
      <c r="D122" s="33" t="s">
        <v>2876</v>
      </c>
      <c r="E122" s="175">
        <v>1</v>
      </c>
      <c r="F122" s="151" t="s">
        <v>1128</v>
      </c>
      <c r="G122" s="152">
        <v>5</v>
      </c>
      <c r="H122" s="152">
        <v>3.0864197530864197</v>
      </c>
      <c r="I122" s="175">
        <v>69</v>
      </c>
      <c r="J122" s="266">
        <f>_xlfn.XLOOKUP($I122,Inputs!$C$6:$C$23,Inputs!$D$6:$D$23)*$G122</f>
        <v>1.9214285714285715</v>
      </c>
      <c r="K122" s="255"/>
      <c r="L122" s="186">
        <v>730</v>
      </c>
      <c r="M122" s="186">
        <v>940</v>
      </c>
      <c r="N122" s="99">
        <f t="shared" si="21"/>
        <v>87.243399177244342</v>
      </c>
      <c r="O122" s="99">
        <f t="shared" si="22"/>
        <v>112.34081537891738</v>
      </c>
      <c r="P122" s="131">
        <v>0.9</v>
      </c>
      <c r="Q122" s="186">
        <f t="shared" si="25"/>
        <v>78.519059259519906</v>
      </c>
      <c r="R122" s="186">
        <f t="shared" si="26"/>
        <v>101.10673384102564</v>
      </c>
      <c r="S122" s="151" t="s">
        <v>2504</v>
      </c>
      <c r="T122" s="51" t="s">
        <v>2164</v>
      </c>
      <c r="U122" s="151" t="s">
        <v>1598</v>
      </c>
      <c r="V122" s="51" t="s">
        <v>3225</v>
      </c>
      <c r="W122" s="19"/>
      <c r="X122" s="19"/>
      <c r="Y122" s="99">
        <v>660</v>
      </c>
      <c r="AA122" s="29"/>
      <c r="AC122" s="29"/>
      <c r="AD122" s="29"/>
      <c r="AE122" s="29"/>
    </row>
    <row r="123" spans="2:31" ht="20" x14ac:dyDescent="0.2">
      <c r="B123" s="150" t="s">
        <v>596</v>
      </c>
      <c r="C123" s="33" t="s">
        <v>106</v>
      </c>
      <c r="D123" s="33" t="s">
        <v>2876</v>
      </c>
      <c r="E123" s="175">
        <v>1</v>
      </c>
      <c r="F123" s="151" t="s">
        <v>1128</v>
      </c>
      <c r="G123" s="152">
        <v>3.8175731000000002</v>
      </c>
      <c r="H123" s="152">
        <v>2.3565266049382716</v>
      </c>
      <c r="I123" s="175">
        <v>230</v>
      </c>
      <c r="J123" s="266">
        <f>_xlfn.XLOOKUP($I123,Inputs!$C$6:$C$23,Inputs!$D$6:$D$23)*$G123</f>
        <v>1.832435088</v>
      </c>
      <c r="K123" s="255"/>
      <c r="L123" s="186">
        <v>1637</v>
      </c>
      <c r="M123" s="186">
        <v>2233</v>
      </c>
      <c r="N123" s="99">
        <f t="shared" si="21"/>
        <v>652.13444955775799</v>
      </c>
      <c r="O123" s="99">
        <f t="shared" si="22"/>
        <v>889.5639742592997</v>
      </c>
      <c r="P123" s="131">
        <v>0.9</v>
      </c>
      <c r="Q123" s="186">
        <f t="shared" si="25"/>
        <v>586.92100460198219</v>
      </c>
      <c r="R123" s="186">
        <f t="shared" si="26"/>
        <v>800.60757683336976</v>
      </c>
      <c r="S123" s="151" t="s">
        <v>1831</v>
      </c>
      <c r="T123" s="51" t="s">
        <v>3308</v>
      </c>
      <c r="U123" s="151" t="s">
        <v>1599</v>
      </c>
      <c r="V123" s="51" t="s">
        <v>3226</v>
      </c>
      <c r="W123" s="19"/>
      <c r="X123" s="19"/>
      <c r="Y123" s="99">
        <v>451</v>
      </c>
      <c r="AA123" s="29"/>
      <c r="AC123" s="29"/>
      <c r="AD123" s="29"/>
      <c r="AE123" s="29"/>
    </row>
    <row r="124" spans="2:31" ht="20" x14ac:dyDescent="0.2">
      <c r="B124" s="151" t="s">
        <v>1538</v>
      </c>
      <c r="C124" s="33" t="s">
        <v>106</v>
      </c>
      <c r="D124" s="33" t="s">
        <v>2876</v>
      </c>
      <c r="E124" s="175">
        <v>1</v>
      </c>
      <c r="F124" s="151" t="s">
        <v>1128</v>
      </c>
      <c r="G124" s="174">
        <v>1</v>
      </c>
      <c r="H124" s="152">
        <v>0.61728395061728392</v>
      </c>
      <c r="I124" s="175">
        <v>138</v>
      </c>
      <c r="J124" s="266">
        <f>_xlfn.XLOOKUP($I124,Inputs!$C$6:$C$23,Inputs!$D$6:$D$23)*$G124</f>
        <v>0.43357142857142861</v>
      </c>
      <c r="K124" s="255"/>
      <c r="L124" s="186">
        <v>572</v>
      </c>
      <c r="M124" s="186">
        <v>689</v>
      </c>
      <c r="N124" s="99">
        <f t="shared" si="21"/>
        <v>136.72116254625686</v>
      </c>
      <c r="O124" s="99">
        <f t="shared" si="22"/>
        <v>164.68685488526398</v>
      </c>
      <c r="P124" s="131">
        <v>0.9</v>
      </c>
      <c r="Q124" s="186">
        <f t="shared" si="25"/>
        <v>123.04904629163119</v>
      </c>
      <c r="R124" s="186">
        <f t="shared" si="26"/>
        <v>148.21816939673758</v>
      </c>
      <c r="S124" s="151" t="s">
        <v>2391</v>
      </c>
      <c r="T124" s="51" t="s">
        <v>2039</v>
      </c>
      <c r="U124" s="151" t="s">
        <v>2289</v>
      </c>
      <c r="V124" s="51" t="s">
        <v>3097</v>
      </c>
      <c r="W124" s="19"/>
      <c r="X124" s="19"/>
      <c r="Y124" s="99">
        <v>33</v>
      </c>
      <c r="AA124" s="29"/>
      <c r="AC124" s="29"/>
      <c r="AD124" s="29"/>
      <c r="AE124" s="29"/>
    </row>
    <row r="125" spans="2:31" s="165" customFormat="1" ht="20" x14ac:dyDescent="0.2">
      <c r="B125" s="150" t="s">
        <v>423</v>
      </c>
      <c r="C125" s="33" t="s">
        <v>106</v>
      </c>
      <c r="D125" s="33" t="s">
        <v>2876</v>
      </c>
      <c r="E125" s="175">
        <v>1</v>
      </c>
      <c r="F125" s="151" t="s">
        <v>1128</v>
      </c>
      <c r="G125" s="152">
        <v>15</v>
      </c>
      <c r="H125" s="152">
        <v>9.2592592592592595</v>
      </c>
      <c r="I125" s="175">
        <v>138</v>
      </c>
      <c r="J125" s="266">
        <f>_xlfn.XLOOKUP($I125,Inputs!$C$6:$C$23,Inputs!$D$6:$D$23)*$G125</f>
        <v>6.503571428571429</v>
      </c>
      <c r="K125" s="255"/>
      <c r="L125" s="186">
        <v>260</v>
      </c>
      <c r="M125" s="186">
        <v>440</v>
      </c>
      <c r="N125" s="99">
        <f t="shared" si="21"/>
        <v>62.145982975571314</v>
      </c>
      <c r="O125" s="99">
        <f t="shared" si="22"/>
        <v>105.17012503558223</v>
      </c>
      <c r="P125" s="131">
        <v>0.9</v>
      </c>
      <c r="Q125" s="186">
        <f t="shared" si="25"/>
        <v>55.931384678014183</v>
      </c>
      <c r="R125" s="186">
        <f t="shared" si="26"/>
        <v>94.653112532024011</v>
      </c>
      <c r="S125" s="151" t="s">
        <v>2390</v>
      </c>
      <c r="T125" s="51" t="s">
        <v>2040</v>
      </c>
      <c r="U125" s="151" t="s">
        <v>2391</v>
      </c>
      <c r="V125" s="51" t="s">
        <v>2039</v>
      </c>
      <c r="W125" s="19"/>
      <c r="X125" s="19"/>
      <c r="Y125" s="99">
        <v>32</v>
      </c>
    </row>
    <row r="126" spans="2:31" ht="20" x14ac:dyDescent="0.2">
      <c r="B126" s="150" t="s">
        <v>581</v>
      </c>
      <c r="C126" s="33" t="s">
        <v>106</v>
      </c>
      <c r="D126" s="33" t="s">
        <v>2876</v>
      </c>
      <c r="E126" s="175">
        <v>1</v>
      </c>
      <c r="F126" s="151" t="s">
        <v>1128</v>
      </c>
      <c r="G126" s="152">
        <v>340.69049589999997</v>
      </c>
      <c r="H126" s="152">
        <v>210.30277524691354</v>
      </c>
      <c r="I126" s="175">
        <v>287</v>
      </c>
      <c r="J126" s="266">
        <f>_xlfn.XLOOKUP($I126,Inputs!$C$6:$C$23,Inputs!$D$6:$D$23)*$G126</f>
        <v>157.41793635557221</v>
      </c>
      <c r="K126" s="255"/>
      <c r="L126" s="186">
        <v>1812</v>
      </c>
      <c r="M126" s="186">
        <v>2352</v>
      </c>
      <c r="N126" s="99">
        <f t="shared" si="21"/>
        <v>900.74263017134911</v>
      </c>
      <c r="O126" s="99">
        <f t="shared" si="22"/>
        <v>1169.1758643283738</v>
      </c>
      <c r="P126" s="131">
        <v>0.9</v>
      </c>
      <c r="Q126" s="186">
        <f t="shared" si="25"/>
        <v>810.66836715421425</v>
      </c>
      <c r="R126" s="186">
        <f t="shared" si="26"/>
        <v>1052.2582778955364</v>
      </c>
      <c r="S126" s="151" t="s">
        <v>1884</v>
      </c>
      <c r="T126" s="51" t="s">
        <v>3328</v>
      </c>
      <c r="U126" s="151" t="s">
        <v>1600</v>
      </c>
      <c r="V126" s="51" t="s">
        <v>3227</v>
      </c>
      <c r="W126" s="19"/>
      <c r="X126" s="19"/>
      <c r="Y126" s="99">
        <v>431</v>
      </c>
      <c r="AA126" s="29"/>
      <c r="AC126" s="29"/>
      <c r="AD126" s="29"/>
      <c r="AE126" s="29"/>
    </row>
    <row r="127" spans="2:31" s="165" customFormat="1" ht="20" x14ac:dyDescent="0.2">
      <c r="B127" s="150" t="s">
        <v>1167</v>
      </c>
      <c r="C127" s="33" t="s">
        <v>106</v>
      </c>
      <c r="D127" s="33" t="s">
        <v>2876</v>
      </c>
      <c r="E127" s="175">
        <v>1</v>
      </c>
      <c r="F127" s="151" t="s">
        <v>1128</v>
      </c>
      <c r="G127" s="152">
        <v>23.77</v>
      </c>
      <c r="H127" s="152">
        <v>14.672839506172838</v>
      </c>
      <c r="I127" s="175">
        <v>69</v>
      </c>
      <c r="J127" s="266">
        <f>_xlfn.XLOOKUP($I127,Inputs!$C$6:$C$23,Inputs!$D$6:$D$23)*$G127</f>
        <v>9.1344714285714286</v>
      </c>
      <c r="K127" s="255"/>
      <c r="L127" s="186">
        <v>493</v>
      </c>
      <c r="M127" s="186">
        <v>590</v>
      </c>
      <c r="N127" s="99">
        <f t="shared" si="21"/>
        <v>58.919172321070498</v>
      </c>
      <c r="O127" s="99">
        <f t="shared" si="22"/>
        <v>70.51178837612899</v>
      </c>
      <c r="P127" s="131">
        <v>0.9</v>
      </c>
      <c r="Q127" s="186">
        <f t="shared" si="25"/>
        <v>53.02725508896345</v>
      </c>
      <c r="R127" s="186">
        <f t="shared" si="26"/>
        <v>63.460609538516096</v>
      </c>
      <c r="S127" s="151" t="s">
        <v>2496</v>
      </c>
      <c r="T127" s="51" t="s">
        <v>2154</v>
      </c>
      <c r="U127" s="151" t="s">
        <v>1601</v>
      </c>
      <c r="V127" s="51" t="s">
        <v>3720</v>
      </c>
      <c r="W127" s="19"/>
      <c r="X127" s="19"/>
      <c r="Y127" s="99">
        <v>621</v>
      </c>
    </row>
    <row r="128" spans="2:31" ht="20" x14ac:dyDescent="0.2">
      <c r="B128" s="150" t="s">
        <v>1169</v>
      </c>
      <c r="C128" s="33" t="s">
        <v>106</v>
      </c>
      <c r="D128" s="33" t="s">
        <v>2876</v>
      </c>
      <c r="E128" s="175">
        <v>1</v>
      </c>
      <c r="F128" s="151" t="s">
        <v>1128</v>
      </c>
      <c r="G128" s="152">
        <v>49.74</v>
      </c>
      <c r="H128" s="152">
        <v>30.703703703703702</v>
      </c>
      <c r="I128" s="175">
        <v>69</v>
      </c>
      <c r="J128" s="266">
        <f>_xlfn.XLOOKUP($I128,Inputs!$C$6:$C$23,Inputs!$D$6:$D$23)*$G128</f>
        <v>19.114371428571431</v>
      </c>
      <c r="K128" s="255"/>
      <c r="L128" s="186">
        <v>380</v>
      </c>
      <c r="M128" s="186">
        <v>640</v>
      </c>
      <c r="N128" s="99">
        <f t="shared" si="21"/>
        <v>45.414372174455956</v>
      </c>
      <c r="O128" s="99">
        <f t="shared" si="22"/>
        <v>76.487363662241606</v>
      </c>
      <c r="P128" s="131">
        <v>0.9</v>
      </c>
      <c r="Q128" s="186">
        <f t="shared" si="25"/>
        <v>40.872934957010358</v>
      </c>
      <c r="R128" s="186">
        <f t="shared" si="26"/>
        <v>68.838627296017449</v>
      </c>
      <c r="S128" s="151" t="s">
        <v>2497</v>
      </c>
      <c r="T128" s="51" t="s">
        <v>2156</v>
      </c>
      <c r="U128" s="151" t="s">
        <v>1601</v>
      </c>
      <c r="V128" s="51" t="s">
        <v>3720</v>
      </c>
      <c r="W128" s="19"/>
      <c r="X128" s="19"/>
      <c r="Y128" s="99">
        <v>624</v>
      </c>
      <c r="AA128" s="29"/>
      <c r="AC128" s="29"/>
      <c r="AD128" s="29"/>
      <c r="AE128" s="29"/>
    </row>
    <row r="129" spans="2:31" s="165" customFormat="1" ht="20" x14ac:dyDescent="0.2">
      <c r="B129" s="230" t="s">
        <v>2691</v>
      </c>
      <c r="C129" s="51" t="s">
        <v>173</v>
      </c>
      <c r="D129" s="33" t="s">
        <v>2876</v>
      </c>
      <c r="E129" s="231">
        <v>1</v>
      </c>
      <c r="F129" s="230" t="s">
        <v>1128</v>
      </c>
      <c r="G129" s="232">
        <v>1</v>
      </c>
      <c r="H129" s="232">
        <v>0.61728395061728392</v>
      </c>
      <c r="I129" s="231">
        <v>63</v>
      </c>
      <c r="J129" s="266">
        <f>_xlfn.XLOOKUP($I129,Inputs!$C$6:$C$23,Inputs!$D$6:$D$23)*$G129</f>
        <v>0.38</v>
      </c>
      <c r="K129" s="267">
        <f>IF((42.4*(H129)^(-0.6595))&gt;=3,3,(IF(42.4*(H129)^(-0.6595)&lt;=0.5,0.5,(42.4*(H129)^(-0.6595)))))</f>
        <v>3</v>
      </c>
      <c r="L129" s="99"/>
      <c r="M129" s="99"/>
      <c r="N129" s="99"/>
      <c r="O129" s="99"/>
      <c r="P129" s="69"/>
      <c r="Q129" s="305">
        <f>_xlfn.XLOOKUP($I129,Inputs!$G$6:$G$23,Inputs!J$6:J$23)*$K129</f>
        <v>29.767499999999998</v>
      </c>
      <c r="R129" s="305">
        <f>_xlfn.XLOOKUP($I129,Inputs!$G$6:$G$23,Inputs!K$6:K$23)*$K129</f>
        <v>32.532786885245905</v>
      </c>
      <c r="S129" s="230" t="s">
        <v>2688</v>
      </c>
      <c r="T129" s="51" t="s">
        <v>2758</v>
      </c>
      <c r="U129" s="230" t="s">
        <v>2692</v>
      </c>
      <c r="V129" s="51" t="s">
        <v>3228</v>
      </c>
      <c r="W129" s="19"/>
      <c r="X129" s="19"/>
      <c r="Y129" s="99">
        <v>1026</v>
      </c>
    </row>
    <row r="130" spans="2:31" ht="20" x14ac:dyDescent="0.2">
      <c r="B130" s="230" t="s">
        <v>2697</v>
      </c>
      <c r="C130" s="51" t="s">
        <v>173</v>
      </c>
      <c r="D130" s="33" t="s">
        <v>2876</v>
      </c>
      <c r="E130" s="231">
        <v>1</v>
      </c>
      <c r="F130" s="230" t="s">
        <v>1128</v>
      </c>
      <c r="G130" s="232">
        <v>1</v>
      </c>
      <c r="H130" s="232">
        <v>0.61728395061728392</v>
      </c>
      <c r="I130" s="231">
        <v>63</v>
      </c>
      <c r="J130" s="266">
        <f>_xlfn.XLOOKUP($I130,Inputs!$C$6:$C$23,Inputs!$D$6:$D$23)*$G130</f>
        <v>0.38</v>
      </c>
      <c r="K130" s="267">
        <f>IF((42.4*(H130)^(-0.6595))&gt;=3,3,(IF(42.4*(H130)^(-0.6595)&lt;=0.5,0.5,(42.4*(H130)^(-0.6595)))))</f>
        <v>3</v>
      </c>
      <c r="L130" s="99"/>
      <c r="M130" s="99"/>
      <c r="N130" s="99"/>
      <c r="O130" s="99"/>
      <c r="P130" s="69"/>
      <c r="Q130" s="305">
        <f>_xlfn.XLOOKUP($I130,Inputs!$G$6:$G$23,Inputs!J$6:J$23)*$K130</f>
        <v>29.767499999999998</v>
      </c>
      <c r="R130" s="305">
        <f>_xlfn.XLOOKUP($I130,Inputs!$G$6:$G$23,Inputs!K$6:K$23)*$K130</f>
        <v>32.532786885245905</v>
      </c>
      <c r="S130" s="230" t="s">
        <v>2688</v>
      </c>
      <c r="T130" s="51" t="s">
        <v>2758</v>
      </c>
      <c r="U130" s="230" t="s">
        <v>2692</v>
      </c>
      <c r="V130" s="51" t="s">
        <v>3228</v>
      </c>
      <c r="W130" s="19"/>
      <c r="X130" s="19"/>
      <c r="Y130" s="99">
        <v>1034</v>
      </c>
      <c r="AA130" s="29"/>
      <c r="AC130" s="29"/>
      <c r="AD130" s="29"/>
      <c r="AE130" s="29"/>
    </row>
    <row r="131" spans="2:31" s="165" customFormat="1" ht="20" x14ac:dyDescent="0.2">
      <c r="B131" s="230" t="s">
        <v>2739</v>
      </c>
      <c r="C131" s="51" t="s">
        <v>173</v>
      </c>
      <c r="D131" s="33" t="s">
        <v>2876</v>
      </c>
      <c r="E131" s="231">
        <v>1</v>
      </c>
      <c r="F131" s="230" t="s">
        <v>1128</v>
      </c>
      <c r="G131" s="232">
        <v>1</v>
      </c>
      <c r="H131" s="232">
        <v>0.61728395061728392</v>
      </c>
      <c r="I131" s="231">
        <v>63</v>
      </c>
      <c r="J131" s="266">
        <f>_xlfn.XLOOKUP($I131,Inputs!$C$6:$C$23,Inputs!$D$6:$D$23)*$G131</f>
        <v>0.38</v>
      </c>
      <c r="K131" s="267">
        <f>IF((42.4*(H131)^(-0.6595))&gt;=3,3,(IF(42.4*(H131)^(-0.6595)&lt;=0.5,0.5,(42.4*(H131)^(-0.6595)))))</f>
        <v>3</v>
      </c>
      <c r="L131" s="99"/>
      <c r="M131" s="99"/>
      <c r="N131" s="99"/>
      <c r="O131" s="99"/>
      <c r="P131" s="69"/>
      <c r="Q131" s="305">
        <f>_xlfn.XLOOKUP($I131,Inputs!$G$6:$G$23,Inputs!J$6:J$23)*$K131</f>
        <v>29.767499999999998</v>
      </c>
      <c r="R131" s="305">
        <f>_xlfn.XLOOKUP($I131,Inputs!$G$6:$G$23,Inputs!K$6:K$23)*$K131</f>
        <v>32.532786885245905</v>
      </c>
      <c r="S131" s="230" t="s">
        <v>3570</v>
      </c>
      <c r="T131" s="51" t="s">
        <v>3571</v>
      </c>
      <c r="U131" s="230" t="s">
        <v>1960</v>
      </c>
      <c r="V131" s="51" t="s">
        <v>3100</v>
      </c>
      <c r="W131" s="19"/>
      <c r="X131" s="19"/>
      <c r="Y131" s="99">
        <v>1022</v>
      </c>
    </row>
    <row r="132" spans="2:31" s="165" customFormat="1" ht="20" x14ac:dyDescent="0.2">
      <c r="B132" s="230" t="s">
        <v>2740</v>
      </c>
      <c r="C132" s="51" t="s">
        <v>173</v>
      </c>
      <c r="D132" s="33" t="s">
        <v>2876</v>
      </c>
      <c r="E132" s="231">
        <v>1</v>
      </c>
      <c r="F132" s="230" t="s">
        <v>1128</v>
      </c>
      <c r="G132" s="232">
        <v>1</v>
      </c>
      <c r="H132" s="232">
        <v>0.61728395061728392</v>
      </c>
      <c r="I132" s="231">
        <v>63</v>
      </c>
      <c r="J132" s="266">
        <f>_xlfn.XLOOKUP($I132,Inputs!$C$6:$C$23,Inputs!$D$6:$D$23)*$G132</f>
        <v>0.38</v>
      </c>
      <c r="K132" s="267">
        <f>IF((42.4*(H132)^(-0.6595))&gt;=3,3,(IF(42.4*(H132)^(-0.6595)&lt;=0.5,0.5,(42.4*(H132)^(-0.6595)))))</f>
        <v>3</v>
      </c>
      <c r="L132" s="99"/>
      <c r="M132" s="99"/>
      <c r="N132" s="99"/>
      <c r="O132" s="99"/>
      <c r="P132" s="69"/>
      <c r="Q132" s="305">
        <f>_xlfn.XLOOKUP($I132,Inputs!$G$6:$G$23,Inputs!J$6:J$23)*$K132</f>
        <v>29.767499999999998</v>
      </c>
      <c r="R132" s="305">
        <f>_xlfn.XLOOKUP($I132,Inputs!$G$6:$G$23,Inputs!K$6:K$23)*$K132</f>
        <v>32.532786885245905</v>
      </c>
      <c r="S132" s="230" t="s">
        <v>3570</v>
      </c>
      <c r="T132" s="51" t="s">
        <v>3571</v>
      </c>
      <c r="U132" s="230" t="s">
        <v>1960</v>
      </c>
      <c r="V132" s="51" t="s">
        <v>3100</v>
      </c>
      <c r="W132" s="19"/>
      <c r="X132" s="19"/>
      <c r="Y132" s="99">
        <v>1024</v>
      </c>
    </row>
    <row r="133" spans="2:31" ht="20" x14ac:dyDescent="0.2">
      <c r="B133" s="151" t="s">
        <v>1963</v>
      </c>
      <c r="C133" s="33" t="s">
        <v>106</v>
      </c>
      <c r="D133" s="33" t="s">
        <v>2876</v>
      </c>
      <c r="E133" s="175">
        <v>1</v>
      </c>
      <c r="F133" s="151" t="s">
        <v>1128</v>
      </c>
      <c r="G133" s="174">
        <v>5</v>
      </c>
      <c r="H133" s="152">
        <v>3.0864197530864197</v>
      </c>
      <c r="I133" s="175">
        <v>138</v>
      </c>
      <c r="J133" s="266">
        <f>_xlfn.XLOOKUP($I133,Inputs!$C$6:$C$23,Inputs!$D$6:$D$23)*$G133</f>
        <v>2.1678571428571431</v>
      </c>
      <c r="K133" s="267">
        <f>IF((42.4*(H133)^(-0.6595))&gt;=3,3,(IF(42.4*(H133)^(-0.6595)&lt;=0.5,0.5,(42.4*(H133)^(-0.6595)))))</f>
        <v>3</v>
      </c>
      <c r="L133" s="99"/>
      <c r="M133" s="99"/>
      <c r="N133" s="99">
        <f t="shared" ref="N133:N146" si="27">(SQRT(3)*L133*$I133)/1000</f>
        <v>0</v>
      </c>
      <c r="O133" s="99">
        <f t="shared" ref="O133:O146" si="28">(SQRT(3)*M133*$I133)/1000</f>
        <v>0</v>
      </c>
      <c r="P133" s="131">
        <v>0.9</v>
      </c>
      <c r="Q133" s="305">
        <f>_xlfn.XLOOKUP($I133,Inputs!$G$6:$G$23,Inputs!J$6:J$23)*$K133</f>
        <v>141</v>
      </c>
      <c r="R133" s="305">
        <f>_xlfn.XLOOKUP($I133,Inputs!$G$6:$G$23,Inputs!K$6:K$23)*$K133</f>
        <v>156</v>
      </c>
      <c r="S133" s="151" t="s">
        <v>2329</v>
      </c>
      <c r="T133" s="51" t="s">
        <v>3168</v>
      </c>
      <c r="U133" s="151" t="s">
        <v>2294</v>
      </c>
      <c r="V133" s="51" t="s">
        <v>3580</v>
      </c>
      <c r="W133" s="19"/>
      <c r="X133" s="19" t="s">
        <v>1964</v>
      </c>
      <c r="Y133" s="99">
        <v>11</v>
      </c>
      <c r="AA133" s="29"/>
      <c r="AC133" s="29"/>
      <c r="AD133" s="29"/>
      <c r="AE133" s="29"/>
    </row>
    <row r="134" spans="2:31" ht="20" x14ac:dyDescent="0.2">
      <c r="B134" s="150" t="s">
        <v>429</v>
      </c>
      <c r="C134" s="33" t="s">
        <v>106</v>
      </c>
      <c r="D134" s="33" t="s">
        <v>2876</v>
      </c>
      <c r="E134" s="175">
        <v>1</v>
      </c>
      <c r="F134" s="151" t="s">
        <v>1128</v>
      </c>
      <c r="G134" s="152">
        <v>0.5</v>
      </c>
      <c r="H134" s="152">
        <v>0.30864197530864196</v>
      </c>
      <c r="I134" s="175">
        <v>138</v>
      </c>
      <c r="J134" s="266">
        <f>_xlfn.XLOOKUP($I134,Inputs!$C$6:$C$23,Inputs!$D$6:$D$23)*$G134</f>
        <v>0.2167857142857143</v>
      </c>
      <c r="K134" s="255"/>
      <c r="L134" s="186">
        <v>490</v>
      </c>
      <c r="M134" s="186">
        <v>590</v>
      </c>
      <c r="N134" s="99">
        <f t="shared" si="27"/>
        <v>117.12127560780748</v>
      </c>
      <c r="O134" s="99">
        <f t="shared" si="28"/>
        <v>141.02357675225798</v>
      </c>
      <c r="P134" s="131">
        <v>0.9</v>
      </c>
      <c r="Q134" s="186">
        <f t="shared" ref="Q134:R136" si="29">N134*$P134</f>
        <v>105.40914804702673</v>
      </c>
      <c r="R134" s="186">
        <f t="shared" si="29"/>
        <v>126.92121907703219</v>
      </c>
      <c r="S134" s="151" t="s">
        <v>2292</v>
      </c>
      <c r="T134" s="51" t="s">
        <v>3093</v>
      </c>
      <c r="U134" s="151" t="s">
        <v>2295</v>
      </c>
      <c r="V134" s="51" t="s">
        <v>3581</v>
      </c>
      <c r="W134" s="19"/>
      <c r="X134" s="19" t="s">
        <v>1964</v>
      </c>
      <c r="Y134" s="99">
        <v>51</v>
      </c>
      <c r="AA134" s="29"/>
      <c r="AC134" s="29"/>
      <c r="AD134" s="29"/>
      <c r="AE134" s="29"/>
    </row>
    <row r="135" spans="2:31" ht="20" x14ac:dyDescent="0.2">
      <c r="B135" s="150" t="s">
        <v>1384</v>
      </c>
      <c r="C135" s="33" t="s">
        <v>106</v>
      </c>
      <c r="D135" s="33" t="s">
        <v>2876</v>
      </c>
      <c r="E135" s="175">
        <v>1</v>
      </c>
      <c r="F135" s="151" t="s">
        <v>1128</v>
      </c>
      <c r="G135" s="152">
        <v>6.8720900000000001E-2</v>
      </c>
      <c r="H135" s="152">
        <v>4.242030864197531E-2</v>
      </c>
      <c r="I135" s="175">
        <v>69</v>
      </c>
      <c r="J135" s="266">
        <f>_xlfn.XLOOKUP($I135,Inputs!$C$6:$C$23,Inputs!$D$6:$D$23)*$G135</f>
        <v>2.6408460142857144E-2</v>
      </c>
      <c r="K135" s="255"/>
      <c r="L135" s="186">
        <v>340</v>
      </c>
      <c r="M135" s="186">
        <v>340</v>
      </c>
      <c r="N135" s="99">
        <f t="shared" si="27"/>
        <v>40.633911945565856</v>
      </c>
      <c r="O135" s="99">
        <f t="shared" si="28"/>
        <v>40.633911945565856</v>
      </c>
      <c r="P135" s="131">
        <v>0.9</v>
      </c>
      <c r="Q135" s="186">
        <f t="shared" si="29"/>
        <v>36.570520751009269</v>
      </c>
      <c r="R135" s="186">
        <f t="shared" si="29"/>
        <v>36.570520751009269</v>
      </c>
      <c r="S135" s="151" t="s">
        <v>2605</v>
      </c>
      <c r="T135" s="51" t="s">
        <v>2262</v>
      </c>
      <c r="U135" s="151" t="s">
        <v>1955</v>
      </c>
      <c r="V135" s="51" t="s">
        <v>3101</v>
      </c>
      <c r="W135" s="19"/>
      <c r="X135" s="19"/>
      <c r="Y135" s="99">
        <v>999</v>
      </c>
      <c r="AA135" s="29"/>
      <c r="AC135" s="29"/>
      <c r="AD135" s="29"/>
      <c r="AE135" s="29"/>
    </row>
    <row r="136" spans="2:31" ht="20" x14ac:dyDescent="0.2">
      <c r="B136" s="150" t="s">
        <v>1401</v>
      </c>
      <c r="C136" s="33" t="s">
        <v>106</v>
      </c>
      <c r="D136" s="33" t="s">
        <v>2876</v>
      </c>
      <c r="E136" s="175">
        <v>1</v>
      </c>
      <c r="F136" s="151" t="s">
        <v>1128</v>
      </c>
      <c r="G136" s="152">
        <v>22</v>
      </c>
      <c r="H136" s="152">
        <v>13.580246913580247</v>
      </c>
      <c r="I136" s="175">
        <v>69</v>
      </c>
      <c r="J136" s="266">
        <f>_xlfn.XLOOKUP($I136,Inputs!$C$6:$C$23,Inputs!$D$6:$D$23)*$G136</f>
        <v>8.4542857142857137</v>
      </c>
      <c r="K136" s="255"/>
      <c r="L136" s="186">
        <v>230</v>
      </c>
      <c r="M136" s="186">
        <v>380</v>
      </c>
      <c r="N136" s="99">
        <f t="shared" si="27"/>
        <v>27.487646316118084</v>
      </c>
      <c r="O136" s="99">
        <f t="shared" si="28"/>
        <v>45.414372174455956</v>
      </c>
      <c r="P136" s="131">
        <v>0.9</v>
      </c>
      <c r="Q136" s="186">
        <f t="shared" si="29"/>
        <v>24.738881684506275</v>
      </c>
      <c r="R136" s="186">
        <f t="shared" si="29"/>
        <v>40.872934957010358</v>
      </c>
      <c r="S136" s="151" t="s">
        <v>2604</v>
      </c>
      <c r="T136" s="51" t="s">
        <v>2264</v>
      </c>
      <c r="U136" s="151" t="s">
        <v>2605</v>
      </c>
      <c r="V136" s="51" t="s">
        <v>2262</v>
      </c>
      <c r="W136" s="19"/>
      <c r="X136" s="19"/>
      <c r="Y136" s="99">
        <v>998</v>
      </c>
      <c r="AA136" s="29"/>
      <c r="AC136" s="29"/>
      <c r="AD136" s="29"/>
      <c r="AE136" s="29"/>
    </row>
    <row r="137" spans="2:31" s="165" customFormat="1" ht="20" x14ac:dyDescent="0.2">
      <c r="B137" s="151" t="s">
        <v>1532</v>
      </c>
      <c r="C137" s="33" t="s">
        <v>106</v>
      </c>
      <c r="D137" s="33" t="s">
        <v>2876</v>
      </c>
      <c r="E137" s="175">
        <v>1</v>
      </c>
      <c r="F137" s="151" t="s">
        <v>1128</v>
      </c>
      <c r="G137" s="174">
        <v>1</v>
      </c>
      <c r="H137" s="152">
        <v>0.61728395061728392</v>
      </c>
      <c r="I137" s="175">
        <v>69</v>
      </c>
      <c r="J137" s="266">
        <f>_xlfn.XLOOKUP($I137,Inputs!$C$6:$C$23,Inputs!$D$6:$D$23)*$G137</f>
        <v>0.38428571428571429</v>
      </c>
      <c r="K137" s="267">
        <f>IF((42.4*(H137)^(-0.6595))&gt;=3,3,(IF(42.4*(H137)^(-0.6595)&lt;=0.5,0.5,(42.4*(H137)^(-0.6595)))))</f>
        <v>3</v>
      </c>
      <c r="L137" s="99"/>
      <c r="M137" s="99"/>
      <c r="N137" s="99">
        <f t="shared" si="27"/>
        <v>0</v>
      </c>
      <c r="O137" s="99">
        <f t="shared" si="28"/>
        <v>0</v>
      </c>
      <c r="P137" s="131">
        <v>0.9</v>
      </c>
      <c r="Q137" s="305">
        <f>_xlfn.XLOOKUP($I137,Inputs!$G$6:$G$23,Inputs!J$6:J$23)*$K137</f>
        <v>36</v>
      </c>
      <c r="R137" s="305">
        <f>_xlfn.XLOOKUP($I137,Inputs!$G$6:$G$23,Inputs!K$6:K$23)*$K137</f>
        <v>39</v>
      </c>
      <c r="S137" s="151" t="s">
        <v>2562</v>
      </c>
      <c r="T137" s="51" t="s">
        <v>2221</v>
      </c>
      <c r="U137" s="151" t="s">
        <v>1603</v>
      </c>
      <c r="V137" s="51" t="s">
        <v>3697</v>
      </c>
      <c r="W137" s="19"/>
      <c r="X137" s="19"/>
      <c r="Y137" s="99">
        <v>873</v>
      </c>
    </row>
    <row r="138" spans="2:31" s="165" customFormat="1" ht="20" x14ac:dyDescent="0.2">
      <c r="B138" s="150" t="s">
        <v>1318</v>
      </c>
      <c r="C138" s="33" t="s">
        <v>106</v>
      </c>
      <c r="D138" s="33" t="s">
        <v>2876</v>
      </c>
      <c r="E138" s="175">
        <v>1</v>
      </c>
      <c r="F138" s="151" t="s">
        <v>1128</v>
      </c>
      <c r="G138" s="152">
        <v>14.46</v>
      </c>
      <c r="H138" s="152">
        <v>8.9259259259259256</v>
      </c>
      <c r="I138" s="175">
        <v>69</v>
      </c>
      <c r="J138" s="266">
        <f>_xlfn.XLOOKUP($I138,Inputs!$C$6:$C$23,Inputs!$D$6:$D$23)*$G138</f>
        <v>5.5567714285714285</v>
      </c>
      <c r="K138" s="255"/>
      <c r="L138" s="186">
        <v>265</v>
      </c>
      <c r="M138" s="186">
        <v>488</v>
      </c>
      <c r="N138" s="99">
        <f t="shared" si="27"/>
        <v>31.670549016396919</v>
      </c>
      <c r="O138" s="99">
        <f t="shared" si="28"/>
        <v>58.321614792459229</v>
      </c>
      <c r="P138" s="131">
        <v>0.9</v>
      </c>
      <c r="Q138" s="186">
        <f t="shared" ref="Q138:Q146" si="30">N138*$P138</f>
        <v>28.503494114757228</v>
      </c>
      <c r="R138" s="186">
        <f t="shared" ref="R138:R146" si="31">O138*$P138</f>
        <v>52.489453313213311</v>
      </c>
      <c r="S138" s="151" t="s">
        <v>107</v>
      </c>
      <c r="T138" s="51" t="s">
        <v>3232</v>
      </c>
      <c r="U138" s="151" t="s">
        <v>2562</v>
      </c>
      <c r="V138" s="51" t="s">
        <v>2221</v>
      </c>
      <c r="W138" s="19"/>
      <c r="X138" s="19"/>
      <c r="Y138" s="99">
        <v>872</v>
      </c>
    </row>
    <row r="139" spans="2:31" s="165" customFormat="1" ht="20" x14ac:dyDescent="0.2">
      <c r="B139" s="150" t="s">
        <v>1487</v>
      </c>
      <c r="C139" s="33" t="s">
        <v>106</v>
      </c>
      <c r="D139" s="33" t="s">
        <v>2876</v>
      </c>
      <c r="E139" s="175">
        <v>1</v>
      </c>
      <c r="F139" s="151" t="s">
        <v>1128</v>
      </c>
      <c r="G139" s="152">
        <v>2.6512164999999999</v>
      </c>
      <c r="H139" s="152">
        <v>1.6365533950617281</v>
      </c>
      <c r="I139" s="175">
        <v>138</v>
      </c>
      <c r="J139" s="266">
        <f>_xlfn.XLOOKUP($I139,Inputs!$C$6:$C$23,Inputs!$D$6:$D$23)*$G139</f>
        <v>1.1494917253571428</v>
      </c>
      <c r="K139" s="255"/>
      <c r="L139" s="186">
        <v>280</v>
      </c>
      <c r="M139" s="186">
        <v>450</v>
      </c>
      <c r="N139" s="99">
        <f t="shared" si="27"/>
        <v>66.926443204461421</v>
      </c>
      <c r="O139" s="99">
        <f t="shared" si="28"/>
        <v>107.56035515002728</v>
      </c>
      <c r="P139" s="131">
        <v>0.9</v>
      </c>
      <c r="Q139" s="186">
        <f t="shared" si="30"/>
        <v>60.233798884015279</v>
      </c>
      <c r="R139" s="186">
        <f t="shared" si="31"/>
        <v>96.804319635024555</v>
      </c>
      <c r="S139" s="151" t="s">
        <v>2467</v>
      </c>
      <c r="T139" s="51" t="s">
        <v>2118</v>
      </c>
      <c r="U139" s="151" t="s">
        <v>1604</v>
      </c>
      <c r="V139" s="51" t="s">
        <v>3381</v>
      </c>
      <c r="W139" s="19"/>
      <c r="X139" s="19"/>
      <c r="Y139" s="99">
        <v>323</v>
      </c>
    </row>
    <row r="140" spans="2:31" ht="20" x14ac:dyDescent="0.2">
      <c r="B140" s="150" t="s">
        <v>511</v>
      </c>
      <c r="C140" s="33" t="s">
        <v>106</v>
      </c>
      <c r="D140" s="33" t="s">
        <v>2876</v>
      </c>
      <c r="E140" s="175">
        <v>1</v>
      </c>
      <c r="F140" s="151" t="s">
        <v>1128</v>
      </c>
      <c r="G140" s="152">
        <v>12.82</v>
      </c>
      <c r="H140" s="152">
        <v>7.9135802469135799</v>
      </c>
      <c r="I140" s="175">
        <v>138</v>
      </c>
      <c r="J140" s="266">
        <f>_xlfn.XLOOKUP($I140,Inputs!$C$6:$C$23,Inputs!$D$6:$D$23)*$G140</f>
        <v>5.5583857142857145</v>
      </c>
      <c r="K140" s="255"/>
      <c r="L140" s="186">
        <v>280</v>
      </c>
      <c r="M140" s="186">
        <v>450</v>
      </c>
      <c r="N140" s="99">
        <f t="shared" si="27"/>
        <v>66.926443204461421</v>
      </c>
      <c r="O140" s="99">
        <f t="shared" si="28"/>
        <v>107.56035515002728</v>
      </c>
      <c r="P140" s="131">
        <v>0.9</v>
      </c>
      <c r="Q140" s="186">
        <f t="shared" si="30"/>
        <v>60.233798884015279</v>
      </c>
      <c r="R140" s="186">
        <f t="shared" si="31"/>
        <v>96.804319635024555</v>
      </c>
      <c r="S140" s="151" t="s">
        <v>2466</v>
      </c>
      <c r="T140" s="51" t="s">
        <v>2119</v>
      </c>
      <c r="U140" s="151" t="s">
        <v>2467</v>
      </c>
      <c r="V140" s="51" t="s">
        <v>2118</v>
      </c>
      <c r="W140" s="19"/>
      <c r="X140" s="19"/>
      <c r="Y140" s="99">
        <v>322</v>
      </c>
      <c r="AA140" s="29"/>
      <c r="AC140" s="29"/>
      <c r="AD140" s="29"/>
      <c r="AE140" s="29"/>
    </row>
    <row r="141" spans="2:31" s="185" customFormat="1" ht="20" x14ac:dyDescent="0.2">
      <c r="B141" s="150" t="s">
        <v>521</v>
      </c>
      <c r="C141" s="33" t="s">
        <v>106</v>
      </c>
      <c r="D141" s="33" t="s">
        <v>2876</v>
      </c>
      <c r="E141" s="175">
        <v>1</v>
      </c>
      <c r="F141" s="151" t="s">
        <v>1128</v>
      </c>
      <c r="G141" s="152">
        <v>65</v>
      </c>
      <c r="H141" s="152">
        <v>40.123456790123456</v>
      </c>
      <c r="I141" s="175">
        <v>230</v>
      </c>
      <c r="J141" s="266">
        <f>_xlfn.XLOOKUP($I141,Inputs!$C$6:$C$23,Inputs!$D$6:$D$23)*$G141</f>
        <v>31.2</v>
      </c>
      <c r="K141" s="255"/>
      <c r="L141" s="186">
        <v>505</v>
      </c>
      <c r="M141" s="186">
        <v>884</v>
      </c>
      <c r="N141" s="99">
        <f t="shared" si="27"/>
        <v>201.17770129912509</v>
      </c>
      <c r="O141" s="99">
        <f t="shared" si="28"/>
        <v>352.1605701949041</v>
      </c>
      <c r="P141" s="131">
        <v>0.9</v>
      </c>
      <c r="Q141" s="186">
        <f t="shared" si="30"/>
        <v>181.05993116921258</v>
      </c>
      <c r="R141" s="186">
        <f t="shared" si="31"/>
        <v>316.9445131754137</v>
      </c>
      <c r="S141" s="151" t="s">
        <v>2470</v>
      </c>
      <c r="T141" s="51" t="s">
        <v>2122</v>
      </c>
      <c r="U141" s="151" t="s">
        <v>3569</v>
      </c>
      <c r="V141" s="51" t="s">
        <v>3568</v>
      </c>
      <c r="W141" s="19"/>
      <c r="X141" s="19"/>
      <c r="Y141" s="99">
        <v>345</v>
      </c>
    </row>
    <row r="142" spans="2:31" s="185" customFormat="1" ht="20" x14ac:dyDescent="0.2">
      <c r="B142" s="150" t="s">
        <v>534</v>
      </c>
      <c r="C142" s="33" t="s">
        <v>106</v>
      </c>
      <c r="D142" s="33" t="s">
        <v>2876</v>
      </c>
      <c r="E142" s="175">
        <v>1</v>
      </c>
      <c r="F142" s="151" t="s">
        <v>1128</v>
      </c>
      <c r="G142" s="152">
        <v>1.6709611</v>
      </c>
      <c r="H142" s="152">
        <v>1.0314574691358025</v>
      </c>
      <c r="I142" s="175">
        <v>230</v>
      </c>
      <c r="J142" s="266">
        <f>_xlfn.XLOOKUP($I142,Inputs!$C$6:$C$23,Inputs!$D$6:$D$23)*$G142</f>
        <v>0.80206132799999996</v>
      </c>
      <c r="K142" s="255"/>
      <c r="L142" s="186">
        <v>508</v>
      </c>
      <c r="M142" s="186">
        <v>891</v>
      </c>
      <c r="N142" s="99">
        <f t="shared" si="27"/>
        <v>202.37281635634761</v>
      </c>
      <c r="O142" s="99">
        <f t="shared" si="28"/>
        <v>354.94917199509001</v>
      </c>
      <c r="P142" s="131">
        <v>0.9</v>
      </c>
      <c r="Q142" s="186">
        <f t="shared" si="30"/>
        <v>182.13553472071285</v>
      </c>
      <c r="R142" s="186">
        <f t="shared" si="31"/>
        <v>319.45425479558099</v>
      </c>
      <c r="S142" s="151" t="s">
        <v>1601</v>
      </c>
      <c r="T142" s="51" t="s">
        <v>3720</v>
      </c>
      <c r="U142" s="151" t="s">
        <v>3569</v>
      </c>
      <c r="V142" s="51" t="s">
        <v>3568</v>
      </c>
      <c r="W142" s="19"/>
      <c r="X142" s="19"/>
      <c r="Y142" s="99">
        <v>368</v>
      </c>
    </row>
    <row r="143" spans="2:31" ht="20" x14ac:dyDescent="0.2">
      <c r="B143" s="150" t="s">
        <v>635</v>
      </c>
      <c r="C143" s="33" t="s">
        <v>106</v>
      </c>
      <c r="D143" s="33" t="s">
        <v>2876</v>
      </c>
      <c r="E143" s="175">
        <v>1</v>
      </c>
      <c r="F143" s="151" t="s">
        <v>1128</v>
      </c>
      <c r="G143" s="152">
        <v>0.52112670000000005</v>
      </c>
      <c r="H143" s="152">
        <v>0.32168314814814813</v>
      </c>
      <c r="I143" s="175">
        <v>360</v>
      </c>
      <c r="J143" s="266">
        <f>_xlfn.XLOOKUP($I143,Inputs!$C$6:$C$23,Inputs!$D$6:$D$23)*$G143</f>
        <v>0.22881322327777778</v>
      </c>
      <c r="K143" s="255"/>
      <c r="L143" s="186">
        <v>1016</v>
      </c>
      <c r="M143" s="186">
        <v>1782</v>
      </c>
      <c r="N143" s="99">
        <f t="shared" si="27"/>
        <v>633.51490337639257</v>
      </c>
      <c r="O143" s="99">
        <f t="shared" si="28"/>
        <v>1111.1452340715859</v>
      </c>
      <c r="P143" s="131">
        <v>0.9</v>
      </c>
      <c r="Q143" s="186">
        <f t="shared" si="30"/>
        <v>570.16341303875333</v>
      </c>
      <c r="R143" s="186">
        <f t="shared" si="31"/>
        <v>1000.0307106644274</v>
      </c>
      <c r="S143" s="151" t="s">
        <v>1602</v>
      </c>
      <c r="T143" s="51" t="s">
        <v>3099</v>
      </c>
      <c r="U143" s="151" t="s">
        <v>3569</v>
      </c>
      <c r="V143" s="51" t="s">
        <v>3568</v>
      </c>
      <c r="W143" s="19"/>
      <c r="X143" s="19"/>
      <c r="Y143" s="99">
        <v>510</v>
      </c>
      <c r="AA143" s="29"/>
      <c r="AC143" s="29"/>
      <c r="AD143" s="29"/>
      <c r="AE143" s="29"/>
    </row>
    <row r="144" spans="2:31" ht="20" x14ac:dyDescent="0.2">
      <c r="B144" s="150" t="s">
        <v>636</v>
      </c>
      <c r="C144" s="33" t="s">
        <v>106</v>
      </c>
      <c r="D144" s="33" t="s">
        <v>2876</v>
      </c>
      <c r="E144" s="175">
        <v>1</v>
      </c>
      <c r="F144" s="151" t="s">
        <v>1128</v>
      </c>
      <c r="G144" s="152">
        <v>0.46968939999999998</v>
      </c>
      <c r="H144" s="152">
        <v>0.28993172839506171</v>
      </c>
      <c r="I144" s="175">
        <v>360</v>
      </c>
      <c r="J144" s="266">
        <f>_xlfn.XLOOKUP($I144,Inputs!$C$6:$C$23,Inputs!$D$6:$D$23)*$G144</f>
        <v>0.2062284384074074</v>
      </c>
      <c r="K144" s="255"/>
      <c r="L144" s="186">
        <v>1016</v>
      </c>
      <c r="M144" s="186">
        <v>1782</v>
      </c>
      <c r="N144" s="99">
        <f t="shared" si="27"/>
        <v>633.51490337639257</v>
      </c>
      <c r="O144" s="99">
        <f t="shared" si="28"/>
        <v>1111.1452340715859</v>
      </c>
      <c r="P144" s="131">
        <v>0.9</v>
      </c>
      <c r="Q144" s="186">
        <f t="shared" si="30"/>
        <v>570.16341303875333</v>
      </c>
      <c r="R144" s="186">
        <f t="shared" si="31"/>
        <v>1000.0307106644274</v>
      </c>
      <c r="S144" s="151" t="s">
        <v>1601</v>
      </c>
      <c r="T144" s="51" t="s">
        <v>3720</v>
      </c>
      <c r="U144" s="151" t="s">
        <v>3569</v>
      </c>
      <c r="V144" s="51" t="s">
        <v>3568</v>
      </c>
      <c r="W144" s="19"/>
      <c r="X144" s="19"/>
      <c r="Y144" s="99">
        <v>511</v>
      </c>
      <c r="AA144" s="29"/>
      <c r="AC144" s="29"/>
      <c r="AD144" s="29"/>
      <c r="AE144" s="29"/>
    </row>
    <row r="145" spans="2:31" s="165" customFormat="1" ht="20" x14ac:dyDescent="0.2">
      <c r="B145" s="150" t="s">
        <v>637</v>
      </c>
      <c r="C145" s="33" t="s">
        <v>106</v>
      </c>
      <c r="D145" s="33" t="s">
        <v>2876</v>
      </c>
      <c r="E145" s="175">
        <v>1</v>
      </c>
      <c r="F145" s="151" t="s">
        <v>1128</v>
      </c>
      <c r="G145" s="152">
        <v>1.20407</v>
      </c>
      <c r="H145" s="152">
        <v>0.74325308641975307</v>
      </c>
      <c r="I145" s="175">
        <v>360</v>
      </c>
      <c r="J145" s="266">
        <f>_xlfn.XLOOKUP($I145,Inputs!$C$6:$C$23,Inputs!$D$6:$D$23)*$G145</f>
        <v>0.52867592037037037</v>
      </c>
      <c r="K145" s="255"/>
      <c r="L145" s="186">
        <v>1016</v>
      </c>
      <c r="M145" s="186">
        <v>1782</v>
      </c>
      <c r="N145" s="99">
        <f t="shared" si="27"/>
        <v>633.51490337639257</v>
      </c>
      <c r="O145" s="99">
        <f t="shared" si="28"/>
        <v>1111.1452340715859</v>
      </c>
      <c r="P145" s="131">
        <v>0.9</v>
      </c>
      <c r="Q145" s="186">
        <f t="shared" si="30"/>
        <v>570.16341303875333</v>
      </c>
      <c r="R145" s="186">
        <f t="shared" si="31"/>
        <v>1000.0307106644274</v>
      </c>
      <c r="S145" s="151" t="s">
        <v>1601</v>
      </c>
      <c r="T145" s="51" t="s">
        <v>3720</v>
      </c>
      <c r="U145" s="151" t="s">
        <v>3569</v>
      </c>
      <c r="V145" s="51" t="s">
        <v>3568</v>
      </c>
      <c r="W145" s="19"/>
      <c r="X145" s="19"/>
      <c r="Y145" s="99">
        <v>512</v>
      </c>
    </row>
    <row r="146" spans="2:31" ht="20" x14ac:dyDescent="0.2">
      <c r="B146" s="150" t="s">
        <v>638</v>
      </c>
      <c r="C146" s="33" t="s">
        <v>106</v>
      </c>
      <c r="D146" s="33" t="s">
        <v>2876</v>
      </c>
      <c r="E146" s="175">
        <v>1</v>
      </c>
      <c r="F146" s="151" t="s">
        <v>1128</v>
      </c>
      <c r="G146" s="152">
        <v>1.2875091999999999</v>
      </c>
      <c r="H146" s="152">
        <v>0.79475876543209867</v>
      </c>
      <c r="I146" s="175">
        <v>360</v>
      </c>
      <c r="J146" s="266">
        <f>_xlfn.XLOOKUP($I146,Inputs!$C$6:$C$23,Inputs!$D$6:$D$23)*$G146</f>
        <v>0.56531190985185176</v>
      </c>
      <c r="K146" s="255"/>
      <c r="L146" s="186">
        <v>1016</v>
      </c>
      <c r="M146" s="186">
        <v>1782</v>
      </c>
      <c r="N146" s="99">
        <f t="shared" si="27"/>
        <v>633.51490337639257</v>
      </c>
      <c r="O146" s="99">
        <f t="shared" si="28"/>
        <v>1111.1452340715859</v>
      </c>
      <c r="P146" s="131">
        <v>0.9</v>
      </c>
      <c r="Q146" s="186">
        <f t="shared" si="30"/>
        <v>570.16341303875333</v>
      </c>
      <c r="R146" s="186">
        <f t="shared" si="31"/>
        <v>1000.0307106644274</v>
      </c>
      <c r="S146" s="151" t="s">
        <v>1601</v>
      </c>
      <c r="T146" s="51" t="s">
        <v>3720</v>
      </c>
      <c r="U146" s="151" t="s">
        <v>3569</v>
      </c>
      <c r="V146" s="51" t="s">
        <v>3568</v>
      </c>
      <c r="W146" s="19"/>
      <c r="X146" s="19"/>
      <c r="Y146" s="99">
        <v>513</v>
      </c>
      <c r="AA146" s="29"/>
      <c r="AC146" s="29"/>
      <c r="AD146" s="29"/>
      <c r="AE146" s="29"/>
    </row>
    <row r="147" spans="2:31" ht="20" x14ac:dyDescent="0.2">
      <c r="B147" s="230" t="s">
        <v>1120</v>
      </c>
      <c r="C147" s="51" t="s">
        <v>173</v>
      </c>
      <c r="D147" s="33" t="s">
        <v>2876</v>
      </c>
      <c r="E147" s="231">
        <v>1</v>
      </c>
      <c r="F147" s="230" t="s">
        <v>1128</v>
      </c>
      <c r="G147" s="174">
        <v>3</v>
      </c>
      <c r="H147" s="174">
        <v>1.8518518518518516</v>
      </c>
      <c r="I147" s="231">
        <v>230</v>
      </c>
      <c r="J147" s="266">
        <f>_xlfn.XLOOKUP($I147,Inputs!$C$6:$C$23,Inputs!$D$6:$D$23)*$G147</f>
        <v>1.44</v>
      </c>
      <c r="K147" s="267">
        <f>IF((42.4*(H147)^(-0.6595))&gt;=3,3,(IF(42.4*(H147)^(-0.6595)&lt;=0.5,0.5,(42.4*(H147)^(-0.6595)))))</f>
        <v>3</v>
      </c>
      <c r="L147" s="99"/>
      <c r="M147" s="99"/>
      <c r="N147" s="99"/>
      <c r="O147" s="99"/>
      <c r="P147" s="69"/>
      <c r="Q147" s="305">
        <f>_xlfn.XLOOKUP($I147,Inputs!$G$6:$G$23,Inputs!J$6:J$23)*$K147</f>
        <v>402</v>
      </c>
      <c r="R147" s="305">
        <f>_xlfn.XLOOKUP($I147,Inputs!$G$6:$G$23,Inputs!K$6:K$23)*$K147</f>
        <v>435</v>
      </c>
      <c r="S147" s="230" t="s">
        <v>3694</v>
      </c>
      <c r="T147" s="51" t="s">
        <v>3695</v>
      </c>
      <c r="U147" s="230" t="s">
        <v>2296</v>
      </c>
      <c r="V147" s="51" t="s">
        <v>3102</v>
      </c>
      <c r="W147" s="19"/>
      <c r="X147" s="19"/>
      <c r="Y147" s="99">
        <v>1144</v>
      </c>
      <c r="AA147" s="29"/>
      <c r="AC147" s="29"/>
      <c r="AD147" s="29"/>
      <c r="AE147" s="29"/>
    </row>
    <row r="148" spans="2:31" s="165" customFormat="1" ht="20" x14ac:dyDescent="0.2">
      <c r="B148" s="230" t="s">
        <v>2739</v>
      </c>
      <c r="C148" s="51" t="s">
        <v>173</v>
      </c>
      <c r="D148" s="33" t="s">
        <v>2876</v>
      </c>
      <c r="E148" s="231">
        <v>1</v>
      </c>
      <c r="F148" s="230" t="s">
        <v>1128</v>
      </c>
      <c r="G148" s="232">
        <v>1</v>
      </c>
      <c r="H148" s="232">
        <v>0.61728395061728392</v>
      </c>
      <c r="I148" s="231">
        <v>63</v>
      </c>
      <c r="J148" s="266">
        <f>_xlfn.XLOOKUP($I148,Inputs!$C$6:$C$23,Inputs!$D$6:$D$23)*$G148</f>
        <v>0.38</v>
      </c>
      <c r="K148" s="267">
        <f>IF((42.4*(H148)^(-0.6595))&gt;=3,3,(IF(42.4*(H148)^(-0.6595)&lt;=0.5,0.5,(42.4*(H148)^(-0.6595)))))</f>
        <v>3</v>
      </c>
      <c r="L148" s="99"/>
      <c r="M148" s="99"/>
      <c r="N148" s="99"/>
      <c r="O148" s="99"/>
      <c r="P148" s="69"/>
      <c r="Q148" s="305">
        <f>_xlfn.XLOOKUP($I148,Inputs!$G$6:$G$23,Inputs!J$6:J$23)*$K148</f>
        <v>29.767499999999998</v>
      </c>
      <c r="R148" s="305">
        <f>_xlfn.XLOOKUP($I148,Inputs!$G$6:$G$23,Inputs!K$6:K$23)*$K148</f>
        <v>32.532786885245905</v>
      </c>
      <c r="S148" s="230" t="s">
        <v>3694</v>
      </c>
      <c r="T148" s="51" t="s">
        <v>3695</v>
      </c>
      <c r="U148" s="230" t="s">
        <v>3570</v>
      </c>
      <c r="V148" s="51" t="s">
        <v>3571</v>
      </c>
      <c r="W148" s="19"/>
      <c r="X148" s="19"/>
      <c r="Y148" s="99">
        <v>1021</v>
      </c>
    </row>
    <row r="149" spans="2:31" s="165" customFormat="1" ht="20" x14ac:dyDescent="0.2">
      <c r="B149" s="230" t="s">
        <v>2740</v>
      </c>
      <c r="C149" s="51" t="s">
        <v>173</v>
      </c>
      <c r="D149" s="33" t="s">
        <v>2876</v>
      </c>
      <c r="E149" s="231">
        <v>1</v>
      </c>
      <c r="F149" s="230" t="s">
        <v>1128</v>
      </c>
      <c r="G149" s="232">
        <v>1</v>
      </c>
      <c r="H149" s="232">
        <v>0.61728395061728392</v>
      </c>
      <c r="I149" s="231">
        <v>63</v>
      </c>
      <c r="J149" s="266">
        <f>_xlfn.XLOOKUP($I149,Inputs!$C$6:$C$23,Inputs!$D$6:$D$23)*$G149</f>
        <v>0.38</v>
      </c>
      <c r="K149" s="267">
        <f>IF((42.4*(H149)^(-0.6595))&gt;=3,3,(IF(42.4*(H149)^(-0.6595)&lt;=0.5,0.5,(42.4*(H149)^(-0.6595)))))</f>
        <v>3</v>
      </c>
      <c r="L149" s="99"/>
      <c r="M149" s="99"/>
      <c r="N149" s="99"/>
      <c r="O149" s="99"/>
      <c r="P149" s="69"/>
      <c r="Q149" s="305">
        <f>_xlfn.XLOOKUP($I149,Inputs!$G$6:$G$23,Inputs!J$6:J$23)*$K149</f>
        <v>29.767499999999998</v>
      </c>
      <c r="R149" s="305">
        <f>_xlfn.XLOOKUP($I149,Inputs!$G$6:$G$23,Inputs!K$6:K$23)*$K149</f>
        <v>32.532786885245905</v>
      </c>
      <c r="S149" s="230" t="s">
        <v>3694</v>
      </c>
      <c r="T149" s="51" t="s">
        <v>3695</v>
      </c>
      <c r="U149" s="230" t="s">
        <v>3570</v>
      </c>
      <c r="V149" s="51" t="s">
        <v>3571</v>
      </c>
      <c r="W149" s="19"/>
      <c r="X149" s="19"/>
      <c r="Y149" s="99">
        <v>1023</v>
      </c>
    </row>
    <row r="150" spans="2:31" s="165" customFormat="1" ht="20" x14ac:dyDescent="0.2">
      <c r="B150" s="151" t="s">
        <v>1108</v>
      </c>
      <c r="C150" s="33" t="s">
        <v>106</v>
      </c>
      <c r="D150" s="33" t="s">
        <v>2876</v>
      </c>
      <c r="E150" s="175">
        <v>1</v>
      </c>
      <c r="F150" s="151" t="s">
        <v>1128</v>
      </c>
      <c r="G150" s="174">
        <v>18</v>
      </c>
      <c r="H150" s="152">
        <v>11.111111111111111</v>
      </c>
      <c r="I150" s="175">
        <v>138</v>
      </c>
      <c r="J150" s="266">
        <f>_xlfn.XLOOKUP($I150,Inputs!$C$6:$C$23,Inputs!$D$6:$D$23)*$G150</f>
        <v>7.8042857142857152</v>
      </c>
      <c r="K150" s="267">
        <f>IF((42.4*(H150)^(-0.6595))&gt;=3,3,(IF(42.4*(H150)^(-0.6595)&lt;=0.5,0.5,(42.4*(H150)^(-0.6595)))))</f>
        <v>3</v>
      </c>
      <c r="L150" s="99"/>
      <c r="M150" s="99"/>
      <c r="N150" s="99">
        <f t="shared" ref="N150:O153" si="32">(SQRT(3)*L150*$I150)/1000</f>
        <v>0</v>
      </c>
      <c r="O150" s="99">
        <f t="shared" si="32"/>
        <v>0</v>
      </c>
      <c r="P150" s="131">
        <v>0.9</v>
      </c>
      <c r="Q150" s="305">
        <f>_xlfn.XLOOKUP($I150,Inputs!$G$6:$G$23,Inputs!J$6:J$23)*$K150</f>
        <v>141</v>
      </c>
      <c r="R150" s="305">
        <f>_xlfn.XLOOKUP($I150,Inputs!$G$6:$G$23,Inputs!K$6:K$23)*$K150</f>
        <v>156</v>
      </c>
      <c r="S150" s="151" t="s">
        <v>2325</v>
      </c>
      <c r="T150" s="51" t="s">
        <v>3160</v>
      </c>
      <c r="U150" s="151" t="s">
        <v>2297</v>
      </c>
      <c r="V150" s="51" t="s">
        <v>3103</v>
      </c>
      <c r="W150" s="19"/>
      <c r="X150" s="19"/>
      <c r="Y150" s="99">
        <v>9</v>
      </c>
    </row>
    <row r="151" spans="2:31" s="165" customFormat="1" ht="20" x14ac:dyDescent="0.2">
      <c r="B151" s="150" t="s">
        <v>543</v>
      </c>
      <c r="C151" s="33" t="s">
        <v>106</v>
      </c>
      <c r="D151" s="33" t="s">
        <v>2876</v>
      </c>
      <c r="E151" s="175">
        <v>1</v>
      </c>
      <c r="F151" s="151" t="s">
        <v>1128</v>
      </c>
      <c r="G151" s="152">
        <v>5</v>
      </c>
      <c r="H151" s="152">
        <v>3.0864197530864197</v>
      </c>
      <c r="I151" s="175">
        <v>230</v>
      </c>
      <c r="J151" s="266">
        <f>_xlfn.XLOOKUP($I151,Inputs!$C$6:$C$23,Inputs!$D$6:$D$23)*$G151</f>
        <v>2.4</v>
      </c>
      <c r="K151" s="255"/>
      <c r="L151" s="186">
        <v>1020</v>
      </c>
      <c r="M151" s="186">
        <v>1260</v>
      </c>
      <c r="N151" s="99">
        <f t="shared" si="32"/>
        <v>406.33911945565859</v>
      </c>
      <c r="O151" s="99">
        <f t="shared" si="32"/>
        <v>501.94832403346066</v>
      </c>
      <c r="P151" s="131">
        <v>0.9</v>
      </c>
      <c r="Q151" s="186">
        <f t="shared" ref="Q151:R153" si="33">N151*$P151</f>
        <v>365.70520751009275</v>
      </c>
      <c r="R151" s="186">
        <f t="shared" si="33"/>
        <v>451.75349163011458</v>
      </c>
      <c r="S151" s="151" t="s">
        <v>1598</v>
      </c>
      <c r="T151" s="51" t="s">
        <v>3225</v>
      </c>
      <c r="U151" s="151" t="s">
        <v>1605</v>
      </c>
      <c r="V151" s="51" t="s">
        <v>3588</v>
      </c>
      <c r="W151" s="19"/>
      <c r="X151" s="19"/>
      <c r="Y151" s="99">
        <v>382</v>
      </c>
    </row>
    <row r="152" spans="2:31" ht="20" x14ac:dyDescent="0.2">
      <c r="B152" s="150" t="s">
        <v>1238</v>
      </c>
      <c r="C152" s="33" t="s">
        <v>106</v>
      </c>
      <c r="D152" s="33" t="s">
        <v>2876</v>
      </c>
      <c r="E152" s="175">
        <v>1</v>
      </c>
      <c r="F152" s="151" t="s">
        <v>1128</v>
      </c>
      <c r="G152" s="152">
        <v>0.17592459999999999</v>
      </c>
      <c r="H152" s="152">
        <v>0.10859543209876542</v>
      </c>
      <c r="I152" s="175">
        <v>69</v>
      </c>
      <c r="J152" s="266">
        <f>_xlfn.XLOOKUP($I152,Inputs!$C$6:$C$23,Inputs!$D$6:$D$23)*$G152</f>
        <v>6.7605310571428573E-2</v>
      </c>
      <c r="K152" s="255"/>
      <c r="L152" s="186">
        <v>425</v>
      </c>
      <c r="M152" s="186">
        <v>510</v>
      </c>
      <c r="N152" s="99">
        <f t="shared" si="32"/>
        <v>50.792389931957324</v>
      </c>
      <c r="O152" s="99">
        <f t="shared" si="32"/>
        <v>60.950867918348784</v>
      </c>
      <c r="P152" s="131">
        <v>0.9</v>
      </c>
      <c r="Q152" s="186">
        <f t="shared" si="33"/>
        <v>45.713150938761594</v>
      </c>
      <c r="R152" s="186">
        <f t="shared" si="33"/>
        <v>54.855781126513904</v>
      </c>
      <c r="S152" s="151" t="s">
        <v>2523</v>
      </c>
      <c r="T152" s="51" t="s">
        <v>2182</v>
      </c>
      <c r="U152" s="151" t="s">
        <v>1606</v>
      </c>
      <c r="V152" s="51" t="s">
        <v>3382</v>
      </c>
      <c r="W152" s="19"/>
      <c r="X152" s="19"/>
      <c r="Y152" s="99">
        <v>735</v>
      </c>
      <c r="AA152" s="29"/>
      <c r="AC152" s="29"/>
      <c r="AD152" s="29"/>
      <c r="AE152" s="29"/>
    </row>
    <row r="153" spans="2:31" ht="20" x14ac:dyDescent="0.2">
      <c r="B153" s="150" t="s">
        <v>1237</v>
      </c>
      <c r="C153" s="33" t="s">
        <v>106</v>
      </c>
      <c r="D153" s="33" t="s">
        <v>2876</v>
      </c>
      <c r="E153" s="175">
        <v>1</v>
      </c>
      <c r="F153" s="151" t="s">
        <v>1128</v>
      </c>
      <c r="G153" s="152">
        <v>14.5</v>
      </c>
      <c r="H153" s="152">
        <v>8.9506172839506171</v>
      </c>
      <c r="I153" s="175">
        <v>69</v>
      </c>
      <c r="J153" s="266">
        <f>_xlfn.XLOOKUP($I153,Inputs!$C$6:$C$23,Inputs!$D$6:$D$23)*$G153</f>
        <v>5.5721428571428575</v>
      </c>
      <c r="K153" s="255"/>
      <c r="L153" s="186">
        <v>845</v>
      </c>
      <c r="M153" s="186">
        <v>1020</v>
      </c>
      <c r="N153" s="99">
        <f t="shared" si="32"/>
        <v>100.98722233530337</v>
      </c>
      <c r="O153" s="99">
        <f t="shared" si="32"/>
        <v>121.90173583669757</v>
      </c>
      <c r="P153" s="131">
        <v>0.9</v>
      </c>
      <c r="Q153" s="186">
        <f t="shared" si="33"/>
        <v>90.888500101773033</v>
      </c>
      <c r="R153" s="186">
        <f t="shared" si="33"/>
        <v>109.71156225302781</v>
      </c>
      <c r="S153" s="151" t="s">
        <v>120</v>
      </c>
      <c r="T153" s="51" t="s">
        <v>3333</v>
      </c>
      <c r="U153" s="151" t="s">
        <v>2523</v>
      </c>
      <c r="V153" s="51" t="s">
        <v>2182</v>
      </c>
      <c r="W153" s="19"/>
      <c r="X153" s="19"/>
      <c r="Y153" s="99">
        <v>734</v>
      </c>
      <c r="AA153" s="29"/>
      <c r="AC153" s="29"/>
      <c r="AD153" s="29"/>
      <c r="AE153" s="29"/>
    </row>
    <row r="154" spans="2:31" ht="20" x14ac:dyDescent="0.2">
      <c r="B154" s="230" t="s">
        <v>1119</v>
      </c>
      <c r="C154" s="51" t="s">
        <v>173</v>
      </c>
      <c r="D154" s="33" t="s">
        <v>2876</v>
      </c>
      <c r="E154" s="231">
        <v>1</v>
      </c>
      <c r="F154" s="230" t="s">
        <v>1128</v>
      </c>
      <c r="G154" s="232">
        <v>25</v>
      </c>
      <c r="H154" s="232">
        <v>15.432098765432098</v>
      </c>
      <c r="I154" s="231">
        <v>230</v>
      </c>
      <c r="J154" s="266">
        <f>_xlfn.XLOOKUP($I154,Inputs!$C$6:$C$23,Inputs!$D$6:$D$23)*$G154</f>
        <v>12</v>
      </c>
      <c r="K154" s="267">
        <f>IF((42.4*(H154)^(-0.6595))&gt;=3,3,(IF(42.4*(H154)^(-0.6595)&lt;=0.5,0.5,(42.4*(H154)^(-0.6595)))))</f>
        <v>3</v>
      </c>
      <c r="L154" s="99"/>
      <c r="M154" s="99"/>
      <c r="N154" s="99"/>
      <c r="O154" s="99"/>
      <c r="P154" s="69"/>
      <c r="Q154" s="305">
        <f>_xlfn.XLOOKUP($I154,Inputs!$G$6:$G$23,Inputs!J$6:J$23)*$K154</f>
        <v>402</v>
      </c>
      <c r="R154" s="305">
        <f>_xlfn.XLOOKUP($I154,Inputs!$G$6:$G$23,Inputs!K$6:K$23)*$K154</f>
        <v>435</v>
      </c>
      <c r="S154" s="230" t="s">
        <v>1936</v>
      </c>
      <c r="T154" s="51" t="s">
        <v>3356</v>
      </c>
      <c r="U154" s="230" t="s">
        <v>3694</v>
      </c>
      <c r="V154" s="51" t="s">
        <v>3695</v>
      </c>
      <c r="W154" s="19"/>
      <c r="X154" s="19"/>
      <c r="Y154" s="99">
        <v>1139</v>
      </c>
      <c r="AA154" s="29"/>
      <c r="AC154" s="29"/>
      <c r="AD154" s="29"/>
      <c r="AE154" s="29"/>
    </row>
    <row r="155" spans="2:31" ht="20" x14ac:dyDescent="0.2">
      <c r="B155" s="230" t="s">
        <v>1121</v>
      </c>
      <c r="C155" s="33" t="s">
        <v>173</v>
      </c>
      <c r="D155" s="33" t="s">
        <v>2876</v>
      </c>
      <c r="E155" s="231">
        <v>1</v>
      </c>
      <c r="F155" s="230" t="s">
        <v>1128</v>
      </c>
      <c r="G155" s="174">
        <v>15</v>
      </c>
      <c r="H155" s="174">
        <v>9.2592592592592595</v>
      </c>
      <c r="I155" s="231">
        <v>230</v>
      </c>
      <c r="J155" s="266">
        <f>_xlfn.XLOOKUP($I155,Inputs!$C$6:$C$23,Inputs!$D$6:$D$23)*$G155</f>
        <v>7.1999999999999993</v>
      </c>
      <c r="K155" s="267">
        <f>IF((42.4*(H155)^(-0.6595))&gt;=3,3,(IF(42.4*(H155)^(-0.6595)&lt;=0.5,0.5,(42.4*(H155)^(-0.6595)))))</f>
        <v>3</v>
      </c>
      <c r="L155" s="99"/>
      <c r="M155" s="99"/>
      <c r="N155" s="99"/>
      <c r="O155" s="99"/>
      <c r="P155" s="69"/>
      <c r="Q155" s="305">
        <f>_xlfn.XLOOKUP($I155,Inputs!$G$6:$G$23,Inputs!J$6:J$23)*$K155</f>
        <v>402</v>
      </c>
      <c r="R155" s="305">
        <f>_xlfn.XLOOKUP($I155,Inputs!$G$6:$G$23,Inputs!K$6:K$23)*$K155</f>
        <v>435</v>
      </c>
      <c r="S155" s="230" t="s">
        <v>1569</v>
      </c>
      <c r="T155" s="51" t="s">
        <v>3088</v>
      </c>
      <c r="U155" s="230" t="s">
        <v>3694</v>
      </c>
      <c r="V155" s="51" t="s">
        <v>3695</v>
      </c>
      <c r="W155" s="19"/>
      <c r="X155" s="19"/>
      <c r="Y155" s="99">
        <v>1142</v>
      </c>
      <c r="AA155" s="29"/>
      <c r="AC155" s="29"/>
      <c r="AD155" s="29"/>
      <c r="AE155" s="29"/>
    </row>
    <row r="156" spans="2:31" s="165" customFormat="1" ht="20" x14ac:dyDescent="0.2">
      <c r="B156" s="150" t="s">
        <v>1423</v>
      </c>
      <c r="C156" s="33" t="s">
        <v>106</v>
      </c>
      <c r="D156" s="33" t="s">
        <v>2876</v>
      </c>
      <c r="E156" s="175">
        <v>1</v>
      </c>
      <c r="F156" s="151" t="s">
        <v>1128</v>
      </c>
      <c r="G156" s="152">
        <v>6.0699500000000003E-2</v>
      </c>
      <c r="H156" s="152">
        <v>3.746882716049383E-2</v>
      </c>
      <c r="I156" s="175">
        <v>138</v>
      </c>
      <c r="J156" s="266">
        <f>_xlfn.XLOOKUP($I156,Inputs!$C$6:$C$23,Inputs!$D$6:$D$23)*$G156</f>
        <v>2.6317568928571431E-2</v>
      </c>
      <c r="K156" s="255"/>
      <c r="L156" s="186">
        <v>832</v>
      </c>
      <c r="M156" s="186">
        <v>1007</v>
      </c>
      <c r="N156" s="99">
        <f t="shared" ref="N156:O159" si="34">(SQRT(3)*L156*$I156)/1000</f>
        <v>198.86714552182821</v>
      </c>
      <c r="O156" s="99">
        <f t="shared" si="34"/>
        <v>240.6961725246166</v>
      </c>
      <c r="P156" s="131">
        <v>0.9</v>
      </c>
      <c r="Q156" s="186">
        <f t="shared" ref="Q156:R159" si="35">N156*$P156</f>
        <v>178.9804309696454</v>
      </c>
      <c r="R156" s="186">
        <f t="shared" si="35"/>
        <v>216.62655527215495</v>
      </c>
      <c r="S156" s="151" t="s">
        <v>2415</v>
      </c>
      <c r="T156" s="51" t="s">
        <v>2065</v>
      </c>
      <c r="U156" s="151" t="s">
        <v>1607</v>
      </c>
      <c r="V156" s="51" t="s">
        <v>3383</v>
      </c>
      <c r="W156" s="19"/>
      <c r="X156" s="19"/>
      <c r="Y156" s="99">
        <v>160</v>
      </c>
    </row>
    <row r="157" spans="2:31" ht="20" x14ac:dyDescent="0.2">
      <c r="B157" s="150" t="s">
        <v>467</v>
      </c>
      <c r="C157" s="33" t="s">
        <v>106</v>
      </c>
      <c r="D157" s="33" t="s">
        <v>2876</v>
      </c>
      <c r="E157" s="175">
        <v>1</v>
      </c>
      <c r="F157" s="151" t="s">
        <v>1128</v>
      </c>
      <c r="G157" s="152">
        <v>37</v>
      </c>
      <c r="H157" s="152">
        <v>22.839506172839506</v>
      </c>
      <c r="I157" s="175">
        <v>138</v>
      </c>
      <c r="J157" s="266">
        <f>_xlfn.XLOOKUP($I157,Inputs!$C$6:$C$23,Inputs!$D$6:$D$23)*$G157</f>
        <v>16.04214285714286</v>
      </c>
      <c r="K157" s="255"/>
      <c r="L157" s="186">
        <v>540</v>
      </c>
      <c r="M157" s="186">
        <v>1050</v>
      </c>
      <c r="N157" s="99">
        <f t="shared" si="34"/>
        <v>129.07242618003272</v>
      </c>
      <c r="O157" s="99">
        <f t="shared" si="34"/>
        <v>250.9741620167303</v>
      </c>
      <c r="P157" s="131">
        <v>0.9</v>
      </c>
      <c r="Q157" s="186">
        <f t="shared" si="35"/>
        <v>116.16518356202945</v>
      </c>
      <c r="R157" s="186">
        <f t="shared" si="35"/>
        <v>225.87674581505729</v>
      </c>
      <c r="S157" s="151" t="s">
        <v>2414</v>
      </c>
      <c r="T157" s="51" t="s">
        <v>2066</v>
      </c>
      <c r="U157" s="151" t="s">
        <v>2415</v>
      </c>
      <c r="V157" s="51" t="s">
        <v>2065</v>
      </c>
      <c r="W157" s="19"/>
      <c r="X157" s="19"/>
      <c r="Y157" s="99">
        <v>159</v>
      </c>
      <c r="AA157" s="29"/>
      <c r="AC157" s="29"/>
      <c r="AD157" s="29"/>
      <c r="AE157" s="29"/>
    </row>
    <row r="158" spans="2:31" ht="20" x14ac:dyDescent="0.2">
      <c r="B158" s="150" t="s">
        <v>1346</v>
      </c>
      <c r="C158" s="33" t="s">
        <v>106</v>
      </c>
      <c r="D158" s="33" t="s">
        <v>2876</v>
      </c>
      <c r="E158" s="175">
        <v>1</v>
      </c>
      <c r="F158" s="151" t="s">
        <v>1128</v>
      </c>
      <c r="G158" s="152">
        <v>14.8</v>
      </c>
      <c r="H158" s="152">
        <v>9.1358024691358022</v>
      </c>
      <c r="I158" s="175">
        <v>69</v>
      </c>
      <c r="J158" s="266">
        <f>_xlfn.XLOOKUP($I158,Inputs!$C$6:$C$23,Inputs!$D$6:$D$23)*$G158</f>
        <v>5.6874285714285717</v>
      </c>
      <c r="K158" s="255"/>
      <c r="L158" s="186">
        <v>450</v>
      </c>
      <c r="M158" s="186">
        <v>760</v>
      </c>
      <c r="N158" s="99">
        <f t="shared" si="34"/>
        <v>53.780177575013639</v>
      </c>
      <c r="O158" s="99">
        <f t="shared" si="34"/>
        <v>90.828744348911911</v>
      </c>
      <c r="P158" s="131">
        <v>0.9</v>
      </c>
      <c r="Q158" s="186">
        <f t="shared" si="35"/>
        <v>48.402159817512278</v>
      </c>
      <c r="R158" s="186">
        <f t="shared" si="35"/>
        <v>81.745869914020716</v>
      </c>
      <c r="S158" s="151" t="s">
        <v>365</v>
      </c>
      <c r="T158" s="51" t="s">
        <v>3355</v>
      </c>
      <c r="U158" s="151" t="s">
        <v>1608</v>
      </c>
      <c r="V158" s="51" t="s">
        <v>3229</v>
      </c>
      <c r="W158" s="19"/>
      <c r="X158" s="19"/>
      <c r="Y158" s="99">
        <v>930</v>
      </c>
      <c r="AA158" s="29"/>
      <c r="AC158" s="29"/>
      <c r="AD158" s="29"/>
      <c r="AE158" s="29"/>
    </row>
    <row r="159" spans="2:31" ht="20" x14ac:dyDescent="0.2">
      <c r="B159" s="150" t="s">
        <v>1399</v>
      </c>
      <c r="C159" s="33" t="s">
        <v>106</v>
      </c>
      <c r="D159" s="33" t="s">
        <v>2876</v>
      </c>
      <c r="E159" s="175">
        <v>1</v>
      </c>
      <c r="F159" s="151" t="s">
        <v>1128</v>
      </c>
      <c r="G159" s="152">
        <v>15.0645758</v>
      </c>
      <c r="H159" s="152">
        <v>9.2991208641975298</v>
      </c>
      <c r="I159" s="175">
        <v>69</v>
      </c>
      <c r="J159" s="266">
        <f>_xlfn.XLOOKUP($I159,Inputs!$C$6:$C$23,Inputs!$D$6:$D$23)*$G159</f>
        <v>5.7891012717142853</v>
      </c>
      <c r="K159" s="255"/>
      <c r="L159" s="186">
        <v>450</v>
      </c>
      <c r="M159" s="186">
        <v>760</v>
      </c>
      <c r="N159" s="99">
        <f t="shared" si="34"/>
        <v>53.780177575013639</v>
      </c>
      <c r="O159" s="99">
        <f t="shared" si="34"/>
        <v>90.828744348911911</v>
      </c>
      <c r="P159" s="131">
        <v>0.9</v>
      </c>
      <c r="Q159" s="186">
        <f t="shared" si="35"/>
        <v>48.402159817512278</v>
      </c>
      <c r="R159" s="186">
        <f t="shared" si="35"/>
        <v>81.745869914020716</v>
      </c>
      <c r="S159" s="151" t="s">
        <v>365</v>
      </c>
      <c r="T159" s="51" t="s">
        <v>3355</v>
      </c>
      <c r="U159" s="151" t="s">
        <v>1608</v>
      </c>
      <c r="V159" s="179" t="s">
        <v>3229</v>
      </c>
      <c r="W159" s="19"/>
      <c r="X159" s="19"/>
      <c r="Y159" s="99">
        <v>974</v>
      </c>
      <c r="AA159" s="29"/>
      <c r="AC159" s="29"/>
      <c r="AD159" s="29"/>
      <c r="AE159" s="29"/>
    </row>
    <row r="160" spans="2:31" ht="20" x14ac:dyDescent="0.2">
      <c r="B160" s="230" t="s">
        <v>2648</v>
      </c>
      <c r="C160" s="51" t="s">
        <v>173</v>
      </c>
      <c r="D160" s="33" t="s">
        <v>2876</v>
      </c>
      <c r="E160" s="231">
        <v>1</v>
      </c>
      <c r="F160" s="230" t="s">
        <v>1128</v>
      </c>
      <c r="G160" s="232">
        <v>36</v>
      </c>
      <c r="H160" s="232">
        <v>22.222222222222221</v>
      </c>
      <c r="I160" s="231">
        <v>138</v>
      </c>
      <c r="J160" s="266">
        <f>_xlfn.XLOOKUP($I160,Inputs!$C$6:$C$23,Inputs!$D$6:$D$23)*$G160</f>
        <v>15.60857142857143</v>
      </c>
      <c r="K160" s="267">
        <f>IF((42.4*(H160)^(-0.6595))&gt;=3,3,(IF(42.4*(H160)^(-0.6595)&lt;=0.5,0.5,(42.4*(H160)^(-0.6595)))))</f>
        <v>3</v>
      </c>
      <c r="L160" s="99"/>
      <c r="M160" s="99"/>
      <c r="N160" s="99"/>
      <c r="O160" s="99"/>
      <c r="P160" s="69"/>
      <c r="Q160" s="305">
        <f>_xlfn.XLOOKUP($I160,Inputs!$G$6:$G$23,Inputs!J$6:J$23)*$K160</f>
        <v>141</v>
      </c>
      <c r="R160" s="305">
        <f>_xlfn.XLOOKUP($I160,Inputs!$G$6:$G$23,Inputs!K$6:K$23)*$K160</f>
        <v>156</v>
      </c>
      <c r="S160" s="230" t="s">
        <v>2649</v>
      </c>
      <c r="T160" s="51" t="s">
        <v>3713</v>
      </c>
      <c r="U160" s="230" t="s">
        <v>2650</v>
      </c>
      <c r="V160" s="51" t="s">
        <v>3456</v>
      </c>
      <c r="W160" s="19"/>
      <c r="X160" s="19" t="s">
        <v>3705</v>
      </c>
      <c r="Y160" s="99">
        <v>1123</v>
      </c>
      <c r="AA160" s="29"/>
      <c r="AC160" s="29"/>
      <c r="AD160" s="29"/>
      <c r="AE160" s="29"/>
    </row>
    <row r="161" spans="2:31" s="165" customFormat="1" ht="20" x14ac:dyDescent="0.2">
      <c r="B161" s="150" t="s">
        <v>524</v>
      </c>
      <c r="C161" s="33" t="s">
        <v>106</v>
      </c>
      <c r="D161" s="33" t="s">
        <v>2876</v>
      </c>
      <c r="E161" s="175">
        <v>1</v>
      </c>
      <c r="F161" s="151" t="s">
        <v>1128</v>
      </c>
      <c r="G161" s="152">
        <v>7.5922400000000001E-2</v>
      </c>
      <c r="H161" s="152">
        <v>4.6865679012345673E-2</v>
      </c>
      <c r="I161" s="175">
        <v>230</v>
      </c>
      <c r="J161" s="266">
        <f>_xlfn.XLOOKUP($I161,Inputs!$C$6:$C$23,Inputs!$D$6:$D$23)*$G161</f>
        <v>3.6442752000000002E-2</v>
      </c>
      <c r="K161" s="255"/>
      <c r="L161" s="186">
        <v>990</v>
      </c>
      <c r="M161" s="186">
        <v>1220</v>
      </c>
      <c r="N161" s="99">
        <f t="shared" ref="N161:O165" si="36">(SQRT(3)*L161*$I161)/1000</f>
        <v>394.3879688834333</v>
      </c>
      <c r="O161" s="99">
        <f t="shared" si="36"/>
        <v>486.01345660382691</v>
      </c>
      <c r="P161" s="131">
        <v>0.9</v>
      </c>
      <c r="Q161" s="186">
        <f t="shared" ref="Q161:R165" si="37">N161*$P161</f>
        <v>354.94917199508996</v>
      </c>
      <c r="R161" s="186">
        <f t="shared" si="37"/>
        <v>437.41211094344425</v>
      </c>
      <c r="S161" s="151" t="s">
        <v>2472</v>
      </c>
      <c r="T161" s="51" t="s">
        <v>2124</v>
      </c>
      <c r="U161" s="151" t="s">
        <v>1609</v>
      </c>
      <c r="V161" s="51" t="s">
        <v>3384</v>
      </c>
      <c r="W161" s="19"/>
      <c r="X161" s="19"/>
      <c r="Y161" s="99">
        <v>353</v>
      </c>
    </row>
    <row r="162" spans="2:31" ht="20" x14ac:dyDescent="0.2">
      <c r="B162" s="150" t="s">
        <v>1459</v>
      </c>
      <c r="C162" s="33" t="s">
        <v>106</v>
      </c>
      <c r="D162" s="33" t="s">
        <v>2876</v>
      </c>
      <c r="E162" s="175">
        <v>1</v>
      </c>
      <c r="F162" s="151" t="s">
        <v>1128</v>
      </c>
      <c r="G162" s="152">
        <v>5.9216700000000004E-2</v>
      </c>
      <c r="H162" s="152">
        <v>3.655351851851852E-2</v>
      </c>
      <c r="I162" s="175">
        <v>230</v>
      </c>
      <c r="J162" s="266">
        <f>_xlfn.XLOOKUP($I162,Inputs!$C$6:$C$23,Inputs!$D$6:$D$23)*$G162</f>
        <v>2.8424016E-2</v>
      </c>
      <c r="K162" s="255"/>
      <c r="L162" s="186">
        <v>1068</v>
      </c>
      <c r="M162" s="186">
        <v>1293</v>
      </c>
      <c r="N162" s="99">
        <f t="shared" si="36"/>
        <v>425.46096037121896</v>
      </c>
      <c r="O162" s="99">
        <f t="shared" si="36"/>
        <v>515.09458966290845</v>
      </c>
      <c r="P162" s="131">
        <v>0.9</v>
      </c>
      <c r="Q162" s="186">
        <f t="shared" si="37"/>
        <v>382.91486433409705</v>
      </c>
      <c r="R162" s="186">
        <f t="shared" si="37"/>
        <v>463.58513069661763</v>
      </c>
      <c r="S162" s="151" t="s">
        <v>2472</v>
      </c>
      <c r="T162" s="51" t="s">
        <v>2124</v>
      </c>
      <c r="U162" s="151" t="s">
        <v>1609</v>
      </c>
      <c r="V162" s="51" t="s">
        <v>3384</v>
      </c>
      <c r="W162" s="19"/>
      <c r="X162" s="19"/>
      <c r="Y162" s="99">
        <v>400</v>
      </c>
      <c r="AA162" s="29"/>
      <c r="AC162" s="29"/>
      <c r="AD162" s="29"/>
      <c r="AE162" s="29"/>
    </row>
    <row r="163" spans="2:31" s="185" customFormat="1" ht="20" x14ac:dyDescent="0.2">
      <c r="B163" s="150" t="s">
        <v>524</v>
      </c>
      <c r="C163" s="33" t="s">
        <v>106</v>
      </c>
      <c r="D163" s="33" t="s">
        <v>2876</v>
      </c>
      <c r="E163" s="175">
        <v>1</v>
      </c>
      <c r="F163" s="151" t="s">
        <v>1128</v>
      </c>
      <c r="G163" s="152">
        <v>18</v>
      </c>
      <c r="H163" s="152">
        <v>11.111111111111111</v>
      </c>
      <c r="I163" s="175">
        <v>230</v>
      </c>
      <c r="J163" s="266">
        <f>_xlfn.XLOOKUP($I163,Inputs!$C$6:$C$23,Inputs!$D$6:$D$23)*$G163</f>
        <v>8.64</v>
      </c>
      <c r="K163" s="255"/>
      <c r="L163" s="186">
        <v>990</v>
      </c>
      <c r="M163" s="186">
        <v>1220</v>
      </c>
      <c r="N163" s="99">
        <f t="shared" si="36"/>
        <v>394.3879688834333</v>
      </c>
      <c r="O163" s="99">
        <f t="shared" si="36"/>
        <v>486.01345660382691</v>
      </c>
      <c r="P163" s="131">
        <v>0.9</v>
      </c>
      <c r="Q163" s="186">
        <f t="shared" si="37"/>
        <v>354.94917199508996</v>
      </c>
      <c r="R163" s="186">
        <f t="shared" si="37"/>
        <v>437.41211094344425</v>
      </c>
      <c r="S163" s="151" t="s">
        <v>1730</v>
      </c>
      <c r="T163" s="51" t="s">
        <v>3204</v>
      </c>
      <c r="U163" s="151" t="s">
        <v>2472</v>
      </c>
      <c r="V163" s="51" t="s">
        <v>2124</v>
      </c>
      <c r="W163" s="19"/>
      <c r="X163" s="19"/>
      <c r="Y163" s="99">
        <v>352</v>
      </c>
    </row>
    <row r="164" spans="2:31" s="165" customFormat="1" ht="20" x14ac:dyDescent="0.2">
      <c r="B164" s="150" t="s">
        <v>556</v>
      </c>
      <c r="C164" s="33" t="s">
        <v>106</v>
      </c>
      <c r="D164" s="33" t="s">
        <v>2876</v>
      </c>
      <c r="E164" s="175">
        <v>1</v>
      </c>
      <c r="F164" s="151" t="s">
        <v>1128</v>
      </c>
      <c r="G164" s="152">
        <v>18</v>
      </c>
      <c r="H164" s="152">
        <v>11.111111111111111</v>
      </c>
      <c r="I164" s="175">
        <v>230</v>
      </c>
      <c r="J164" s="266">
        <f>_xlfn.XLOOKUP($I164,Inputs!$C$6:$C$23,Inputs!$D$6:$D$23)*$G164</f>
        <v>8.64</v>
      </c>
      <c r="K164" s="255"/>
      <c r="L164" s="186">
        <v>1000</v>
      </c>
      <c r="M164" s="186">
        <v>1220</v>
      </c>
      <c r="N164" s="99">
        <f t="shared" si="36"/>
        <v>398.37168574084171</v>
      </c>
      <c r="O164" s="99">
        <f t="shared" si="36"/>
        <v>486.01345660382691</v>
      </c>
      <c r="P164" s="131">
        <v>0.9</v>
      </c>
      <c r="Q164" s="186">
        <f t="shared" si="37"/>
        <v>358.53451716675755</v>
      </c>
      <c r="R164" s="186">
        <f t="shared" si="37"/>
        <v>437.41211094344425</v>
      </c>
      <c r="S164" s="151" t="s">
        <v>1730</v>
      </c>
      <c r="T164" s="51" t="s">
        <v>3204</v>
      </c>
      <c r="U164" s="151" t="s">
        <v>2472</v>
      </c>
      <c r="V164" s="51" t="s">
        <v>2124</v>
      </c>
      <c r="W164" s="19"/>
      <c r="X164" s="19"/>
      <c r="Y164" s="99">
        <v>399</v>
      </c>
    </row>
    <row r="165" spans="2:31" ht="20" x14ac:dyDescent="0.2">
      <c r="B165" s="150" t="s">
        <v>1221</v>
      </c>
      <c r="C165" s="33" t="s">
        <v>106</v>
      </c>
      <c r="D165" s="33" t="s">
        <v>2876</v>
      </c>
      <c r="E165" s="175">
        <v>1</v>
      </c>
      <c r="F165" s="151" t="s">
        <v>1128</v>
      </c>
      <c r="G165" s="152">
        <v>0.4</v>
      </c>
      <c r="H165" s="152">
        <v>0.24691358024691357</v>
      </c>
      <c r="I165" s="175">
        <v>69</v>
      </c>
      <c r="J165" s="266">
        <f>_xlfn.XLOOKUP($I165,Inputs!$C$6:$C$23,Inputs!$D$6:$D$23)*$G165</f>
        <v>0.15371428571428572</v>
      </c>
      <c r="K165" s="255"/>
      <c r="L165" s="186">
        <v>845</v>
      </c>
      <c r="M165" s="186">
        <v>1010</v>
      </c>
      <c r="N165" s="99">
        <f t="shared" si="36"/>
        <v>100.98722233530337</v>
      </c>
      <c r="O165" s="99">
        <f t="shared" si="36"/>
        <v>120.70662077947505</v>
      </c>
      <c r="P165" s="131">
        <v>0.9</v>
      </c>
      <c r="Q165" s="186">
        <f t="shared" si="37"/>
        <v>90.888500101773033</v>
      </c>
      <c r="R165" s="186">
        <f t="shared" si="37"/>
        <v>108.63595870152754</v>
      </c>
      <c r="S165" s="151" t="s">
        <v>1767</v>
      </c>
      <c r="T165" s="51" t="s">
        <v>3657</v>
      </c>
      <c r="U165" s="151" t="s">
        <v>1610</v>
      </c>
      <c r="V165" s="51" t="s">
        <v>3618</v>
      </c>
      <c r="W165" s="19"/>
      <c r="X165" s="19"/>
      <c r="Y165" s="99">
        <v>702</v>
      </c>
      <c r="AA165" s="29"/>
      <c r="AC165" s="29"/>
      <c r="AD165" s="29"/>
      <c r="AE165" s="29"/>
    </row>
    <row r="166" spans="2:31" ht="20" x14ac:dyDescent="0.2">
      <c r="B166" s="230" t="s">
        <v>2747</v>
      </c>
      <c r="C166" s="51" t="s">
        <v>173</v>
      </c>
      <c r="D166" s="33" t="s">
        <v>2876</v>
      </c>
      <c r="E166" s="231">
        <v>1</v>
      </c>
      <c r="F166" s="230" t="s">
        <v>1128</v>
      </c>
      <c r="G166" s="232">
        <v>2</v>
      </c>
      <c r="H166" s="232">
        <v>1.2345679012345678</v>
      </c>
      <c r="I166" s="231">
        <v>63</v>
      </c>
      <c r="J166" s="266">
        <f>_xlfn.XLOOKUP($I166,Inputs!$C$6:$C$23,Inputs!$D$6:$D$23)*$G166</f>
        <v>0.76</v>
      </c>
      <c r="K166" s="267">
        <f>IF((42.4*(H166)^(-0.6595))&gt;=3,3,(IF(42.4*(H166)^(-0.6595)&lt;=0.5,0.5,(42.4*(H166)^(-0.6595)))))</f>
        <v>3</v>
      </c>
      <c r="L166" s="99"/>
      <c r="M166" s="99"/>
      <c r="N166" s="99"/>
      <c r="O166" s="99"/>
      <c r="P166" s="69"/>
      <c r="Q166" s="305">
        <f>_xlfn.XLOOKUP($I166,Inputs!$G$6:$G$23,Inputs!J$6:J$23)*$K166</f>
        <v>29.767499999999998</v>
      </c>
      <c r="R166" s="305">
        <f>_xlfn.XLOOKUP($I166,Inputs!$G$6:$G$23,Inputs!K$6:K$23)*$K166</f>
        <v>32.532786885245905</v>
      </c>
      <c r="S166" s="230" t="s">
        <v>2748</v>
      </c>
      <c r="T166" s="51" t="s">
        <v>2763</v>
      </c>
      <c r="U166" s="230" t="s">
        <v>144</v>
      </c>
      <c r="V166" s="51" t="s">
        <v>3231</v>
      </c>
      <c r="W166" s="19"/>
      <c r="X166" s="19" t="s">
        <v>3703</v>
      </c>
      <c r="Y166" s="99">
        <v>1018</v>
      </c>
      <c r="AA166" s="29"/>
      <c r="AC166" s="29"/>
      <c r="AD166" s="29"/>
      <c r="AE166" s="29"/>
    </row>
    <row r="167" spans="2:31" s="165" customFormat="1" ht="20" x14ac:dyDescent="0.2">
      <c r="B167" s="230" t="s">
        <v>2753</v>
      </c>
      <c r="C167" s="51" t="s">
        <v>173</v>
      </c>
      <c r="D167" s="33" t="s">
        <v>2876</v>
      </c>
      <c r="E167" s="231">
        <v>1</v>
      </c>
      <c r="F167" s="230" t="s">
        <v>1128</v>
      </c>
      <c r="G167" s="232">
        <v>2</v>
      </c>
      <c r="H167" s="232">
        <v>1.2345679012345678</v>
      </c>
      <c r="I167" s="231">
        <v>63</v>
      </c>
      <c r="J167" s="266">
        <f>_xlfn.XLOOKUP($I167,Inputs!$C$6:$C$23,Inputs!$D$6:$D$23)*$G167</f>
        <v>0.76</v>
      </c>
      <c r="K167" s="267">
        <f>IF((42.4*(H167)^(-0.6595))&gt;=3,3,(IF(42.4*(H167)^(-0.6595)&lt;=0.5,0.5,(42.4*(H167)^(-0.6595)))))</f>
        <v>3</v>
      </c>
      <c r="L167" s="99"/>
      <c r="M167" s="99"/>
      <c r="N167" s="99"/>
      <c r="O167" s="99"/>
      <c r="P167" s="69"/>
      <c r="Q167" s="305">
        <f>_xlfn.XLOOKUP($I167,Inputs!$G$6:$G$23,Inputs!J$6:J$23)*$K167</f>
        <v>29.767499999999998</v>
      </c>
      <c r="R167" s="305">
        <f>_xlfn.XLOOKUP($I167,Inputs!$G$6:$G$23,Inputs!K$6:K$23)*$K167</f>
        <v>32.532786885245905</v>
      </c>
      <c r="S167" s="230" t="s">
        <v>2748</v>
      </c>
      <c r="T167" s="51" t="s">
        <v>2763</v>
      </c>
      <c r="U167" s="230" t="s">
        <v>144</v>
      </c>
      <c r="V167" s="51" t="s">
        <v>3231</v>
      </c>
      <c r="W167" s="19"/>
      <c r="X167" s="19" t="s">
        <v>3703</v>
      </c>
      <c r="Y167" s="99">
        <v>1073</v>
      </c>
    </row>
    <row r="168" spans="2:31" ht="20" x14ac:dyDescent="0.2">
      <c r="B168" s="150" t="s">
        <v>610</v>
      </c>
      <c r="C168" s="33" t="s">
        <v>106</v>
      </c>
      <c r="D168" s="33" t="s">
        <v>2876</v>
      </c>
      <c r="E168" s="175">
        <v>1</v>
      </c>
      <c r="F168" s="151" t="s">
        <v>1128</v>
      </c>
      <c r="G168" s="152">
        <v>86.71</v>
      </c>
      <c r="H168" s="152">
        <v>53.524691358024683</v>
      </c>
      <c r="I168" s="175">
        <v>230</v>
      </c>
      <c r="J168" s="266">
        <f>_xlfn.XLOOKUP($I168,Inputs!$C$6:$C$23,Inputs!$D$6:$D$23)*$G168</f>
        <v>41.620799999999996</v>
      </c>
      <c r="K168" s="255"/>
      <c r="L168" s="186">
        <v>1053</v>
      </c>
      <c r="M168" s="186">
        <v>1277</v>
      </c>
      <c r="N168" s="99">
        <f t="shared" ref="N168:N187" si="38">(SQRT(3)*L168*$I168)/1000</f>
        <v>419.48538508510637</v>
      </c>
      <c r="O168" s="99">
        <f t="shared" ref="O168:O187" si="39">(SQRT(3)*M168*$I168)/1000</f>
        <v>508.72064269105499</v>
      </c>
      <c r="P168" s="131">
        <v>0.9</v>
      </c>
      <c r="Q168" s="186">
        <f t="shared" ref="Q168:Q177" si="40">N168*$P168</f>
        <v>377.53684657659574</v>
      </c>
      <c r="R168" s="186">
        <f t="shared" ref="R168:R177" si="41">O168*$P168</f>
        <v>457.84857842194953</v>
      </c>
      <c r="S168" s="151" t="s">
        <v>1561</v>
      </c>
      <c r="T168" s="51" t="s">
        <v>3213</v>
      </c>
      <c r="U168" s="151" t="s">
        <v>107</v>
      </c>
      <c r="V168" s="51" t="s">
        <v>3232</v>
      </c>
      <c r="W168" s="19"/>
      <c r="X168" s="19"/>
      <c r="Y168" s="99">
        <v>467</v>
      </c>
      <c r="AA168" s="29"/>
      <c r="AC168" s="29"/>
      <c r="AD168" s="29"/>
      <c r="AE168" s="29"/>
    </row>
    <row r="169" spans="2:31" ht="20" x14ac:dyDescent="0.2">
      <c r="B169" s="150" t="s">
        <v>674</v>
      </c>
      <c r="C169" s="33" t="s">
        <v>106</v>
      </c>
      <c r="D169" s="33" t="s">
        <v>2876</v>
      </c>
      <c r="E169" s="175">
        <v>1</v>
      </c>
      <c r="F169" s="151" t="s">
        <v>1128</v>
      </c>
      <c r="G169" s="152">
        <v>179.85274079999999</v>
      </c>
      <c r="H169" s="152">
        <v>111.02021037037036</v>
      </c>
      <c r="I169" s="175">
        <v>500</v>
      </c>
      <c r="J169" s="266">
        <f>_xlfn.XLOOKUP($I169,Inputs!$C$6:$C$23,Inputs!$D$6:$D$23)*$G169</f>
        <v>71.041832615999994</v>
      </c>
      <c r="K169" s="255"/>
      <c r="L169" s="186">
        <v>2870</v>
      </c>
      <c r="M169" s="186">
        <v>3700</v>
      </c>
      <c r="N169" s="99">
        <f t="shared" si="38"/>
        <v>2485.4929088613389</v>
      </c>
      <c r="O169" s="99">
        <f t="shared" si="39"/>
        <v>3204.293994002423</v>
      </c>
      <c r="P169" s="131">
        <v>0.9</v>
      </c>
      <c r="Q169" s="186">
        <f t="shared" si="40"/>
        <v>2236.9436179752051</v>
      </c>
      <c r="R169" s="186">
        <f t="shared" si="41"/>
        <v>2883.8645946021807</v>
      </c>
      <c r="S169" s="151" t="s">
        <v>1876</v>
      </c>
      <c r="T169" s="51" t="s">
        <v>3326</v>
      </c>
      <c r="U169" s="151" t="s">
        <v>107</v>
      </c>
      <c r="V169" s="51" t="s">
        <v>3232</v>
      </c>
      <c r="W169" s="19"/>
      <c r="X169" s="19"/>
      <c r="Y169" s="99">
        <v>550</v>
      </c>
      <c r="AA169" s="29"/>
      <c r="AC169" s="29"/>
      <c r="AD169" s="29"/>
      <c r="AE169" s="29"/>
    </row>
    <row r="170" spans="2:31" ht="20" x14ac:dyDescent="0.2">
      <c r="B170" s="150" t="s">
        <v>1468</v>
      </c>
      <c r="C170" s="33" t="s">
        <v>106</v>
      </c>
      <c r="D170" s="33" t="s">
        <v>2876</v>
      </c>
      <c r="E170" s="175">
        <v>1</v>
      </c>
      <c r="F170" s="151" t="s">
        <v>1128</v>
      </c>
      <c r="G170" s="152">
        <v>5.1870874999999996</v>
      </c>
      <c r="H170" s="152">
        <v>3.2019058641975304</v>
      </c>
      <c r="I170" s="175">
        <v>138</v>
      </c>
      <c r="J170" s="266">
        <f>_xlfn.XLOOKUP($I170,Inputs!$C$6:$C$23,Inputs!$D$6:$D$23)*$G170</f>
        <v>2.2489729375</v>
      </c>
      <c r="K170" s="255"/>
      <c r="L170" s="186">
        <v>320</v>
      </c>
      <c r="M170" s="186">
        <v>645</v>
      </c>
      <c r="N170" s="99">
        <f t="shared" si="38"/>
        <v>76.487363662241606</v>
      </c>
      <c r="O170" s="99">
        <f t="shared" si="39"/>
        <v>154.16984238170576</v>
      </c>
      <c r="P170" s="131">
        <v>0.9</v>
      </c>
      <c r="Q170" s="186">
        <f t="shared" si="40"/>
        <v>68.838627296017449</v>
      </c>
      <c r="R170" s="186">
        <f t="shared" si="41"/>
        <v>138.75285814353518</v>
      </c>
      <c r="S170" s="151" t="s">
        <v>2400</v>
      </c>
      <c r="T170" s="51" t="s">
        <v>2049</v>
      </c>
      <c r="U170" s="151" t="s">
        <v>234</v>
      </c>
      <c r="V170" s="51" t="s">
        <v>3385</v>
      </c>
      <c r="W170" s="19"/>
      <c r="X170" s="19"/>
      <c r="Y170" s="99">
        <v>74</v>
      </c>
      <c r="AA170" s="29"/>
      <c r="AC170" s="29"/>
      <c r="AD170" s="29"/>
      <c r="AE170" s="29"/>
    </row>
    <row r="171" spans="2:31" s="165" customFormat="1" ht="20" x14ac:dyDescent="0.2">
      <c r="B171" s="150" t="s">
        <v>1475</v>
      </c>
      <c r="C171" s="33" t="s">
        <v>106</v>
      </c>
      <c r="D171" s="33" t="s">
        <v>2876</v>
      </c>
      <c r="E171" s="175">
        <v>1</v>
      </c>
      <c r="F171" s="151" t="s">
        <v>1128</v>
      </c>
      <c r="G171" s="152">
        <v>5.2035573999999993</v>
      </c>
      <c r="H171" s="152">
        <v>3.2120724691358018</v>
      </c>
      <c r="I171" s="175">
        <v>138</v>
      </c>
      <c r="J171" s="266">
        <f>_xlfn.XLOOKUP($I171,Inputs!$C$6:$C$23,Inputs!$D$6:$D$23)*$G171</f>
        <v>2.2561138155714286</v>
      </c>
      <c r="K171" s="255"/>
      <c r="L171" s="186">
        <v>320</v>
      </c>
      <c r="M171" s="186">
        <v>645</v>
      </c>
      <c r="N171" s="99">
        <f t="shared" si="38"/>
        <v>76.487363662241606</v>
      </c>
      <c r="O171" s="99">
        <f t="shared" si="39"/>
        <v>154.16984238170576</v>
      </c>
      <c r="P171" s="131">
        <v>0.9</v>
      </c>
      <c r="Q171" s="186">
        <f t="shared" si="40"/>
        <v>68.838627296017449</v>
      </c>
      <c r="R171" s="186">
        <f t="shared" si="41"/>
        <v>138.75285814353518</v>
      </c>
      <c r="S171" s="151" t="s">
        <v>2400</v>
      </c>
      <c r="T171" s="51" t="s">
        <v>2049</v>
      </c>
      <c r="U171" s="151" t="s">
        <v>234</v>
      </c>
      <c r="V171" s="51" t="s">
        <v>3385</v>
      </c>
      <c r="W171" s="19"/>
      <c r="X171" s="19"/>
      <c r="Y171" s="99">
        <v>114</v>
      </c>
    </row>
    <row r="172" spans="2:31" s="165" customFormat="1" ht="20" x14ac:dyDescent="0.2">
      <c r="B172" s="150" t="s">
        <v>434</v>
      </c>
      <c r="C172" s="33" t="s">
        <v>106</v>
      </c>
      <c r="D172" s="33" t="s">
        <v>2876</v>
      </c>
      <c r="E172" s="175">
        <v>1</v>
      </c>
      <c r="F172" s="151" t="s">
        <v>1128</v>
      </c>
      <c r="G172" s="152">
        <v>40</v>
      </c>
      <c r="H172" s="152">
        <v>24.691358024691358</v>
      </c>
      <c r="I172" s="175">
        <v>138</v>
      </c>
      <c r="J172" s="266">
        <f>_xlfn.XLOOKUP($I172,Inputs!$C$6:$C$23,Inputs!$D$6:$D$23)*$G172</f>
        <v>17.342857142857145</v>
      </c>
      <c r="K172" s="255"/>
      <c r="L172" s="186">
        <v>635</v>
      </c>
      <c r="M172" s="186">
        <v>810</v>
      </c>
      <c r="N172" s="99">
        <f t="shared" si="38"/>
        <v>151.77961226726069</v>
      </c>
      <c r="O172" s="99">
        <f t="shared" si="39"/>
        <v>193.60863927004908</v>
      </c>
      <c r="P172" s="131">
        <v>0.9</v>
      </c>
      <c r="Q172" s="186">
        <f t="shared" si="40"/>
        <v>136.60165104053462</v>
      </c>
      <c r="R172" s="186">
        <f t="shared" si="41"/>
        <v>174.24777534304417</v>
      </c>
      <c r="S172" s="151" t="s">
        <v>2398</v>
      </c>
      <c r="T172" s="51" t="s">
        <v>2047</v>
      </c>
      <c r="U172" s="151" t="s">
        <v>2400</v>
      </c>
      <c r="V172" s="51" t="s">
        <v>2049</v>
      </c>
      <c r="W172" s="19"/>
      <c r="X172" s="19"/>
      <c r="Y172" s="99">
        <v>72</v>
      </c>
    </row>
    <row r="173" spans="2:31" ht="20" x14ac:dyDescent="0.2">
      <c r="B173" s="150" t="s">
        <v>447</v>
      </c>
      <c r="C173" s="33" t="s">
        <v>106</v>
      </c>
      <c r="D173" s="33" t="s">
        <v>2876</v>
      </c>
      <c r="E173" s="175">
        <v>1</v>
      </c>
      <c r="F173" s="151" t="s">
        <v>1128</v>
      </c>
      <c r="G173" s="152">
        <v>15.47</v>
      </c>
      <c r="H173" s="152">
        <v>9.5493827160493829</v>
      </c>
      <c r="I173" s="175">
        <v>138</v>
      </c>
      <c r="J173" s="266">
        <f>_xlfn.XLOOKUP($I173,Inputs!$C$6:$C$23,Inputs!$D$6:$D$23)*$G173</f>
        <v>6.7073500000000008</v>
      </c>
      <c r="K173" s="255"/>
      <c r="L173" s="186">
        <v>635</v>
      </c>
      <c r="M173" s="186">
        <v>810</v>
      </c>
      <c r="N173" s="99">
        <f t="shared" si="38"/>
        <v>151.77961226726069</v>
      </c>
      <c r="O173" s="99">
        <f t="shared" si="39"/>
        <v>193.60863927004908</v>
      </c>
      <c r="P173" s="131">
        <v>0.9</v>
      </c>
      <c r="Q173" s="186">
        <f t="shared" si="40"/>
        <v>136.60165104053462</v>
      </c>
      <c r="R173" s="186">
        <f t="shared" si="41"/>
        <v>174.24777534304417</v>
      </c>
      <c r="S173" s="151" t="s">
        <v>2399</v>
      </c>
      <c r="T173" s="51" t="s">
        <v>2048</v>
      </c>
      <c r="U173" s="151" t="s">
        <v>2400</v>
      </c>
      <c r="V173" s="51" t="s">
        <v>2049</v>
      </c>
      <c r="W173" s="19"/>
      <c r="X173" s="19"/>
      <c r="Y173" s="99">
        <v>113</v>
      </c>
      <c r="AA173" s="29"/>
      <c r="AC173" s="29"/>
      <c r="AD173" s="29"/>
      <c r="AE173" s="29"/>
    </row>
    <row r="174" spans="2:31" ht="20" x14ac:dyDescent="0.2">
      <c r="B174" s="150" t="s">
        <v>568</v>
      </c>
      <c r="C174" s="33" t="s">
        <v>106</v>
      </c>
      <c r="D174" s="33" t="s">
        <v>2876</v>
      </c>
      <c r="E174" s="175">
        <v>1</v>
      </c>
      <c r="F174" s="151" t="s">
        <v>1128</v>
      </c>
      <c r="G174" s="152">
        <v>7.9358139000000003</v>
      </c>
      <c r="H174" s="152">
        <v>4.8986505555555553</v>
      </c>
      <c r="I174" s="175">
        <v>230</v>
      </c>
      <c r="J174" s="266">
        <f>_xlfn.XLOOKUP($I174,Inputs!$C$6:$C$23,Inputs!$D$6:$D$23)*$G174</f>
        <v>3.8091906720000002</v>
      </c>
      <c r="K174" s="255"/>
      <c r="L174" s="186">
        <v>1700</v>
      </c>
      <c r="M174" s="186">
        <v>2204</v>
      </c>
      <c r="N174" s="99">
        <f t="shared" si="38"/>
        <v>677.23186575943089</v>
      </c>
      <c r="O174" s="99">
        <f t="shared" si="39"/>
        <v>878.01119537281522</v>
      </c>
      <c r="P174" s="131">
        <v>0.9</v>
      </c>
      <c r="Q174" s="186">
        <f t="shared" si="40"/>
        <v>609.50867918348786</v>
      </c>
      <c r="R174" s="186">
        <f t="shared" si="41"/>
        <v>790.21007583553376</v>
      </c>
      <c r="S174" s="151" t="s">
        <v>1788</v>
      </c>
      <c r="T174" s="51" t="s">
        <v>3291</v>
      </c>
      <c r="U174" s="151" t="s">
        <v>1612</v>
      </c>
      <c r="V174" s="51" t="s">
        <v>3233</v>
      </c>
      <c r="W174" s="19"/>
      <c r="X174" s="19"/>
      <c r="Y174" s="99">
        <v>417</v>
      </c>
      <c r="AA174" s="29"/>
      <c r="AC174" s="29"/>
      <c r="AD174" s="29"/>
      <c r="AE174" s="29"/>
    </row>
    <row r="175" spans="2:31" ht="20" x14ac:dyDescent="0.2">
      <c r="B175" s="150" t="s">
        <v>654</v>
      </c>
      <c r="C175" s="33" t="s">
        <v>106</v>
      </c>
      <c r="D175" s="33" t="s">
        <v>2876</v>
      </c>
      <c r="E175" s="175">
        <v>1</v>
      </c>
      <c r="F175" s="151" t="s">
        <v>1128</v>
      </c>
      <c r="G175" s="152">
        <v>130</v>
      </c>
      <c r="H175" s="152">
        <v>80.246913580246911</v>
      </c>
      <c r="I175" s="175">
        <v>500</v>
      </c>
      <c r="J175" s="266">
        <f>_xlfn.XLOOKUP($I175,Inputs!$C$6:$C$23,Inputs!$D$6:$D$23)*$G175</f>
        <v>51.35</v>
      </c>
      <c r="K175" s="255"/>
      <c r="L175" s="186">
        <v>2500</v>
      </c>
      <c r="M175" s="186">
        <v>3320</v>
      </c>
      <c r="N175" s="99">
        <f t="shared" si="38"/>
        <v>2165.0635094610966</v>
      </c>
      <c r="O175" s="99">
        <f t="shared" si="39"/>
        <v>2875.2043405643362</v>
      </c>
      <c r="P175" s="131">
        <v>0.9</v>
      </c>
      <c r="Q175" s="186">
        <f t="shared" si="40"/>
        <v>1948.5571585149869</v>
      </c>
      <c r="R175" s="186">
        <f t="shared" si="41"/>
        <v>2587.6839065079025</v>
      </c>
      <c r="S175" s="151" t="s">
        <v>2311</v>
      </c>
      <c r="T175" s="51" t="s">
        <v>3131</v>
      </c>
      <c r="U175" s="151" t="s">
        <v>1612</v>
      </c>
      <c r="V175" s="51" t="s">
        <v>3233</v>
      </c>
      <c r="W175" s="19"/>
      <c r="X175" s="19"/>
      <c r="Y175" s="99">
        <v>530</v>
      </c>
      <c r="AA175" s="29"/>
      <c r="AC175" s="29"/>
      <c r="AD175" s="29"/>
      <c r="AE175" s="29"/>
    </row>
    <row r="176" spans="2:31" s="165" customFormat="1" ht="20" x14ac:dyDescent="0.2">
      <c r="B176" s="150" t="s">
        <v>1148</v>
      </c>
      <c r="C176" s="33" t="s">
        <v>106</v>
      </c>
      <c r="D176" s="33" t="s">
        <v>2876</v>
      </c>
      <c r="E176" s="175">
        <v>1</v>
      </c>
      <c r="F176" s="151" t="s">
        <v>1128</v>
      </c>
      <c r="G176" s="152">
        <v>10</v>
      </c>
      <c r="H176" s="152">
        <v>6.1728395061728394</v>
      </c>
      <c r="I176" s="175">
        <v>69</v>
      </c>
      <c r="J176" s="266">
        <f>_xlfn.XLOOKUP($I176,Inputs!$C$6:$C$23,Inputs!$D$6:$D$23)*$G176</f>
        <v>3.842857142857143</v>
      </c>
      <c r="K176" s="255"/>
      <c r="L176" s="186">
        <v>1151</v>
      </c>
      <c r="M176" s="186">
        <v>1393</v>
      </c>
      <c r="N176" s="99">
        <f t="shared" si="38"/>
        <v>137.55774308631266</v>
      </c>
      <c r="O176" s="99">
        <f t="shared" si="39"/>
        <v>166.47952747109778</v>
      </c>
      <c r="P176" s="131">
        <v>0.9</v>
      </c>
      <c r="Q176" s="186">
        <f t="shared" si="40"/>
        <v>123.8019687776814</v>
      </c>
      <c r="R176" s="186">
        <f t="shared" si="41"/>
        <v>149.83157472398801</v>
      </c>
      <c r="S176" s="151" t="s">
        <v>2488</v>
      </c>
      <c r="T176" s="51" t="s">
        <v>2145</v>
      </c>
      <c r="U176" s="151" t="s">
        <v>1612</v>
      </c>
      <c r="V176" s="51" t="s">
        <v>3233</v>
      </c>
      <c r="W176" s="19"/>
      <c r="X176" s="19"/>
      <c r="Y176" s="99">
        <v>590</v>
      </c>
    </row>
    <row r="177" spans="2:31" s="165" customFormat="1" ht="20" x14ac:dyDescent="0.2">
      <c r="B177" s="150" t="s">
        <v>1152</v>
      </c>
      <c r="C177" s="33" t="s">
        <v>106</v>
      </c>
      <c r="D177" s="33" t="s">
        <v>2876</v>
      </c>
      <c r="E177" s="175">
        <v>1</v>
      </c>
      <c r="F177" s="151" t="s">
        <v>1128</v>
      </c>
      <c r="G177" s="152">
        <v>9</v>
      </c>
      <c r="H177" s="152">
        <v>5.5555555555555554</v>
      </c>
      <c r="I177" s="175">
        <v>69</v>
      </c>
      <c r="J177" s="266">
        <f>_xlfn.XLOOKUP($I177,Inputs!$C$6:$C$23,Inputs!$D$6:$D$23)*$G177</f>
        <v>3.4585714285714286</v>
      </c>
      <c r="K177" s="255"/>
      <c r="L177" s="186">
        <v>1151</v>
      </c>
      <c r="M177" s="186">
        <v>1393</v>
      </c>
      <c r="N177" s="99">
        <f t="shared" si="38"/>
        <v>137.55774308631266</v>
      </c>
      <c r="O177" s="99">
        <f t="shared" si="39"/>
        <v>166.47952747109778</v>
      </c>
      <c r="P177" s="131">
        <v>0.9</v>
      </c>
      <c r="Q177" s="186">
        <f t="shared" si="40"/>
        <v>123.8019687776814</v>
      </c>
      <c r="R177" s="186">
        <f t="shared" si="41"/>
        <v>149.83157472398801</v>
      </c>
      <c r="S177" s="151" t="s">
        <v>2488</v>
      </c>
      <c r="T177" s="51" t="s">
        <v>2145</v>
      </c>
      <c r="U177" s="151" t="s">
        <v>1612</v>
      </c>
      <c r="V177" s="51" t="s">
        <v>3233</v>
      </c>
      <c r="W177" s="19"/>
      <c r="X177" s="19"/>
      <c r="Y177" s="99">
        <v>596</v>
      </c>
    </row>
    <row r="178" spans="2:31" ht="20" x14ac:dyDescent="0.2">
      <c r="B178" s="150" t="s">
        <v>1339</v>
      </c>
      <c r="C178" s="33" t="s">
        <v>106</v>
      </c>
      <c r="D178" s="33" t="s">
        <v>2876</v>
      </c>
      <c r="E178" s="175">
        <v>1</v>
      </c>
      <c r="F178" s="151" t="s">
        <v>1128</v>
      </c>
      <c r="G178" s="152">
        <v>0.49003969999999997</v>
      </c>
      <c r="H178" s="152">
        <v>0.30249364197530859</v>
      </c>
      <c r="I178" s="175">
        <v>69</v>
      </c>
      <c r="J178" s="266">
        <f>_xlfn.XLOOKUP($I178,Inputs!$C$6:$C$23,Inputs!$D$6:$D$23)*$G178</f>
        <v>0.18831525614285713</v>
      </c>
      <c r="K178" s="267">
        <f>IF((42.4*(H178)^(-0.6595))&gt;=3,3,(IF(42.4*(H178)^(-0.6595)&lt;=0.5,0.5,(42.4*(H178)^(-0.6595)))))</f>
        <v>3</v>
      </c>
      <c r="L178" s="99"/>
      <c r="M178" s="99"/>
      <c r="N178" s="99">
        <f t="shared" si="38"/>
        <v>0</v>
      </c>
      <c r="O178" s="99">
        <f t="shared" si="39"/>
        <v>0</v>
      </c>
      <c r="P178" s="131">
        <v>0.9</v>
      </c>
      <c r="Q178" s="305">
        <f>_xlfn.XLOOKUP($I178,Inputs!$G$6:$G$23,Inputs!J$6:J$23)*$K178</f>
        <v>36</v>
      </c>
      <c r="R178" s="305">
        <f>_xlfn.XLOOKUP($I178,Inputs!$G$6:$G$23,Inputs!K$6:K$23)*$K178</f>
        <v>39</v>
      </c>
      <c r="S178" s="151" t="s">
        <v>2578</v>
      </c>
      <c r="T178" s="51" t="s">
        <v>2237</v>
      </c>
      <c r="U178" s="151" t="s">
        <v>2298</v>
      </c>
      <c r="V178" s="51" t="s">
        <v>3104</v>
      </c>
      <c r="W178" s="19"/>
      <c r="X178" s="19"/>
      <c r="Y178" s="99">
        <v>917</v>
      </c>
      <c r="AA178" s="29"/>
      <c r="AC178" s="29"/>
      <c r="AD178" s="29"/>
      <c r="AE178" s="29"/>
    </row>
    <row r="179" spans="2:31" ht="20" x14ac:dyDescent="0.2">
      <c r="B179" s="150" t="s">
        <v>1338</v>
      </c>
      <c r="C179" s="33" t="s">
        <v>106</v>
      </c>
      <c r="D179" s="33" t="s">
        <v>2876</v>
      </c>
      <c r="E179" s="175">
        <v>1</v>
      </c>
      <c r="F179" s="151" t="s">
        <v>1128</v>
      </c>
      <c r="G179" s="152">
        <v>1</v>
      </c>
      <c r="H179" s="152">
        <v>0.61728395061728392</v>
      </c>
      <c r="I179" s="175">
        <v>69</v>
      </c>
      <c r="J179" s="266">
        <f>_xlfn.XLOOKUP($I179,Inputs!$C$6:$C$23,Inputs!$D$6:$D$23)*$G179</f>
        <v>0.38428571428571429</v>
      </c>
      <c r="K179" s="255"/>
      <c r="L179" s="186">
        <v>580</v>
      </c>
      <c r="M179" s="186">
        <v>830</v>
      </c>
      <c r="N179" s="99">
        <f t="shared" si="38"/>
        <v>69.316673318906467</v>
      </c>
      <c r="O179" s="99">
        <f t="shared" si="39"/>
        <v>99.194549749469601</v>
      </c>
      <c r="P179" s="131">
        <v>0.9</v>
      </c>
      <c r="Q179" s="186">
        <f t="shared" ref="Q179:Q187" si="42">N179*$P179</f>
        <v>62.385005987015823</v>
      </c>
      <c r="R179" s="186">
        <f t="shared" ref="R179:R187" si="43">O179*$P179</f>
        <v>89.275094774522643</v>
      </c>
      <c r="S179" s="151" t="s">
        <v>157</v>
      </c>
      <c r="T179" s="51" t="s">
        <v>3314</v>
      </c>
      <c r="U179" s="151" t="s">
        <v>2578</v>
      </c>
      <c r="V179" s="51" t="s">
        <v>2237</v>
      </c>
      <c r="W179" s="19"/>
      <c r="X179" s="19"/>
      <c r="Y179" s="99">
        <v>916</v>
      </c>
      <c r="AA179" s="29"/>
      <c r="AC179" s="29"/>
      <c r="AD179" s="29"/>
      <c r="AE179" s="29"/>
    </row>
    <row r="180" spans="2:31" s="165" customFormat="1" ht="20" x14ac:dyDescent="0.2">
      <c r="B180" s="151" t="s">
        <v>1543</v>
      </c>
      <c r="C180" s="33" t="s">
        <v>106</v>
      </c>
      <c r="D180" s="33" t="s">
        <v>2876</v>
      </c>
      <c r="E180" s="175">
        <v>1</v>
      </c>
      <c r="F180" s="151" t="s">
        <v>1128</v>
      </c>
      <c r="G180" s="174">
        <v>0.5</v>
      </c>
      <c r="H180" s="152">
        <v>0.30864197530864196</v>
      </c>
      <c r="I180" s="175">
        <v>69</v>
      </c>
      <c r="J180" s="266">
        <f>_xlfn.XLOOKUP($I180,Inputs!$C$6:$C$23,Inputs!$D$6:$D$23)*$G180</f>
        <v>0.19214285714285714</v>
      </c>
      <c r="K180" s="255"/>
      <c r="L180" s="186">
        <v>493</v>
      </c>
      <c r="M180" s="186">
        <v>627</v>
      </c>
      <c r="N180" s="99">
        <f t="shared" si="38"/>
        <v>58.919172321070498</v>
      </c>
      <c r="O180" s="99">
        <f t="shared" si="39"/>
        <v>74.933714087852337</v>
      </c>
      <c r="P180" s="131">
        <v>0.9</v>
      </c>
      <c r="Q180" s="186">
        <f t="shared" si="42"/>
        <v>53.02725508896345</v>
      </c>
      <c r="R180" s="186">
        <f t="shared" si="43"/>
        <v>67.440342679067101</v>
      </c>
      <c r="S180" s="184" t="s">
        <v>2498</v>
      </c>
      <c r="T180" s="51" t="s">
        <v>2158</v>
      </c>
      <c r="U180" s="151" t="s">
        <v>2299</v>
      </c>
      <c r="V180" s="51" t="s">
        <v>3591</v>
      </c>
      <c r="W180" s="19"/>
      <c r="X180" s="19"/>
      <c r="Y180" s="99">
        <v>631</v>
      </c>
    </row>
    <row r="181" spans="2:31" ht="20" x14ac:dyDescent="0.2">
      <c r="B181" s="150" t="s">
        <v>1176</v>
      </c>
      <c r="C181" s="33" t="s">
        <v>106</v>
      </c>
      <c r="D181" s="33" t="s">
        <v>2876</v>
      </c>
      <c r="E181" s="175">
        <v>1</v>
      </c>
      <c r="F181" s="151" t="s">
        <v>1128</v>
      </c>
      <c r="G181" s="152">
        <v>15</v>
      </c>
      <c r="H181" s="152">
        <v>9.2592592592592595</v>
      </c>
      <c r="I181" s="175">
        <v>69</v>
      </c>
      <c r="J181" s="266">
        <f>_xlfn.XLOOKUP($I181,Inputs!$C$6:$C$23,Inputs!$D$6:$D$23)*$G181</f>
        <v>5.7642857142857142</v>
      </c>
      <c r="K181" s="255"/>
      <c r="L181" s="186">
        <v>427</v>
      </c>
      <c r="M181" s="3">
        <v>604</v>
      </c>
      <c r="N181" s="99">
        <f t="shared" si="38"/>
        <v>51.031412943401833</v>
      </c>
      <c r="O181" s="99">
        <f t="shared" si="39"/>
        <v>72.184949456240517</v>
      </c>
      <c r="P181" s="131">
        <v>0.9</v>
      </c>
      <c r="Q181" s="186">
        <f t="shared" si="42"/>
        <v>45.928271649061649</v>
      </c>
      <c r="R181" s="186">
        <f t="shared" si="43"/>
        <v>64.966454510616472</v>
      </c>
      <c r="S181" s="151" t="s">
        <v>1636</v>
      </c>
      <c r="T181" s="51" t="s">
        <v>3239</v>
      </c>
      <c r="U181" s="151" t="s">
        <v>2498</v>
      </c>
      <c r="V181" s="51" t="s">
        <v>2158</v>
      </c>
      <c r="W181" s="19"/>
      <c r="X181" s="19"/>
      <c r="Y181" s="99">
        <v>630</v>
      </c>
      <c r="AA181" s="29"/>
      <c r="AC181" s="29"/>
      <c r="AD181" s="29"/>
      <c r="AE181" s="29"/>
    </row>
    <row r="182" spans="2:31" ht="20" x14ac:dyDescent="0.2">
      <c r="B182" s="150" t="s">
        <v>1316</v>
      </c>
      <c r="C182" s="33" t="s">
        <v>106</v>
      </c>
      <c r="D182" s="33" t="s">
        <v>2876</v>
      </c>
      <c r="E182" s="175">
        <v>1</v>
      </c>
      <c r="F182" s="151" t="s">
        <v>1128</v>
      </c>
      <c r="G182" s="152">
        <v>1.1801687999999999</v>
      </c>
      <c r="H182" s="152">
        <v>0.72849925925925918</v>
      </c>
      <c r="I182" s="175">
        <v>69</v>
      </c>
      <c r="J182" s="266">
        <f>_xlfn.XLOOKUP($I182,Inputs!$C$6:$C$23,Inputs!$D$6:$D$23)*$G182</f>
        <v>0.45352201028571426</v>
      </c>
      <c r="K182" s="255"/>
      <c r="L182" s="186">
        <v>175</v>
      </c>
      <c r="M182" s="186">
        <v>312</v>
      </c>
      <c r="N182" s="99">
        <f t="shared" si="38"/>
        <v>20.91451350139419</v>
      </c>
      <c r="O182" s="99">
        <f t="shared" si="39"/>
        <v>37.287589785342789</v>
      </c>
      <c r="P182" s="131">
        <v>0.9</v>
      </c>
      <c r="Q182" s="186">
        <f t="shared" si="42"/>
        <v>18.823062151254771</v>
      </c>
      <c r="R182" s="186">
        <f t="shared" si="43"/>
        <v>33.558830806808508</v>
      </c>
      <c r="S182" s="151" t="s">
        <v>1659</v>
      </c>
      <c r="T182" s="51" t="s">
        <v>3118</v>
      </c>
      <c r="U182" s="151" t="s">
        <v>1613</v>
      </c>
      <c r="V182" s="51" t="s">
        <v>3416</v>
      </c>
      <c r="W182" s="19"/>
      <c r="X182" s="19"/>
      <c r="Y182" s="99">
        <v>870</v>
      </c>
      <c r="AA182" s="29"/>
      <c r="AC182" s="29"/>
      <c r="AD182" s="29"/>
      <c r="AE182" s="29"/>
    </row>
    <row r="183" spans="2:31" s="165" customFormat="1" ht="20" x14ac:dyDescent="0.2">
      <c r="B183" s="150" t="s">
        <v>461</v>
      </c>
      <c r="C183" s="33" t="s">
        <v>106</v>
      </c>
      <c r="D183" s="33" t="s">
        <v>2876</v>
      </c>
      <c r="E183" s="175">
        <v>1</v>
      </c>
      <c r="F183" s="151" t="s">
        <v>1128</v>
      </c>
      <c r="G183" s="152">
        <v>8.9828910000000004</v>
      </c>
      <c r="H183" s="152">
        <v>5.5449944444444439</v>
      </c>
      <c r="I183" s="175">
        <v>138</v>
      </c>
      <c r="J183" s="266">
        <f>_xlfn.XLOOKUP($I183,Inputs!$C$6:$C$23,Inputs!$D$6:$D$23)*$G183</f>
        <v>3.894724883571429</v>
      </c>
      <c r="K183" s="255"/>
      <c r="L183" s="186">
        <v>635</v>
      </c>
      <c r="M183" s="186">
        <v>810</v>
      </c>
      <c r="N183" s="99">
        <f t="shared" si="38"/>
        <v>151.77961226726069</v>
      </c>
      <c r="O183" s="99">
        <f t="shared" si="39"/>
        <v>193.60863927004908</v>
      </c>
      <c r="P183" s="131">
        <v>0.9</v>
      </c>
      <c r="Q183" s="186">
        <f t="shared" si="42"/>
        <v>136.60165104053462</v>
      </c>
      <c r="R183" s="186">
        <f t="shared" si="43"/>
        <v>174.24777534304417</v>
      </c>
      <c r="S183" s="151" t="s">
        <v>3576</v>
      </c>
      <c r="T183" s="51" t="s">
        <v>3577</v>
      </c>
      <c r="U183" s="151" t="s">
        <v>2300</v>
      </c>
      <c r="V183" s="51" t="s">
        <v>3105</v>
      </c>
      <c r="W183" s="19"/>
      <c r="X183" s="19"/>
      <c r="Y183" s="99">
        <v>148</v>
      </c>
    </row>
    <row r="184" spans="2:31" s="165" customFormat="1" ht="20" x14ac:dyDescent="0.2">
      <c r="B184" s="150" t="s">
        <v>462</v>
      </c>
      <c r="C184" s="33" t="s">
        <v>106</v>
      </c>
      <c r="D184" s="33" t="s">
        <v>2876</v>
      </c>
      <c r="E184" s="175">
        <v>1</v>
      </c>
      <c r="F184" s="151" t="s">
        <v>1128</v>
      </c>
      <c r="G184" s="152">
        <v>8.9560481000000003</v>
      </c>
      <c r="H184" s="152">
        <v>5.5284247530864192</v>
      </c>
      <c r="I184" s="175">
        <v>138</v>
      </c>
      <c r="J184" s="266">
        <f>_xlfn.XLOOKUP($I184,Inputs!$C$6:$C$23,Inputs!$D$6:$D$23)*$G184</f>
        <v>3.8830865690714291</v>
      </c>
      <c r="K184" s="255"/>
      <c r="L184" s="186">
        <v>635</v>
      </c>
      <c r="M184" s="186">
        <v>810</v>
      </c>
      <c r="N184" s="99">
        <f t="shared" si="38"/>
        <v>151.77961226726069</v>
      </c>
      <c r="O184" s="99">
        <f t="shared" si="39"/>
        <v>193.60863927004908</v>
      </c>
      <c r="P184" s="131">
        <v>0.9</v>
      </c>
      <c r="Q184" s="186">
        <f t="shared" si="42"/>
        <v>136.60165104053462</v>
      </c>
      <c r="R184" s="186">
        <f t="shared" si="43"/>
        <v>174.24777534304417</v>
      </c>
      <c r="S184" s="151" t="s">
        <v>3576</v>
      </c>
      <c r="T184" s="51" t="s">
        <v>3577</v>
      </c>
      <c r="U184" s="151" t="s">
        <v>2300</v>
      </c>
      <c r="V184" s="51" t="s">
        <v>3105</v>
      </c>
      <c r="W184" s="19"/>
      <c r="X184" s="19"/>
      <c r="Y184" s="99">
        <v>149</v>
      </c>
    </row>
    <row r="185" spans="2:31" s="165" customFormat="1" ht="20" x14ac:dyDescent="0.2">
      <c r="B185" s="150" t="s">
        <v>1375</v>
      </c>
      <c r="C185" s="33" t="s">
        <v>106</v>
      </c>
      <c r="D185" s="33" t="s">
        <v>2876</v>
      </c>
      <c r="E185" s="175">
        <v>1</v>
      </c>
      <c r="F185" s="151" t="s">
        <v>1128</v>
      </c>
      <c r="G185" s="152">
        <v>12.63</v>
      </c>
      <c r="H185" s="152">
        <v>7.7962962962962958</v>
      </c>
      <c r="I185" s="175">
        <v>69</v>
      </c>
      <c r="J185" s="266">
        <f>_xlfn.XLOOKUP($I185,Inputs!$C$6:$C$23,Inputs!$D$6:$D$23)*$G185</f>
        <v>4.8535285714285719</v>
      </c>
      <c r="K185" s="255"/>
      <c r="L185" s="186">
        <v>450</v>
      </c>
      <c r="M185" s="186">
        <v>760</v>
      </c>
      <c r="N185" s="99">
        <f t="shared" si="38"/>
        <v>53.780177575013639</v>
      </c>
      <c r="O185" s="99">
        <f t="shared" si="39"/>
        <v>90.828744348911911</v>
      </c>
      <c r="P185" s="131">
        <v>0.9</v>
      </c>
      <c r="Q185" s="186">
        <f t="shared" si="42"/>
        <v>48.402159817512278</v>
      </c>
      <c r="R185" s="186">
        <f t="shared" si="43"/>
        <v>81.745869914020716</v>
      </c>
      <c r="S185" s="151" t="s">
        <v>2598</v>
      </c>
      <c r="T185" s="51" t="s">
        <v>2257</v>
      </c>
      <c r="U185" s="151" t="s">
        <v>1614</v>
      </c>
      <c r="V185" s="51" t="s">
        <v>3423</v>
      </c>
      <c r="W185" s="19"/>
      <c r="X185" s="19"/>
      <c r="Y185" s="99">
        <v>978</v>
      </c>
    </row>
    <row r="186" spans="2:31" ht="20" x14ac:dyDescent="0.2">
      <c r="B186" s="151" t="s">
        <v>1267</v>
      </c>
      <c r="C186" s="33" t="s">
        <v>106</v>
      </c>
      <c r="D186" s="33" t="s">
        <v>2876</v>
      </c>
      <c r="E186" s="175">
        <v>1</v>
      </c>
      <c r="F186" s="151" t="s">
        <v>1128</v>
      </c>
      <c r="G186" s="174">
        <v>3</v>
      </c>
      <c r="H186" s="152">
        <v>1.8518518518518516</v>
      </c>
      <c r="I186" s="175">
        <v>69</v>
      </c>
      <c r="J186" s="266">
        <f>_xlfn.XLOOKUP($I186,Inputs!$C$6:$C$23,Inputs!$D$6:$D$23)*$G186</f>
        <v>1.1528571428571428</v>
      </c>
      <c r="K186" s="255"/>
      <c r="L186" s="186">
        <v>730</v>
      </c>
      <c r="M186" s="186">
        <v>940</v>
      </c>
      <c r="N186" s="99">
        <f t="shared" si="38"/>
        <v>87.243399177244342</v>
      </c>
      <c r="O186" s="99">
        <f t="shared" si="39"/>
        <v>112.34081537891738</v>
      </c>
      <c r="P186" s="131">
        <v>0.9</v>
      </c>
      <c r="Q186" s="186">
        <f t="shared" si="42"/>
        <v>78.519059259519906</v>
      </c>
      <c r="R186" s="186">
        <f t="shared" si="43"/>
        <v>101.10673384102564</v>
      </c>
      <c r="S186" s="151" t="s">
        <v>2535</v>
      </c>
      <c r="T186" s="51" t="s">
        <v>2194</v>
      </c>
      <c r="U186" s="151" t="s">
        <v>1615</v>
      </c>
      <c r="V186" s="51" t="s">
        <v>3362</v>
      </c>
      <c r="W186" s="19"/>
      <c r="X186" s="19"/>
      <c r="Y186" s="99">
        <v>788</v>
      </c>
      <c r="AA186" s="29"/>
      <c r="AC186" s="29"/>
      <c r="AD186" s="29"/>
      <c r="AE186" s="29"/>
    </row>
    <row r="187" spans="2:31" ht="20" x14ac:dyDescent="0.2">
      <c r="B187" s="150" t="s">
        <v>1271</v>
      </c>
      <c r="C187" s="33" t="s">
        <v>106</v>
      </c>
      <c r="D187" s="33" t="s">
        <v>2876</v>
      </c>
      <c r="E187" s="175">
        <v>1</v>
      </c>
      <c r="F187" s="151" t="s">
        <v>1128</v>
      </c>
      <c r="G187" s="152">
        <v>8.6857198000000011</v>
      </c>
      <c r="H187" s="152">
        <v>5.3615554320987657</v>
      </c>
      <c r="I187" s="175">
        <v>69</v>
      </c>
      <c r="J187" s="266">
        <f>_xlfn.XLOOKUP($I187,Inputs!$C$6:$C$23,Inputs!$D$6:$D$23)*$G187</f>
        <v>3.3377980374285721</v>
      </c>
      <c r="K187" s="255"/>
      <c r="L187" s="186">
        <v>730</v>
      </c>
      <c r="M187" s="186">
        <v>940</v>
      </c>
      <c r="N187" s="99">
        <f t="shared" si="38"/>
        <v>87.243399177244342</v>
      </c>
      <c r="O187" s="99">
        <f t="shared" si="39"/>
        <v>112.34081537891738</v>
      </c>
      <c r="P187" s="131">
        <v>0.9</v>
      </c>
      <c r="Q187" s="186">
        <f t="shared" si="42"/>
        <v>78.519059259519906</v>
      </c>
      <c r="R187" s="186">
        <f t="shared" si="43"/>
        <v>101.10673384102564</v>
      </c>
      <c r="S187" s="151" t="s">
        <v>1570</v>
      </c>
      <c r="T187" s="51" t="s">
        <v>3214</v>
      </c>
      <c r="U187" s="151" t="s">
        <v>1615</v>
      </c>
      <c r="V187" s="51" t="s">
        <v>3362</v>
      </c>
      <c r="W187" s="19"/>
      <c r="X187" s="19"/>
      <c r="Y187" s="99">
        <v>793</v>
      </c>
      <c r="AA187" s="29"/>
      <c r="AC187" s="29"/>
      <c r="AD187" s="29"/>
      <c r="AE187" s="29"/>
    </row>
    <row r="188" spans="2:31" s="165" customFormat="1" ht="20" x14ac:dyDescent="0.2">
      <c r="B188" s="230" t="s">
        <v>2694</v>
      </c>
      <c r="C188" s="51" t="s">
        <v>173</v>
      </c>
      <c r="D188" s="33" t="s">
        <v>2876</v>
      </c>
      <c r="E188" s="231">
        <v>1</v>
      </c>
      <c r="F188" s="230" t="s">
        <v>1128</v>
      </c>
      <c r="G188" s="232">
        <v>2</v>
      </c>
      <c r="H188" s="232">
        <v>1.2345679012345678</v>
      </c>
      <c r="I188" s="231">
        <v>63</v>
      </c>
      <c r="J188" s="266">
        <f>_xlfn.XLOOKUP($I188,Inputs!$C$6:$C$23,Inputs!$D$6:$D$23)*$G188</f>
        <v>0.76</v>
      </c>
      <c r="K188" s="267">
        <f>IF((42.4*(H188)^(-0.6595))&gt;=3,3,(IF(42.4*(H188)^(-0.6595)&lt;=0.5,0.5,(42.4*(H188)^(-0.6595)))))</f>
        <v>3</v>
      </c>
      <c r="L188" s="99"/>
      <c r="M188" s="99"/>
      <c r="N188" s="99"/>
      <c r="O188" s="99"/>
      <c r="P188" s="69"/>
      <c r="Q188" s="305">
        <f>_xlfn.XLOOKUP($I188,Inputs!$G$6:$G$23,Inputs!J$6:J$23)*$K188</f>
        <v>29.767499999999998</v>
      </c>
      <c r="R188" s="305">
        <f>_xlfn.XLOOKUP($I188,Inputs!$G$6:$G$23,Inputs!K$6:K$23)*$K188</f>
        <v>32.532786885245905</v>
      </c>
      <c r="S188" s="230" t="s">
        <v>2695</v>
      </c>
      <c r="T188" s="51" t="s">
        <v>2759</v>
      </c>
      <c r="U188" s="230" t="s">
        <v>2689</v>
      </c>
      <c r="V188" s="51" t="s">
        <v>3386</v>
      </c>
      <c r="W188" s="19"/>
      <c r="X188" s="19"/>
      <c r="Y188" s="99">
        <v>1029</v>
      </c>
    </row>
    <row r="189" spans="2:31" s="165" customFormat="1" ht="20" x14ac:dyDescent="0.2">
      <c r="B189" s="230" t="s">
        <v>2698</v>
      </c>
      <c r="C189" s="51" t="s">
        <v>173</v>
      </c>
      <c r="D189" s="33" t="s">
        <v>2876</v>
      </c>
      <c r="E189" s="231">
        <v>1</v>
      </c>
      <c r="F189" s="230" t="s">
        <v>1128</v>
      </c>
      <c r="G189" s="232">
        <v>2</v>
      </c>
      <c r="H189" s="232">
        <v>1.2345679012345678</v>
      </c>
      <c r="I189" s="231">
        <v>63</v>
      </c>
      <c r="J189" s="266">
        <f>_xlfn.XLOOKUP($I189,Inputs!$C$6:$C$23,Inputs!$D$6:$D$23)*$G189</f>
        <v>0.76</v>
      </c>
      <c r="K189" s="267">
        <f>IF((42.4*(H189)^(-0.6595))&gt;=3,3,(IF(42.4*(H189)^(-0.6595)&lt;=0.5,0.5,(42.4*(H189)^(-0.6595)))))</f>
        <v>3</v>
      </c>
      <c r="L189" s="99"/>
      <c r="M189" s="99"/>
      <c r="N189" s="99"/>
      <c r="O189" s="99"/>
      <c r="P189" s="69"/>
      <c r="Q189" s="305">
        <f>_xlfn.XLOOKUP($I189,Inputs!$G$6:$G$23,Inputs!J$6:J$23)*$K189</f>
        <v>29.767499999999998</v>
      </c>
      <c r="R189" s="305">
        <f>_xlfn.XLOOKUP($I189,Inputs!$G$6:$G$23,Inputs!K$6:K$23)*$K189</f>
        <v>32.532786885245905</v>
      </c>
      <c r="S189" s="230" t="s">
        <v>2695</v>
      </c>
      <c r="T189" s="51" t="s">
        <v>2759</v>
      </c>
      <c r="U189" s="230" t="s">
        <v>2689</v>
      </c>
      <c r="V189" s="51" t="s">
        <v>3386</v>
      </c>
      <c r="W189" s="19"/>
      <c r="X189" s="19"/>
      <c r="Y189" s="99">
        <v>1037</v>
      </c>
    </row>
    <row r="190" spans="2:31" s="165" customFormat="1" ht="20" x14ac:dyDescent="0.2">
      <c r="B190" s="230" t="s">
        <v>2684</v>
      </c>
      <c r="C190" s="51" t="s">
        <v>173</v>
      </c>
      <c r="D190" s="33" t="s">
        <v>2876</v>
      </c>
      <c r="E190" s="231">
        <v>1</v>
      </c>
      <c r="F190" s="230" t="s">
        <v>1128</v>
      </c>
      <c r="G190" s="232">
        <v>17.5</v>
      </c>
      <c r="H190" s="232">
        <v>10.802469135802468</v>
      </c>
      <c r="I190" s="231">
        <v>63</v>
      </c>
      <c r="J190" s="266">
        <f>_xlfn.XLOOKUP($I190,Inputs!$C$6:$C$23,Inputs!$D$6:$D$23)*$G190</f>
        <v>6.65</v>
      </c>
      <c r="K190" s="267">
        <f>IF((42.4*(H190)^(-0.6595))&gt;=3,3,(IF(42.4*(H190)^(-0.6595)&lt;=0.5,0.5,(42.4*(H190)^(-0.6595)))))</f>
        <v>3</v>
      </c>
      <c r="L190" s="99"/>
      <c r="M190" s="99"/>
      <c r="N190" s="99"/>
      <c r="O190" s="99"/>
      <c r="P190" s="69"/>
      <c r="Q190" s="305">
        <f>_xlfn.XLOOKUP($I190,Inputs!$G$6:$G$23,Inputs!J$6:J$23)*$K190</f>
        <v>29.767499999999998</v>
      </c>
      <c r="R190" s="305">
        <f>_xlfn.XLOOKUP($I190,Inputs!$G$6:$G$23,Inputs!K$6:K$23)*$K190</f>
        <v>32.532786885245905</v>
      </c>
      <c r="S190" s="230" t="s">
        <v>2688</v>
      </c>
      <c r="T190" s="51" t="s">
        <v>2758</v>
      </c>
      <c r="U190" s="230" t="s">
        <v>2695</v>
      </c>
      <c r="V190" s="51" t="s">
        <v>2759</v>
      </c>
      <c r="W190" s="19"/>
      <c r="X190" s="19"/>
      <c r="Y190" s="99">
        <v>1028</v>
      </c>
    </row>
    <row r="191" spans="2:31" ht="20" x14ac:dyDescent="0.2">
      <c r="B191" s="230" t="s">
        <v>2686</v>
      </c>
      <c r="C191" s="51" t="s">
        <v>173</v>
      </c>
      <c r="D191" s="33" t="s">
        <v>2876</v>
      </c>
      <c r="E191" s="231">
        <v>1</v>
      </c>
      <c r="F191" s="230" t="s">
        <v>1128</v>
      </c>
      <c r="G191" s="232">
        <v>17.5</v>
      </c>
      <c r="H191" s="232">
        <v>10.802469135802468</v>
      </c>
      <c r="I191" s="231">
        <v>63</v>
      </c>
      <c r="J191" s="266">
        <f>_xlfn.XLOOKUP($I191,Inputs!$C$6:$C$23,Inputs!$D$6:$D$23)*$G191</f>
        <v>6.65</v>
      </c>
      <c r="K191" s="267">
        <f>IF((42.4*(H191)^(-0.6595))&gt;=3,3,(IF(42.4*(H191)^(-0.6595)&lt;=0.5,0.5,(42.4*(H191)^(-0.6595)))))</f>
        <v>3</v>
      </c>
      <c r="L191" s="99"/>
      <c r="M191" s="99"/>
      <c r="N191" s="99"/>
      <c r="O191" s="99"/>
      <c r="P191" s="69"/>
      <c r="Q191" s="305">
        <f>_xlfn.XLOOKUP($I191,Inputs!$G$6:$G$23,Inputs!J$6:J$23)*$K191</f>
        <v>29.767499999999998</v>
      </c>
      <c r="R191" s="305">
        <f>_xlfn.XLOOKUP($I191,Inputs!$G$6:$G$23,Inputs!K$6:K$23)*$K191</f>
        <v>32.532786885245905</v>
      </c>
      <c r="S191" s="230" t="s">
        <v>2688</v>
      </c>
      <c r="T191" s="51" t="s">
        <v>2758</v>
      </c>
      <c r="U191" s="230" t="s">
        <v>2695</v>
      </c>
      <c r="V191" s="51" t="s">
        <v>2759</v>
      </c>
      <c r="W191" s="19"/>
      <c r="X191" s="19"/>
      <c r="Y191" s="99">
        <v>1036</v>
      </c>
      <c r="AA191" s="29"/>
      <c r="AC191" s="29"/>
      <c r="AD191" s="29"/>
      <c r="AE191" s="29"/>
    </row>
    <row r="192" spans="2:31" s="165" customFormat="1" ht="20" x14ac:dyDescent="0.2">
      <c r="B192" s="151" t="s">
        <v>1499</v>
      </c>
      <c r="C192" s="33" t="s">
        <v>106</v>
      </c>
      <c r="D192" s="33" t="s">
        <v>2876</v>
      </c>
      <c r="E192" s="175">
        <v>1</v>
      </c>
      <c r="F192" s="151" t="s">
        <v>1128</v>
      </c>
      <c r="G192" s="174">
        <v>0.2546194</v>
      </c>
      <c r="H192" s="152">
        <v>0.15717246913580246</v>
      </c>
      <c r="I192" s="175">
        <v>138</v>
      </c>
      <c r="J192" s="266">
        <f>_xlfn.XLOOKUP($I192,Inputs!$C$6:$C$23,Inputs!$D$6:$D$23)*$G192</f>
        <v>0.110395697</v>
      </c>
      <c r="K192" s="267">
        <f>IF((42.4*(H192)^(-0.6595))&gt;=3,3,(IF(42.4*(H192)^(-0.6595)&lt;=0.5,0.5,(42.4*(H192)^(-0.6595)))))</f>
        <v>3</v>
      </c>
      <c r="L192" s="99"/>
      <c r="M192" s="99"/>
      <c r="N192" s="99">
        <f t="shared" ref="N192:N224" si="44">(SQRT(3)*L192*$I192)/1000</f>
        <v>0</v>
      </c>
      <c r="O192" s="99">
        <f t="shared" ref="O192:O224" si="45">(SQRT(3)*M192*$I192)/1000</f>
        <v>0</v>
      </c>
      <c r="P192" s="131">
        <v>0.9</v>
      </c>
      <c r="Q192" s="305">
        <f>_xlfn.XLOOKUP($I192,Inputs!$G$6:$G$23,Inputs!J$6:J$23)*$K192</f>
        <v>141</v>
      </c>
      <c r="R192" s="305">
        <f>_xlfn.XLOOKUP($I192,Inputs!$G$6:$G$23,Inputs!K$6:K$23)*$K192</f>
        <v>156</v>
      </c>
      <c r="S192" s="151" t="s">
        <v>2421</v>
      </c>
      <c r="T192" s="51" t="s">
        <v>2071</v>
      </c>
      <c r="U192" s="151" t="s">
        <v>1616</v>
      </c>
      <c r="V192" s="51" t="s">
        <v>3387</v>
      </c>
      <c r="W192" s="19"/>
      <c r="X192" s="19"/>
      <c r="Y192" s="99">
        <v>182</v>
      </c>
    </row>
    <row r="193" spans="2:31" ht="20" x14ac:dyDescent="0.2">
      <c r="B193" s="150" t="s">
        <v>474</v>
      </c>
      <c r="C193" s="33" t="s">
        <v>106</v>
      </c>
      <c r="D193" s="33" t="s">
        <v>2876</v>
      </c>
      <c r="E193" s="175">
        <v>1</v>
      </c>
      <c r="F193" s="151" t="s">
        <v>1128</v>
      </c>
      <c r="G193" s="152">
        <v>42</v>
      </c>
      <c r="H193" s="152">
        <v>25.925925925925924</v>
      </c>
      <c r="I193" s="175">
        <v>138</v>
      </c>
      <c r="J193" s="266">
        <f>_xlfn.XLOOKUP($I193,Inputs!$C$6:$C$23,Inputs!$D$6:$D$23)*$G193</f>
        <v>18.21</v>
      </c>
      <c r="K193" s="255"/>
      <c r="L193" s="186">
        <v>472</v>
      </c>
      <c r="M193" s="186">
        <v>658</v>
      </c>
      <c r="N193" s="99">
        <f t="shared" si="44"/>
        <v>112.8188614018064</v>
      </c>
      <c r="O193" s="99">
        <f t="shared" si="45"/>
        <v>157.2771415304843</v>
      </c>
      <c r="P193" s="131">
        <v>0.9</v>
      </c>
      <c r="Q193" s="186">
        <f t="shared" ref="Q193:R197" si="46">N193*$P193</f>
        <v>101.53697526162577</v>
      </c>
      <c r="R193" s="186">
        <f t="shared" si="46"/>
        <v>141.54942737743588</v>
      </c>
      <c r="S193" s="151" t="s">
        <v>2420</v>
      </c>
      <c r="T193" s="51" t="s">
        <v>2072</v>
      </c>
      <c r="U193" s="151" t="s">
        <v>2421</v>
      </c>
      <c r="V193" s="51" t="s">
        <v>2071</v>
      </c>
      <c r="W193" s="19"/>
      <c r="X193" s="19"/>
      <c r="Y193" s="99">
        <v>181</v>
      </c>
      <c r="AA193" s="29"/>
      <c r="AC193" s="29"/>
      <c r="AD193" s="29"/>
      <c r="AE193" s="29"/>
    </row>
    <row r="194" spans="2:31" s="165" customFormat="1" ht="20" x14ac:dyDescent="0.2">
      <c r="B194" s="150" t="s">
        <v>522</v>
      </c>
      <c r="C194" s="33" t="s">
        <v>106</v>
      </c>
      <c r="D194" s="33" t="s">
        <v>2876</v>
      </c>
      <c r="E194" s="175">
        <v>1</v>
      </c>
      <c r="F194" s="151" t="s">
        <v>1128</v>
      </c>
      <c r="G194" s="152">
        <v>50</v>
      </c>
      <c r="H194" s="152">
        <v>30.864197530864196</v>
      </c>
      <c r="I194" s="175">
        <v>230</v>
      </c>
      <c r="J194" s="266">
        <f>_xlfn.XLOOKUP($I194,Inputs!$C$6:$C$23,Inputs!$D$6:$D$23)*$G194</f>
        <v>24</v>
      </c>
      <c r="K194" s="255"/>
      <c r="L194" s="186">
        <v>952</v>
      </c>
      <c r="M194" s="186">
        <v>1200</v>
      </c>
      <c r="N194" s="99">
        <f t="shared" si="44"/>
        <v>379.24984482528134</v>
      </c>
      <c r="O194" s="99">
        <f t="shared" si="45"/>
        <v>478.04602288901015</v>
      </c>
      <c r="P194" s="131">
        <v>0.9</v>
      </c>
      <c r="Q194" s="186">
        <f t="shared" si="46"/>
        <v>341.3248603427532</v>
      </c>
      <c r="R194" s="186">
        <f t="shared" si="46"/>
        <v>430.24142060010917</v>
      </c>
      <c r="S194" s="151" t="s">
        <v>2469</v>
      </c>
      <c r="T194" s="51" t="s">
        <v>2121</v>
      </c>
      <c r="U194" s="151" t="s">
        <v>1617</v>
      </c>
      <c r="V194" s="51" t="s">
        <v>3189</v>
      </c>
      <c r="W194" s="19"/>
      <c r="X194" s="19"/>
      <c r="Y194" s="99">
        <v>350</v>
      </c>
    </row>
    <row r="195" spans="2:31" ht="20" x14ac:dyDescent="0.2">
      <c r="B195" s="150" t="s">
        <v>525</v>
      </c>
      <c r="C195" s="33" t="s">
        <v>106</v>
      </c>
      <c r="D195" s="33" t="s">
        <v>2876</v>
      </c>
      <c r="E195" s="175">
        <v>1</v>
      </c>
      <c r="F195" s="151" t="s">
        <v>1128</v>
      </c>
      <c r="G195" s="152">
        <v>38.471658499999997</v>
      </c>
      <c r="H195" s="152">
        <v>23.747937345679009</v>
      </c>
      <c r="I195" s="175">
        <v>230</v>
      </c>
      <c r="J195" s="266">
        <f>_xlfn.XLOOKUP($I195,Inputs!$C$6:$C$23,Inputs!$D$6:$D$23)*$G195</f>
        <v>18.466396079999999</v>
      </c>
      <c r="K195" s="255"/>
      <c r="L195" s="186">
        <v>505</v>
      </c>
      <c r="M195" s="186">
        <v>884</v>
      </c>
      <c r="N195" s="99">
        <f t="shared" si="44"/>
        <v>201.17770129912509</v>
      </c>
      <c r="O195" s="99">
        <f t="shared" si="45"/>
        <v>352.1605701949041</v>
      </c>
      <c r="P195" s="131">
        <v>0.9</v>
      </c>
      <c r="Q195" s="186">
        <f t="shared" si="46"/>
        <v>181.05993116921258</v>
      </c>
      <c r="R195" s="186">
        <f t="shared" si="46"/>
        <v>316.9445131754137</v>
      </c>
      <c r="S195" s="151" t="s">
        <v>1671</v>
      </c>
      <c r="T195" s="51" t="s">
        <v>3183</v>
      </c>
      <c r="U195" s="151" t="s">
        <v>1617</v>
      </c>
      <c r="V195" s="51" t="s">
        <v>3189</v>
      </c>
      <c r="W195" s="19"/>
      <c r="X195" s="19"/>
      <c r="Y195" s="99">
        <v>355</v>
      </c>
      <c r="AA195" s="29"/>
      <c r="AC195" s="29"/>
      <c r="AD195" s="29"/>
      <c r="AE195" s="29"/>
    </row>
    <row r="196" spans="2:31" ht="20" x14ac:dyDescent="0.2">
      <c r="B196" s="150" t="s">
        <v>655</v>
      </c>
      <c r="C196" s="33" t="s">
        <v>106</v>
      </c>
      <c r="D196" s="33" t="s">
        <v>2876</v>
      </c>
      <c r="E196" s="175">
        <v>1</v>
      </c>
      <c r="F196" s="151" t="s">
        <v>1128</v>
      </c>
      <c r="G196" s="152">
        <v>196.89305629999998</v>
      </c>
      <c r="H196" s="152">
        <v>121.53892364197529</v>
      </c>
      <c r="I196" s="175">
        <v>500</v>
      </c>
      <c r="J196" s="266">
        <f>_xlfn.XLOOKUP($I196,Inputs!$C$6:$C$23,Inputs!$D$6:$D$23)*$G196</f>
        <v>77.772757238499992</v>
      </c>
      <c r="K196" s="255"/>
      <c r="L196" s="186">
        <v>2150</v>
      </c>
      <c r="M196" s="186">
        <v>3130</v>
      </c>
      <c r="N196" s="99">
        <f t="shared" si="44"/>
        <v>1861.9546181365429</v>
      </c>
      <c r="O196" s="99">
        <f t="shared" si="45"/>
        <v>2710.6595138452931</v>
      </c>
      <c r="P196" s="131">
        <v>0.9</v>
      </c>
      <c r="Q196" s="186">
        <f t="shared" si="46"/>
        <v>1675.7591563228887</v>
      </c>
      <c r="R196" s="186">
        <f t="shared" si="46"/>
        <v>2439.5935624607637</v>
      </c>
      <c r="S196" s="151" t="s">
        <v>1753</v>
      </c>
      <c r="T196" s="51" t="s">
        <v>3282</v>
      </c>
      <c r="U196" s="151" t="s">
        <v>1617</v>
      </c>
      <c r="V196" s="51" t="s">
        <v>3189</v>
      </c>
      <c r="W196" s="19"/>
      <c r="X196" s="19"/>
      <c r="Y196" s="99">
        <v>531</v>
      </c>
      <c r="AA196" s="29"/>
      <c r="AC196" s="29"/>
      <c r="AD196" s="29"/>
      <c r="AE196" s="29"/>
    </row>
    <row r="197" spans="2:31" ht="20" x14ac:dyDescent="0.2">
      <c r="B197" s="150" t="s">
        <v>1275</v>
      </c>
      <c r="C197" s="33" t="s">
        <v>106</v>
      </c>
      <c r="D197" s="33" t="s">
        <v>2876</v>
      </c>
      <c r="E197" s="175">
        <v>1</v>
      </c>
      <c r="F197" s="151" t="s">
        <v>1128</v>
      </c>
      <c r="G197" s="152">
        <v>13.7060318</v>
      </c>
      <c r="H197" s="152">
        <v>8.4605134567901228</v>
      </c>
      <c r="I197" s="175">
        <v>69</v>
      </c>
      <c r="J197" s="266">
        <f>_xlfn.XLOOKUP($I197,Inputs!$C$6:$C$23,Inputs!$D$6:$D$23)*$G197</f>
        <v>5.2670322202857145</v>
      </c>
      <c r="K197" s="255"/>
      <c r="L197" s="186">
        <v>600</v>
      </c>
      <c r="M197" s="186">
        <v>600</v>
      </c>
      <c r="N197" s="99">
        <f t="shared" si="44"/>
        <v>71.706903433351513</v>
      </c>
      <c r="O197" s="99">
        <f t="shared" si="45"/>
        <v>71.706903433351513</v>
      </c>
      <c r="P197" s="131">
        <v>0.9</v>
      </c>
      <c r="Q197" s="186">
        <f t="shared" si="46"/>
        <v>64.536213090016361</v>
      </c>
      <c r="R197" s="186">
        <f t="shared" si="46"/>
        <v>64.536213090016361</v>
      </c>
      <c r="S197" s="151" t="s">
        <v>1640</v>
      </c>
      <c r="T197" s="51" t="s">
        <v>3113</v>
      </c>
      <c r="U197" s="151" t="s">
        <v>1617</v>
      </c>
      <c r="V197" s="51" t="s">
        <v>3189</v>
      </c>
      <c r="W197" s="19"/>
      <c r="X197" s="19"/>
      <c r="Y197" s="99">
        <v>798</v>
      </c>
      <c r="AA197" s="29"/>
      <c r="AC197" s="29"/>
      <c r="AD197" s="29"/>
      <c r="AE197" s="29"/>
    </row>
    <row r="198" spans="2:31" s="165" customFormat="1" ht="20" x14ac:dyDescent="0.2">
      <c r="B198" s="150" t="s">
        <v>1366</v>
      </c>
      <c r="C198" s="33" t="s">
        <v>106</v>
      </c>
      <c r="D198" s="33" t="s">
        <v>2876</v>
      </c>
      <c r="E198" s="175">
        <v>1</v>
      </c>
      <c r="F198" s="151" t="s">
        <v>1128</v>
      </c>
      <c r="G198" s="152">
        <v>6.6811800000000005E-2</v>
      </c>
      <c r="H198" s="152">
        <v>4.1241851851851849E-2</v>
      </c>
      <c r="I198" s="175">
        <v>69</v>
      </c>
      <c r="J198" s="266">
        <f>_xlfn.XLOOKUP($I198,Inputs!$C$6:$C$23,Inputs!$D$6:$D$23)*$G198</f>
        <v>2.5674820285714287E-2</v>
      </c>
      <c r="K198" s="267">
        <f>IF((42.4*(H198)^(-0.6595))&gt;=3,3,(IF(42.4*(H198)^(-0.6595)&lt;=0.5,0.5,(42.4*(H198)^(-0.6595)))))</f>
        <v>3</v>
      </c>
      <c r="L198" s="99"/>
      <c r="M198" s="99"/>
      <c r="N198" s="99">
        <f t="shared" si="44"/>
        <v>0</v>
      </c>
      <c r="O198" s="99">
        <f t="shared" si="45"/>
        <v>0</v>
      </c>
      <c r="P198" s="131">
        <v>0.9</v>
      </c>
      <c r="Q198" s="305">
        <f>_xlfn.XLOOKUP($I198,Inputs!$G$6:$G$23,Inputs!J$6:J$23)*$K198</f>
        <v>36</v>
      </c>
      <c r="R198" s="305">
        <f>_xlfn.XLOOKUP($I198,Inputs!$G$6:$G$23,Inputs!K$6:K$23)*$K198</f>
        <v>39</v>
      </c>
      <c r="S198" s="151" t="s">
        <v>2594</v>
      </c>
      <c r="T198" s="51" t="s">
        <v>2252</v>
      </c>
      <c r="U198" s="151" t="s">
        <v>1618</v>
      </c>
      <c r="V198" s="51" t="s">
        <v>3388</v>
      </c>
      <c r="W198" s="19"/>
      <c r="X198" s="19"/>
      <c r="Y198" s="99">
        <v>963</v>
      </c>
    </row>
    <row r="199" spans="2:31" ht="20" x14ac:dyDescent="0.2">
      <c r="B199" s="150" t="s">
        <v>1365</v>
      </c>
      <c r="C199" s="33" t="s">
        <v>106</v>
      </c>
      <c r="D199" s="33" t="s">
        <v>2876</v>
      </c>
      <c r="E199" s="175">
        <v>1</v>
      </c>
      <c r="F199" s="151" t="s">
        <v>1128</v>
      </c>
      <c r="G199" s="152">
        <v>12</v>
      </c>
      <c r="H199" s="152">
        <v>7.4074074074074066</v>
      </c>
      <c r="I199" s="175">
        <v>69</v>
      </c>
      <c r="J199" s="266">
        <f>_xlfn.XLOOKUP($I199,Inputs!$C$6:$C$23,Inputs!$D$6:$D$23)*$G199</f>
        <v>4.6114285714285712</v>
      </c>
      <c r="K199" s="255"/>
      <c r="L199" s="186">
        <v>310</v>
      </c>
      <c r="M199" s="186">
        <v>500</v>
      </c>
      <c r="N199" s="99">
        <f t="shared" si="44"/>
        <v>37.04856677389828</v>
      </c>
      <c r="O199" s="99">
        <f t="shared" si="45"/>
        <v>59.755752861126261</v>
      </c>
      <c r="P199" s="131">
        <v>0.9</v>
      </c>
      <c r="Q199" s="186">
        <f t="shared" ref="Q199:Q216" si="47">N199*$P199</f>
        <v>33.343710096508453</v>
      </c>
      <c r="R199" s="186">
        <f t="shared" ref="R199:R216" si="48">O199*$P199</f>
        <v>53.780177575013639</v>
      </c>
      <c r="S199" s="151" t="s">
        <v>2593</v>
      </c>
      <c r="T199" s="51" t="s">
        <v>2254</v>
      </c>
      <c r="U199" s="151" t="s">
        <v>2594</v>
      </c>
      <c r="V199" s="51" t="s">
        <v>2252</v>
      </c>
      <c r="W199" s="19"/>
      <c r="X199" s="19"/>
      <c r="Y199" s="99">
        <v>962</v>
      </c>
      <c r="AA199" s="29"/>
      <c r="AC199" s="29"/>
      <c r="AD199" s="29"/>
      <c r="AE199" s="29"/>
    </row>
    <row r="200" spans="2:31" s="165" customFormat="1" ht="20" x14ac:dyDescent="0.2">
      <c r="B200" s="150" t="s">
        <v>464</v>
      </c>
      <c r="C200" s="33" t="s">
        <v>106</v>
      </c>
      <c r="D200" s="33" t="s">
        <v>2876</v>
      </c>
      <c r="E200" s="175">
        <v>1</v>
      </c>
      <c r="F200" s="151" t="s">
        <v>1128</v>
      </c>
      <c r="G200" s="152">
        <v>23.01</v>
      </c>
      <c r="H200" s="152">
        <v>14.203703703703704</v>
      </c>
      <c r="I200" s="175">
        <v>138</v>
      </c>
      <c r="J200" s="266">
        <f>_xlfn.XLOOKUP($I200,Inputs!$C$6:$C$23,Inputs!$D$6:$D$23)*$G200</f>
        <v>9.9764785714285722</v>
      </c>
      <c r="K200" s="255"/>
      <c r="L200" s="186">
        <v>850</v>
      </c>
      <c r="M200" s="186">
        <v>1033</v>
      </c>
      <c r="N200" s="99">
        <f t="shared" si="44"/>
        <v>203.1695597278293</v>
      </c>
      <c r="O200" s="99">
        <f t="shared" si="45"/>
        <v>246.9107708221737</v>
      </c>
      <c r="P200" s="131">
        <v>0.9</v>
      </c>
      <c r="Q200" s="186">
        <f t="shared" si="47"/>
        <v>182.85260375504637</v>
      </c>
      <c r="R200" s="186">
        <f t="shared" si="48"/>
        <v>222.21969373995634</v>
      </c>
      <c r="S200" s="151" t="s">
        <v>2413</v>
      </c>
      <c r="T200" s="51" t="s">
        <v>2064</v>
      </c>
      <c r="U200" s="151" t="s">
        <v>1619</v>
      </c>
      <c r="V200" s="51" t="s">
        <v>3437</v>
      </c>
      <c r="W200" s="19"/>
      <c r="X200" s="19"/>
      <c r="Y200" s="99">
        <v>154</v>
      </c>
    </row>
    <row r="201" spans="2:31" ht="20" x14ac:dyDescent="0.2">
      <c r="B201" s="150" t="s">
        <v>465</v>
      </c>
      <c r="C201" s="33" t="s">
        <v>106</v>
      </c>
      <c r="D201" s="33" t="s">
        <v>2876</v>
      </c>
      <c r="E201" s="175">
        <v>1</v>
      </c>
      <c r="F201" s="151" t="s">
        <v>1128</v>
      </c>
      <c r="G201" s="152">
        <v>15.2424838</v>
      </c>
      <c r="H201" s="152">
        <v>9.4089406172839496</v>
      </c>
      <c r="I201" s="175">
        <v>138</v>
      </c>
      <c r="J201" s="266">
        <f>_xlfn.XLOOKUP($I201,Inputs!$C$6:$C$23,Inputs!$D$6:$D$23)*$G201</f>
        <v>6.6087054761428581</v>
      </c>
      <c r="K201" s="255"/>
      <c r="L201" s="186">
        <v>850</v>
      </c>
      <c r="M201" s="186">
        <v>1033</v>
      </c>
      <c r="N201" s="99">
        <f t="shared" si="44"/>
        <v>203.1695597278293</v>
      </c>
      <c r="O201" s="99">
        <f t="shared" si="45"/>
        <v>246.9107708221737</v>
      </c>
      <c r="P201" s="131">
        <v>0.9</v>
      </c>
      <c r="Q201" s="186">
        <f t="shared" si="47"/>
        <v>182.85260375504637</v>
      </c>
      <c r="R201" s="186">
        <f t="shared" si="48"/>
        <v>222.21969373995634</v>
      </c>
      <c r="S201" s="151" t="s">
        <v>1700</v>
      </c>
      <c r="T201" s="51" t="s">
        <v>3257</v>
      </c>
      <c r="U201" s="151" t="s">
        <v>1619</v>
      </c>
      <c r="V201" s="51" t="s">
        <v>3437</v>
      </c>
      <c r="W201" s="19"/>
      <c r="X201" s="19"/>
      <c r="Y201" s="99">
        <v>155</v>
      </c>
      <c r="AA201" s="29"/>
      <c r="AC201" s="29"/>
      <c r="AD201" s="29"/>
      <c r="AE201" s="29"/>
    </row>
    <row r="202" spans="2:31" s="165" customFormat="1" ht="20" x14ac:dyDescent="0.2">
      <c r="B202" s="150" t="s">
        <v>1165</v>
      </c>
      <c r="C202" s="33" t="s">
        <v>106</v>
      </c>
      <c r="D202" s="33" t="s">
        <v>2876</v>
      </c>
      <c r="E202" s="175">
        <v>1</v>
      </c>
      <c r="F202" s="151" t="s">
        <v>1128</v>
      </c>
      <c r="G202" s="152">
        <v>0.13998560000000002</v>
      </c>
      <c r="H202" s="152">
        <v>8.6410864197530871E-2</v>
      </c>
      <c r="I202" s="175">
        <v>69</v>
      </c>
      <c r="J202" s="266">
        <f>_xlfn.XLOOKUP($I202,Inputs!$C$6:$C$23,Inputs!$D$6:$D$23)*$G202</f>
        <v>5.3794466285714292E-2</v>
      </c>
      <c r="K202" s="255"/>
      <c r="L202" s="186">
        <v>485</v>
      </c>
      <c r="M202" s="186">
        <v>588</v>
      </c>
      <c r="N202" s="99">
        <f t="shared" si="44"/>
        <v>57.963080275292469</v>
      </c>
      <c r="O202" s="99">
        <f t="shared" si="45"/>
        <v>70.272765364684489</v>
      </c>
      <c r="P202" s="131">
        <v>0.9</v>
      </c>
      <c r="Q202" s="186">
        <f t="shared" si="47"/>
        <v>52.166772247763227</v>
      </c>
      <c r="R202" s="186">
        <f t="shared" si="48"/>
        <v>63.24548882821604</v>
      </c>
      <c r="S202" s="151" t="s">
        <v>2495</v>
      </c>
      <c r="T202" s="51" t="s">
        <v>2151</v>
      </c>
      <c r="U202" s="151" t="s">
        <v>1620</v>
      </c>
      <c r="V202" s="51" t="s">
        <v>3627</v>
      </c>
      <c r="W202" s="19"/>
      <c r="X202" s="19"/>
      <c r="Y202" s="99">
        <v>617</v>
      </c>
    </row>
    <row r="203" spans="2:31" ht="20" x14ac:dyDescent="0.2">
      <c r="B203" s="150" t="s">
        <v>1164</v>
      </c>
      <c r="C203" s="33" t="s">
        <v>106</v>
      </c>
      <c r="D203" s="33" t="s">
        <v>2876</v>
      </c>
      <c r="E203" s="175">
        <v>1</v>
      </c>
      <c r="F203" s="151" t="s">
        <v>1128</v>
      </c>
      <c r="G203" s="152">
        <v>11</v>
      </c>
      <c r="H203" s="152">
        <v>6.7901234567901234</v>
      </c>
      <c r="I203" s="175">
        <v>69</v>
      </c>
      <c r="J203" s="266">
        <f>_xlfn.XLOOKUP($I203,Inputs!$C$6:$C$23,Inputs!$D$6:$D$23)*$G203</f>
        <v>4.2271428571428569</v>
      </c>
      <c r="K203" s="255"/>
      <c r="L203" s="186">
        <v>400</v>
      </c>
      <c r="M203" s="186">
        <v>525</v>
      </c>
      <c r="N203" s="99">
        <f t="shared" si="44"/>
        <v>47.804602288901016</v>
      </c>
      <c r="O203" s="99">
        <f t="shared" si="45"/>
        <v>62.743540504182576</v>
      </c>
      <c r="P203" s="131">
        <v>0.9</v>
      </c>
      <c r="Q203" s="186">
        <f t="shared" si="47"/>
        <v>43.024142060010917</v>
      </c>
      <c r="R203" s="186">
        <f t="shared" si="48"/>
        <v>56.469186453764323</v>
      </c>
      <c r="S203" s="151" t="s">
        <v>2494</v>
      </c>
      <c r="T203" s="51" t="s">
        <v>2152</v>
      </c>
      <c r="U203" s="151" t="s">
        <v>2495</v>
      </c>
      <c r="V203" s="51" t="s">
        <v>2151</v>
      </c>
      <c r="W203" s="19"/>
      <c r="X203" s="19"/>
      <c r="Y203" s="99">
        <v>616</v>
      </c>
      <c r="AA203" s="29"/>
      <c r="AC203" s="29"/>
      <c r="AD203" s="29"/>
      <c r="AE203" s="29"/>
    </row>
    <row r="204" spans="2:31" s="165" customFormat="1" ht="20" x14ac:dyDescent="0.2">
      <c r="B204" s="150" t="s">
        <v>1332</v>
      </c>
      <c r="C204" s="33" t="s">
        <v>106</v>
      </c>
      <c r="D204" s="33" t="s">
        <v>2876</v>
      </c>
      <c r="E204" s="175">
        <v>1</v>
      </c>
      <c r="F204" s="151" t="s">
        <v>1128</v>
      </c>
      <c r="G204" s="152">
        <v>0.97038239999999998</v>
      </c>
      <c r="H204" s="152">
        <v>0.59900148148148147</v>
      </c>
      <c r="I204" s="175">
        <v>69</v>
      </c>
      <c r="J204" s="266">
        <f>_xlfn.XLOOKUP($I204,Inputs!$C$6:$C$23,Inputs!$D$6:$D$23)*$G204</f>
        <v>0.37290409371428573</v>
      </c>
      <c r="K204" s="255"/>
      <c r="L204" s="186">
        <v>265</v>
      </c>
      <c r="M204" s="186">
        <v>441</v>
      </c>
      <c r="N204" s="99">
        <f t="shared" si="44"/>
        <v>31.670549016396919</v>
      </c>
      <c r="O204" s="99">
        <f t="shared" si="45"/>
        <v>52.704574023513366</v>
      </c>
      <c r="P204" s="131">
        <v>0.9</v>
      </c>
      <c r="Q204" s="186">
        <f t="shared" si="47"/>
        <v>28.503494114757228</v>
      </c>
      <c r="R204" s="186">
        <f t="shared" si="48"/>
        <v>47.434116621162033</v>
      </c>
      <c r="S204" s="151" t="s">
        <v>2572</v>
      </c>
      <c r="T204" s="51" t="s">
        <v>2233</v>
      </c>
      <c r="U204" s="151" t="s">
        <v>1621</v>
      </c>
      <c r="V204" s="51" t="s">
        <v>3389</v>
      </c>
      <c r="W204" s="19"/>
      <c r="X204" s="19"/>
      <c r="Y204" s="99">
        <v>903</v>
      </c>
    </row>
    <row r="205" spans="2:31" s="165" customFormat="1" ht="20" x14ac:dyDescent="0.2">
      <c r="B205" s="150" t="s">
        <v>1331</v>
      </c>
      <c r="C205" s="33" t="s">
        <v>106</v>
      </c>
      <c r="D205" s="33" t="s">
        <v>2876</v>
      </c>
      <c r="E205" s="175">
        <v>1</v>
      </c>
      <c r="F205" s="151" t="s">
        <v>1128</v>
      </c>
      <c r="G205" s="152">
        <v>30</v>
      </c>
      <c r="H205" s="152">
        <v>18.518518518518519</v>
      </c>
      <c r="I205" s="175">
        <v>69</v>
      </c>
      <c r="J205" s="266">
        <f>_xlfn.XLOOKUP($I205,Inputs!$C$6:$C$23,Inputs!$D$6:$D$23)*$G205</f>
        <v>11.528571428571428</v>
      </c>
      <c r="K205" s="255"/>
      <c r="L205" s="186">
        <v>265</v>
      </c>
      <c r="M205" s="186">
        <v>441</v>
      </c>
      <c r="N205" s="99">
        <f t="shared" si="44"/>
        <v>31.670549016396919</v>
      </c>
      <c r="O205" s="99">
        <f t="shared" si="45"/>
        <v>52.704574023513366</v>
      </c>
      <c r="P205" s="131">
        <v>0.9</v>
      </c>
      <c r="Q205" s="186">
        <f t="shared" si="47"/>
        <v>28.503494114757228</v>
      </c>
      <c r="R205" s="186">
        <f t="shared" si="48"/>
        <v>47.434116621162033</v>
      </c>
      <c r="S205" s="151" t="s">
        <v>1636</v>
      </c>
      <c r="T205" s="51" t="s">
        <v>3239</v>
      </c>
      <c r="U205" s="151" t="s">
        <v>2572</v>
      </c>
      <c r="V205" s="51" t="s">
        <v>2233</v>
      </c>
      <c r="W205" s="19"/>
      <c r="X205" s="19"/>
      <c r="Y205" s="99">
        <v>902</v>
      </c>
    </row>
    <row r="206" spans="2:31" ht="20" x14ac:dyDescent="0.2">
      <c r="B206" s="150" t="s">
        <v>1433</v>
      </c>
      <c r="C206" s="33" t="s">
        <v>106</v>
      </c>
      <c r="D206" s="33" t="s">
        <v>2876</v>
      </c>
      <c r="E206" s="175">
        <v>1</v>
      </c>
      <c r="F206" s="151" t="s">
        <v>1128</v>
      </c>
      <c r="G206" s="152">
        <v>1.2865588000000001</v>
      </c>
      <c r="H206" s="152">
        <v>0.79417209876543216</v>
      </c>
      <c r="I206" s="175">
        <v>138</v>
      </c>
      <c r="J206" s="266">
        <f>_xlfn.XLOOKUP($I206,Inputs!$C$6:$C$23,Inputs!$D$6:$D$23)*$G206</f>
        <v>0.5578151368571429</v>
      </c>
      <c r="K206" s="255"/>
      <c r="L206" s="186">
        <v>484</v>
      </c>
      <c r="M206" s="186">
        <v>622</v>
      </c>
      <c r="N206" s="99">
        <f t="shared" si="44"/>
        <v>115.68713753914044</v>
      </c>
      <c r="O206" s="99">
        <f t="shared" si="45"/>
        <v>148.67231311848212</v>
      </c>
      <c r="P206" s="131">
        <v>0.9</v>
      </c>
      <c r="Q206" s="186">
        <f t="shared" si="47"/>
        <v>104.1184237852264</v>
      </c>
      <c r="R206" s="186">
        <f t="shared" si="48"/>
        <v>133.80508180663392</v>
      </c>
      <c r="S206" s="151" t="s">
        <v>2428</v>
      </c>
      <c r="T206" s="51" t="s">
        <v>2076</v>
      </c>
      <c r="U206" s="151" t="s">
        <v>1622</v>
      </c>
      <c r="V206" s="51" t="s">
        <v>3390</v>
      </c>
      <c r="W206" s="19"/>
      <c r="X206" s="19"/>
      <c r="Y206" s="99">
        <v>197</v>
      </c>
      <c r="AA206" s="29"/>
      <c r="AC206" s="29"/>
      <c r="AD206" s="29"/>
      <c r="AE206" s="29"/>
    </row>
    <row r="207" spans="2:31" ht="20" x14ac:dyDescent="0.2">
      <c r="B207" s="150" t="s">
        <v>475</v>
      </c>
      <c r="C207" s="33" t="s">
        <v>106</v>
      </c>
      <c r="D207" s="33" t="s">
        <v>2876</v>
      </c>
      <c r="E207" s="175">
        <v>1</v>
      </c>
      <c r="F207" s="151" t="s">
        <v>1128</v>
      </c>
      <c r="G207" s="152">
        <v>20</v>
      </c>
      <c r="H207" s="152">
        <v>12.345679012345679</v>
      </c>
      <c r="I207" s="175">
        <v>138</v>
      </c>
      <c r="J207" s="266">
        <f>_xlfn.XLOOKUP($I207,Inputs!$C$6:$C$23,Inputs!$D$6:$D$23)*$G207</f>
        <v>8.6714285714285726</v>
      </c>
      <c r="K207" s="255"/>
      <c r="L207" s="186">
        <v>493</v>
      </c>
      <c r="M207" s="186">
        <v>627</v>
      </c>
      <c r="N207" s="99">
        <f t="shared" si="44"/>
        <v>117.838344642141</v>
      </c>
      <c r="O207" s="99">
        <f t="shared" si="45"/>
        <v>149.86742817570467</v>
      </c>
      <c r="P207" s="131">
        <v>0.9</v>
      </c>
      <c r="Q207" s="186">
        <f t="shared" si="47"/>
        <v>106.0545101779269</v>
      </c>
      <c r="R207" s="186">
        <f t="shared" si="48"/>
        <v>134.8806853581342</v>
      </c>
      <c r="S207" s="151" t="s">
        <v>2427</v>
      </c>
      <c r="T207" s="51" t="s">
        <v>2075</v>
      </c>
      <c r="U207" s="151" t="s">
        <v>2428</v>
      </c>
      <c r="V207" s="51" t="s">
        <v>2076</v>
      </c>
      <c r="W207" s="19"/>
      <c r="X207" s="19"/>
      <c r="Y207" s="99">
        <v>196</v>
      </c>
      <c r="AA207" s="29"/>
      <c r="AC207" s="29"/>
      <c r="AD207" s="29"/>
      <c r="AE207" s="29"/>
    </row>
    <row r="208" spans="2:31" ht="20" x14ac:dyDescent="0.2">
      <c r="B208" s="150" t="s">
        <v>1420</v>
      </c>
      <c r="C208" s="33" t="s">
        <v>106</v>
      </c>
      <c r="D208" s="33" t="s">
        <v>2876</v>
      </c>
      <c r="E208" s="175">
        <v>1</v>
      </c>
      <c r="F208" s="151" t="s">
        <v>1128</v>
      </c>
      <c r="G208" s="152">
        <v>5.8383299999999999E-2</v>
      </c>
      <c r="H208" s="152">
        <v>3.6039074074074071E-2</v>
      </c>
      <c r="I208" s="175">
        <v>138</v>
      </c>
      <c r="J208" s="266">
        <f>_xlfn.XLOOKUP($I208,Inputs!$C$6:$C$23,Inputs!$D$6:$D$23)*$G208</f>
        <v>2.5313330785714287E-2</v>
      </c>
      <c r="K208" s="255"/>
      <c r="L208" s="186">
        <v>495</v>
      </c>
      <c r="M208" s="186">
        <v>630</v>
      </c>
      <c r="N208" s="99">
        <f t="shared" si="44"/>
        <v>118.31639066502999</v>
      </c>
      <c r="O208" s="99">
        <f t="shared" si="45"/>
        <v>150.58449721003819</v>
      </c>
      <c r="P208" s="131">
        <v>0.9</v>
      </c>
      <c r="Q208" s="186">
        <f t="shared" si="47"/>
        <v>106.48475159852698</v>
      </c>
      <c r="R208" s="186">
        <f t="shared" si="48"/>
        <v>135.52604748903437</v>
      </c>
      <c r="S208" s="151" t="s">
        <v>2411</v>
      </c>
      <c r="T208" s="51" t="s">
        <v>2062</v>
      </c>
      <c r="U208" s="151" t="s">
        <v>1623</v>
      </c>
      <c r="V208" s="51" t="s">
        <v>3629</v>
      </c>
      <c r="W208" s="19"/>
      <c r="X208" s="19"/>
      <c r="Y208" s="99">
        <v>135</v>
      </c>
      <c r="AA208" s="29"/>
      <c r="AC208" s="29"/>
      <c r="AD208" s="29"/>
      <c r="AE208" s="29"/>
    </row>
    <row r="209" spans="2:31" s="165" customFormat="1" ht="20" x14ac:dyDescent="0.2">
      <c r="B209" s="150" t="s">
        <v>457</v>
      </c>
      <c r="C209" s="33" t="s">
        <v>106</v>
      </c>
      <c r="D209" s="33" t="s">
        <v>2876</v>
      </c>
      <c r="E209" s="175">
        <v>1</v>
      </c>
      <c r="F209" s="151" t="s">
        <v>1128</v>
      </c>
      <c r="G209" s="152">
        <v>28</v>
      </c>
      <c r="H209" s="152">
        <v>17.283950617283949</v>
      </c>
      <c r="I209" s="175">
        <v>138</v>
      </c>
      <c r="J209" s="266">
        <f>_xlfn.XLOOKUP($I209,Inputs!$C$6:$C$23,Inputs!$D$6:$D$23)*$G209</f>
        <v>12.14</v>
      </c>
      <c r="K209" s="255"/>
      <c r="L209" s="186">
        <v>585</v>
      </c>
      <c r="M209" s="186">
        <v>780</v>
      </c>
      <c r="N209" s="99">
        <f t="shared" si="44"/>
        <v>139.82846169503546</v>
      </c>
      <c r="O209" s="99">
        <f t="shared" si="45"/>
        <v>186.43794892671391</v>
      </c>
      <c r="P209" s="131">
        <v>0.9</v>
      </c>
      <c r="Q209" s="186">
        <f t="shared" si="47"/>
        <v>125.84561552553191</v>
      </c>
      <c r="R209" s="186">
        <f t="shared" si="48"/>
        <v>167.79415403404252</v>
      </c>
      <c r="S209" s="151" t="s">
        <v>184</v>
      </c>
      <c r="T209" s="51" t="s">
        <v>3253</v>
      </c>
      <c r="U209" s="151" t="s">
        <v>2411</v>
      </c>
      <c r="V209" s="51" t="s">
        <v>2062</v>
      </c>
      <c r="W209" s="19"/>
      <c r="X209" s="19"/>
      <c r="Y209" s="99">
        <v>134</v>
      </c>
    </row>
    <row r="210" spans="2:31" ht="20" x14ac:dyDescent="0.2">
      <c r="B210" s="150" t="s">
        <v>1321</v>
      </c>
      <c r="C210" s="33" t="s">
        <v>106</v>
      </c>
      <c r="D210" s="33" t="s">
        <v>2876</v>
      </c>
      <c r="E210" s="175">
        <v>1</v>
      </c>
      <c r="F210" s="151" t="s">
        <v>1128</v>
      </c>
      <c r="G210" s="152">
        <v>24.351126199999999</v>
      </c>
      <c r="H210" s="152">
        <v>15.031559382716049</v>
      </c>
      <c r="I210" s="175">
        <v>69</v>
      </c>
      <c r="J210" s="266">
        <f>_xlfn.XLOOKUP($I210,Inputs!$C$6:$C$23,Inputs!$D$6:$D$23)*$G210</f>
        <v>9.3577899254285715</v>
      </c>
      <c r="K210" s="255"/>
      <c r="L210" s="186">
        <v>265</v>
      </c>
      <c r="M210" s="186">
        <v>488</v>
      </c>
      <c r="N210" s="99">
        <f t="shared" si="44"/>
        <v>31.670549016396919</v>
      </c>
      <c r="O210" s="99">
        <f t="shared" si="45"/>
        <v>58.321614792459229</v>
      </c>
      <c r="P210" s="131">
        <v>0.9</v>
      </c>
      <c r="Q210" s="186">
        <f t="shared" si="47"/>
        <v>28.503494114757228</v>
      </c>
      <c r="R210" s="186">
        <f t="shared" si="48"/>
        <v>52.489453313213311</v>
      </c>
      <c r="S210" s="151" t="s">
        <v>2564</v>
      </c>
      <c r="T210" s="51" t="s">
        <v>2223</v>
      </c>
      <c r="U210" s="151" t="s">
        <v>1624</v>
      </c>
      <c r="V210" s="51" t="s">
        <v>3391</v>
      </c>
      <c r="W210" s="19"/>
      <c r="X210" s="19"/>
      <c r="Y210" s="99">
        <v>880</v>
      </c>
      <c r="AA210" s="29"/>
      <c r="AC210" s="29"/>
      <c r="AD210" s="29"/>
      <c r="AE210" s="29"/>
    </row>
    <row r="211" spans="2:31" s="165" customFormat="1" ht="20" x14ac:dyDescent="0.2">
      <c r="B211" s="150" t="s">
        <v>1320</v>
      </c>
      <c r="C211" s="33" t="s">
        <v>106</v>
      </c>
      <c r="D211" s="33" t="s">
        <v>2876</v>
      </c>
      <c r="E211" s="175">
        <v>1</v>
      </c>
      <c r="F211" s="151" t="s">
        <v>1128</v>
      </c>
      <c r="G211" s="152">
        <v>10</v>
      </c>
      <c r="H211" s="152">
        <v>6.1728395061728394</v>
      </c>
      <c r="I211" s="175">
        <v>69</v>
      </c>
      <c r="J211" s="266">
        <f>_xlfn.XLOOKUP($I211,Inputs!$C$6:$C$23,Inputs!$D$6:$D$23)*$G211</f>
        <v>3.842857142857143</v>
      </c>
      <c r="K211" s="255"/>
      <c r="L211" s="186">
        <v>265</v>
      </c>
      <c r="M211" s="186">
        <v>488</v>
      </c>
      <c r="N211" s="99">
        <f t="shared" si="44"/>
        <v>31.670549016396919</v>
      </c>
      <c r="O211" s="99">
        <f t="shared" si="45"/>
        <v>58.321614792459229</v>
      </c>
      <c r="P211" s="131">
        <v>0.9</v>
      </c>
      <c r="Q211" s="186">
        <f t="shared" si="47"/>
        <v>28.503494114757228</v>
      </c>
      <c r="R211" s="186">
        <f t="shared" si="48"/>
        <v>52.489453313213311</v>
      </c>
      <c r="S211" s="151" t="s">
        <v>1819</v>
      </c>
      <c r="T211" s="51" t="s">
        <v>3299</v>
      </c>
      <c r="U211" s="151" t="s">
        <v>2564</v>
      </c>
      <c r="V211" s="51" t="s">
        <v>2223</v>
      </c>
      <c r="W211" s="19"/>
      <c r="X211" s="19"/>
      <c r="Y211" s="99">
        <v>879</v>
      </c>
    </row>
    <row r="212" spans="2:31" ht="20" x14ac:dyDescent="0.2">
      <c r="B212" s="150" t="s">
        <v>530</v>
      </c>
      <c r="C212" s="33" t="s">
        <v>106</v>
      </c>
      <c r="D212" s="33" t="s">
        <v>2876</v>
      </c>
      <c r="E212" s="175">
        <v>1</v>
      </c>
      <c r="F212" s="151" t="s">
        <v>1128</v>
      </c>
      <c r="G212" s="152">
        <v>1.8</v>
      </c>
      <c r="H212" s="152">
        <v>1.1111111111111112</v>
      </c>
      <c r="I212" s="175">
        <v>230</v>
      </c>
      <c r="J212" s="266">
        <f>_xlfn.XLOOKUP($I212,Inputs!$C$6:$C$23,Inputs!$D$6:$D$23)*$G212</f>
        <v>0.86399999999999999</v>
      </c>
      <c r="K212" s="255"/>
      <c r="L212" s="186">
        <v>542</v>
      </c>
      <c r="M212" s="186">
        <v>1021</v>
      </c>
      <c r="N212" s="99">
        <f t="shared" si="44"/>
        <v>215.91745367153624</v>
      </c>
      <c r="O212" s="99">
        <f t="shared" si="45"/>
        <v>406.73749114139946</v>
      </c>
      <c r="P212" s="131">
        <v>0.9</v>
      </c>
      <c r="Q212" s="186">
        <f t="shared" si="47"/>
        <v>194.32570830438263</v>
      </c>
      <c r="R212" s="186">
        <f t="shared" si="48"/>
        <v>366.06374202725954</v>
      </c>
      <c r="S212" s="151" t="s">
        <v>2624</v>
      </c>
      <c r="T212" s="51" t="s">
        <v>2126</v>
      </c>
      <c r="U212" s="151" t="s">
        <v>1625</v>
      </c>
      <c r="V212" s="51" t="s">
        <v>3721</v>
      </c>
      <c r="W212" s="19"/>
      <c r="X212" s="19"/>
      <c r="Y212" s="99">
        <v>364</v>
      </c>
      <c r="AA212" s="29"/>
      <c r="AC212" s="29"/>
      <c r="AD212" s="29"/>
      <c r="AE212" s="29"/>
    </row>
    <row r="213" spans="2:31" s="165" customFormat="1" ht="20" x14ac:dyDescent="0.2">
      <c r="B213" s="150" t="s">
        <v>1413</v>
      </c>
      <c r="C213" s="33" t="s">
        <v>106</v>
      </c>
      <c r="D213" s="33" t="s">
        <v>2876</v>
      </c>
      <c r="E213" s="175">
        <v>1</v>
      </c>
      <c r="F213" s="151" t="s">
        <v>1128</v>
      </c>
      <c r="G213" s="152">
        <v>7.7473649999999994</v>
      </c>
      <c r="H213" s="152">
        <v>4.7823240740740731</v>
      </c>
      <c r="I213" s="175">
        <v>138</v>
      </c>
      <c r="J213" s="266">
        <f>_xlfn.XLOOKUP($I213,Inputs!$C$6:$C$23,Inputs!$D$6:$D$23)*$G213</f>
        <v>3.3590361107142859</v>
      </c>
      <c r="K213" s="255"/>
      <c r="L213" s="186">
        <v>1065</v>
      </c>
      <c r="M213" s="186">
        <v>1375</v>
      </c>
      <c r="N213" s="99">
        <f t="shared" si="44"/>
        <v>254.5595071883979</v>
      </c>
      <c r="O213" s="99">
        <f t="shared" si="45"/>
        <v>328.65664073619445</v>
      </c>
      <c r="P213" s="131">
        <v>0.9</v>
      </c>
      <c r="Q213" s="186">
        <f t="shared" si="47"/>
        <v>229.10355646955813</v>
      </c>
      <c r="R213" s="186">
        <f t="shared" si="48"/>
        <v>295.79097666257502</v>
      </c>
      <c r="S213" s="151" t="s">
        <v>2398</v>
      </c>
      <c r="T213" s="51" t="s">
        <v>2047</v>
      </c>
      <c r="U213" s="151" t="s">
        <v>1626</v>
      </c>
      <c r="V213" s="51" t="s">
        <v>3392</v>
      </c>
      <c r="W213" s="19"/>
      <c r="X213" s="19"/>
      <c r="Y213" s="99">
        <v>66</v>
      </c>
    </row>
    <row r="214" spans="2:31" ht="20" x14ac:dyDescent="0.2">
      <c r="B214" s="150" t="s">
        <v>1414</v>
      </c>
      <c r="C214" s="33" t="s">
        <v>106</v>
      </c>
      <c r="D214" s="33" t="s">
        <v>2876</v>
      </c>
      <c r="E214" s="175">
        <v>1</v>
      </c>
      <c r="F214" s="151" t="s">
        <v>1128</v>
      </c>
      <c r="G214" s="152">
        <v>7.7666926999999992</v>
      </c>
      <c r="H214" s="152">
        <v>4.7942547530864186</v>
      </c>
      <c r="I214" s="175">
        <v>138</v>
      </c>
      <c r="J214" s="266">
        <f>_xlfn.XLOOKUP($I214,Inputs!$C$6:$C$23,Inputs!$D$6:$D$23)*$G214</f>
        <v>3.3674160492142855</v>
      </c>
      <c r="K214" s="255"/>
      <c r="L214" s="186">
        <v>1065</v>
      </c>
      <c r="M214" s="186">
        <v>1375</v>
      </c>
      <c r="N214" s="99">
        <f t="shared" si="44"/>
        <v>254.5595071883979</v>
      </c>
      <c r="O214" s="99">
        <f t="shared" si="45"/>
        <v>328.65664073619445</v>
      </c>
      <c r="P214" s="131">
        <v>0.9</v>
      </c>
      <c r="Q214" s="186">
        <f t="shared" si="47"/>
        <v>229.10355646955813</v>
      </c>
      <c r="R214" s="186">
        <f t="shared" si="48"/>
        <v>295.79097666257502</v>
      </c>
      <c r="S214" s="151" t="s">
        <v>2398</v>
      </c>
      <c r="T214" s="51" t="s">
        <v>2047</v>
      </c>
      <c r="U214" s="151" t="s">
        <v>1626</v>
      </c>
      <c r="V214" s="51" t="s">
        <v>3392</v>
      </c>
      <c r="W214" s="19"/>
      <c r="X214" s="19"/>
      <c r="Y214" s="99">
        <v>71</v>
      </c>
      <c r="AA214" s="29"/>
      <c r="AC214" s="29"/>
      <c r="AD214" s="29"/>
      <c r="AE214" s="29"/>
    </row>
    <row r="215" spans="2:31" ht="20" x14ac:dyDescent="0.2">
      <c r="B215" s="150" t="s">
        <v>433</v>
      </c>
      <c r="C215" s="33" t="s">
        <v>106</v>
      </c>
      <c r="D215" s="33" t="s">
        <v>2876</v>
      </c>
      <c r="E215" s="175">
        <v>1</v>
      </c>
      <c r="F215" s="151" t="s">
        <v>1128</v>
      </c>
      <c r="G215" s="152">
        <v>20</v>
      </c>
      <c r="H215" s="152">
        <v>12.345679012345679</v>
      </c>
      <c r="I215" s="175">
        <v>138</v>
      </c>
      <c r="J215" s="266">
        <f>_xlfn.XLOOKUP($I215,Inputs!$C$6:$C$23,Inputs!$D$6:$D$23)*$G215</f>
        <v>8.6714285714285726</v>
      </c>
      <c r="K215" s="255"/>
      <c r="L215" s="186">
        <v>625</v>
      </c>
      <c r="M215" s="186">
        <v>805</v>
      </c>
      <c r="N215" s="99">
        <f t="shared" si="44"/>
        <v>149.38938215281567</v>
      </c>
      <c r="O215" s="99">
        <f t="shared" si="45"/>
        <v>192.41352421282656</v>
      </c>
      <c r="P215" s="131">
        <v>0.9</v>
      </c>
      <c r="Q215" s="186">
        <f t="shared" si="47"/>
        <v>134.45044393753412</v>
      </c>
      <c r="R215" s="186">
        <f t="shared" si="48"/>
        <v>173.17217179154392</v>
      </c>
      <c r="S215" s="151" t="s">
        <v>2397</v>
      </c>
      <c r="T215" s="51" t="s">
        <v>2046</v>
      </c>
      <c r="U215" s="151" t="s">
        <v>2398</v>
      </c>
      <c r="V215" s="51" t="s">
        <v>2047</v>
      </c>
      <c r="W215" s="19"/>
      <c r="X215" s="19"/>
      <c r="Y215" s="99">
        <v>65</v>
      </c>
      <c r="AA215" s="29"/>
      <c r="AC215" s="29"/>
      <c r="AD215" s="29"/>
      <c r="AE215" s="29"/>
    </row>
    <row r="216" spans="2:31" s="90" customFormat="1" ht="20" x14ac:dyDescent="0.2">
      <c r="B216" s="150" t="s">
        <v>434</v>
      </c>
      <c r="C216" s="33" t="s">
        <v>106</v>
      </c>
      <c r="D216" s="33" t="s">
        <v>2876</v>
      </c>
      <c r="E216" s="175">
        <v>1</v>
      </c>
      <c r="F216" s="151" t="s">
        <v>1128</v>
      </c>
      <c r="G216" s="152">
        <v>2.56</v>
      </c>
      <c r="H216" s="152">
        <v>1.5802469135802468</v>
      </c>
      <c r="I216" s="175">
        <v>138</v>
      </c>
      <c r="J216" s="266">
        <f>_xlfn.XLOOKUP($I216,Inputs!$C$6:$C$23,Inputs!$D$6:$D$23)*$G216</f>
        <v>1.1099428571428573</v>
      </c>
      <c r="K216" s="255"/>
      <c r="L216" s="186">
        <v>635</v>
      </c>
      <c r="M216" s="186">
        <v>810</v>
      </c>
      <c r="N216" s="99">
        <f t="shared" si="44"/>
        <v>151.77961226726069</v>
      </c>
      <c r="O216" s="99">
        <f t="shared" si="45"/>
        <v>193.60863927004908</v>
      </c>
      <c r="P216" s="131">
        <v>0.9</v>
      </c>
      <c r="Q216" s="186">
        <f t="shared" si="47"/>
        <v>136.60165104053462</v>
      </c>
      <c r="R216" s="186">
        <f t="shared" si="48"/>
        <v>174.24777534304417</v>
      </c>
      <c r="S216" s="151" t="s">
        <v>1844</v>
      </c>
      <c r="T216" s="51" t="s">
        <v>3724</v>
      </c>
      <c r="U216" s="151" t="s">
        <v>2398</v>
      </c>
      <c r="V216" s="51" t="s">
        <v>2047</v>
      </c>
      <c r="W216" s="19"/>
      <c r="X216" s="19"/>
      <c r="Y216" s="99">
        <v>70</v>
      </c>
    </row>
    <row r="217" spans="2:31" ht="20" x14ac:dyDescent="0.2">
      <c r="B217" s="150" t="s">
        <v>1360</v>
      </c>
      <c r="C217" s="33" t="s">
        <v>106</v>
      </c>
      <c r="D217" s="33" t="s">
        <v>2876</v>
      </c>
      <c r="E217" s="175">
        <v>1</v>
      </c>
      <c r="F217" s="151" t="s">
        <v>1128</v>
      </c>
      <c r="G217" s="152">
        <v>0.1061955</v>
      </c>
      <c r="H217" s="152">
        <v>6.5552777777777779E-2</v>
      </c>
      <c r="I217" s="175">
        <v>69</v>
      </c>
      <c r="J217" s="266">
        <f>_xlfn.XLOOKUP($I217,Inputs!$C$6:$C$23,Inputs!$D$6:$D$23)*$G217</f>
        <v>4.0809413571428574E-2</v>
      </c>
      <c r="K217" s="267">
        <f>IF((42.4*(H217)^(-0.6595))&gt;=3,3,(IF(42.4*(H217)^(-0.6595)&lt;=0.5,0.5,(42.4*(H217)^(-0.6595)))))</f>
        <v>3</v>
      </c>
      <c r="L217" s="99"/>
      <c r="M217" s="99"/>
      <c r="N217" s="99">
        <f t="shared" si="44"/>
        <v>0</v>
      </c>
      <c r="O217" s="99">
        <f t="shared" si="45"/>
        <v>0</v>
      </c>
      <c r="P217" s="131">
        <v>0.9</v>
      </c>
      <c r="Q217" s="305">
        <f>_xlfn.XLOOKUP($I217,Inputs!$G$6:$G$23,Inputs!J$6:J$23)*$K217</f>
        <v>36</v>
      </c>
      <c r="R217" s="305">
        <f>_xlfn.XLOOKUP($I217,Inputs!$G$6:$G$23,Inputs!K$6:K$23)*$K217</f>
        <v>39</v>
      </c>
      <c r="S217" s="151" t="s">
        <v>2591</v>
      </c>
      <c r="T217" s="51" t="s">
        <v>2250</v>
      </c>
      <c r="U217" s="151" t="s">
        <v>1627</v>
      </c>
      <c r="V217" s="51" t="s">
        <v>3619</v>
      </c>
      <c r="W217" s="19"/>
      <c r="X217" s="19"/>
      <c r="Y217" s="99">
        <v>951</v>
      </c>
      <c r="AA217" s="29"/>
      <c r="AC217" s="29"/>
      <c r="AD217" s="29"/>
      <c r="AE217" s="29"/>
    </row>
    <row r="218" spans="2:31" s="165" customFormat="1" ht="20" x14ac:dyDescent="0.2">
      <c r="B218" s="150" t="s">
        <v>1359</v>
      </c>
      <c r="C218" s="33" t="s">
        <v>106</v>
      </c>
      <c r="D218" s="33" t="s">
        <v>2876</v>
      </c>
      <c r="E218" s="175">
        <v>1</v>
      </c>
      <c r="F218" s="151" t="s">
        <v>1128</v>
      </c>
      <c r="G218" s="152">
        <v>38.159999999999997</v>
      </c>
      <c r="H218" s="152">
        <v>23.555555555555554</v>
      </c>
      <c r="I218" s="175">
        <v>69</v>
      </c>
      <c r="J218" s="266">
        <f>_xlfn.XLOOKUP($I218,Inputs!$C$6:$C$23,Inputs!$D$6:$D$23)*$G218</f>
        <v>14.664342857142856</v>
      </c>
      <c r="K218" s="255"/>
      <c r="L218" s="186">
        <v>280</v>
      </c>
      <c r="M218" s="3">
        <v>450</v>
      </c>
      <c r="N218" s="99">
        <f t="shared" si="44"/>
        <v>33.463221602230711</v>
      </c>
      <c r="O218" s="99">
        <f t="shared" si="45"/>
        <v>53.780177575013639</v>
      </c>
      <c r="P218" s="131">
        <v>0.9</v>
      </c>
      <c r="Q218" s="186">
        <f>N218*$P218</f>
        <v>30.116899442007639</v>
      </c>
      <c r="R218" s="186">
        <f>O218*$P218</f>
        <v>48.402159817512278</v>
      </c>
      <c r="S218" s="151" t="s">
        <v>365</v>
      </c>
      <c r="T218" s="51" t="s">
        <v>3355</v>
      </c>
      <c r="U218" s="151" t="s">
        <v>2591</v>
      </c>
      <c r="V218" s="51" t="s">
        <v>2250</v>
      </c>
      <c r="W218" s="19"/>
      <c r="X218" s="19"/>
      <c r="Y218" s="99">
        <v>950</v>
      </c>
    </row>
    <row r="219" spans="2:31" s="165" customFormat="1" ht="20" x14ac:dyDescent="0.2">
      <c r="B219" s="150" t="s">
        <v>1281</v>
      </c>
      <c r="C219" s="33" t="s">
        <v>106</v>
      </c>
      <c r="D219" s="33" t="s">
        <v>2876</v>
      </c>
      <c r="E219" s="175">
        <v>1</v>
      </c>
      <c r="F219" s="151" t="s">
        <v>1128</v>
      </c>
      <c r="G219" s="152">
        <v>9.9541300000000013E-2</v>
      </c>
      <c r="H219" s="152">
        <v>6.1445246913580248E-2</v>
      </c>
      <c r="I219" s="175">
        <v>69</v>
      </c>
      <c r="J219" s="266">
        <f>_xlfn.XLOOKUP($I219,Inputs!$C$6:$C$23,Inputs!$D$6:$D$23)*$G219</f>
        <v>3.8252299571428575E-2</v>
      </c>
      <c r="K219" s="267">
        <f>IF((42.4*(H219)^(-0.6595))&gt;=3,3,(IF(42.4*(H219)^(-0.6595)&lt;=0.5,0.5,(42.4*(H219)^(-0.6595)))))</f>
        <v>3</v>
      </c>
      <c r="L219" s="99"/>
      <c r="M219" s="99"/>
      <c r="N219" s="99">
        <f t="shared" si="44"/>
        <v>0</v>
      </c>
      <c r="O219" s="99">
        <f t="shared" si="45"/>
        <v>0</v>
      </c>
      <c r="P219" s="131">
        <v>0.9</v>
      </c>
      <c r="Q219" s="305">
        <f>_xlfn.XLOOKUP($I219,Inputs!$G$6:$G$23,Inputs!J$6:J$23)*$K219</f>
        <v>36</v>
      </c>
      <c r="R219" s="305">
        <f>_xlfn.XLOOKUP($I219,Inputs!$G$6:$G$23,Inputs!K$6:K$23)*$K219</f>
        <v>39</v>
      </c>
      <c r="S219" s="151" t="s">
        <v>2543</v>
      </c>
      <c r="T219" s="51" t="s">
        <v>2196</v>
      </c>
      <c r="U219" s="151" t="s">
        <v>1628</v>
      </c>
      <c r="V219" s="51" t="s">
        <v>3107</v>
      </c>
      <c r="W219" s="19"/>
      <c r="X219" s="19"/>
      <c r="Y219" s="99">
        <v>817</v>
      </c>
    </row>
    <row r="220" spans="2:31" s="165" customFormat="1" ht="20" x14ac:dyDescent="0.2">
      <c r="B220" s="150" t="s">
        <v>1280</v>
      </c>
      <c r="C220" s="33" t="s">
        <v>106</v>
      </c>
      <c r="D220" s="33" t="s">
        <v>2876</v>
      </c>
      <c r="E220" s="175">
        <v>1</v>
      </c>
      <c r="F220" s="151" t="s">
        <v>1128</v>
      </c>
      <c r="G220" s="152">
        <v>6</v>
      </c>
      <c r="H220" s="152">
        <v>3.7037037037037033</v>
      </c>
      <c r="I220" s="175">
        <v>69</v>
      </c>
      <c r="J220" s="266">
        <f>_xlfn.XLOOKUP($I220,Inputs!$C$6:$C$23,Inputs!$D$6:$D$23)*$G220</f>
        <v>2.3057142857142856</v>
      </c>
      <c r="K220" s="255"/>
      <c r="L220" s="186">
        <v>505</v>
      </c>
      <c r="M220" s="186">
        <v>601</v>
      </c>
      <c r="N220" s="99">
        <f t="shared" si="44"/>
        <v>60.353310389737523</v>
      </c>
      <c r="O220" s="99">
        <f t="shared" si="45"/>
        <v>71.826414939073771</v>
      </c>
      <c r="P220" s="131">
        <v>0.9</v>
      </c>
      <c r="Q220" s="186">
        <f t="shared" ref="Q220:R223" si="49">N220*$P220</f>
        <v>54.317979350763771</v>
      </c>
      <c r="R220" s="186">
        <f t="shared" si="49"/>
        <v>64.643773445166403</v>
      </c>
      <c r="S220" s="151" t="s">
        <v>2542</v>
      </c>
      <c r="T220" s="51" t="s">
        <v>3086</v>
      </c>
      <c r="U220" s="151" t="s">
        <v>2543</v>
      </c>
      <c r="V220" s="51" t="s">
        <v>2196</v>
      </c>
      <c r="W220" s="19"/>
      <c r="X220" s="19"/>
      <c r="Y220" s="99">
        <v>816</v>
      </c>
    </row>
    <row r="221" spans="2:31" ht="20" x14ac:dyDescent="0.2">
      <c r="B221" s="150" t="s">
        <v>1297</v>
      </c>
      <c r="C221" s="33" t="s">
        <v>106</v>
      </c>
      <c r="D221" s="33" t="s">
        <v>2876</v>
      </c>
      <c r="E221" s="175">
        <v>1</v>
      </c>
      <c r="F221" s="151" t="s">
        <v>1128</v>
      </c>
      <c r="G221" s="152">
        <v>2.64824E-2</v>
      </c>
      <c r="H221" s="152">
        <v>1.6347160493827159E-2</v>
      </c>
      <c r="I221" s="175">
        <v>69</v>
      </c>
      <c r="J221" s="266">
        <f>_xlfn.XLOOKUP($I221,Inputs!$C$6:$C$23,Inputs!$D$6:$D$23)*$G221</f>
        <v>1.0176808000000001E-2</v>
      </c>
      <c r="K221" s="255"/>
      <c r="L221" s="186">
        <v>490</v>
      </c>
      <c r="M221" s="186">
        <v>590</v>
      </c>
      <c r="N221" s="99">
        <f t="shared" si="44"/>
        <v>58.560637803903738</v>
      </c>
      <c r="O221" s="99">
        <f t="shared" si="45"/>
        <v>70.51178837612899</v>
      </c>
      <c r="P221" s="131">
        <v>0.9</v>
      </c>
      <c r="Q221" s="186">
        <f t="shared" si="49"/>
        <v>52.704574023513366</v>
      </c>
      <c r="R221" s="186">
        <f t="shared" si="49"/>
        <v>63.460609538516096</v>
      </c>
      <c r="S221" s="151" t="s">
        <v>2552</v>
      </c>
      <c r="T221" s="51" t="s">
        <v>2208</v>
      </c>
      <c r="U221" s="151" t="s">
        <v>1629</v>
      </c>
      <c r="V221" s="51" t="s">
        <v>3395</v>
      </c>
      <c r="W221" s="19"/>
      <c r="X221" s="19"/>
      <c r="Y221" s="99">
        <v>843</v>
      </c>
      <c r="AA221" s="29"/>
      <c r="AC221" s="29"/>
      <c r="AD221" s="29"/>
      <c r="AE221" s="29"/>
    </row>
    <row r="222" spans="2:31" ht="20" x14ac:dyDescent="0.2">
      <c r="B222" s="150" t="s">
        <v>1295</v>
      </c>
      <c r="C222" s="33" t="s">
        <v>106</v>
      </c>
      <c r="D222" s="33" t="s">
        <v>2876</v>
      </c>
      <c r="E222" s="175">
        <v>1</v>
      </c>
      <c r="F222" s="151" t="s">
        <v>1128</v>
      </c>
      <c r="G222" s="152">
        <v>3</v>
      </c>
      <c r="H222" s="152">
        <v>1.8518518518518516</v>
      </c>
      <c r="I222" s="175">
        <v>69</v>
      </c>
      <c r="J222" s="266">
        <f>_xlfn.XLOOKUP($I222,Inputs!$C$6:$C$23,Inputs!$D$6:$D$23)*$G222</f>
        <v>1.1528571428571428</v>
      </c>
      <c r="K222" s="255"/>
      <c r="L222" s="186">
        <v>349</v>
      </c>
      <c r="M222" s="186">
        <v>453</v>
      </c>
      <c r="N222" s="99">
        <f t="shared" si="44"/>
        <v>41.709515497066128</v>
      </c>
      <c r="O222" s="99">
        <f t="shared" si="45"/>
        <v>54.138712092180391</v>
      </c>
      <c r="P222" s="131">
        <v>0.9</v>
      </c>
      <c r="Q222" s="186">
        <f t="shared" si="49"/>
        <v>37.538563947359513</v>
      </c>
      <c r="R222" s="186">
        <f t="shared" si="49"/>
        <v>48.724840882962354</v>
      </c>
      <c r="S222" s="151" t="s">
        <v>2551</v>
      </c>
      <c r="T222" s="51" t="s">
        <v>2209</v>
      </c>
      <c r="U222" s="151" t="s">
        <v>2552</v>
      </c>
      <c r="V222" s="51" t="s">
        <v>2208</v>
      </c>
      <c r="W222" s="19"/>
      <c r="X222" s="19"/>
      <c r="Y222" s="99">
        <v>842</v>
      </c>
      <c r="AA222" s="29"/>
      <c r="AC222" s="29"/>
      <c r="AD222" s="29"/>
      <c r="AE222" s="29"/>
    </row>
    <row r="223" spans="2:31" s="165" customFormat="1" ht="20" x14ac:dyDescent="0.2">
      <c r="B223" s="150" t="s">
        <v>1320</v>
      </c>
      <c r="C223" s="33" t="s">
        <v>106</v>
      </c>
      <c r="D223" s="33" t="s">
        <v>2876</v>
      </c>
      <c r="E223" s="175">
        <v>1</v>
      </c>
      <c r="F223" s="151" t="s">
        <v>1128</v>
      </c>
      <c r="G223" s="152">
        <v>3</v>
      </c>
      <c r="H223" s="152">
        <v>1.8518518518518516</v>
      </c>
      <c r="I223" s="175">
        <v>69</v>
      </c>
      <c r="J223" s="266">
        <f>_xlfn.XLOOKUP($I223,Inputs!$C$6:$C$23,Inputs!$D$6:$D$23)*$G223</f>
        <v>1.1528571428571428</v>
      </c>
      <c r="K223" s="255"/>
      <c r="L223" s="186">
        <v>115</v>
      </c>
      <c r="M223" s="186">
        <v>201</v>
      </c>
      <c r="N223" s="99">
        <f t="shared" si="44"/>
        <v>13.743823158059042</v>
      </c>
      <c r="O223" s="99">
        <f t="shared" si="45"/>
        <v>24.021812650172755</v>
      </c>
      <c r="P223" s="131">
        <v>0.9</v>
      </c>
      <c r="Q223" s="186">
        <f t="shared" si="49"/>
        <v>12.369440842253137</v>
      </c>
      <c r="R223" s="186">
        <f t="shared" si="49"/>
        <v>21.619631385155479</v>
      </c>
      <c r="S223" s="151" t="s">
        <v>2564</v>
      </c>
      <c r="T223" s="51" t="s">
        <v>2223</v>
      </c>
      <c r="U223" s="151" t="s">
        <v>2565</v>
      </c>
      <c r="V223" s="51" t="s">
        <v>2224</v>
      </c>
      <c r="W223" s="19"/>
      <c r="X223" s="19"/>
      <c r="Y223" s="99">
        <v>881</v>
      </c>
    </row>
    <row r="224" spans="2:31" s="165" customFormat="1" ht="20" x14ac:dyDescent="0.2">
      <c r="B224" s="151" t="s">
        <v>1534</v>
      </c>
      <c r="C224" s="33" t="s">
        <v>106</v>
      </c>
      <c r="D224" s="33" t="s">
        <v>2876</v>
      </c>
      <c r="E224" s="175">
        <v>1</v>
      </c>
      <c r="F224" s="151" t="s">
        <v>1128</v>
      </c>
      <c r="G224" s="174">
        <v>2</v>
      </c>
      <c r="H224" s="152">
        <v>1.2345679012345678</v>
      </c>
      <c r="I224" s="175">
        <v>69</v>
      </c>
      <c r="J224" s="266">
        <f>_xlfn.XLOOKUP($I224,Inputs!$C$6:$C$23,Inputs!$D$6:$D$23)*$G224</f>
        <v>0.76857142857142857</v>
      </c>
      <c r="K224" s="267">
        <f>IF((42.4*(H224)^(-0.6595))&gt;=3,3,(IF(42.4*(H224)^(-0.6595)&lt;=0.5,0.5,(42.4*(H224)^(-0.6595)))))</f>
        <v>3</v>
      </c>
      <c r="L224" s="99"/>
      <c r="M224" s="99"/>
      <c r="N224" s="99">
        <f t="shared" si="44"/>
        <v>0</v>
      </c>
      <c r="O224" s="99">
        <f t="shared" si="45"/>
        <v>0</v>
      </c>
      <c r="P224" s="131">
        <v>0.9</v>
      </c>
      <c r="Q224" s="305">
        <f>_xlfn.XLOOKUP($I224,Inputs!$G$6:$G$23,Inputs!J$6:J$23)*$K224</f>
        <v>36</v>
      </c>
      <c r="R224" s="305">
        <f>_xlfn.XLOOKUP($I224,Inputs!$G$6:$G$23,Inputs!K$6:K$23)*$K224</f>
        <v>39</v>
      </c>
      <c r="S224" s="151" t="s">
        <v>2565</v>
      </c>
      <c r="T224" s="51" t="s">
        <v>2224</v>
      </c>
      <c r="U224" s="151" t="s">
        <v>2565</v>
      </c>
      <c r="V224" s="51" t="s">
        <v>2224</v>
      </c>
      <c r="W224" s="19"/>
      <c r="X224" s="19"/>
      <c r="Y224" s="99">
        <v>882</v>
      </c>
    </row>
    <row r="225" spans="2:31" s="165" customFormat="1" ht="20" x14ac:dyDescent="0.2">
      <c r="B225" s="230" t="s">
        <v>2730</v>
      </c>
      <c r="C225" s="51" t="s">
        <v>173</v>
      </c>
      <c r="D225" s="33" t="s">
        <v>2876</v>
      </c>
      <c r="E225" s="231">
        <v>1</v>
      </c>
      <c r="F225" s="230" t="s">
        <v>1128</v>
      </c>
      <c r="G225" s="232">
        <v>57.5</v>
      </c>
      <c r="H225" s="232">
        <v>35.493827160493822</v>
      </c>
      <c r="I225" s="231">
        <v>63</v>
      </c>
      <c r="J225" s="266">
        <f>_xlfn.XLOOKUP($I225,Inputs!$C$6:$C$23,Inputs!$D$6:$D$23)*$G225</f>
        <v>21.85</v>
      </c>
      <c r="K225" s="267">
        <f>IF((42.4*(H225)^(-0.6595))&gt;=3,3,(IF(42.4*(H225)^(-0.6595)&lt;=0.5,0.5,(42.4*(H225)^(-0.6595)))))</f>
        <v>3</v>
      </c>
      <c r="L225" s="99"/>
      <c r="M225" s="99"/>
      <c r="N225" s="99"/>
      <c r="O225" s="99"/>
      <c r="P225" s="69"/>
      <c r="Q225" s="305">
        <f>_xlfn.XLOOKUP($I225,Inputs!$G$6:$G$23,Inputs!J$6:J$23)*$K225</f>
        <v>29.767499999999998</v>
      </c>
      <c r="R225" s="305">
        <f>_xlfn.XLOOKUP($I225,Inputs!$G$6:$G$23,Inputs!K$6:K$23)*$K225</f>
        <v>32.532786885245905</v>
      </c>
      <c r="S225" s="230" t="s">
        <v>2326</v>
      </c>
      <c r="T225" s="51" t="s">
        <v>3162</v>
      </c>
      <c r="U225" s="230" t="s">
        <v>2729</v>
      </c>
      <c r="V225" s="51" t="s">
        <v>3234</v>
      </c>
      <c r="W225" s="19"/>
      <c r="X225" s="19"/>
      <c r="Y225" s="99">
        <v>1083</v>
      </c>
    </row>
    <row r="226" spans="2:31" s="165" customFormat="1" ht="20" x14ac:dyDescent="0.2">
      <c r="B226" s="230" t="s">
        <v>2728</v>
      </c>
      <c r="C226" s="51" t="s">
        <v>173</v>
      </c>
      <c r="D226" s="33" t="s">
        <v>2876</v>
      </c>
      <c r="E226" s="231">
        <v>1</v>
      </c>
      <c r="F226" s="230" t="s">
        <v>1128</v>
      </c>
      <c r="G226" s="232">
        <v>5</v>
      </c>
      <c r="H226" s="232">
        <v>3.0864197530864197</v>
      </c>
      <c r="I226" s="231">
        <v>63</v>
      </c>
      <c r="J226" s="266">
        <f>_xlfn.XLOOKUP($I226,Inputs!$C$6:$C$23,Inputs!$D$6:$D$23)*$G226</f>
        <v>1.9</v>
      </c>
      <c r="K226" s="267">
        <f>IF((42.4*(H226)^(-0.6595))&gt;=3,3,(IF(42.4*(H226)^(-0.6595)&lt;=0.5,0.5,(42.4*(H226)^(-0.6595)))))</f>
        <v>3</v>
      </c>
      <c r="L226" s="99"/>
      <c r="M226" s="99"/>
      <c r="N226" s="99"/>
      <c r="O226" s="99"/>
      <c r="P226" s="69"/>
      <c r="Q226" s="305">
        <f>_xlfn.XLOOKUP($I226,Inputs!$G$6:$G$23,Inputs!J$6:J$23)*$K226</f>
        <v>29.767499999999998</v>
      </c>
      <c r="R226" s="305">
        <f>_xlfn.XLOOKUP($I226,Inputs!$G$6:$G$23,Inputs!K$6:K$23)*$K226</f>
        <v>32.532786885245905</v>
      </c>
      <c r="S226" s="230" t="s">
        <v>2727</v>
      </c>
      <c r="T226" s="51" t="s">
        <v>3237</v>
      </c>
      <c r="U226" s="230" t="s">
        <v>2729</v>
      </c>
      <c r="V226" s="51" t="s">
        <v>3234</v>
      </c>
      <c r="W226" s="19"/>
      <c r="X226" s="19"/>
      <c r="Y226" s="99">
        <v>1089</v>
      </c>
    </row>
    <row r="227" spans="2:31" ht="20" x14ac:dyDescent="0.2">
      <c r="B227" s="150" t="s">
        <v>541</v>
      </c>
      <c r="C227" s="33" t="s">
        <v>106</v>
      </c>
      <c r="D227" s="33" t="s">
        <v>2876</v>
      </c>
      <c r="E227" s="175">
        <v>1</v>
      </c>
      <c r="F227" s="151" t="s">
        <v>1128</v>
      </c>
      <c r="G227" s="152">
        <v>6.3907881</v>
      </c>
      <c r="H227" s="152">
        <v>3.9449309259259255</v>
      </c>
      <c r="I227" s="175">
        <v>230</v>
      </c>
      <c r="J227" s="266">
        <f>_xlfn.XLOOKUP($I227,Inputs!$C$6:$C$23,Inputs!$D$6:$D$23)*$G227</f>
        <v>3.067578288</v>
      </c>
      <c r="K227" s="255"/>
      <c r="L227" s="186">
        <v>2050</v>
      </c>
      <c r="M227" s="186">
        <v>2560</v>
      </c>
      <c r="N227" s="99">
        <f t="shared" ref="N227:O231" si="50">(SQRT(3)*L227*$I227)/1000</f>
        <v>816.66195576872565</v>
      </c>
      <c r="O227" s="99">
        <f t="shared" si="50"/>
        <v>1019.8315154965547</v>
      </c>
      <c r="P227" s="131">
        <v>0.9</v>
      </c>
      <c r="Q227" s="186">
        <f t="shared" ref="Q227:R231" si="51">N227*$P227</f>
        <v>734.99576019185315</v>
      </c>
      <c r="R227" s="186">
        <f t="shared" si="51"/>
        <v>917.84836394689933</v>
      </c>
      <c r="S227" s="151" t="s">
        <v>1779</v>
      </c>
      <c r="T227" s="51" t="s">
        <v>3288</v>
      </c>
      <c r="U227" s="151" t="s">
        <v>1630</v>
      </c>
      <c r="V227" s="51" t="s">
        <v>3235</v>
      </c>
      <c r="W227" s="19"/>
      <c r="X227" s="19"/>
      <c r="Y227" s="99">
        <v>379</v>
      </c>
      <c r="AA227" s="29"/>
      <c r="AC227" s="29"/>
      <c r="AD227" s="29"/>
      <c r="AE227" s="29"/>
    </row>
    <row r="228" spans="2:31" s="185" customFormat="1" ht="20" x14ac:dyDescent="0.2">
      <c r="B228" s="150" t="s">
        <v>552</v>
      </c>
      <c r="C228" s="33" t="s">
        <v>106</v>
      </c>
      <c r="D228" s="33" t="s">
        <v>2876</v>
      </c>
      <c r="E228" s="175">
        <v>1</v>
      </c>
      <c r="F228" s="151" t="s">
        <v>1128</v>
      </c>
      <c r="G228" s="152">
        <v>6.3461362000000001</v>
      </c>
      <c r="H228" s="152">
        <v>3.917368024691358</v>
      </c>
      <c r="I228" s="175">
        <v>230</v>
      </c>
      <c r="J228" s="266">
        <f>_xlfn.XLOOKUP($I228,Inputs!$C$6:$C$23,Inputs!$D$6:$D$23)*$G228</f>
        <v>3.0461453760000001</v>
      </c>
      <c r="K228" s="255"/>
      <c r="L228" s="186">
        <v>2050</v>
      </c>
      <c r="M228" s="186">
        <v>2560</v>
      </c>
      <c r="N228" s="99">
        <f t="shared" si="50"/>
        <v>816.66195576872565</v>
      </c>
      <c r="O228" s="99">
        <f t="shared" si="50"/>
        <v>1019.8315154965547</v>
      </c>
      <c r="P228" s="131">
        <v>0.9</v>
      </c>
      <c r="Q228" s="186">
        <f t="shared" si="51"/>
        <v>734.99576019185315</v>
      </c>
      <c r="R228" s="186">
        <f t="shared" si="51"/>
        <v>917.84836394689933</v>
      </c>
      <c r="S228" s="151" t="s">
        <v>1779</v>
      </c>
      <c r="T228" s="51" t="s">
        <v>3288</v>
      </c>
      <c r="U228" s="151" t="s">
        <v>1630</v>
      </c>
      <c r="V228" s="51" t="s">
        <v>3235</v>
      </c>
      <c r="W228" s="19"/>
      <c r="X228" s="19"/>
      <c r="Y228" s="99">
        <v>395</v>
      </c>
    </row>
    <row r="229" spans="2:31" s="185" customFormat="1" ht="20" x14ac:dyDescent="0.2">
      <c r="B229" s="150" t="s">
        <v>1133</v>
      </c>
      <c r="C229" s="33" t="s">
        <v>106</v>
      </c>
      <c r="D229" s="33" t="s">
        <v>2876</v>
      </c>
      <c r="E229" s="175">
        <v>1</v>
      </c>
      <c r="F229" s="151" t="s">
        <v>1128</v>
      </c>
      <c r="G229" s="152">
        <v>2</v>
      </c>
      <c r="H229" s="152">
        <v>1.2345679012345678</v>
      </c>
      <c r="I229" s="175">
        <v>69</v>
      </c>
      <c r="J229" s="266">
        <f>_xlfn.XLOOKUP($I229,Inputs!$C$6:$C$23,Inputs!$D$6:$D$23)*$G229</f>
        <v>0.76857142857142857</v>
      </c>
      <c r="K229" s="255"/>
      <c r="L229" s="186">
        <v>732</v>
      </c>
      <c r="M229" s="186">
        <v>875</v>
      </c>
      <c r="N229" s="99">
        <f t="shared" si="50"/>
        <v>87.482422188688858</v>
      </c>
      <c r="O229" s="99">
        <f t="shared" si="50"/>
        <v>104.57256750697096</v>
      </c>
      <c r="P229" s="131">
        <v>0.9</v>
      </c>
      <c r="Q229" s="186">
        <f t="shared" si="51"/>
        <v>78.734179969819976</v>
      </c>
      <c r="R229" s="186">
        <f t="shared" si="51"/>
        <v>94.115310756273857</v>
      </c>
      <c r="S229" s="151" t="s">
        <v>2482</v>
      </c>
      <c r="T229" s="51" t="s">
        <v>2136</v>
      </c>
      <c r="U229" s="151" t="s">
        <v>1630</v>
      </c>
      <c r="V229" s="51" t="s">
        <v>3235</v>
      </c>
      <c r="W229" s="19"/>
      <c r="X229" s="19"/>
      <c r="Y229" s="99">
        <v>559</v>
      </c>
    </row>
    <row r="230" spans="2:31" s="193" customFormat="1" ht="20" x14ac:dyDescent="0.2">
      <c r="B230" s="150" t="s">
        <v>1136</v>
      </c>
      <c r="C230" s="33" t="s">
        <v>106</v>
      </c>
      <c r="D230" s="33" t="s">
        <v>2876</v>
      </c>
      <c r="E230" s="175">
        <v>1</v>
      </c>
      <c r="F230" s="151" t="s">
        <v>1128</v>
      </c>
      <c r="G230" s="152">
        <v>15.53</v>
      </c>
      <c r="H230" s="152">
        <v>9.5864197530864192</v>
      </c>
      <c r="I230" s="175">
        <v>69</v>
      </c>
      <c r="J230" s="266">
        <f>_xlfn.XLOOKUP($I230,Inputs!$C$6:$C$23,Inputs!$D$6:$D$23)*$G230</f>
        <v>5.9679571428571423</v>
      </c>
      <c r="K230" s="255"/>
      <c r="L230" s="186">
        <v>580</v>
      </c>
      <c r="M230" s="186">
        <v>740</v>
      </c>
      <c r="N230" s="99">
        <f t="shared" si="50"/>
        <v>69.316673318906467</v>
      </c>
      <c r="O230" s="99">
        <f t="shared" si="50"/>
        <v>88.438514234466865</v>
      </c>
      <c r="P230" s="131">
        <v>0.9</v>
      </c>
      <c r="Q230" s="186">
        <f t="shared" si="51"/>
        <v>62.385005987015823</v>
      </c>
      <c r="R230" s="186">
        <f t="shared" si="51"/>
        <v>79.594662811020186</v>
      </c>
      <c r="S230" s="151" t="s">
        <v>2481</v>
      </c>
      <c r="T230" s="51" t="s">
        <v>2137</v>
      </c>
      <c r="U230" s="151" t="s">
        <v>1630</v>
      </c>
      <c r="V230" s="51" t="s">
        <v>3235</v>
      </c>
      <c r="W230" s="19"/>
      <c r="X230" s="19"/>
      <c r="Y230" s="99">
        <v>562</v>
      </c>
    </row>
    <row r="231" spans="2:31" s="165" customFormat="1" ht="20" x14ac:dyDescent="0.2">
      <c r="B231" s="150" t="s">
        <v>1159</v>
      </c>
      <c r="C231" s="33" t="s">
        <v>106</v>
      </c>
      <c r="D231" s="33" t="s">
        <v>2876</v>
      </c>
      <c r="E231" s="175">
        <v>1</v>
      </c>
      <c r="F231" s="151" t="s">
        <v>1128</v>
      </c>
      <c r="G231" s="152">
        <v>2</v>
      </c>
      <c r="H231" s="152">
        <v>1.2345679012345678</v>
      </c>
      <c r="I231" s="175">
        <v>69</v>
      </c>
      <c r="J231" s="266">
        <f>_xlfn.XLOOKUP($I231,Inputs!$C$6:$C$23,Inputs!$D$6:$D$23)*$G231</f>
        <v>0.76857142857142857</v>
      </c>
      <c r="K231" s="255"/>
      <c r="L231" s="186">
        <v>580</v>
      </c>
      <c r="M231" s="186">
        <v>740</v>
      </c>
      <c r="N231" s="99">
        <f t="shared" si="50"/>
        <v>69.316673318906467</v>
      </c>
      <c r="O231" s="99">
        <f t="shared" si="50"/>
        <v>88.438514234466865</v>
      </c>
      <c r="P231" s="131">
        <v>0.9</v>
      </c>
      <c r="Q231" s="186">
        <f t="shared" si="51"/>
        <v>62.385005987015823</v>
      </c>
      <c r="R231" s="186">
        <f t="shared" si="51"/>
        <v>79.594662811020186</v>
      </c>
      <c r="S231" s="151" t="s">
        <v>2482</v>
      </c>
      <c r="T231" s="51" t="s">
        <v>2136</v>
      </c>
      <c r="U231" s="151" t="s">
        <v>1630</v>
      </c>
      <c r="V231" s="51" t="s">
        <v>3235</v>
      </c>
      <c r="W231" s="19"/>
      <c r="X231" s="19"/>
      <c r="Y231" s="99">
        <v>612</v>
      </c>
    </row>
    <row r="232" spans="2:31" s="165" customFormat="1" ht="20" x14ac:dyDescent="0.2">
      <c r="B232" s="230" t="s">
        <v>2734</v>
      </c>
      <c r="C232" s="51" t="s">
        <v>173</v>
      </c>
      <c r="D232" s="33" t="s">
        <v>2876</v>
      </c>
      <c r="E232" s="231">
        <v>1</v>
      </c>
      <c r="F232" s="230" t="s">
        <v>1128</v>
      </c>
      <c r="G232" s="232">
        <v>1.5</v>
      </c>
      <c r="H232" s="232">
        <v>0.92592592592592582</v>
      </c>
      <c r="I232" s="231">
        <v>63</v>
      </c>
      <c r="J232" s="266">
        <f>_xlfn.XLOOKUP($I232,Inputs!$C$6:$C$23,Inputs!$D$6:$D$23)*$G232</f>
        <v>0.57000000000000006</v>
      </c>
      <c r="K232" s="267">
        <f>IF((42.4*(H232)^(-0.6595))&gt;=3,3,(IF(42.4*(H232)^(-0.6595)&lt;=0.5,0.5,(42.4*(H232)^(-0.6595)))))</f>
        <v>3</v>
      </c>
      <c r="L232" s="99"/>
      <c r="M232" s="99"/>
      <c r="N232" s="99"/>
      <c r="O232" s="99"/>
      <c r="P232" s="69"/>
      <c r="Q232" s="305">
        <f>_xlfn.XLOOKUP($I232,Inputs!$G$6:$G$23,Inputs!J$6:J$23)*$K232</f>
        <v>29.767499999999998</v>
      </c>
      <c r="R232" s="305">
        <f>_xlfn.XLOOKUP($I232,Inputs!$G$6:$G$23,Inputs!K$6:K$23)*$K232</f>
        <v>32.532786885245905</v>
      </c>
      <c r="S232" s="230" t="s">
        <v>3584</v>
      </c>
      <c r="T232" s="51" t="s">
        <v>3585</v>
      </c>
      <c r="U232" s="230" t="s">
        <v>2721</v>
      </c>
      <c r="V232" s="51" t="s">
        <v>3109</v>
      </c>
      <c r="W232" s="19"/>
      <c r="X232" s="19"/>
      <c r="Y232" s="99">
        <v>1065</v>
      </c>
    </row>
    <row r="233" spans="2:31" ht="20" x14ac:dyDescent="0.2">
      <c r="B233" s="230" t="s">
        <v>2733</v>
      </c>
      <c r="C233" s="51" t="s">
        <v>173</v>
      </c>
      <c r="D233" s="33" t="s">
        <v>2876</v>
      </c>
      <c r="E233" s="231">
        <v>1</v>
      </c>
      <c r="F233" s="230" t="s">
        <v>1128</v>
      </c>
      <c r="G233" s="232">
        <v>4</v>
      </c>
      <c r="H233" s="232">
        <v>2.4691358024691357</v>
      </c>
      <c r="I233" s="231">
        <v>63</v>
      </c>
      <c r="J233" s="266">
        <f>_xlfn.XLOOKUP($I233,Inputs!$C$6:$C$23,Inputs!$D$6:$D$23)*$G233</f>
        <v>1.52</v>
      </c>
      <c r="K233" s="267">
        <f>IF((42.4*(H233)^(-0.6595))&gt;=3,3,(IF(42.4*(H233)^(-0.6595)&lt;=0.5,0.5,(42.4*(H233)^(-0.6595)))))</f>
        <v>3</v>
      </c>
      <c r="L233" s="99"/>
      <c r="M233" s="99"/>
      <c r="N233" s="99"/>
      <c r="O233" s="99"/>
      <c r="P233" s="69"/>
      <c r="Q233" s="305">
        <f>_xlfn.XLOOKUP($I233,Inputs!$G$6:$G$23,Inputs!J$6:J$23)*$K233</f>
        <v>29.767499999999998</v>
      </c>
      <c r="R233" s="305">
        <f>_xlfn.XLOOKUP($I233,Inputs!$G$6:$G$23,Inputs!K$6:K$23)*$K233</f>
        <v>32.532786885245905</v>
      </c>
      <c r="S233" s="230" t="s">
        <v>2326</v>
      </c>
      <c r="T233" s="51" t="s">
        <v>3162</v>
      </c>
      <c r="U233" s="230" t="s">
        <v>2721</v>
      </c>
      <c r="V233" s="51" t="s">
        <v>3109</v>
      </c>
      <c r="W233" s="19"/>
      <c r="X233" s="19"/>
      <c r="Y233" s="99">
        <v>1066</v>
      </c>
      <c r="AA233" s="29"/>
      <c r="AC233" s="29"/>
      <c r="AD233" s="29"/>
      <c r="AE233" s="29"/>
    </row>
    <row r="234" spans="2:31" s="165" customFormat="1" ht="20" x14ac:dyDescent="0.2">
      <c r="B234" s="230" t="s">
        <v>2715</v>
      </c>
      <c r="C234" s="51" t="s">
        <v>173</v>
      </c>
      <c r="D234" s="33" t="s">
        <v>2876</v>
      </c>
      <c r="E234" s="231">
        <v>1</v>
      </c>
      <c r="F234" s="230" t="s">
        <v>1128</v>
      </c>
      <c r="G234" s="232">
        <v>10</v>
      </c>
      <c r="H234" s="232">
        <v>6.1728395061728394</v>
      </c>
      <c r="I234" s="231">
        <v>63</v>
      </c>
      <c r="J234" s="266">
        <f>_xlfn.XLOOKUP($I234,Inputs!$C$6:$C$23,Inputs!$D$6:$D$23)*$G234</f>
        <v>3.8</v>
      </c>
      <c r="K234" s="267">
        <f>IF((42.4*(H234)^(-0.6595))&gt;=3,3,(IF(42.4*(H234)^(-0.6595)&lt;=0.5,0.5,(42.4*(H234)^(-0.6595)))))</f>
        <v>3</v>
      </c>
      <c r="L234" s="99"/>
      <c r="M234" s="99"/>
      <c r="N234" s="99"/>
      <c r="O234" s="99"/>
      <c r="P234" s="69"/>
      <c r="Q234" s="305">
        <f>_xlfn.XLOOKUP($I234,Inputs!$G$6:$G$23,Inputs!J$6:J$23)*$K234</f>
        <v>29.767499999999998</v>
      </c>
      <c r="R234" s="305">
        <f>_xlfn.XLOOKUP($I234,Inputs!$G$6:$G$23,Inputs!K$6:K$23)*$K234</f>
        <v>32.532786885245905</v>
      </c>
      <c r="S234" s="230" t="s">
        <v>2720</v>
      </c>
      <c r="T234" s="51" t="s">
        <v>2761</v>
      </c>
      <c r="U234" s="230" t="s">
        <v>2721</v>
      </c>
      <c r="V234" s="51" t="s">
        <v>3109</v>
      </c>
      <c r="W234" s="19"/>
      <c r="X234" s="19" t="s">
        <v>3731</v>
      </c>
      <c r="Y234" s="99">
        <v>1081</v>
      </c>
    </row>
    <row r="235" spans="2:31" s="165" customFormat="1" ht="20" x14ac:dyDescent="0.2">
      <c r="B235" s="230" t="s">
        <v>2715</v>
      </c>
      <c r="C235" s="51" t="s">
        <v>173</v>
      </c>
      <c r="D235" s="33" t="s">
        <v>2876</v>
      </c>
      <c r="E235" s="231">
        <v>1</v>
      </c>
      <c r="F235" s="230" t="s">
        <v>1128</v>
      </c>
      <c r="G235" s="232">
        <v>17.5</v>
      </c>
      <c r="H235" s="232">
        <v>10.802469135802468</v>
      </c>
      <c r="I235" s="231">
        <v>63</v>
      </c>
      <c r="J235" s="266">
        <f>_xlfn.XLOOKUP($I235,Inputs!$C$6:$C$23,Inputs!$D$6:$D$23)*$G235</f>
        <v>6.65</v>
      </c>
      <c r="K235" s="267">
        <f>IF((42.4*(H235)^(-0.6595))&gt;=3,3,(IF(42.4*(H235)^(-0.6595)&lt;=0.5,0.5,(42.4*(H235)^(-0.6595)))))</f>
        <v>3</v>
      </c>
      <c r="L235" s="99"/>
      <c r="M235" s="99"/>
      <c r="N235" s="99"/>
      <c r="O235" s="99"/>
      <c r="P235" s="69"/>
      <c r="Q235" s="305">
        <f>_xlfn.XLOOKUP($I235,Inputs!$G$6:$G$23,Inputs!J$6:J$23)*$K235</f>
        <v>29.767499999999998</v>
      </c>
      <c r="R235" s="305">
        <f>_xlfn.XLOOKUP($I235,Inputs!$G$6:$G$23,Inputs!K$6:K$23)*$K235</f>
        <v>32.532786885245905</v>
      </c>
      <c r="S235" s="230" t="s">
        <v>2716</v>
      </c>
      <c r="T235" s="51" t="s">
        <v>3357</v>
      </c>
      <c r="U235" s="230" t="s">
        <v>2717</v>
      </c>
      <c r="V235" s="51" t="s">
        <v>3236</v>
      </c>
      <c r="W235" s="19"/>
      <c r="X235" s="19"/>
      <c r="Y235" s="99">
        <v>1077</v>
      </c>
    </row>
    <row r="236" spans="2:31" ht="20" x14ac:dyDescent="0.2">
      <c r="B236" s="150" t="s">
        <v>1443</v>
      </c>
      <c r="C236" s="33" t="s">
        <v>106</v>
      </c>
      <c r="D236" s="33" t="s">
        <v>2876</v>
      </c>
      <c r="E236" s="175">
        <v>1</v>
      </c>
      <c r="F236" s="151" t="s">
        <v>1128</v>
      </c>
      <c r="G236" s="152">
        <v>1.6115352000000001</v>
      </c>
      <c r="H236" s="152">
        <v>0.99477481481481478</v>
      </c>
      <c r="I236" s="175">
        <v>138</v>
      </c>
      <c r="J236" s="266">
        <f>_xlfn.XLOOKUP($I236,Inputs!$C$6:$C$23,Inputs!$D$6:$D$23)*$G236</f>
        <v>0.69871561885714295</v>
      </c>
      <c r="K236" s="267">
        <f>IF((42.4*(H236)^(-0.6595))&gt;=3,3,(IF(42.4*(H236)^(-0.6595)&lt;=0.5,0.5,(42.4*(H236)^(-0.6595)))))</f>
        <v>3</v>
      </c>
      <c r="L236" s="99"/>
      <c r="M236" s="99"/>
      <c r="N236" s="99">
        <f t="shared" ref="N236:O243" si="52">(SQRT(3)*L236*$I236)/1000</f>
        <v>0</v>
      </c>
      <c r="O236" s="99">
        <f t="shared" si="52"/>
        <v>0</v>
      </c>
      <c r="P236" s="131">
        <v>0.9</v>
      </c>
      <c r="Q236" s="305">
        <f>_xlfn.XLOOKUP($I236,Inputs!$G$6:$G$23,Inputs!J$6:J$23)*$K236</f>
        <v>141</v>
      </c>
      <c r="R236" s="305">
        <f>_xlfn.XLOOKUP($I236,Inputs!$G$6:$G$23,Inputs!K$6:K$23)*$K236</f>
        <v>156</v>
      </c>
      <c r="S236" s="151" t="s">
        <v>2438</v>
      </c>
      <c r="T236" s="51" t="s">
        <v>2091</v>
      </c>
      <c r="U236" s="151" t="s">
        <v>1631</v>
      </c>
      <c r="V236" s="51" t="s">
        <v>3397</v>
      </c>
      <c r="W236" s="19"/>
      <c r="X236" s="19"/>
      <c r="Y236" s="99">
        <v>229</v>
      </c>
      <c r="AA236" s="29"/>
      <c r="AC236" s="29"/>
      <c r="AD236" s="29"/>
      <c r="AE236" s="29"/>
    </row>
    <row r="237" spans="2:31" ht="20" x14ac:dyDescent="0.2">
      <c r="B237" s="150" t="s">
        <v>481</v>
      </c>
      <c r="C237" s="33" t="s">
        <v>106</v>
      </c>
      <c r="D237" s="33" t="s">
        <v>2876</v>
      </c>
      <c r="E237" s="175">
        <v>1</v>
      </c>
      <c r="F237" s="151" t="s">
        <v>1128</v>
      </c>
      <c r="G237" s="152">
        <v>20</v>
      </c>
      <c r="H237" s="152">
        <v>12.345679012345679</v>
      </c>
      <c r="I237" s="175">
        <v>138</v>
      </c>
      <c r="J237" s="266">
        <f>_xlfn.XLOOKUP($I237,Inputs!$C$6:$C$23,Inputs!$D$6:$D$23)*$G237</f>
        <v>8.6714285714285726</v>
      </c>
      <c r="K237" s="255"/>
      <c r="L237" s="186">
        <v>1076</v>
      </c>
      <c r="M237" s="186">
        <v>1351</v>
      </c>
      <c r="N237" s="99">
        <f t="shared" si="52"/>
        <v>257.18876031428744</v>
      </c>
      <c r="O237" s="99">
        <f t="shared" si="52"/>
        <v>322.92008846152635</v>
      </c>
      <c r="P237" s="131">
        <v>0.9</v>
      </c>
      <c r="Q237" s="186">
        <f t="shared" ref="Q237:R239" si="53">N237*$P237</f>
        <v>231.46988428285869</v>
      </c>
      <c r="R237" s="186">
        <f t="shared" si="53"/>
        <v>290.62807961537374</v>
      </c>
      <c r="S237" s="151" t="s">
        <v>1587</v>
      </c>
      <c r="T237" s="51" t="s">
        <v>3219</v>
      </c>
      <c r="U237" s="151" t="s">
        <v>2438</v>
      </c>
      <c r="V237" s="51" t="s">
        <v>2091</v>
      </c>
      <c r="W237" s="19"/>
      <c r="X237" s="19"/>
      <c r="Y237" s="99">
        <v>227</v>
      </c>
      <c r="AA237" s="29"/>
      <c r="AC237" s="29"/>
      <c r="AD237" s="29"/>
      <c r="AE237" s="29"/>
    </row>
    <row r="238" spans="2:31" ht="20" x14ac:dyDescent="0.2">
      <c r="B238" s="150" t="s">
        <v>1544</v>
      </c>
      <c r="C238" s="33" t="s">
        <v>106</v>
      </c>
      <c r="D238" s="33" t="s">
        <v>2876</v>
      </c>
      <c r="E238" s="175">
        <v>1</v>
      </c>
      <c r="F238" s="151" t="s">
        <v>1128</v>
      </c>
      <c r="G238" s="152">
        <v>0.50982139999999998</v>
      </c>
      <c r="H238" s="152">
        <v>0.31470456790123452</v>
      </c>
      <c r="I238" s="175">
        <v>69</v>
      </c>
      <c r="J238" s="266">
        <f>_xlfn.XLOOKUP($I238,Inputs!$C$6:$C$23,Inputs!$D$6:$D$23)*$G238</f>
        <v>0.19591708085714285</v>
      </c>
      <c r="K238" s="255"/>
      <c r="L238" s="186">
        <v>540</v>
      </c>
      <c r="M238" s="186">
        <v>570</v>
      </c>
      <c r="N238" s="99">
        <f t="shared" si="52"/>
        <v>64.536213090016361</v>
      </c>
      <c r="O238" s="99">
        <f t="shared" si="52"/>
        <v>68.121558261683944</v>
      </c>
      <c r="P238" s="131">
        <v>0.9</v>
      </c>
      <c r="Q238" s="186">
        <f t="shared" si="53"/>
        <v>58.082591781014727</v>
      </c>
      <c r="R238" s="186">
        <f t="shared" si="53"/>
        <v>61.309402435515551</v>
      </c>
      <c r="S238" s="151" t="s">
        <v>2519</v>
      </c>
      <c r="T238" s="51" t="s">
        <v>2178</v>
      </c>
      <c r="U238" s="151" t="s">
        <v>1632</v>
      </c>
      <c r="V238" s="51" t="s">
        <v>3398</v>
      </c>
      <c r="W238" s="19"/>
      <c r="X238" s="19"/>
      <c r="Y238" s="99">
        <v>726</v>
      </c>
      <c r="AA238" s="29"/>
      <c r="AC238" s="29"/>
      <c r="AD238" s="29"/>
      <c r="AE238" s="29"/>
    </row>
    <row r="239" spans="2:31" ht="20" x14ac:dyDescent="0.2">
      <c r="B239" s="150" t="s">
        <v>1233</v>
      </c>
      <c r="C239" s="33" t="s">
        <v>106</v>
      </c>
      <c r="D239" s="33" t="s">
        <v>2876</v>
      </c>
      <c r="E239" s="175">
        <v>1</v>
      </c>
      <c r="F239" s="151" t="s">
        <v>1128</v>
      </c>
      <c r="G239" s="152">
        <v>4.7835842</v>
      </c>
      <c r="H239" s="152">
        <v>2.9528297530864194</v>
      </c>
      <c r="I239" s="175">
        <v>69</v>
      </c>
      <c r="J239" s="266">
        <f>_xlfn.XLOOKUP($I239,Inputs!$C$6:$C$23,Inputs!$D$6:$D$23)*$G239</f>
        <v>1.8382630711428571</v>
      </c>
      <c r="K239" s="255"/>
      <c r="L239" s="186">
        <v>730</v>
      </c>
      <c r="M239" s="186">
        <v>940</v>
      </c>
      <c r="N239" s="99">
        <f t="shared" si="52"/>
        <v>87.243399177244342</v>
      </c>
      <c r="O239" s="99">
        <f t="shared" si="52"/>
        <v>112.34081537891738</v>
      </c>
      <c r="P239" s="131">
        <v>0.9</v>
      </c>
      <c r="Q239" s="186">
        <f t="shared" si="53"/>
        <v>78.519059259519906</v>
      </c>
      <c r="R239" s="186">
        <f t="shared" si="53"/>
        <v>101.10673384102564</v>
      </c>
      <c r="S239" s="151" t="s">
        <v>1611</v>
      </c>
      <c r="T239" s="51" t="s">
        <v>3230</v>
      </c>
      <c r="U239" s="151" t="s">
        <v>2519</v>
      </c>
      <c r="V239" s="51" t="s">
        <v>2178</v>
      </c>
      <c r="W239" s="19"/>
      <c r="X239" s="19"/>
      <c r="Y239" s="99">
        <v>725</v>
      </c>
      <c r="AA239" s="29"/>
      <c r="AC239" s="29"/>
      <c r="AD239" s="29"/>
      <c r="AE239" s="29"/>
    </row>
    <row r="240" spans="2:31" s="165" customFormat="1" ht="20" x14ac:dyDescent="0.2">
      <c r="B240" s="150" t="s">
        <v>1134</v>
      </c>
      <c r="C240" s="33" t="s">
        <v>106</v>
      </c>
      <c r="D240" s="33" t="s">
        <v>2876</v>
      </c>
      <c r="E240" s="175">
        <v>1</v>
      </c>
      <c r="F240" s="151" t="s">
        <v>1128</v>
      </c>
      <c r="G240" s="152">
        <v>9.8764000000000005E-3</v>
      </c>
      <c r="H240" s="152">
        <v>6.0965432098765435E-3</v>
      </c>
      <c r="I240" s="175">
        <v>69</v>
      </c>
      <c r="J240" s="266">
        <f>_xlfn.XLOOKUP($I240,Inputs!$C$6:$C$23,Inputs!$D$6:$D$23)*$G240</f>
        <v>3.7953594285714287E-3</v>
      </c>
      <c r="K240" s="267">
        <f>IF((42.4*(H240)^(-0.6595))&gt;=3,3,(IF(42.4*(H240)^(-0.6595)&lt;=0.5,0.5,(42.4*(H240)^(-0.6595)))))</f>
        <v>3</v>
      </c>
      <c r="L240" s="99"/>
      <c r="M240" s="99"/>
      <c r="N240" s="99">
        <f t="shared" si="52"/>
        <v>0</v>
      </c>
      <c r="O240" s="99">
        <f t="shared" si="52"/>
        <v>0</v>
      </c>
      <c r="P240" s="131">
        <v>0.9</v>
      </c>
      <c r="Q240" s="305">
        <f>_xlfn.XLOOKUP($I240,Inputs!$G$6:$G$23,Inputs!J$6:J$23)*$K240</f>
        <v>36</v>
      </c>
      <c r="R240" s="305">
        <f>_xlfn.XLOOKUP($I240,Inputs!$G$6:$G$23,Inputs!K$6:K$23)*$K240</f>
        <v>39</v>
      </c>
      <c r="S240" s="151" t="s">
        <v>2482</v>
      </c>
      <c r="T240" s="51" t="s">
        <v>2136</v>
      </c>
      <c r="U240" s="151" t="s">
        <v>1633</v>
      </c>
      <c r="V240" s="51" t="s">
        <v>3400</v>
      </c>
      <c r="W240" s="19"/>
      <c r="X240" s="19"/>
      <c r="Y240" s="99">
        <v>558</v>
      </c>
    </row>
    <row r="241" spans="2:31" ht="20" x14ac:dyDescent="0.2">
      <c r="B241" s="150" t="s">
        <v>1160</v>
      </c>
      <c r="C241" s="33" t="s">
        <v>106</v>
      </c>
      <c r="D241" s="33" t="s">
        <v>2876</v>
      </c>
      <c r="E241" s="175">
        <v>1</v>
      </c>
      <c r="F241" s="151" t="s">
        <v>1128</v>
      </c>
      <c r="G241" s="152">
        <v>5.9494999999999999E-3</v>
      </c>
      <c r="H241" s="152">
        <v>3.6725308641975306E-3</v>
      </c>
      <c r="I241" s="175">
        <v>69</v>
      </c>
      <c r="J241" s="266">
        <f>_xlfn.XLOOKUP($I241,Inputs!$C$6:$C$23,Inputs!$D$6:$D$23)*$G241</f>
        <v>2.2863078571428571E-3</v>
      </c>
      <c r="K241" s="267">
        <f>IF((42.4*(H241)^(-0.6595))&gt;=3,3,(IF(42.4*(H241)^(-0.6595)&lt;=0.5,0.5,(42.4*(H241)^(-0.6595)))))</f>
        <v>3</v>
      </c>
      <c r="L241" s="99"/>
      <c r="M241" s="99"/>
      <c r="N241" s="99">
        <f t="shared" si="52"/>
        <v>0</v>
      </c>
      <c r="O241" s="99">
        <f t="shared" si="52"/>
        <v>0</v>
      </c>
      <c r="P241" s="131">
        <v>0.9</v>
      </c>
      <c r="Q241" s="305">
        <f>_xlfn.XLOOKUP($I241,Inputs!$G$6:$G$23,Inputs!J$6:J$23)*$K241</f>
        <v>36</v>
      </c>
      <c r="R241" s="305">
        <f>_xlfn.XLOOKUP($I241,Inputs!$G$6:$G$23,Inputs!K$6:K$23)*$K241</f>
        <v>39</v>
      </c>
      <c r="S241" s="151" t="s">
        <v>2482</v>
      </c>
      <c r="T241" s="51" t="s">
        <v>2136</v>
      </c>
      <c r="U241" s="151" t="s">
        <v>1633</v>
      </c>
      <c r="V241" s="51" t="s">
        <v>3400</v>
      </c>
      <c r="W241" s="19"/>
      <c r="X241" s="19"/>
      <c r="Y241" s="99">
        <v>611</v>
      </c>
      <c r="AA241" s="29"/>
      <c r="AC241" s="29"/>
      <c r="AD241" s="29"/>
      <c r="AE241" s="29"/>
    </row>
    <row r="242" spans="2:31" s="165" customFormat="1" ht="20" x14ac:dyDescent="0.2">
      <c r="B242" s="150" t="s">
        <v>1133</v>
      </c>
      <c r="C242" s="33" t="s">
        <v>106</v>
      </c>
      <c r="D242" s="33" t="s">
        <v>2876</v>
      </c>
      <c r="E242" s="175">
        <v>1</v>
      </c>
      <c r="F242" s="151" t="s">
        <v>1128</v>
      </c>
      <c r="G242" s="152">
        <v>12.49</v>
      </c>
      <c r="H242" s="152">
        <v>7.7098765432098766</v>
      </c>
      <c r="I242" s="175">
        <v>69</v>
      </c>
      <c r="J242" s="266">
        <f>_xlfn.XLOOKUP($I242,Inputs!$C$6:$C$23,Inputs!$D$6:$D$23)*$G242</f>
        <v>4.7997285714285711</v>
      </c>
      <c r="K242" s="255"/>
      <c r="L242" s="186">
        <v>400</v>
      </c>
      <c r="M242" s="186">
        <v>505</v>
      </c>
      <c r="N242" s="99">
        <f t="shared" si="52"/>
        <v>47.804602288901016</v>
      </c>
      <c r="O242" s="99">
        <f t="shared" si="52"/>
        <v>60.353310389737523</v>
      </c>
      <c r="P242" s="131">
        <v>0.9</v>
      </c>
      <c r="Q242" s="186">
        <f>N242*$P242</f>
        <v>43.024142060010917</v>
      </c>
      <c r="R242" s="186">
        <f>O242*$P242</f>
        <v>54.317979350763771</v>
      </c>
      <c r="S242" s="151" t="s">
        <v>2481</v>
      </c>
      <c r="T242" s="51" t="s">
        <v>2137</v>
      </c>
      <c r="U242" s="151" t="s">
        <v>2482</v>
      </c>
      <c r="V242" s="51" t="s">
        <v>2136</v>
      </c>
      <c r="W242" s="19"/>
      <c r="X242" s="19"/>
      <c r="Y242" s="99">
        <v>557</v>
      </c>
    </row>
    <row r="243" spans="2:31" ht="20" x14ac:dyDescent="0.2">
      <c r="B243" s="150" t="s">
        <v>1159</v>
      </c>
      <c r="C243" s="33" t="s">
        <v>106</v>
      </c>
      <c r="D243" s="33" t="s">
        <v>2876</v>
      </c>
      <c r="E243" s="175">
        <v>1</v>
      </c>
      <c r="F243" s="151" t="s">
        <v>1128</v>
      </c>
      <c r="G243" s="152">
        <v>2</v>
      </c>
      <c r="H243" s="152">
        <v>1.2345679012345678</v>
      </c>
      <c r="I243" s="175">
        <v>69</v>
      </c>
      <c r="J243" s="266">
        <f>_xlfn.XLOOKUP($I243,Inputs!$C$6:$C$23,Inputs!$D$6:$D$23)*$G243</f>
        <v>0.76857142857142857</v>
      </c>
      <c r="K243" s="255"/>
      <c r="L243" s="186">
        <v>580</v>
      </c>
      <c r="M243" s="186">
        <v>740</v>
      </c>
      <c r="N243" s="99">
        <f t="shared" si="52"/>
        <v>69.316673318906467</v>
      </c>
      <c r="O243" s="99">
        <f t="shared" si="52"/>
        <v>88.438514234466865</v>
      </c>
      <c r="P243" s="131">
        <v>0.9</v>
      </c>
      <c r="Q243" s="186">
        <f>N243*$P243</f>
        <v>62.385005987015823</v>
      </c>
      <c r="R243" s="186">
        <f>O243*$P243</f>
        <v>79.594662811020186</v>
      </c>
      <c r="S243" s="151" t="s">
        <v>2493</v>
      </c>
      <c r="T243" s="51" t="s">
        <v>2150</v>
      </c>
      <c r="U243" s="151" t="s">
        <v>2482</v>
      </c>
      <c r="V243" s="51" t="s">
        <v>2136</v>
      </c>
      <c r="W243" s="19"/>
      <c r="X243" s="19"/>
      <c r="Y243" s="99">
        <v>610</v>
      </c>
      <c r="AA243" s="29"/>
      <c r="AC243" s="29"/>
      <c r="AD243" s="29"/>
      <c r="AE243" s="29"/>
    </row>
    <row r="244" spans="2:31" ht="20" x14ac:dyDescent="0.2">
      <c r="B244" s="230" t="s">
        <v>2726</v>
      </c>
      <c r="C244" s="51" t="s">
        <v>173</v>
      </c>
      <c r="D244" s="33" t="s">
        <v>2876</v>
      </c>
      <c r="E244" s="231">
        <v>1</v>
      </c>
      <c r="F244" s="230" t="s">
        <v>1128</v>
      </c>
      <c r="G244" s="232">
        <v>67.5</v>
      </c>
      <c r="H244" s="232">
        <v>41.666666666666664</v>
      </c>
      <c r="I244" s="231">
        <v>63</v>
      </c>
      <c r="J244" s="266">
        <f>_xlfn.XLOOKUP($I244,Inputs!$C$6:$C$23,Inputs!$D$6:$D$23)*$G244</f>
        <v>25.65</v>
      </c>
      <c r="K244" s="267">
        <f>IF((42.4*(H244)^(-0.6595))&gt;=3,3,(IF(42.4*(H244)^(-0.6595)&lt;=0.5,0.5,(42.4*(H244)^(-0.6595)))))</f>
        <v>3</v>
      </c>
      <c r="L244" s="99"/>
      <c r="M244" s="99"/>
      <c r="N244" s="99"/>
      <c r="O244" s="99"/>
      <c r="P244" s="69"/>
      <c r="Q244" s="305">
        <f>_xlfn.XLOOKUP($I244,Inputs!$G$6:$G$23,Inputs!J$6:J$23)*$K244</f>
        <v>29.767499999999998</v>
      </c>
      <c r="R244" s="305">
        <f>_xlfn.XLOOKUP($I244,Inputs!$G$6:$G$23,Inputs!K$6:K$23)*$K244</f>
        <v>32.532786885245905</v>
      </c>
      <c r="S244" s="230" t="s">
        <v>1561</v>
      </c>
      <c r="T244" s="51" t="s">
        <v>3213</v>
      </c>
      <c r="U244" s="230" t="s">
        <v>2727</v>
      </c>
      <c r="V244" s="179" t="s">
        <v>3237</v>
      </c>
      <c r="W244" s="19"/>
      <c r="X244" s="19"/>
      <c r="Y244" s="99">
        <v>1085</v>
      </c>
      <c r="AA244" s="29"/>
      <c r="AC244" s="29"/>
      <c r="AD244" s="29"/>
      <c r="AE244" s="29"/>
    </row>
    <row r="245" spans="2:31" ht="20" x14ac:dyDescent="0.2">
      <c r="B245" s="150" t="s">
        <v>1298</v>
      </c>
      <c r="C245" s="33" t="s">
        <v>106</v>
      </c>
      <c r="D245" s="33" t="s">
        <v>2876</v>
      </c>
      <c r="E245" s="175">
        <v>1</v>
      </c>
      <c r="F245" s="151" t="s">
        <v>1128</v>
      </c>
      <c r="G245" s="152">
        <v>7.2978100000000004E-2</v>
      </c>
      <c r="H245" s="152">
        <v>4.5048209876543212E-2</v>
      </c>
      <c r="I245" s="175">
        <v>69</v>
      </c>
      <c r="J245" s="266">
        <f>_xlfn.XLOOKUP($I245,Inputs!$C$6:$C$23,Inputs!$D$6:$D$23)*$G245</f>
        <v>2.8044441285714289E-2</v>
      </c>
      <c r="K245" s="255"/>
      <c r="L245" s="186">
        <v>231</v>
      </c>
      <c r="M245" s="186">
        <v>380</v>
      </c>
      <c r="N245" s="99">
        <f t="shared" ref="N245:O248" si="54">(SQRT(3)*L245*$I245)/1000</f>
        <v>27.607157821840335</v>
      </c>
      <c r="O245" s="99">
        <f t="shared" si="54"/>
        <v>45.414372174455956</v>
      </c>
      <c r="P245" s="131">
        <v>0.9</v>
      </c>
      <c r="Q245" s="186">
        <f t="shared" ref="Q245:R248" si="55">N245*$P245</f>
        <v>24.846442039656303</v>
      </c>
      <c r="R245" s="186">
        <f t="shared" si="55"/>
        <v>40.872934957010358</v>
      </c>
      <c r="S245" s="151" t="s">
        <v>2551</v>
      </c>
      <c r="T245" s="51" t="s">
        <v>2209</v>
      </c>
      <c r="U245" s="151" t="s">
        <v>1634</v>
      </c>
      <c r="V245" s="51" t="s">
        <v>3401</v>
      </c>
      <c r="W245" s="19"/>
      <c r="X245" s="19"/>
      <c r="Y245" s="99">
        <v>841</v>
      </c>
      <c r="AA245" s="29"/>
      <c r="AC245" s="29"/>
      <c r="AD245" s="29"/>
      <c r="AE245" s="29"/>
    </row>
    <row r="246" spans="2:31" ht="20" x14ac:dyDescent="0.2">
      <c r="B246" s="150" t="s">
        <v>1295</v>
      </c>
      <c r="C246" s="33" t="s">
        <v>106</v>
      </c>
      <c r="D246" s="33" t="s">
        <v>2876</v>
      </c>
      <c r="E246" s="175">
        <v>1</v>
      </c>
      <c r="F246" s="151" t="s">
        <v>1128</v>
      </c>
      <c r="G246" s="152">
        <v>30</v>
      </c>
      <c r="H246" s="152">
        <v>18.518518518518519</v>
      </c>
      <c r="I246" s="175">
        <v>69</v>
      </c>
      <c r="J246" s="266">
        <f>_xlfn.XLOOKUP($I246,Inputs!$C$6:$C$23,Inputs!$D$6:$D$23)*$G246</f>
        <v>11.528571428571428</v>
      </c>
      <c r="K246" s="255"/>
      <c r="L246" s="186">
        <v>349</v>
      </c>
      <c r="M246" s="186">
        <v>453</v>
      </c>
      <c r="N246" s="99">
        <f t="shared" si="54"/>
        <v>41.709515497066128</v>
      </c>
      <c r="O246" s="99">
        <f t="shared" si="54"/>
        <v>54.138712092180391</v>
      </c>
      <c r="P246" s="131">
        <v>0.9</v>
      </c>
      <c r="Q246" s="186">
        <f t="shared" si="55"/>
        <v>37.538563947359513</v>
      </c>
      <c r="R246" s="186">
        <f t="shared" si="55"/>
        <v>48.724840882962354</v>
      </c>
      <c r="S246" s="151" t="s">
        <v>2550</v>
      </c>
      <c r="T246" s="51" t="s">
        <v>2211</v>
      </c>
      <c r="U246" s="151" t="s">
        <v>2551</v>
      </c>
      <c r="V246" s="51" t="s">
        <v>2209</v>
      </c>
      <c r="W246" s="19"/>
      <c r="X246" s="19"/>
      <c r="Y246" s="99">
        <v>840</v>
      </c>
      <c r="AA246" s="29"/>
      <c r="AC246" s="29"/>
      <c r="AD246" s="29"/>
      <c r="AE246" s="29"/>
    </row>
    <row r="247" spans="2:31" ht="20" x14ac:dyDescent="0.2">
      <c r="B247" s="150" t="s">
        <v>1356</v>
      </c>
      <c r="C247" s="33" t="s">
        <v>106</v>
      </c>
      <c r="D247" s="33" t="s">
        <v>2876</v>
      </c>
      <c r="E247" s="175">
        <v>1</v>
      </c>
      <c r="F247" s="151" t="s">
        <v>1128</v>
      </c>
      <c r="G247" s="152">
        <v>0.24</v>
      </c>
      <c r="H247" s="152">
        <v>0.14814814814814814</v>
      </c>
      <c r="I247" s="175">
        <v>69</v>
      </c>
      <c r="J247" s="266">
        <f>_xlfn.XLOOKUP($I247,Inputs!$C$6:$C$23,Inputs!$D$6:$D$23)*$G247</f>
        <v>9.2228571428571424E-2</v>
      </c>
      <c r="K247" s="255"/>
      <c r="L247" s="186">
        <v>850</v>
      </c>
      <c r="M247" s="186">
        <v>1020</v>
      </c>
      <c r="N247" s="99">
        <f t="shared" si="54"/>
        <v>101.58477986391465</v>
      </c>
      <c r="O247" s="99">
        <f t="shared" si="54"/>
        <v>121.90173583669757</v>
      </c>
      <c r="P247" s="131">
        <v>0.9</v>
      </c>
      <c r="Q247" s="186">
        <f t="shared" si="55"/>
        <v>91.426301877523187</v>
      </c>
      <c r="R247" s="186">
        <f t="shared" si="55"/>
        <v>109.71156225302781</v>
      </c>
      <c r="S247" s="151" t="s">
        <v>2590</v>
      </c>
      <c r="T247" s="51" t="s">
        <v>2249</v>
      </c>
      <c r="U247" s="151" t="s">
        <v>1635</v>
      </c>
      <c r="V247" s="51" t="s">
        <v>3238</v>
      </c>
      <c r="W247" s="19"/>
      <c r="X247" s="19"/>
      <c r="Y247" s="99">
        <v>949</v>
      </c>
      <c r="AA247" s="29"/>
      <c r="AC247" s="29"/>
      <c r="AD247" s="29"/>
      <c r="AE247" s="29"/>
    </row>
    <row r="248" spans="2:31" s="165" customFormat="1" ht="20" x14ac:dyDescent="0.2">
      <c r="B248" s="150" t="s">
        <v>1361</v>
      </c>
      <c r="C248" s="33" t="s">
        <v>106</v>
      </c>
      <c r="D248" s="33" t="s">
        <v>2876</v>
      </c>
      <c r="E248" s="175">
        <v>1</v>
      </c>
      <c r="F248" s="151" t="s">
        <v>1128</v>
      </c>
      <c r="G248" s="152">
        <v>0.27</v>
      </c>
      <c r="H248" s="152">
        <v>0.16666666666666666</v>
      </c>
      <c r="I248" s="175">
        <v>69</v>
      </c>
      <c r="J248" s="266">
        <f>_xlfn.XLOOKUP($I248,Inputs!$C$6:$C$23,Inputs!$D$6:$D$23)*$G248</f>
        <v>0.10375714285714287</v>
      </c>
      <c r="K248" s="255"/>
      <c r="L248" s="186">
        <v>850</v>
      </c>
      <c r="M248" s="186">
        <v>1020</v>
      </c>
      <c r="N248" s="99">
        <f t="shared" si="54"/>
        <v>101.58477986391465</v>
      </c>
      <c r="O248" s="99">
        <f t="shared" si="54"/>
        <v>121.90173583669757</v>
      </c>
      <c r="P248" s="131">
        <v>0.9</v>
      </c>
      <c r="Q248" s="186">
        <f t="shared" si="55"/>
        <v>91.426301877523187</v>
      </c>
      <c r="R248" s="186">
        <f t="shared" si="55"/>
        <v>109.71156225302781</v>
      </c>
      <c r="S248" s="184" t="s">
        <v>2590</v>
      </c>
      <c r="T248" s="51" t="s">
        <v>2249</v>
      </c>
      <c r="U248" s="151" t="s">
        <v>1635</v>
      </c>
      <c r="V248" s="179" t="s">
        <v>3238</v>
      </c>
      <c r="W248" s="19"/>
      <c r="X248" s="19"/>
      <c r="Y248" s="99">
        <v>959</v>
      </c>
    </row>
    <row r="249" spans="2:31" s="165" customFormat="1" ht="20" x14ac:dyDescent="0.2">
      <c r="B249" s="230" t="s">
        <v>2725</v>
      </c>
      <c r="C249" s="51" t="s">
        <v>173</v>
      </c>
      <c r="D249" s="33" t="s">
        <v>2876</v>
      </c>
      <c r="E249" s="231">
        <v>1</v>
      </c>
      <c r="F249" s="230" t="s">
        <v>1128</v>
      </c>
      <c r="G249" s="232">
        <v>5.5</v>
      </c>
      <c r="H249" s="232">
        <v>3.3950617283950617</v>
      </c>
      <c r="I249" s="231">
        <v>63</v>
      </c>
      <c r="J249" s="266">
        <f>_xlfn.XLOOKUP($I249,Inputs!$C$6:$C$23,Inputs!$D$6:$D$23)*$G249</f>
        <v>2.09</v>
      </c>
      <c r="K249" s="267">
        <f>IF((42.4*(H249)^(-0.6595))&gt;=3,3,(IF(42.4*(H249)^(-0.6595)&lt;=0.5,0.5,(42.4*(H249)^(-0.6595)))))</f>
        <v>3</v>
      </c>
      <c r="L249" s="99"/>
      <c r="M249" s="99"/>
      <c r="N249" s="99"/>
      <c r="O249" s="99"/>
      <c r="P249" s="69"/>
      <c r="Q249" s="305">
        <f>_xlfn.XLOOKUP($I249,Inputs!$G$6:$G$23,Inputs!J$6:J$23)*$K249</f>
        <v>29.767499999999998</v>
      </c>
      <c r="R249" s="305">
        <f>_xlfn.XLOOKUP($I249,Inputs!$G$6:$G$23,Inputs!K$6:K$23)*$K249</f>
        <v>32.532786885245905</v>
      </c>
      <c r="S249" s="230" t="s">
        <v>1561</v>
      </c>
      <c r="T249" s="51" t="s">
        <v>3213</v>
      </c>
      <c r="U249" s="230" t="s">
        <v>2724</v>
      </c>
      <c r="V249" s="179" t="s">
        <v>3358</v>
      </c>
      <c r="W249" s="19"/>
      <c r="X249" s="19"/>
      <c r="Y249" s="99">
        <v>1084</v>
      </c>
    </row>
    <row r="250" spans="2:31" s="90" customFormat="1" ht="20" x14ac:dyDescent="0.2">
      <c r="B250" s="150" t="s">
        <v>1164</v>
      </c>
      <c r="C250" s="33" t="s">
        <v>106</v>
      </c>
      <c r="D250" s="33" t="s">
        <v>2876</v>
      </c>
      <c r="E250" s="175">
        <v>1</v>
      </c>
      <c r="F250" s="151" t="s">
        <v>1128</v>
      </c>
      <c r="G250" s="152">
        <v>23</v>
      </c>
      <c r="H250" s="152">
        <v>14.19753086419753</v>
      </c>
      <c r="I250" s="175">
        <v>69</v>
      </c>
      <c r="J250" s="266">
        <f>_xlfn.XLOOKUP($I250,Inputs!$C$6:$C$23,Inputs!$D$6:$D$23)*$G250</f>
        <v>8.838571428571429</v>
      </c>
      <c r="K250" s="255"/>
      <c r="L250" s="186">
        <v>400</v>
      </c>
      <c r="M250" s="186">
        <v>525</v>
      </c>
      <c r="N250" s="99">
        <f t="shared" ref="N250:O252" si="56">(SQRT(3)*L250*$I250)/1000</f>
        <v>47.804602288901016</v>
      </c>
      <c r="O250" s="99">
        <f t="shared" si="56"/>
        <v>62.743540504182576</v>
      </c>
      <c r="P250" s="131">
        <v>0.9</v>
      </c>
      <c r="Q250" s="186">
        <f t="shared" ref="Q250:R252" si="57">N250*$P250</f>
        <v>43.024142060010917</v>
      </c>
      <c r="R250" s="186">
        <f t="shared" si="57"/>
        <v>56.469186453764323</v>
      </c>
      <c r="S250" s="151" t="s">
        <v>2495</v>
      </c>
      <c r="T250" s="51" t="s">
        <v>2151</v>
      </c>
      <c r="U250" s="151" t="s">
        <v>1636</v>
      </c>
      <c r="V250" s="51" t="s">
        <v>3239</v>
      </c>
      <c r="W250" s="19"/>
      <c r="X250" s="19"/>
      <c r="Y250" s="99">
        <v>618</v>
      </c>
    </row>
    <row r="251" spans="2:31" ht="20" x14ac:dyDescent="0.2">
      <c r="B251" s="150" t="s">
        <v>1299</v>
      </c>
      <c r="C251" s="33" t="s">
        <v>106</v>
      </c>
      <c r="D251" s="33" t="s">
        <v>2876</v>
      </c>
      <c r="E251" s="175">
        <v>1</v>
      </c>
      <c r="F251" s="151" t="s">
        <v>1128</v>
      </c>
      <c r="G251" s="152">
        <v>2.3553299999999999E-2</v>
      </c>
      <c r="H251" s="152">
        <v>1.4539074074074072E-2</v>
      </c>
      <c r="I251" s="175">
        <v>69</v>
      </c>
      <c r="J251" s="266">
        <f>_xlfn.XLOOKUP($I251,Inputs!$C$6:$C$23,Inputs!$D$6:$D$23)*$G251</f>
        <v>9.0511967142857148E-3</v>
      </c>
      <c r="K251" s="255"/>
      <c r="L251" s="186">
        <v>367</v>
      </c>
      <c r="M251" s="186">
        <v>440</v>
      </c>
      <c r="N251" s="99">
        <f t="shared" si="56"/>
        <v>43.86072260006668</v>
      </c>
      <c r="O251" s="99">
        <f t="shared" si="56"/>
        <v>52.585062517791116</v>
      </c>
      <c r="P251" s="131">
        <v>0.9</v>
      </c>
      <c r="Q251" s="186">
        <f t="shared" si="57"/>
        <v>39.474650340060016</v>
      </c>
      <c r="R251" s="186">
        <f t="shared" si="57"/>
        <v>47.326556266012005</v>
      </c>
      <c r="S251" s="151" t="s">
        <v>313</v>
      </c>
      <c r="T251" s="51" t="s">
        <v>3329</v>
      </c>
      <c r="U251" s="151" t="s">
        <v>1637</v>
      </c>
      <c r="V251" s="51" t="s">
        <v>3207</v>
      </c>
      <c r="W251" s="19"/>
      <c r="X251" s="19"/>
      <c r="Y251" s="99">
        <v>839</v>
      </c>
      <c r="AA251" s="29"/>
      <c r="AC251" s="29"/>
      <c r="AD251" s="29"/>
      <c r="AE251" s="29"/>
    </row>
    <row r="252" spans="2:31" s="165" customFormat="1" ht="20" x14ac:dyDescent="0.2">
      <c r="B252" s="150" t="s">
        <v>1320</v>
      </c>
      <c r="C252" s="33" t="s">
        <v>106</v>
      </c>
      <c r="D252" s="33" t="s">
        <v>2876</v>
      </c>
      <c r="E252" s="175">
        <v>1</v>
      </c>
      <c r="F252" s="151" t="s">
        <v>1128</v>
      </c>
      <c r="G252" s="152">
        <v>3.6</v>
      </c>
      <c r="H252" s="152">
        <v>2.2222222222222223</v>
      </c>
      <c r="I252" s="175">
        <v>69</v>
      </c>
      <c r="J252" s="266">
        <f>_xlfn.XLOOKUP($I252,Inputs!$C$6:$C$23,Inputs!$D$6:$D$23)*$G252</f>
        <v>1.3834285714285715</v>
      </c>
      <c r="K252" s="255"/>
      <c r="L252" s="186">
        <v>115</v>
      </c>
      <c r="M252" s="186">
        <v>201</v>
      </c>
      <c r="N252" s="99">
        <f t="shared" si="56"/>
        <v>13.743823158059042</v>
      </c>
      <c r="O252" s="99">
        <f t="shared" si="56"/>
        <v>24.021812650172755</v>
      </c>
      <c r="P252" s="131">
        <v>0.9</v>
      </c>
      <c r="Q252" s="186">
        <f t="shared" si="57"/>
        <v>12.369440842253137</v>
      </c>
      <c r="R252" s="186">
        <f t="shared" si="57"/>
        <v>21.619631385155479</v>
      </c>
      <c r="S252" s="151" t="s">
        <v>2565</v>
      </c>
      <c r="T252" s="51" t="s">
        <v>2224</v>
      </c>
      <c r="U252" s="151" t="s">
        <v>2342</v>
      </c>
      <c r="V252" s="179" t="s">
        <v>3111</v>
      </c>
      <c r="W252" s="19"/>
      <c r="X252" s="19"/>
      <c r="Y252" s="99">
        <v>883</v>
      </c>
    </row>
    <row r="253" spans="2:31" s="165" customFormat="1" ht="20" x14ac:dyDescent="0.2">
      <c r="B253" s="230" t="s">
        <v>2684</v>
      </c>
      <c r="C253" s="51" t="s">
        <v>173</v>
      </c>
      <c r="D253" s="33" t="s">
        <v>2876</v>
      </c>
      <c r="E253" s="231">
        <v>1</v>
      </c>
      <c r="F253" s="230" t="s">
        <v>1128</v>
      </c>
      <c r="G253" s="232">
        <v>1</v>
      </c>
      <c r="H253" s="232">
        <v>0.61728395061728392</v>
      </c>
      <c r="I253" s="231">
        <v>63</v>
      </c>
      <c r="J253" s="266">
        <f>_xlfn.XLOOKUP($I253,Inputs!$C$6:$C$23,Inputs!$D$6:$D$23)*$G253</f>
        <v>0.38</v>
      </c>
      <c r="K253" s="267">
        <f>IF((42.4*(H253)^(-0.6595))&gt;=3,3,(IF(42.4*(H253)^(-0.6595)&lt;=0.5,0.5,(42.4*(H253)^(-0.6595)))))</f>
        <v>3</v>
      </c>
      <c r="L253" s="99"/>
      <c r="M253" s="99"/>
      <c r="N253" s="99"/>
      <c r="O253" s="99"/>
      <c r="P253" s="69"/>
      <c r="Q253" s="305">
        <f>_xlfn.XLOOKUP($I253,Inputs!$G$6:$G$23,Inputs!J$6:J$23)*$K253</f>
        <v>29.767499999999998</v>
      </c>
      <c r="R253" s="305">
        <f>_xlfn.XLOOKUP($I253,Inputs!$G$6:$G$23,Inputs!K$6:K$23)*$K253</f>
        <v>32.532786885245905</v>
      </c>
      <c r="S253" s="230" t="s">
        <v>2696</v>
      </c>
      <c r="T253" s="51" t="s">
        <v>2760</v>
      </c>
      <c r="U253" s="230" t="s">
        <v>2690</v>
      </c>
      <c r="V253" s="51" t="s">
        <v>3403</v>
      </c>
      <c r="W253" s="19"/>
      <c r="X253" s="19"/>
      <c r="Y253" s="99">
        <v>1031</v>
      </c>
    </row>
    <row r="254" spans="2:31" s="165" customFormat="1" ht="20" x14ac:dyDescent="0.2">
      <c r="B254" s="230" t="s">
        <v>2686</v>
      </c>
      <c r="C254" s="51" t="s">
        <v>173</v>
      </c>
      <c r="D254" s="33" t="s">
        <v>2876</v>
      </c>
      <c r="E254" s="231">
        <v>1</v>
      </c>
      <c r="F254" s="230" t="s">
        <v>1128</v>
      </c>
      <c r="G254" s="232">
        <v>1</v>
      </c>
      <c r="H254" s="232">
        <v>0.61728395061728392</v>
      </c>
      <c r="I254" s="231">
        <v>63</v>
      </c>
      <c r="J254" s="266">
        <f>_xlfn.XLOOKUP($I254,Inputs!$C$6:$C$23,Inputs!$D$6:$D$23)*$G254</f>
        <v>0.38</v>
      </c>
      <c r="K254" s="267">
        <f>IF((42.4*(H254)^(-0.6595))&gt;=3,3,(IF(42.4*(H254)^(-0.6595)&lt;=0.5,0.5,(42.4*(H254)^(-0.6595)))))</f>
        <v>3</v>
      </c>
      <c r="L254" s="99"/>
      <c r="M254" s="99"/>
      <c r="N254" s="99"/>
      <c r="O254" s="99"/>
      <c r="P254" s="69"/>
      <c r="Q254" s="305">
        <f>_xlfn.XLOOKUP($I254,Inputs!$G$6:$G$23,Inputs!J$6:J$23)*$K254</f>
        <v>29.767499999999998</v>
      </c>
      <c r="R254" s="305">
        <f>_xlfn.XLOOKUP($I254,Inputs!$G$6:$G$23,Inputs!K$6:K$23)*$K254</f>
        <v>32.532786885245905</v>
      </c>
      <c r="S254" s="230" t="s">
        <v>2696</v>
      </c>
      <c r="T254" s="51" t="s">
        <v>2760</v>
      </c>
      <c r="U254" s="230" t="s">
        <v>2690</v>
      </c>
      <c r="V254" s="51" t="s">
        <v>3403</v>
      </c>
      <c r="W254" s="19"/>
      <c r="X254" s="19"/>
      <c r="Y254" s="99">
        <v>1039</v>
      </c>
    </row>
    <row r="255" spans="2:31" ht="20" x14ac:dyDescent="0.2">
      <c r="B255" s="230" t="s">
        <v>2684</v>
      </c>
      <c r="C255" s="51" t="s">
        <v>173</v>
      </c>
      <c r="D255" s="33" t="s">
        <v>2876</v>
      </c>
      <c r="E255" s="231">
        <v>1</v>
      </c>
      <c r="F255" s="230" t="s">
        <v>1128</v>
      </c>
      <c r="G255" s="232">
        <v>32.5</v>
      </c>
      <c r="H255" s="232">
        <v>20.061728395061728</v>
      </c>
      <c r="I255" s="231">
        <v>63</v>
      </c>
      <c r="J255" s="266">
        <f>_xlfn.XLOOKUP($I255,Inputs!$C$6:$C$23,Inputs!$D$6:$D$23)*$G255</f>
        <v>12.35</v>
      </c>
      <c r="K255" s="267">
        <f>IF((42.4*(H255)^(-0.6595))&gt;=3,3,(IF(42.4*(H255)^(-0.6595)&lt;=0.5,0.5,(42.4*(H255)^(-0.6595)))))</f>
        <v>3</v>
      </c>
      <c r="L255" s="99"/>
      <c r="M255" s="99"/>
      <c r="N255" s="99"/>
      <c r="O255" s="99"/>
      <c r="P255" s="69"/>
      <c r="Q255" s="305">
        <f>_xlfn.XLOOKUP($I255,Inputs!$G$6:$G$23,Inputs!J$6:J$23)*$K255</f>
        <v>29.767499999999998</v>
      </c>
      <c r="R255" s="305">
        <f>_xlfn.XLOOKUP($I255,Inputs!$G$6:$G$23,Inputs!K$6:K$23)*$K255</f>
        <v>32.532786885245905</v>
      </c>
      <c r="S255" s="230" t="s">
        <v>2695</v>
      </c>
      <c r="T255" s="51" t="s">
        <v>2759</v>
      </c>
      <c r="U255" s="230" t="s">
        <v>2696</v>
      </c>
      <c r="V255" s="51" t="s">
        <v>2760</v>
      </c>
      <c r="W255" s="19"/>
      <c r="X255" s="19"/>
      <c r="Y255" s="99">
        <v>1030</v>
      </c>
      <c r="AA255" s="29"/>
      <c r="AC255" s="29"/>
      <c r="AD255" s="29"/>
      <c r="AE255" s="29"/>
    </row>
    <row r="256" spans="2:31" ht="20" x14ac:dyDescent="0.2">
      <c r="B256" s="230" t="s">
        <v>2686</v>
      </c>
      <c r="C256" s="51" t="s">
        <v>173</v>
      </c>
      <c r="D256" s="33" t="s">
        <v>2876</v>
      </c>
      <c r="E256" s="231">
        <v>1</v>
      </c>
      <c r="F256" s="230" t="s">
        <v>1128</v>
      </c>
      <c r="G256" s="232">
        <v>32.5</v>
      </c>
      <c r="H256" s="232">
        <v>20.061728395061728</v>
      </c>
      <c r="I256" s="231">
        <v>63</v>
      </c>
      <c r="J256" s="266">
        <f>_xlfn.XLOOKUP($I256,Inputs!$C$6:$C$23,Inputs!$D$6:$D$23)*$G256</f>
        <v>12.35</v>
      </c>
      <c r="K256" s="267">
        <f>IF((42.4*(H256)^(-0.6595))&gt;=3,3,(IF(42.4*(H256)^(-0.6595)&lt;=0.5,0.5,(42.4*(H256)^(-0.6595)))))</f>
        <v>3</v>
      </c>
      <c r="L256" s="99"/>
      <c r="M256" s="99"/>
      <c r="N256" s="99"/>
      <c r="O256" s="99"/>
      <c r="P256" s="69"/>
      <c r="Q256" s="305">
        <f>_xlfn.XLOOKUP($I256,Inputs!$G$6:$G$23,Inputs!J$6:J$23)*$K256</f>
        <v>29.767499999999998</v>
      </c>
      <c r="R256" s="305">
        <f>_xlfn.XLOOKUP($I256,Inputs!$G$6:$G$23,Inputs!K$6:K$23)*$K256</f>
        <v>32.532786885245905</v>
      </c>
      <c r="S256" s="230" t="s">
        <v>2695</v>
      </c>
      <c r="T256" s="51" t="s">
        <v>2759</v>
      </c>
      <c r="U256" s="230" t="s">
        <v>2696</v>
      </c>
      <c r="V256" s="51" t="s">
        <v>2760</v>
      </c>
      <c r="W256" s="19"/>
      <c r="X256" s="19"/>
      <c r="Y256" s="99">
        <v>1038</v>
      </c>
      <c r="AA256" s="29"/>
      <c r="AC256" s="29"/>
      <c r="AD256" s="29"/>
      <c r="AE256" s="29"/>
    </row>
    <row r="257" spans="2:31" ht="20" x14ac:dyDescent="0.2">
      <c r="B257" s="150" t="s">
        <v>555</v>
      </c>
      <c r="C257" s="33" t="s">
        <v>106</v>
      </c>
      <c r="D257" s="33" t="s">
        <v>2876</v>
      </c>
      <c r="E257" s="175">
        <v>1</v>
      </c>
      <c r="F257" s="151" t="s">
        <v>1128</v>
      </c>
      <c r="G257" s="152">
        <v>11.186094300000001</v>
      </c>
      <c r="H257" s="152">
        <v>6.904996481481481</v>
      </c>
      <c r="I257" s="175">
        <v>230</v>
      </c>
      <c r="J257" s="266">
        <f>_xlfn.XLOOKUP($I257,Inputs!$C$6:$C$23,Inputs!$D$6:$D$23)*$G257</f>
        <v>5.3693252640000004</v>
      </c>
      <c r="K257" s="255"/>
      <c r="L257" s="186">
        <v>665</v>
      </c>
      <c r="M257" s="186">
        <v>825</v>
      </c>
      <c r="N257" s="99">
        <f t="shared" ref="N257:N275" si="58">(SQRT(3)*L257*$I257)/1000</f>
        <v>264.91717101765977</v>
      </c>
      <c r="O257" s="99">
        <f t="shared" ref="O257:O275" si="59">(SQRT(3)*M257*$I257)/1000</f>
        <v>328.65664073619445</v>
      </c>
      <c r="P257" s="131">
        <v>0.9</v>
      </c>
      <c r="Q257" s="186">
        <f t="shared" ref="Q257:R261" si="60">N257*$P257</f>
        <v>238.4254539158938</v>
      </c>
      <c r="R257" s="186">
        <f t="shared" si="60"/>
        <v>295.79097666257502</v>
      </c>
      <c r="S257" s="151" t="s">
        <v>1776</v>
      </c>
      <c r="T257" s="51" t="s">
        <v>3287</v>
      </c>
      <c r="U257" s="151" t="s">
        <v>1638</v>
      </c>
      <c r="V257" s="51" t="s">
        <v>3211</v>
      </c>
      <c r="W257" s="19"/>
      <c r="X257" s="19"/>
      <c r="Y257" s="99">
        <v>398</v>
      </c>
      <c r="AA257" s="29"/>
      <c r="AC257" s="29"/>
      <c r="AD257" s="29"/>
      <c r="AE257" s="29"/>
    </row>
    <row r="258" spans="2:31" s="165" customFormat="1" ht="20" x14ac:dyDescent="0.2">
      <c r="B258" s="150" t="s">
        <v>1216</v>
      </c>
      <c r="C258" s="33" t="s">
        <v>106</v>
      </c>
      <c r="D258" s="33" t="s">
        <v>2876</v>
      </c>
      <c r="E258" s="175">
        <v>1</v>
      </c>
      <c r="F258" s="151" t="s">
        <v>1128</v>
      </c>
      <c r="G258" s="152">
        <v>2</v>
      </c>
      <c r="H258" s="152">
        <v>1.2345679012345678</v>
      </c>
      <c r="I258" s="175">
        <v>69</v>
      </c>
      <c r="J258" s="266">
        <f>_xlfn.XLOOKUP($I258,Inputs!$C$6:$C$23,Inputs!$D$6:$D$23)*$G258</f>
        <v>0.76857142857142857</v>
      </c>
      <c r="K258" s="255"/>
      <c r="L258" s="186">
        <v>673</v>
      </c>
      <c r="M258" s="186">
        <v>715</v>
      </c>
      <c r="N258" s="99">
        <f t="shared" si="58"/>
        <v>80.431243351075963</v>
      </c>
      <c r="O258" s="99">
        <f t="shared" si="59"/>
        <v>85.450726591410572</v>
      </c>
      <c r="P258" s="131">
        <v>0.9</v>
      </c>
      <c r="Q258" s="186">
        <f t="shared" si="60"/>
        <v>72.388119015968371</v>
      </c>
      <c r="R258" s="186">
        <f t="shared" si="60"/>
        <v>76.905653932269516</v>
      </c>
      <c r="S258" s="151" t="s">
        <v>1895</v>
      </c>
      <c r="T258" s="51" t="s">
        <v>3332</v>
      </c>
      <c r="U258" s="151" t="s">
        <v>1638</v>
      </c>
      <c r="V258" s="51" t="s">
        <v>3211</v>
      </c>
      <c r="W258" s="19"/>
      <c r="X258" s="19"/>
      <c r="Y258" s="99">
        <v>690</v>
      </c>
    </row>
    <row r="259" spans="2:31" ht="20" x14ac:dyDescent="0.2">
      <c r="B259" s="150" t="s">
        <v>1961</v>
      </c>
      <c r="C259" s="33" t="s">
        <v>106</v>
      </c>
      <c r="D259" s="33" t="s">
        <v>2876</v>
      </c>
      <c r="E259" s="175">
        <v>1</v>
      </c>
      <c r="F259" s="151" t="s">
        <v>1128</v>
      </c>
      <c r="G259" s="152">
        <v>1.1130574</v>
      </c>
      <c r="H259" s="152">
        <v>0.68707246913580244</v>
      </c>
      <c r="I259" s="175">
        <v>230</v>
      </c>
      <c r="J259" s="266">
        <f>_xlfn.XLOOKUP($I259,Inputs!$C$6:$C$23,Inputs!$D$6:$D$23)*$G259</f>
        <v>0.53426755199999998</v>
      </c>
      <c r="K259" s="255"/>
      <c r="L259" s="186">
        <v>650</v>
      </c>
      <c r="M259" s="186">
        <v>830</v>
      </c>
      <c r="N259" s="99">
        <f t="shared" si="58"/>
        <v>258.94159573154712</v>
      </c>
      <c r="O259" s="99">
        <f t="shared" si="59"/>
        <v>330.64849916489862</v>
      </c>
      <c r="P259" s="131">
        <v>0.9</v>
      </c>
      <c r="Q259" s="186">
        <f t="shared" si="60"/>
        <v>233.04743615839243</v>
      </c>
      <c r="R259" s="186">
        <f t="shared" si="60"/>
        <v>297.58364924840879</v>
      </c>
      <c r="S259" s="151" t="s">
        <v>1798</v>
      </c>
      <c r="T259" s="51" t="s">
        <v>3294</v>
      </c>
      <c r="U259" s="151" t="s">
        <v>1639</v>
      </c>
      <c r="V259" s="51" t="s">
        <v>3240</v>
      </c>
      <c r="W259" s="19"/>
      <c r="X259" s="19"/>
      <c r="Y259" s="99">
        <v>375</v>
      </c>
      <c r="AA259" s="29"/>
      <c r="AC259" s="29"/>
      <c r="AD259" s="29"/>
      <c r="AE259" s="29"/>
    </row>
    <row r="260" spans="2:31" s="165" customFormat="1" ht="20" x14ac:dyDescent="0.2">
      <c r="B260" s="150" t="s">
        <v>538</v>
      </c>
      <c r="C260" s="33" t="s">
        <v>106</v>
      </c>
      <c r="D260" s="33" t="s">
        <v>2876</v>
      </c>
      <c r="E260" s="175">
        <v>1</v>
      </c>
      <c r="F260" s="151" t="s">
        <v>1128</v>
      </c>
      <c r="G260" s="152">
        <v>1.1130574</v>
      </c>
      <c r="H260" s="152">
        <v>0.68707246913580244</v>
      </c>
      <c r="I260" s="175">
        <v>230</v>
      </c>
      <c r="J260" s="266">
        <f>_xlfn.XLOOKUP($I260,Inputs!$C$6:$C$23,Inputs!$D$6:$D$23)*$G260</f>
        <v>0.53426755199999998</v>
      </c>
      <c r="K260" s="255"/>
      <c r="L260" s="186">
        <v>650</v>
      </c>
      <c r="M260" s="186">
        <v>830</v>
      </c>
      <c r="N260" s="99">
        <f t="shared" si="58"/>
        <v>258.94159573154712</v>
      </c>
      <c r="O260" s="99">
        <f t="shared" si="59"/>
        <v>330.64849916489862</v>
      </c>
      <c r="P260" s="131">
        <v>0.9</v>
      </c>
      <c r="Q260" s="186">
        <f t="shared" si="60"/>
        <v>233.04743615839243</v>
      </c>
      <c r="R260" s="186">
        <f t="shared" si="60"/>
        <v>297.58364924840879</v>
      </c>
      <c r="S260" s="151" t="s">
        <v>1798</v>
      </c>
      <c r="T260" s="51" t="s">
        <v>3294</v>
      </c>
      <c r="U260" s="151" t="s">
        <v>1639</v>
      </c>
      <c r="V260" s="51" t="s">
        <v>3240</v>
      </c>
      <c r="W260" s="19"/>
      <c r="X260" s="19"/>
      <c r="Y260" s="99">
        <v>376</v>
      </c>
    </row>
    <row r="261" spans="2:31" ht="20" x14ac:dyDescent="0.2">
      <c r="B261" s="150" t="s">
        <v>540</v>
      </c>
      <c r="C261" s="33" t="s">
        <v>106</v>
      </c>
      <c r="D261" s="33" t="s">
        <v>2876</v>
      </c>
      <c r="E261" s="175">
        <v>1</v>
      </c>
      <c r="F261" s="151" t="s">
        <v>1128</v>
      </c>
      <c r="G261" s="152">
        <v>8.7231088999999997</v>
      </c>
      <c r="H261" s="152">
        <v>5.38463512345679</v>
      </c>
      <c r="I261" s="175">
        <v>230</v>
      </c>
      <c r="J261" s="266">
        <f>_xlfn.XLOOKUP($I261,Inputs!$C$6:$C$23,Inputs!$D$6:$D$23)*$G261</f>
        <v>4.1870922720000001</v>
      </c>
      <c r="K261" s="255"/>
      <c r="L261" s="186">
        <v>1250</v>
      </c>
      <c r="M261" s="186">
        <v>1250</v>
      </c>
      <c r="N261" s="99">
        <f t="shared" si="58"/>
        <v>497.96460717605225</v>
      </c>
      <c r="O261" s="99">
        <f t="shared" si="59"/>
        <v>497.96460717605225</v>
      </c>
      <c r="P261" s="131">
        <v>0.9</v>
      </c>
      <c r="Q261" s="186">
        <f t="shared" si="60"/>
        <v>448.16814645844704</v>
      </c>
      <c r="R261" s="186">
        <f t="shared" si="60"/>
        <v>448.16814645844704</v>
      </c>
      <c r="S261" s="151" t="s">
        <v>1717</v>
      </c>
      <c r="T261" s="51" t="s">
        <v>3265</v>
      </c>
      <c r="U261" s="151" t="s">
        <v>1639</v>
      </c>
      <c r="V261" s="51" t="s">
        <v>3240</v>
      </c>
      <c r="W261" s="19"/>
      <c r="X261" s="19"/>
      <c r="Y261" s="99">
        <v>378</v>
      </c>
      <c r="AA261" s="29"/>
      <c r="AC261" s="29"/>
      <c r="AD261" s="29"/>
      <c r="AE261" s="29"/>
    </row>
    <row r="262" spans="2:31" ht="20" x14ac:dyDescent="0.2">
      <c r="B262" s="151" t="s">
        <v>1505</v>
      </c>
      <c r="C262" s="33" t="s">
        <v>106</v>
      </c>
      <c r="D262" s="33" t="s">
        <v>2876</v>
      </c>
      <c r="E262" s="175">
        <v>1</v>
      </c>
      <c r="F262" s="151" t="s">
        <v>1128</v>
      </c>
      <c r="G262" s="174">
        <v>3</v>
      </c>
      <c r="H262" s="152">
        <v>1.8518518518518516</v>
      </c>
      <c r="I262" s="175">
        <v>138</v>
      </c>
      <c r="J262" s="266">
        <f>_xlfn.XLOOKUP($I262,Inputs!$C$6:$C$23,Inputs!$D$6:$D$23)*$G262</f>
        <v>1.3007142857142857</v>
      </c>
      <c r="K262" s="267">
        <f>IF((42.4*(H262)^(-0.6595))&gt;=3,3,(IF(42.4*(H262)^(-0.6595)&lt;=0.5,0.5,(42.4*(H262)^(-0.6595)))))</f>
        <v>3</v>
      </c>
      <c r="L262" s="99"/>
      <c r="M262" s="99"/>
      <c r="N262" s="99">
        <f t="shared" si="58"/>
        <v>0</v>
      </c>
      <c r="O262" s="99">
        <f t="shared" si="59"/>
        <v>0</v>
      </c>
      <c r="P262" s="131">
        <v>0.9</v>
      </c>
      <c r="Q262" s="305">
        <f>_xlfn.XLOOKUP($I262,Inputs!$G$6:$G$23,Inputs!J$6:J$23)*$K262</f>
        <v>141</v>
      </c>
      <c r="R262" s="305">
        <f>_xlfn.XLOOKUP($I262,Inputs!$G$6:$G$23,Inputs!K$6:K$23)*$K262</f>
        <v>156</v>
      </c>
      <c r="S262" s="151" t="s">
        <v>2442</v>
      </c>
      <c r="T262" s="51" t="s">
        <v>2094</v>
      </c>
      <c r="U262" s="151" t="s">
        <v>1641</v>
      </c>
      <c r="V262" s="51" t="s">
        <v>3406</v>
      </c>
      <c r="W262" s="19"/>
      <c r="X262" s="19"/>
      <c r="Y262" s="99">
        <v>245</v>
      </c>
      <c r="AA262" s="29"/>
      <c r="AC262" s="29"/>
      <c r="AD262" s="29"/>
      <c r="AE262" s="29"/>
    </row>
    <row r="263" spans="2:31" ht="20" x14ac:dyDescent="0.2">
      <c r="B263" s="150" t="s">
        <v>487</v>
      </c>
      <c r="C263" s="33" t="s">
        <v>106</v>
      </c>
      <c r="D263" s="33" t="s">
        <v>2876</v>
      </c>
      <c r="E263" s="175">
        <v>1</v>
      </c>
      <c r="F263" s="151" t="s">
        <v>1128</v>
      </c>
      <c r="G263" s="152">
        <v>7</v>
      </c>
      <c r="H263" s="152">
        <v>4.3209876543209873</v>
      </c>
      <c r="I263" s="175">
        <v>138</v>
      </c>
      <c r="J263" s="266">
        <f>_xlfn.XLOOKUP($I263,Inputs!$C$6:$C$23,Inputs!$D$6:$D$23)*$G263</f>
        <v>3.0350000000000001</v>
      </c>
      <c r="K263" s="255"/>
      <c r="L263" s="186">
        <v>490</v>
      </c>
      <c r="M263" s="186">
        <v>627</v>
      </c>
      <c r="N263" s="99">
        <f t="shared" si="58"/>
        <v>117.12127560780748</v>
      </c>
      <c r="O263" s="99">
        <f t="shared" si="59"/>
        <v>149.86742817570467</v>
      </c>
      <c r="P263" s="131">
        <v>0.9</v>
      </c>
      <c r="Q263" s="186">
        <f t="shared" ref="Q263:Q275" si="61">N263*$P263</f>
        <v>105.40914804702673</v>
      </c>
      <c r="R263" s="186">
        <f t="shared" ref="R263:R275" si="62">O263*$P263</f>
        <v>134.8806853581342</v>
      </c>
      <c r="S263" s="151" t="s">
        <v>2653</v>
      </c>
      <c r="T263" s="51" t="s">
        <v>2654</v>
      </c>
      <c r="U263" s="151" t="s">
        <v>2442</v>
      </c>
      <c r="V263" s="51" t="s">
        <v>2094</v>
      </c>
      <c r="W263" s="19"/>
      <c r="X263" s="19"/>
      <c r="Y263" s="99">
        <v>244</v>
      </c>
      <c r="AA263" s="29"/>
      <c r="AC263" s="29"/>
      <c r="AD263" s="29"/>
      <c r="AE263" s="29"/>
    </row>
    <row r="264" spans="2:31" ht="20" x14ac:dyDescent="0.2">
      <c r="B264" s="150" t="s">
        <v>1252</v>
      </c>
      <c r="C264" s="33" t="s">
        <v>106</v>
      </c>
      <c r="D264" s="33" t="s">
        <v>2876</v>
      </c>
      <c r="E264" s="175">
        <v>1</v>
      </c>
      <c r="F264" s="151" t="s">
        <v>1128</v>
      </c>
      <c r="G264" s="152">
        <v>6.1720690000000005</v>
      </c>
      <c r="H264" s="152">
        <v>3.8099191358024691</v>
      </c>
      <c r="I264" s="175">
        <v>69</v>
      </c>
      <c r="J264" s="266">
        <f>_xlfn.XLOOKUP($I264,Inputs!$C$6:$C$23,Inputs!$D$6:$D$23)*$G264</f>
        <v>2.3718379442857143</v>
      </c>
      <c r="K264" s="255"/>
      <c r="L264" s="186">
        <v>400</v>
      </c>
      <c r="M264" s="186">
        <v>510</v>
      </c>
      <c r="N264" s="99">
        <f t="shared" si="58"/>
        <v>47.804602288901016</v>
      </c>
      <c r="O264" s="99">
        <f t="shared" si="59"/>
        <v>60.950867918348784</v>
      </c>
      <c r="P264" s="131">
        <v>0.9</v>
      </c>
      <c r="Q264" s="186">
        <f t="shared" si="61"/>
        <v>43.024142060010917</v>
      </c>
      <c r="R264" s="186">
        <f t="shared" si="62"/>
        <v>54.855781126513904</v>
      </c>
      <c r="S264" s="151" t="s">
        <v>1717</v>
      </c>
      <c r="T264" s="51" t="s">
        <v>3265</v>
      </c>
      <c r="U264" s="151" t="s">
        <v>1642</v>
      </c>
      <c r="V264" s="51" t="s">
        <v>3625</v>
      </c>
      <c r="W264" s="19"/>
      <c r="X264" s="19"/>
      <c r="Y264" s="99">
        <v>762</v>
      </c>
      <c r="AA264" s="29"/>
      <c r="AC264" s="29"/>
      <c r="AD264" s="29"/>
      <c r="AE264" s="29"/>
    </row>
    <row r="265" spans="2:31" ht="20" x14ac:dyDescent="0.2">
      <c r="B265" s="150" t="s">
        <v>499</v>
      </c>
      <c r="C265" s="33" t="s">
        <v>106</v>
      </c>
      <c r="D265" s="33" t="s">
        <v>2876</v>
      </c>
      <c r="E265" s="175">
        <v>1</v>
      </c>
      <c r="F265" s="151" t="s">
        <v>1128</v>
      </c>
      <c r="G265" s="152">
        <v>65.626514599999993</v>
      </c>
      <c r="H265" s="152">
        <v>40.510194197530858</v>
      </c>
      <c r="I265" s="175">
        <v>138</v>
      </c>
      <c r="J265" s="266">
        <f>_xlfn.XLOOKUP($I265,Inputs!$C$6:$C$23,Inputs!$D$6:$D$23)*$G265</f>
        <v>28.453781687285712</v>
      </c>
      <c r="K265" s="255"/>
      <c r="L265" s="186">
        <v>559</v>
      </c>
      <c r="M265" s="186">
        <v>674</v>
      </c>
      <c r="N265" s="99">
        <f t="shared" si="58"/>
        <v>133.61386339747833</v>
      </c>
      <c r="O265" s="99">
        <f t="shared" si="59"/>
        <v>161.10150971359641</v>
      </c>
      <c r="P265" s="131">
        <v>0.9</v>
      </c>
      <c r="Q265" s="186">
        <f t="shared" si="61"/>
        <v>120.2524770577305</v>
      </c>
      <c r="R265" s="186">
        <f t="shared" si="62"/>
        <v>144.99135874223677</v>
      </c>
      <c r="S265" s="151" t="s">
        <v>1699</v>
      </c>
      <c r="T265" s="51" t="s">
        <v>3126</v>
      </c>
      <c r="U265" s="151" t="s">
        <v>165</v>
      </c>
      <c r="V265" s="51" t="s">
        <v>3241</v>
      </c>
      <c r="W265" s="19"/>
      <c r="X265" s="19"/>
      <c r="Y265" s="99">
        <v>281</v>
      </c>
      <c r="AA265" s="29"/>
      <c r="AC265" s="29"/>
      <c r="AD265" s="29"/>
      <c r="AE265" s="29"/>
    </row>
    <row r="266" spans="2:31" ht="20" x14ac:dyDescent="0.2">
      <c r="B266" s="150" t="s">
        <v>531</v>
      </c>
      <c r="C266" s="33" t="s">
        <v>106</v>
      </c>
      <c r="D266" s="33" t="s">
        <v>2876</v>
      </c>
      <c r="E266" s="175">
        <v>1</v>
      </c>
      <c r="F266" s="151" t="s">
        <v>1128</v>
      </c>
      <c r="G266" s="152">
        <v>60.303547200000004</v>
      </c>
      <c r="H266" s="152">
        <v>37.224411851851855</v>
      </c>
      <c r="I266" s="175">
        <v>230</v>
      </c>
      <c r="J266" s="266">
        <f>_xlfn.XLOOKUP($I266,Inputs!$C$6:$C$23,Inputs!$D$6:$D$23)*$G266</f>
        <v>28.945702656000002</v>
      </c>
      <c r="K266" s="255"/>
      <c r="L266" s="186">
        <v>899</v>
      </c>
      <c r="M266" s="3">
        <v>1167</v>
      </c>
      <c r="N266" s="99">
        <f t="shared" si="58"/>
        <v>358.13614548101674</v>
      </c>
      <c r="O266" s="99">
        <f t="shared" si="59"/>
        <v>464.89975725956231</v>
      </c>
      <c r="P266" s="131">
        <v>0.9</v>
      </c>
      <c r="Q266" s="186">
        <f t="shared" si="61"/>
        <v>322.32253093291507</v>
      </c>
      <c r="R266" s="186">
        <f t="shared" si="62"/>
        <v>418.40978153360606</v>
      </c>
      <c r="S266" s="151" t="s">
        <v>1617</v>
      </c>
      <c r="T266" s="51" t="s">
        <v>3189</v>
      </c>
      <c r="U266" s="151" t="s">
        <v>1643</v>
      </c>
      <c r="V266" s="51" t="s">
        <v>3242</v>
      </c>
      <c r="W266" s="19"/>
      <c r="X266" s="19"/>
      <c r="Y266" s="99">
        <v>365</v>
      </c>
      <c r="AA266" s="29"/>
      <c r="AC266" s="29"/>
      <c r="AD266" s="29"/>
      <c r="AE266" s="29"/>
    </row>
    <row r="267" spans="2:31" ht="20" x14ac:dyDescent="0.2">
      <c r="B267" s="150" t="s">
        <v>1231</v>
      </c>
      <c r="C267" s="33" t="s">
        <v>106</v>
      </c>
      <c r="D267" s="33" t="s">
        <v>2876</v>
      </c>
      <c r="E267" s="175">
        <v>1</v>
      </c>
      <c r="F267" s="151" t="s">
        <v>1128</v>
      </c>
      <c r="G267" s="152">
        <v>2</v>
      </c>
      <c r="H267" s="152">
        <v>1.2345679012345678</v>
      </c>
      <c r="I267" s="175">
        <v>69</v>
      </c>
      <c r="J267" s="266">
        <f>_xlfn.XLOOKUP($I267,Inputs!$C$6:$C$23,Inputs!$D$6:$D$23)*$G267</f>
        <v>0.76857142857142857</v>
      </c>
      <c r="K267" s="255"/>
      <c r="L267" s="186">
        <v>1100</v>
      </c>
      <c r="M267" s="186">
        <v>1505</v>
      </c>
      <c r="N267" s="99">
        <f t="shared" si="58"/>
        <v>131.4626562944778</v>
      </c>
      <c r="O267" s="99">
        <f t="shared" si="59"/>
        <v>179.86481611199005</v>
      </c>
      <c r="P267" s="131">
        <v>0.9</v>
      </c>
      <c r="Q267" s="186">
        <f t="shared" si="61"/>
        <v>118.31639066503001</v>
      </c>
      <c r="R267" s="186">
        <f t="shared" si="62"/>
        <v>161.87833450079106</v>
      </c>
      <c r="S267" s="151" t="s">
        <v>2518</v>
      </c>
      <c r="T267" s="51" t="s">
        <v>2177</v>
      </c>
      <c r="U267" s="151" t="s">
        <v>1643</v>
      </c>
      <c r="V267" s="51" t="s">
        <v>3242</v>
      </c>
      <c r="W267" s="19"/>
      <c r="X267" s="19"/>
      <c r="Y267" s="99">
        <v>724</v>
      </c>
      <c r="AA267" s="29"/>
      <c r="AC267" s="29"/>
      <c r="AD267" s="29"/>
      <c r="AE267" s="29"/>
    </row>
    <row r="268" spans="2:31" s="165" customFormat="1" ht="20" x14ac:dyDescent="0.2">
      <c r="B268" s="150" t="s">
        <v>491</v>
      </c>
      <c r="C268" s="33" t="s">
        <v>106</v>
      </c>
      <c r="D268" s="33" t="s">
        <v>2876</v>
      </c>
      <c r="E268" s="175">
        <v>1</v>
      </c>
      <c r="F268" s="151" t="s">
        <v>1128</v>
      </c>
      <c r="G268" s="152">
        <v>13.786926299999999</v>
      </c>
      <c r="H268" s="152">
        <v>8.5104483333333327</v>
      </c>
      <c r="I268" s="175">
        <v>138</v>
      </c>
      <c r="J268" s="266">
        <f>_xlfn.XLOOKUP($I268,Inputs!$C$6:$C$23,Inputs!$D$6:$D$23)*$G268</f>
        <v>5.9776173315000003</v>
      </c>
      <c r="K268" s="255"/>
      <c r="L268" s="186">
        <v>814</v>
      </c>
      <c r="M268" s="186">
        <v>1105</v>
      </c>
      <c r="N268" s="99">
        <f t="shared" si="58"/>
        <v>194.56473131582712</v>
      </c>
      <c r="O268" s="99">
        <f t="shared" si="59"/>
        <v>264.12042764617803</v>
      </c>
      <c r="P268" s="131">
        <v>0.9</v>
      </c>
      <c r="Q268" s="186">
        <f t="shared" si="61"/>
        <v>175.10825818424442</v>
      </c>
      <c r="R268" s="186">
        <f t="shared" si="62"/>
        <v>237.70838488156022</v>
      </c>
      <c r="S268" s="151" t="s">
        <v>1596</v>
      </c>
      <c r="T268" s="51" t="s">
        <v>3224</v>
      </c>
      <c r="U268" s="151" t="s">
        <v>125</v>
      </c>
      <c r="V268" s="51" t="s">
        <v>3377</v>
      </c>
      <c r="W268" s="19"/>
      <c r="X268" s="19"/>
      <c r="Y268" s="99">
        <v>258</v>
      </c>
    </row>
    <row r="269" spans="2:31" ht="20" x14ac:dyDescent="0.2">
      <c r="B269" s="150" t="s">
        <v>493</v>
      </c>
      <c r="C269" s="33" t="s">
        <v>106</v>
      </c>
      <c r="D269" s="33" t="s">
        <v>2876</v>
      </c>
      <c r="E269" s="175">
        <v>1</v>
      </c>
      <c r="F269" s="151" t="s">
        <v>1128</v>
      </c>
      <c r="G269" s="152">
        <v>13.826066500000001</v>
      </c>
      <c r="H269" s="152">
        <v>8.5346089506172849</v>
      </c>
      <c r="I269" s="175">
        <v>138</v>
      </c>
      <c r="J269" s="266">
        <f>_xlfn.XLOOKUP($I269,Inputs!$C$6:$C$23,Inputs!$D$6:$D$23)*$G269</f>
        <v>5.9945874039285725</v>
      </c>
      <c r="K269" s="255"/>
      <c r="L269" s="186">
        <v>814</v>
      </c>
      <c r="M269" s="186">
        <v>1105</v>
      </c>
      <c r="N269" s="99">
        <f t="shared" si="58"/>
        <v>194.56473131582712</v>
      </c>
      <c r="O269" s="99">
        <f t="shared" si="59"/>
        <v>264.12042764617803</v>
      </c>
      <c r="P269" s="131">
        <v>0.9</v>
      </c>
      <c r="Q269" s="186">
        <f t="shared" si="61"/>
        <v>175.10825818424442</v>
      </c>
      <c r="R269" s="186">
        <f t="shared" si="62"/>
        <v>237.70838488156022</v>
      </c>
      <c r="S269" s="151" t="s">
        <v>1596</v>
      </c>
      <c r="T269" s="51" t="s">
        <v>3224</v>
      </c>
      <c r="U269" s="151" t="s">
        <v>125</v>
      </c>
      <c r="V269" s="51" t="s">
        <v>3377</v>
      </c>
      <c r="W269" s="19"/>
      <c r="X269" s="19"/>
      <c r="Y269" s="99">
        <v>260</v>
      </c>
      <c r="AA269" s="29"/>
      <c r="AC269" s="29"/>
      <c r="AD269" s="29"/>
      <c r="AE269" s="29"/>
    </row>
    <row r="270" spans="2:31" s="165" customFormat="1" ht="20" x14ac:dyDescent="0.2">
      <c r="B270" s="150" t="s">
        <v>509</v>
      </c>
      <c r="C270" s="33" t="s">
        <v>106</v>
      </c>
      <c r="D270" s="33" t="s">
        <v>2876</v>
      </c>
      <c r="E270" s="175">
        <v>1</v>
      </c>
      <c r="F270" s="151" t="s">
        <v>1128</v>
      </c>
      <c r="G270" s="152">
        <v>20.56</v>
      </c>
      <c r="H270" s="152">
        <v>12.691358024691356</v>
      </c>
      <c r="I270" s="175">
        <v>138</v>
      </c>
      <c r="J270" s="266">
        <f>_xlfn.XLOOKUP($I270,Inputs!$C$6:$C$23,Inputs!$D$6:$D$23)*$G270</f>
        <v>8.9142285714285716</v>
      </c>
      <c r="K270" s="255"/>
      <c r="L270" s="186">
        <v>567</v>
      </c>
      <c r="M270" s="186">
        <v>717</v>
      </c>
      <c r="N270" s="99">
        <f t="shared" si="58"/>
        <v>135.52604748903437</v>
      </c>
      <c r="O270" s="99">
        <f t="shared" si="59"/>
        <v>171.37949920571015</v>
      </c>
      <c r="P270" s="131">
        <v>0.9</v>
      </c>
      <c r="Q270" s="186">
        <f t="shared" si="61"/>
        <v>121.97344274013093</v>
      </c>
      <c r="R270" s="186">
        <f t="shared" si="62"/>
        <v>154.24154928513914</v>
      </c>
      <c r="S270" s="151" t="s">
        <v>2463</v>
      </c>
      <c r="T270" s="51" t="s">
        <v>2114</v>
      </c>
      <c r="U270" s="151" t="s">
        <v>125</v>
      </c>
      <c r="V270" s="51" t="s">
        <v>3377</v>
      </c>
      <c r="W270" s="19"/>
      <c r="X270" s="19"/>
      <c r="Y270" s="99">
        <v>314</v>
      </c>
    </row>
    <row r="271" spans="2:31" ht="20" x14ac:dyDescent="0.2">
      <c r="B271" s="151" t="s">
        <v>1529</v>
      </c>
      <c r="C271" s="33" t="s">
        <v>106</v>
      </c>
      <c r="D271" s="33" t="s">
        <v>2876</v>
      </c>
      <c r="E271" s="175">
        <v>1</v>
      </c>
      <c r="F271" s="151" t="s">
        <v>1128</v>
      </c>
      <c r="G271" s="174">
        <v>0.1312535</v>
      </c>
      <c r="H271" s="152">
        <v>8.1020679012345664E-2</v>
      </c>
      <c r="I271" s="175">
        <v>69</v>
      </c>
      <c r="J271" s="266">
        <f>_xlfn.XLOOKUP($I271,Inputs!$C$6:$C$23,Inputs!$D$6:$D$23)*$G271</f>
        <v>5.0438844999999996E-2</v>
      </c>
      <c r="K271" s="255"/>
      <c r="L271" s="186">
        <v>605</v>
      </c>
      <c r="M271" s="186">
        <v>670</v>
      </c>
      <c r="N271" s="99">
        <f t="shared" si="58"/>
        <v>72.304460961962775</v>
      </c>
      <c r="O271" s="99">
        <f t="shared" si="59"/>
        <v>80.072708833909189</v>
      </c>
      <c r="P271" s="131">
        <v>0.9</v>
      </c>
      <c r="Q271" s="186">
        <f t="shared" si="61"/>
        <v>65.0740148657665</v>
      </c>
      <c r="R271" s="186">
        <f t="shared" si="62"/>
        <v>72.065437950518273</v>
      </c>
      <c r="S271" s="151" t="s">
        <v>2533</v>
      </c>
      <c r="T271" s="51" t="s">
        <v>2192</v>
      </c>
      <c r="U271" s="151" t="s">
        <v>1644</v>
      </c>
      <c r="V271" s="179" t="s">
        <v>3410</v>
      </c>
      <c r="W271" s="19"/>
      <c r="X271" s="19"/>
      <c r="Y271" s="99">
        <v>781</v>
      </c>
      <c r="AA271" s="29"/>
      <c r="AC271" s="29"/>
      <c r="AD271" s="29"/>
      <c r="AE271" s="29"/>
    </row>
    <row r="272" spans="2:31" ht="20" x14ac:dyDescent="0.2">
      <c r="B272" s="150" t="s">
        <v>1266</v>
      </c>
      <c r="C272" s="33" t="s">
        <v>106</v>
      </c>
      <c r="D272" s="33" t="s">
        <v>2876</v>
      </c>
      <c r="E272" s="175">
        <v>1</v>
      </c>
      <c r="F272" s="151" t="s">
        <v>1128</v>
      </c>
      <c r="G272" s="152">
        <v>3.9415329999999997</v>
      </c>
      <c r="H272" s="152">
        <v>2.4330450617283947</v>
      </c>
      <c r="I272" s="175">
        <v>69</v>
      </c>
      <c r="J272" s="266">
        <f>_xlfn.XLOOKUP($I272,Inputs!$C$6:$C$23,Inputs!$D$6:$D$23)*$G272</f>
        <v>1.5146748242857142</v>
      </c>
      <c r="K272" s="255"/>
      <c r="L272" s="186">
        <v>730</v>
      </c>
      <c r="M272" s="186">
        <v>940</v>
      </c>
      <c r="N272" s="99">
        <f t="shared" si="58"/>
        <v>87.243399177244342</v>
      </c>
      <c r="O272" s="99">
        <f t="shared" si="59"/>
        <v>112.34081537891738</v>
      </c>
      <c r="P272" s="131">
        <v>0.9</v>
      </c>
      <c r="Q272" s="186">
        <f t="shared" si="61"/>
        <v>78.519059259519906</v>
      </c>
      <c r="R272" s="186">
        <f t="shared" si="62"/>
        <v>101.10673384102564</v>
      </c>
      <c r="S272" s="151" t="s">
        <v>1944</v>
      </c>
      <c r="T272" s="51" t="s">
        <v>3354</v>
      </c>
      <c r="U272" s="151" t="s">
        <v>1644</v>
      </c>
      <c r="V272" s="51" t="s">
        <v>3410</v>
      </c>
      <c r="W272" s="19"/>
      <c r="X272" s="19"/>
      <c r="Y272" s="99">
        <v>786</v>
      </c>
      <c r="AA272" s="29"/>
      <c r="AC272" s="29"/>
      <c r="AD272" s="29"/>
      <c r="AE272" s="29"/>
    </row>
    <row r="273" spans="2:31" s="165" customFormat="1" ht="20" x14ac:dyDescent="0.2">
      <c r="B273" s="150" t="s">
        <v>1264</v>
      </c>
      <c r="C273" s="33" t="s">
        <v>106</v>
      </c>
      <c r="D273" s="33" t="s">
        <v>2876</v>
      </c>
      <c r="E273" s="175">
        <v>1</v>
      </c>
      <c r="F273" s="151" t="s">
        <v>1128</v>
      </c>
      <c r="G273" s="152">
        <v>0.45</v>
      </c>
      <c r="H273" s="152">
        <v>0.27777777777777779</v>
      </c>
      <c r="I273" s="175">
        <v>69</v>
      </c>
      <c r="J273" s="266">
        <f>_xlfn.XLOOKUP($I273,Inputs!$C$6:$C$23,Inputs!$D$6:$D$23)*$G273</f>
        <v>0.17292857142857143</v>
      </c>
      <c r="K273" s="255"/>
      <c r="L273" s="186">
        <v>1355</v>
      </c>
      <c r="M273" s="186">
        <v>1645</v>
      </c>
      <c r="N273" s="99">
        <f t="shared" si="58"/>
        <v>161.93809025365215</v>
      </c>
      <c r="O273" s="99">
        <f t="shared" si="59"/>
        <v>196.5964269131054</v>
      </c>
      <c r="P273" s="131">
        <v>0.9</v>
      </c>
      <c r="Q273" s="186">
        <f t="shared" si="61"/>
        <v>145.74428122828695</v>
      </c>
      <c r="R273" s="186">
        <f t="shared" si="62"/>
        <v>176.93678422179488</v>
      </c>
      <c r="S273" s="151" t="s">
        <v>1944</v>
      </c>
      <c r="T273" s="51" t="s">
        <v>3354</v>
      </c>
      <c r="U273" s="151" t="s">
        <v>2533</v>
      </c>
      <c r="V273" s="51" t="s">
        <v>2192</v>
      </c>
      <c r="W273" s="19"/>
      <c r="X273" s="19"/>
      <c r="Y273" s="99">
        <v>780</v>
      </c>
    </row>
    <row r="274" spans="2:31" s="165" customFormat="1" ht="20" x14ac:dyDescent="0.2">
      <c r="B274" s="150" t="s">
        <v>1434</v>
      </c>
      <c r="C274" s="33" t="s">
        <v>106</v>
      </c>
      <c r="D274" s="33" t="s">
        <v>2876</v>
      </c>
      <c r="E274" s="175">
        <v>1</v>
      </c>
      <c r="F274" s="151" t="s">
        <v>1128</v>
      </c>
      <c r="G274" s="152">
        <v>1.0984619</v>
      </c>
      <c r="H274" s="152">
        <v>0.67806290123456781</v>
      </c>
      <c r="I274" s="175">
        <v>138</v>
      </c>
      <c r="J274" s="266">
        <f>_xlfn.XLOOKUP($I274,Inputs!$C$6:$C$23,Inputs!$D$6:$D$23)*$G274</f>
        <v>0.47626169521428574</v>
      </c>
      <c r="K274" s="255"/>
      <c r="L274" s="186">
        <v>493</v>
      </c>
      <c r="M274" s="186">
        <v>627</v>
      </c>
      <c r="N274" s="99">
        <f t="shared" si="58"/>
        <v>117.838344642141</v>
      </c>
      <c r="O274" s="99">
        <f t="shared" si="59"/>
        <v>149.86742817570467</v>
      </c>
      <c r="P274" s="131">
        <v>0.9</v>
      </c>
      <c r="Q274" s="186">
        <f t="shared" si="61"/>
        <v>106.0545101779269</v>
      </c>
      <c r="R274" s="186">
        <f t="shared" si="62"/>
        <v>134.8806853581342</v>
      </c>
      <c r="S274" s="151" t="s">
        <v>2426</v>
      </c>
      <c r="T274" s="51" t="s">
        <v>2077</v>
      </c>
      <c r="U274" s="151" t="s">
        <v>1645</v>
      </c>
      <c r="V274" s="51" t="s">
        <v>3411</v>
      </c>
      <c r="W274" s="19"/>
      <c r="X274" s="19"/>
      <c r="Y274" s="99">
        <v>193</v>
      </c>
    </row>
    <row r="275" spans="2:31" ht="20" x14ac:dyDescent="0.2">
      <c r="B275" s="150" t="s">
        <v>475</v>
      </c>
      <c r="C275" s="33" t="s">
        <v>106</v>
      </c>
      <c r="D275" s="33" t="s">
        <v>2876</v>
      </c>
      <c r="E275" s="175">
        <v>1</v>
      </c>
      <c r="F275" s="151" t="s">
        <v>1128</v>
      </c>
      <c r="G275" s="152">
        <v>25</v>
      </c>
      <c r="H275" s="152">
        <v>15.432098765432098</v>
      </c>
      <c r="I275" s="175">
        <v>138</v>
      </c>
      <c r="J275" s="266">
        <f>_xlfn.XLOOKUP($I275,Inputs!$C$6:$C$23,Inputs!$D$6:$D$23)*$G275</f>
        <v>10.839285714285715</v>
      </c>
      <c r="K275" s="255"/>
      <c r="L275" s="186">
        <v>484</v>
      </c>
      <c r="M275" s="186">
        <v>622</v>
      </c>
      <c r="N275" s="99">
        <f t="shared" si="58"/>
        <v>115.68713753914044</v>
      </c>
      <c r="O275" s="99">
        <f t="shared" si="59"/>
        <v>148.67231311848212</v>
      </c>
      <c r="P275" s="131">
        <v>0.9</v>
      </c>
      <c r="Q275" s="186">
        <f t="shared" si="61"/>
        <v>104.1184237852264</v>
      </c>
      <c r="R275" s="186">
        <f t="shared" si="62"/>
        <v>133.80508180663392</v>
      </c>
      <c r="S275" s="151" t="s">
        <v>2425</v>
      </c>
      <c r="T275" s="51" t="s">
        <v>2074</v>
      </c>
      <c r="U275" s="151" t="s">
        <v>2426</v>
      </c>
      <c r="V275" s="51" t="s">
        <v>2077</v>
      </c>
      <c r="W275" s="19"/>
      <c r="X275" s="19"/>
      <c r="Y275" s="99">
        <v>192</v>
      </c>
      <c r="AA275" s="29"/>
      <c r="AC275" s="29"/>
      <c r="AD275" s="29"/>
      <c r="AE275" s="29"/>
    </row>
    <row r="276" spans="2:31" s="165" customFormat="1" ht="20" x14ac:dyDescent="0.2">
      <c r="B276" s="230" t="s">
        <v>2642</v>
      </c>
      <c r="C276" s="51" t="s">
        <v>173</v>
      </c>
      <c r="D276" s="33" t="s">
        <v>2876</v>
      </c>
      <c r="E276" s="231">
        <v>1</v>
      </c>
      <c r="F276" s="230" t="s">
        <v>1128</v>
      </c>
      <c r="G276" s="232">
        <v>11</v>
      </c>
      <c r="H276" s="232">
        <v>6.7901234567901234</v>
      </c>
      <c r="I276" s="231">
        <v>138</v>
      </c>
      <c r="J276" s="266">
        <f>_xlfn.XLOOKUP($I276,Inputs!$C$6:$C$23,Inputs!$D$6:$D$23)*$G276</f>
        <v>4.769285714285715</v>
      </c>
      <c r="K276" s="267">
        <f>IF((42.4*(H276)^(-0.6595))&gt;=3,3,(IF(42.4*(H276)^(-0.6595)&lt;=0.5,0.5,(42.4*(H276)^(-0.6595)))))</f>
        <v>3</v>
      </c>
      <c r="L276" s="99"/>
      <c r="M276" s="99"/>
      <c r="N276" s="99"/>
      <c r="O276" s="99"/>
      <c r="P276" s="69"/>
      <c r="Q276" s="305">
        <f>_xlfn.XLOOKUP($I276,Inputs!$G$6:$G$23,Inputs!J$6:J$23)*$K276</f>
        <v>141</v>
      </c>
      <c r="R276" s="305">
        <f>_xlfn.XLOOKUP($I276,Inputs!$G$6:$G$23,Inputs!K$6:K$23)*$K276</f>
        <v>156</v>
      </c>
      <c r="S276" s="230" t="s">
        <v>2641</v>
      </c>
      <c r="T276" s="51" t="s">
        <v>3222</v>
      </c>
      <c r="U276" s="230" t="s">
        <v>1646</v>
      </c>
      <c r="V276" s="51" t="s">
        <v>3210</v>
      </c>
      <c r="W276" s="19"/>
      <c r="X276" s="19"/>
      <c r="Y276" s="99">
        <v>1118</v>
      </c>
    </row>
    <row r="277" spans="2:31" s="165" customFormat="1" ht="20" x14ac:dyDescent="0.2">
      <c r="B277" s="230" t="s">
        <v>2643</v>
      </c>
      <c r="C277" s="51" t="s">
        <v>173</v>
      </c>
      <c r="D277" s="33" t="s">
        <v>2876</v>
      </c>
      <c r="E277" s="231">
        <v>1</v>
      </c>
      <c r="F277" s="230" t="s">
        <v>1128</v>
      </c>
      <c r="G277" s="232">
        <v>2.5</v>
      </c>
      <c r="H277" s="232">
        <v>1.5432098765432098</v>
      </c>
      <c r="I277" s="231">
        <v>138</v>
      </c>
      <c r="J277" s="266">
        <f>_xlfn.XLOOKUP($I277,Inputs!$C$6:$C$23,Inputs!$D$6:$D$23)*$G277</f>
        <v>1.0839285714285716</v>
      </c>
      <c r="K277" s="267">
        <f>IF((42.4*(H277)^(-0.6595))&gt;=3,3,(IF(42.4*(H277)^(-0.6595)&lt;=0.5,0.5,(42.4*(H277)^(-0.6595)))))</f>
        <v>3</v>
      </c>
      <c r="L277" s="99"/>
      <c r="M277" s="99"/>
      <c r="N277" s="99"/>
      <c r="O277" s="99"/>
      <c r="P277" s="69"/>
      <c r="Q277" s="305">
        <f>_xlfn.XLOOKUP($I277,Inputs!$G$6:$G$23,Inputs!J$6:J$23)*$K277</f>
        <v>141</v>
      </c>
      <c r="R277" s="305">
        <f>_xlfn.XLOOKUP($I277,Inputs!$G$6:$G$23,Inputs!K$6:K$23)*$K277</f>
        <v>156</v>
      </c>
      <c r="S277" s="230" t="s">
        <v>2638</v>
      </c>
      <c r="T277" s="51" t="s">
        <v>3220</v>
      </c>
      <c r="U277" s="230" t="s">
        <v>1646</v>
      </c>
      <c r="V277" s="51" t="s">
        <v>3210</v>
      </c>
      <c r="W277" s="19"/>
      <c r="X277" s="19"/>
      <c r="Y277" s="99">
        <v>1125</v>
      </c>
    </row>
    <row r="278" spans="2:31" s="165" customFormat="1" ht="20" x14ac:dyDescent="0.2">
      <c r="B278" s="230" t="s">
        <v>1111</v>
      </c>
      <c r="C278" s="51" t="s">
        <v>173</v>
      </c>
      <c r="D278" s="33" t="s">
        <v>2876</v>
      </c>
      <c r="E278" s="231">
        <v>1</v>
      </c>
      <c r="F278" s="230" t="s">
        <v>1128</v>
      </c>
      <c r="G278" s="232">
        <v>15</v>
      </c>
      <c r="H278" s="232">
        <v>9.2592592592592595</v>
      </c>
      <c r="I278" s="231">
        <v>230</v>
      </c>
      <c r="J278" s="266">
        <f>_xlfn.XLOOKUP($I278,Inputs!$C$6:$C$23,Inputs!$D$6:$D$23)*$G278</f>
        <v>7.1999999999999993</v>
      </c>
      <c r="K278" s="267">
        <f>IF((42.4*(H278)^(-0.6595))&gt;=3,3,(IF(42.4*(H278)^(-0.6595)&lt;=0.5,0.5,(42.4*(H278)^(-0.6595)))))</f>
        <v>3</v>
      </c>
      <c r="L278" s="99"/>
      <c r="M278" s="99"/>
      <c r="N278" s="99"/>
      <c r="O278" s="99"/>
      <c r="P278" s="69"/>
      <c r="Q278" s="305">
        <f>_xlfn.XLOOKUP($I278,Inputs!$G$6:$G$23,Inputs!J$6:J$23)*$K278</f>
        <v>402</v>
      </c>
      <c r="R278" s="305">
        <f>_xlfn.XLOOKUP($I278,Inputs!$G$6:$G$23,Inputs!K$6:K$23)*$K278</f>
        <v>435</v>
      </c>
      <c r="S278" s="230" t="s">
        <v>3574</v>
      </c>
      <c r="T278" s="51" t="s">
        <v>3575</v>
      </c>
      <c r="U278" s="230" t="s">
        <v>1646</v>
      </c>
      <c r="V278" s="51" t="s">
        <v>3210</v>
      </c>
      <c r="W278" s="19"/>
      <c r="X278" s="19"/>
      <c r="Y278" s="99">
        <v>1134</v>
      </c>
    </row>
    <row r="279" spans="2:31" s="165" customFormat="1" ht="20" x14ac:dyDescent="0.2">
      <c r="B279" s="151" t="s">
        <v>1108</v>
      </c>
      <c r="C279" s="33" t="s">
        <v>106</v>
      </c>
      <c r="D279" s="33" t="s">
        <v>2876</v>
      </c>
      <c r="E279" s="175">
        <v>1</v>
      </c>
      <c r="F279" s="151" t="s">
        <v>1128</v>
      </c>
      <c r="G279" s="174">
        <v>2</v>
      </c>
      <c r="H279" s="152">
        <v>1.2345679012345678</v>
      </c>
      <c r="I279" s="175">
        <v>138</v>
      </c>
      <c r="J279" s="266">
        <f>_xlfn.XLOOKUP($I279,Inputs!$C$6:$C$23,Inputs!$D$6:$D$23)*$G279</f>
        <v>0.86714285714285722</v>
      </c>
      <c r="K279" s="267">
        <f>IF((42.4*(H279)^(-0.6595))&gt;=3,3,(IF(42.4*(H279)^(-0.6595)&lt;=0.5,0.5,(42.4*(H279)^(-0.6595)))))</f>
        <v>3</v>
      </c>
      <c r="L279" s="99"/>
      <c r="M279" s="99"/>
      <c r="N279" s="99">
        <f t="shared" ref="N279:N299" si="63">(SQRT(3)*L279*$I279)/1000</f>
        <v>0</v>
      </c>
      <c r="O279" s="99">
        <f t="shared" ref="O279:O299" si="64">(SQRT(3)*M279*$I279)/1000</f>
        <v>0</v>
      </c>
      <c r="P279" s="131">
        <v>0.9</v>
      </c>
      <c r="Q279" s="305">
        <f>_xlfn.XLOOKUP($I279,Inputs!$G$6:$G$23,Inputs!J$6:J$23)*$K279</f>
        <v>141</v>
      </c>
      <c r="R279" s="305">
        <f>_xlfn.XLOOKUP($I279,Inputs!$G$6:$G$23,Inputs!K$6:K$23)*$K279</f>
        <v>156</v>
      </c>
      <c r="S279" s="151" t="s">
        <v>2308</v>
      </c>
      <c r="T279" s="51" t="s">
        <v>3124</v>
      </c>
      <c r="U279" s="151" t="s">
        <v>2303</v>
      </c>
      <c r="V279" s="51" t="s">
        <v>3114</v>
      </c>
      <c r="W279" s="19"/>
      <c r="X279" s="19"/>
      <c r="Y279" s="99">
        <v>7</v>
      </c>
    </row>
    <row r="280" spans="2:31" s="165" customFormat="1" ht="20" x14ac:dyDescent="0.2">
      <c r="B280" s="150" t="s">
        <v>1208</v>
      </c>
      <c r="C280" s="33" t="s">
        <v>106</v>
      </c>
      <c r="D280" s="33" t="s">
        <v>2876</v>
      </c>
      <c r="E280" s="175">
        <v>1</v>
      </c>
      <c r="F280" s="151" t="s">
        <v>1128</v>
      </c>
      <c r="G280" s="152">
        <v>2.4225023000000001</v>
      </c>
      <c r="H280" s="152">
        <v>1.4953717901234567</v>
      </c>
      <c r="I280" s="175">
        <v>69</v>
      </c>
      <c r="J280" s="266">
        <f>_xlfn.XLOOKUP($I280,Inputs!$C$6:$C$23,Inputs!$D$6:$D$23)*$G280</f>
        <v>0.93093302671428579</v>
      </c>
      <c r="K280" s="255"/>
      <c r="L280" s="186">
        <v>450</v>
      </c>
      <c r="M280" s="186">
        <v>480</v>
      </c>
      <c r="N280" s="99">
        <f t="shared" si="63"/>
        <v>53.780177575013639</v>
      </c>
      <c r="O280" s="99">
        <f t="shared" si="64"/>
        <v>57.365522746681208</v>
      </c>
      <c r="P280" s="131">
        <v>0.9</v>
      </c>
      <c r="Q280" s="186">
        <f t="shared" ref="Q280:R283" si="65">N280*$P280</f>
        <v>48.402159817512278</v>
      </c>
      <c r="R280" s="186">
        <f t="shared" si="65"/>
        <v>51.628970472013087</v>
      </c>
      <c r="S280" s="151" t="s">
        <v>1798</v>
      </c>
      <c r="T280" s="51" t="s">
        <v>3294</v>
      </c>
      <c r="U280" s="151" t="s">
        <v>1647</v>
      </c>
      <c r="V280" s="51" t="s">
        <v>3482</v>
      </c>
      <c r="W280" s="19"/>
      <c r="X280" s="19"/>
      <c r="Y280" s="99">
        <v>681</v>
      </c>
    </row>
    <row r="281" spans="2:31" ht="20" x14ac:dyDescent="0.2">
      <c r="B281" s="150" t="s">
        <v>1209</v>
      </c>
      <c r="C281" s="33" t="s">
        <v>106</v>
      </c>
      <c r="D281" s="33" t="s">
        <v>2876</v>
      </c>
      <c r="E281" s="175">
        <v>1</v>
      </c>
      <c r="F281" s="151" t="s">
        <v>1128</v>
      </c>
      <c r="G281" s="152">
        <v>2.4559104</v>
      </c>
      <c r="H281" s="152">
        <v>1.515994074074074</v>
      </c>
      <c r="I281" s="175">
        <v>69</v>
      </c>
      <c r="J281" s="266">
        <f>_xlfn.XLOOKUP($I281,Inputs!$C$6:$C$23,Inputs!$D$6:$D$23)*$G281</f>
        <v>0.94377128228571427</v>
      </c>
      <c r="K281" s="255"/>
      <c r="L281" s="186">
        <v>450</v>
      </c>
      <c r="M281" s="186">
        <v>480</v>
      </c>
      <c r="N281" s="99">
        <f t="shared" si="63"/>
        <v>53.780177575013639</v>
      </c>
      <c r="O281" s="99">
        <f t="shared" si="64"/>
        <v>57.365522746681208</v>
      </c>
      <c r="P281" s="131">
        <v>0.9</v>
      </c>
      <c r="Q281" s="186">
        <f t="shared" si="65"/>
        <v>48.402159817512278</v>
      </c>
      <c r="R281" s="186">
        <f t="shared" si="65"/>
        <v>51.628970472013087</v>
      </c>
      <c r="S281" s="151" t="s">
        <v>1798</v>
      </c>
      <c r="T281" s="51" t="s">
        <v>3294</v>
      </c>
      <c r="U281" s="151" t="s">
        <v>1647</v>
      </c>
      <c r="V281" s="51" t="s">
        <v>3482</v>
      </c>
      <c r="W281" s="19"/>
      <c r="X281" s="19"/>
      <c r="Y281" s="99">
        <v>682</v>
      </c>
      <c r="AA281" s="29"/>
      <c r="AC281" s="29"/>
      <c r="AD281" s="29"/>
      <c r="AE281" s="29"/>
    </row>
    <row r="282" spans="2:31" ht="20" x14ac:dyDescent="0.2">
      <c r="B282" s="150" t="s">
        <v>1210</v>
      </c>
      <c r="C282" s="33" t="s">
        <v>106</v>
      </c>
      <c r="D282" s="33" t="s">
        <v>2876</v>
      </c>
      <c r="E282" s="175">
        <v>1</v>
      </c>
      <c r="F282" s="151" t="s">
        <v>1128</v>
      </c>
      <c r="G282" s="152">
        <v>2.6059515000000002</v>
      </c>
      <c r="H282" s="152">
        <v>1.6086120370370371</v>
      </c>
      <c r="I282" s="175">
        <v>69</v>
      </c>
      <c r="J282" s="266">
        <f>_xlfn.XLOOKUP($I282,Inputs!$C$6:$C$23,Inputs!$D$6:$D$23)*$G282</f>
        <v>1.0014299335714287</v>
      </c>
      <c r="K282" s="255"/>
      <c r="L282" s="186">
        <v>450</v>
      </c>
      <c r="M282" s="186">
        <v>480</v>
      </c>
      <c r="N282" s="99">
        <f t="shared" si="63"/>
        <v>53.780177575013639</v>
      </c>
      <c r="O282" s="99">
        <f t="shared" si="64"/>
        <v>57.365522746681208</v>
      </c>
      <c r="P282" s="131">
        <v>0.9</v>
      </c>
      <c r="Q282" s="186">
        <f t="shared" si="65"/>
        <v>48.402159817512278</v>
      </c>
      <c r="R282" s="186">
        <f t="shared" si="65"/>
        <v>51.628970472013087</v>
      </c>
      <c r="S282" s="151" t="s">
        <v>1798</v>
      </c>
      <c r="T282" s="51" t="s">
        <v>3294</v>
      </c>
      <c r="U282" s="151" t="s">
        <v>1647</v>
      </c>
      <c r="V282" s="51" t="s">
        <v>3482</v>
      </c>
      <c r="W282" s="19"/>
      <c r="X282" s="19"/>
      <c r="Y282" s="99">
        <v>683</v>
      </c>
      <c r="AA282" s="29"/>
      <c r="AC282" s="29"/>
      <c r="AD282" s="29"/>
      <c r="AE282" s="29"/>
    </row>
    <row r="283" spans="2:31" ht="20" x14ac:dyDescent="0.2">
      <c r="B283" s="150" t="s">
        <v>1211</v>
      </c>
      <c r="C283" s="33" t="s">
        <v>106</v>
      </c>
      <c r="D283" s="33" t="s">
        <v>2876</v>
      </c>
      <c r="E283" s="175">
        <v>1</v>
      </c>
      <c r="F283" s="151" t="s">
        <v>1128</v>
      </c>
      <c r="G283" s="152">
        <v>2.4585704000000002</v>
      </c>
      <c r="H283" s="152">
        <v>1.5176360493827161</v>
      </c>
      <c r="I283" s="175">
        <v>69</v>
      </c>
      <c r="J283" s="266">
        <f>_xlfn.XLOOKUP($I283,Inputs!$C$6:$C$23,Inputs!$D$6:$D$23)*$G283</f>
        <v>0.94479348228571436</v>
      </c>
      <c r="K283" s="255"/>
      <c r="L283" s="186">
        <v>450</v>
      </c>
      <c r="M283" s="186">
        <v>480</v>
      </c>
      <c r="N283" s="99">
        <f t="shared" si="63"/>
        <v>53.780177575013639</v>
      </c>
      <c r="O283" s="99">
        <f t="shared" si="64"/>
        <v>57.365522746681208</v>
      </c>
      <c r="P283" s="131">
        <v>0.9</v>
      </c>
      <c r="Q283" s="186">
        <f t="shared" si="65"/>
        <v>48.402159817512278</v>
      </c>
      <c r="R283" s="186">
        <f t="shared" si="65"/>
        <v>51.628970472013087</v>
      </c>
      <c r="S283" s="151" t="s">
        <v>1798</v>
      </c>
      <c r="T283" s="51" t="s">
        <v>3294</v>
      </c>
      <c r="U283" s="151" t="s">
        <v>1647</v>
      </c>
      <c r="V283" s="51" t="s">
        <v>3482</v>
      </c>
      <c r="W283" s="19"/>
      <c r="X283" s="19"/>
      <c r="Y283" s="99">
        <v>684</v>
      </c>
      <c r="AA283" s="29"/>
      <c r="AC283" s="29"/>
      <c r="AD283" s="29"/>
      <c r="AE283" s="29"/>
    </row>
    <row r="284" spans="2:31" s="165" customFormat="1" ht="20" x14ac:dyDescent="0.2">
      <c r="B284" s="150" t="s">
        <v>1385</v>
      </c>
      <c r="C284" s="33" t="s">
        <v>106</v>
      </c>
      <c r="D284" s="33" t="s">
        <v>2876</v>
      </c>
      <c r="E284" s="175">
        <v>1</v>
      </c>
      <c r="F284" s="151" t="s">
        <v>1128</v>
      </c>
      <c r="G284" s="152">
        <v>1.4135099999999999E-2</v>
      </c>
      <c r="H284" s="152">
        <v>8.7253703703703694E-3</v>
      </c>
      <c r="I284" s="175">
        <v>69</v>
      </c>
      <c r="J284" s="266">
        <f>_xlfn.XLOOKUP($I284,Inputs!$C$6:$C$23,Inputs!$D$6:$D$23)*$G284</f>
        <v>5.4319169999999996E-3</v>
      </c>
      <c r="K284" s="267">
        <f>IF((42.4*(H284)^(-0.6595))&gt;=3,3,(IF(42.4*(H284)^(-0.6595)&lt;=0.5,0.5,(42.4*(H284)^(-0.6595)))))</f>
        <v>3</v>
      </c>
      <c r="L284" s="99"/>
      <c r="M284" s="99"/>
      <c r="N284" s="99">
        <f t="shared" si="63"/>
        <v>0</v>
      </c>
      <c r="O284" s="99">
        <f t="shared" si="64"/>
        <v>0</v>
      </c>
      <c r="P284" s="131">
        <v>0.9</v>
      </c>
      <c r="Q284" s="305">
        <f>_xlfn.XLOOKUP($I284,Inputs!$G$6:$G$23,Inputs!J$6:J$23)*$K284</f>
        <v>36</v>
      </c>
      <c r="R284" s="305">
        <f>_xlfn.XLOOKUP($I284,Inputs!$G$6:$G$23,Inputs!K$6:K$23)*$K284</f>
        <v>39</v>
      </c>
      <c r="S284" s="151" t="s">
        <v>2603</v>
      </c>
      <c r="T284" s="51" t="s">
        <v>2263</v>
      </c>
      <c r="U284" s="151" t="s">
        <v>1648</v>
      </c>
      <c r="V284" s="51" t="s">
        <v>3412</v>
      </c>
      <c r="W284" s="19"/>
      <c r="X284" s="19"/>
      <c r="Y284" s="99">
        <v>995</v>
      </c>
    </row>
    <row r="285" spans="2:31" ht="20" x14ac:dyDescent="0.2">
      <c r="B285" s="150" t="s">
        <v>1401</v>
      </c>
      <c r="C285" s="33" t="s">
        <v>106</v>
      </c>
      <c r="D285" s="33" t="s">
        <v>2876</v>
      </c>
      <c r="E285" s="175">
        <v>1</v>
      </c>
      <c r="F285" s="151" t="s">
        <v>1128</v>
      </c>
      <c r="G285" s="152">
        <v>4</v>
      </c>
      <c r="H285" s="152">
        <v>2.4691358024691357</v>
      </c>
      <c r="I285" s="175">
        <v>69</v>
      </c>
      <c r="J285" s="266">
        <f>_xlfn.XLOOKUP($I285,Inputs!$C$6:$C$23,Inputs!$D$6:$D$23)*$G285</f>
        <v>1.5371428571428571</v>
      </c>
      <c r="K285" s="255"/>
      <c r="L285" s="186">
        <v>230</v>
      </c>
      <c r="M285" s="186">
        <v>380</v>
      </c>
      <c r="N285" s="99">
        <f t="shared" si="63"/>
        <v>27.487646316118084</v>
      </c>
      <c r="O285" s="99">
        <f t="shared" si="64"/>
        <v>45.414372174455956</v>
      </c>
      <c r="P285" s="131">
        <v>0.9</v>
      </c>
      <c r="Q285" s="186">
        <f t="shared" ref="Q285:R287" si="66">N285*$P285</f>
        <v>24.738881684506275</v>
      </c>
      <c r="R285" s="186">
        <f t="shared" si="66"/>
        <v>40.872934957010358</v>
      </c>
      <c r="S285" s="151" t="s">
        <v>1862</v>
      </c>
      <c r="T285" s="51" t="s">
        <v>3318</v>
      </c>
      <c r="U285" s="151" t="s">
        <v>2603</v>
      </c>
      <c r="V285" s="51" t="s">
        <v>2263</v>
      </c>
      <c r="W285" s="19"/>
      <c r="X285" s="19"/>
      <c r="Y285" s="99">
        <v>994</v>
      </c>
      <c r="AA285" s="29"/>
      <c r="AC285" s="29"/>
      <c r="AD285" s="29"/>
      <c r="AE285" s="29"/>
    </row>
    <row r="286" spans="2:31" s="165" customFormat="1" ht="20" x14ac:dyDescent="0.2">
      <c r="B286" s="150" t="s">
        <v>613</v>
      </c>
      <c r="C286" s="33" t="s">
        <v>106</v>
      </c>
      <c r="D286" s="33" t="s">
        <v>2876</v>
      </c>
      <c r="E286" s="175">
        <v>1</v>
      </c>
      <c r="F286" s="151" t="s">
        <v>1128</v>
      </c>
      <c r="G286" s="152">
        <v>23.0208841</v>
      </c>
      <c r="H286" s="152">
        <v>14.210422283950617</v>
      </c>
      <c r="I286" s="175">
        <v>230</v>
      </c>
      <c r="J286" s="266">
        <f>_xlfn.XLOOKUP($I286,Inputs!$C$6:$C$23,Inputs!$D$6:$D$23)*$G286</f>
        <v>11.050024367999999</v>
      </c>
      <c r="K286" s="255"/>
      <c r="L286" s="186">
        <v>1055</v>
      </c>
      <c r="M286" s="186">
        <v>1280</v>
      </c>
      <c r="N286" s="99">
        <f t="shared" si="63"/>
        <v>420.282128456588</v>
      </c>
      <c r="O286" s="99">
        <f t="shared" si="64"/>
        <v>509.91575774827737</v>
      </c>
      <c r="P286" s="131">
        <v>0.9</v>
      </c>
      <c r="Q286" s="186">
        <f t="shared" si="66"/>
        <v>378.2539156109292</v>
      </c>
      <c r="R286" s="186">
        <f t="shared" si="66"/>
        <v>458.92418197344966</v>
      </c>
      <c r="S286" s="151" t="s">
        <v>1699</v>
      </c>
      <c r="T286" s="51" t="s">
        <v>3126</v>
      </c>
      <c r="U286" s="151" t="s">
        <v>1649</v>
      </c>
      <c r="V286" s="51" t="s">
        <v>3243</v>
      </c>
      <c r="W286" s="19"/>
      <c r="X286" s="19"/>
      <c r="Y286" s="99">
        <v>471</v>
      </c>
    </row>
    <row r="287" spans="2:31" ht="20" x14ac:dyDescent="0.2">
      <c r="B287" s="151" t="s">
        <v>1103</v>
      </c>
      <c r="C287" s="33" t="s">
        <v>106</v>
      </c>
      <c r="D287" s="33" t="s">
        <v>2876</v>
      </c>
      <c r="E287" s="175">
        <v>1</v>
      </c>
      <c r="F287" s="151" t="s">
        <v>1128</v>
      </c>
      <c r="G287" s="174">
        <v>40</v>
      </c>
      <c r="H287" s="152">
        <v>24.691358024691358</v>
      </c>
      <c r="I287" s="175">
        <v>230</v>
      </c>
      <c r="J287" s="266">
        <f>_xlfn.XLOOKUP($I287,Inputs!$C$6:$C$23,Inputs!$D$6:$D$23)*$G287</f>
        <v>19.2</v>
      </c>
      <c r="K287" s="255"/>
      <c r="L287" s="186">
        <v>940</v>
      </c>
      <c r="M287" s="186">
        <v>160</v>
      </c>
      <c r="N287" s="99">
        <f t="shared" si="63"/>
        <v>374.46938459639125</v>
      </c>
      <c r="O287" s="99">
        <f t="shared" si="64"/>
        <v>63.739469718534671</v>
      </c>
      <c r="P287" s="131">
        <v>0.9</v>
      </c>
      <c r="Q287" s="186">
        <f t="shared" si="66"/>
        <v>337.02244613675214</v>
      </c>
      <c r="R287" s="186">
        <f t="shared" si="66"/>
        <v>57.365522746681208</v>
      </c>
      <c r="S287" s="151" t="s">
        <v>1649</v>
      </c>
      <c r="T287" s="51" t="s">
        <v>3243</v>
      </c>
      <c r="U287" s="151" t="s">
        <v>2304</v>
      </c>
      <c r="V287" s="51" t="s">
        <v>3115</v>
      </c>
      <c r="W287" s="19"/>
      <c r="X287" s="19"/>
      <c r="Y287" s="99">
        <v>480</v>
      </c>
      <c r="AA287" s="29"/>
      <c r="AC287" s="29"/>
      <c r="AD287" s="29"/>
      <c r="AE287" s="29"/>
    </row>
    <row r="288" spans="2:31" s="165" customFormat="1" ht="20" x14ac:dyDescent="0.2">
      <c r="B288" s="150" t="s">
        <v>1367</v>
      </c>
      <c r="C288" s="33" t="s">
        <v>106</v>
      </c>
      <c r="D288" s="33" t="s">
        <v>2876</v>
      </c>
      <c r="E288" s="175">
        <v>1</v>
      </c>
      <c r="F288" s="151" t="s">
        <v>1128</v>
      </c>
      <c r="G288" s="152">
        <v>0.28446879999999997</v>
      </c>
      <c r="H288" s="152">
        <v>0.17559802469135799</v>
      </c>
      <c r="I288" s="175">
        <v>69</v>
      </c>
      <c r="J288" s="266">
        <f>_xlfn.XLOOKUP($I288,Inputs!$C$6:$C$23,Inputs!$D$6:$D$23)*$G288</f>
        <v>0.10931729599999998</v>
      </c>
      <c r="K288" s="267">
        <f>IF((42.4*(H288)^(-0.6595))&gt;=3,3,(IF(42.4*(H288)^(-0.6595)&lt;=0.5,0.5,(42.4*(H288)^(-0.6595)))))</f>
        <v>3</v>
      </c>
      <c r="L288" s="99"/>
      <c r="M288" s="99"/>
      <c r="N288" s="99">
        <f t="shared" si="63"/>
        <v>0</v>
      </c>
      <c r="O288" s="99">
        <f t="shared" si="64"/>
        <v>0</v>
      </c>
      <c r="P288" s="131">
        <v>0.9</v>
      </c>
      <c r="Q288" s="305">
        <f>_xlfn.XLOOKUP($I288,Inputs!$G$6:$G$23,Inputs!J$6:J$23)*$K288</f>
        <v>36</v>
      </c>
      <c r="R288" s="305">
        <f>_xlfn.XLOOKUP($I288,Inputs!$G$6:$G$23,Inputs!K$6:K$23)*$K288</f>
        <v>39</v>
      </c>
      <c r="S288" s="151" t="s">
        <v>2595</v>
      </c>
      <c r="T288" s="51" t="s">
        <v>2253</v>
      </c>
      <c r="U288" s="151" t="s">
        <v>1650</v>
      </c>
      <c r="V288" s="51" t="s">
        <v>3631</v>
      </c>
      <c r="W288" s="19"/>
      <c r="X288" s="19"/>
      <c r="Y288" s="99">
        <v>965</v>
      </c>
    </row>
    <row r="289" spans="2:31" ht="20" x14ac:dyDescent="0.2">
      <c r="B289" s="150" t="s">
        <v>1365</v>
      </c>
      <c r="C289" s="33" t="s">
        <v>106</v>
      </c>
      <c r="D289" s="33" t="s">
        <v>2876</v>
      </c>
      <c r="E289" s="175">
        <v>1</v>
      </c>
      <c r="F289" s="151" t="s">
        <v>1128</v>
      </c>
      <c r="G289" s="152">
        <v>3</v>
      </c>
      <c r="H289" s="152">
        <v>1.8518518518518516</v>
      </c>
      <c r="I289" s="175">
        <v>69</v>
      </c>
      <c r="J289" s="266">
        <f>_xlfn.XLOOKUP($I289,Inputs!$C$6:$C$23,Inputs!$D$6:$D$23)*$G289</f>
        <v>1.1528571428571428</v>
      </c>
      <c r="K289" s="255"/>
      <c r="L289" s="186">
        <v>310</v>
      </c>
      <c r="M289" s="186">
        <v>500</v>
      </c>
      <c r="N289" s="99">
        <f t="shared" si="63"/>
        <v>37.04856677389828</v>
      </c>
      <c r="O289" s="99">
        <f t="shared" si="64"/>
        <v>59.755752861126261</v>
      </c>
      <c r="P289" s="131">
        <v>0.9</v>
      </c>
      <c r="Q289" s="186">
        <f t="shared" ref="Q289:R296" si="67">N289*$P289</f>
        <v>33.343710096508453</v>
      </c>
      <c r="R289" s="186">
        <f t="shared" si="67"/>
        <v>53.780177575013639</v>
      </c>
      <c r="S289" s="151" t="s">
        <v>2594</v>
      </c>
      <c r="T289" s="51" t="s">
        <v>2252</v>
      </c>
      <c r="U289" s="151" t="s">
        <v>2595</v>
      </c>
      <c r="V289" s="179" t="s">
        <v>2253</v>
      </c>
      <c r="W289" s="19"/>
      <c r="X289" s="19"/>
      <c r="Y289" s="99">
        <v>964</v>
      </c>
      <c r="AA289" s="29"/>
      <c r="AC289" s="29"/>
      <c r="AD289" s="29"/>
      <c r="AE289" s="29"/>
    </row>
    <row r="290" spans="2:31" ht="20" x14ac:dyDescent="0.2">
      <c r="B290" s="150" t="s">
        <v>585</v>
      </c>
      <c r="C290" s="33" t="s">
        <v>106</v>
      </c>
      <c r="D290" s="33" t="s">
        <v>2876</v>
      </c>
      <c r="E290" s="175">
        <v>1</v>
      </c>
      <c r="F290" s="151" t="s">
        <v>1128</v>
      </c>
      <c r="G290" s="152">
        <v>51.11</v>
      </c>
      <c r="H290" s="152">
        <v>31.549382716049379</v>
      </c>
      <c r="I290" s="175">
        <v>230</v>
      </c>
      <c r="J290" s="266">
        <f>_xlfn.XLOOKUP($I290,Inputs!$C$6:$C$23,Inputs!$D$6:$D$23)*$G290</f>
        <v>24.532799999999998</v>
      </c>
      <c r="K290" s="255"/>
      <c r="L290" s="186">
        <v>1636</v>
      </c>
      <c r="M290" s="3">
        <v>2233</v>
      </c>
      <c r="N290" s="99">
        <f t="shared" si="63"/>
        <v>651.73607787201718</v>
      </c>
      <c r="O290" s="99">
        <f t="shared" si="64"/>
        <v>889.5639742592997</v>
      </c>
      <c r="P290" s="131">
        <v>0.9</v>
      </c>
      <c r="Q290" s="186">
        <f t="shared" si="67"/>
        <v>586.56247008481546</v>
      </c>
      <c r="R290" s="186">
        <f t="shared" si="67"/>
        <v>800.60757683336976</v>
      </c>
      <c r="S290" s="151" t="s">
        <v>2475</v>
      </c>
      <c r="T290" s="51" t="s">
        <v>2127</v>
      </c>
      <c r="U290" s="151" t="s">
        <v>1651</v>
      </c>
      <c r="V290" s="51" t="s">
        <v>3244</v>
      </c>
      <c r="W290" s="19"/>
      <c r="X290" s="19"/>
      <c r="Y290" s="99">
        <v>438</v>
      </c>
      <c r="AA290" s="29"/>
      <c r="AC290" s="29"/>
      <c r="AD290" s="29"/>
      <c r="AE290" s="29"/>
    </row>
    <row r="291" spans="2:31" s="165" customFormat="1" ht="20" x14ac:dyDescent="0.2">
      <c r="B291" s="150" t="s">
        <v>588</v>
      </c>
      <c r="C291" s="33" t="s">
        <v>106</v>
      </c>
      <c r="D291" s="33" t="s">
        <v>2876</v>
      </c>
      <c r="E291" s="175">
        <v>1</v>
      </c>
      <c r="F291" s="151" t="s">
        <v>1128</v>
      </c>
      <c r="G291" s="152">
        <v>50.94</v>
      </c>
      <c r="H291" s="152">
        <v>31.444444444444439</v>
      </c>
      <c r="I291" s="175">
        <v>230</v>
      </c>
      <c r="J291" s="266">
        <f>_xlfn.XLOOKUP($I291,Inputs!$C$6:$C$23,Inputs!$D$6:$D$23)*$G291</f>
        <v>24.451199999999996</v>
      </c>
      <c r="K291" s="255"/>
      <c r="L291" s="186">
        <v>1637</v>
      </c>
      <c r="M291" s="3">
        <v>2233</v>
      </c>
      <c r="N291" s="99">
        <f t="shared" si="63"/>
        <v>652.13444955775799</v>
      </c>
      <c r="O291" s="99">
        <f t="shared" si="64"/>
        <v>889.5639742592997</v>
      </c>
      <c r="P291" s="131">
        <v>0.9</v>
      </c>
      <c r="Q291" s="186">
        <f t="shared" si="67"/>
        <v>586.92100460198219</v>
      </c>
      <c r="R291" s="186">
        <f t="shared" si="67"/>
        <v>800.60757683336976</v>
      </c>
      <c r="S291" s="151" t="s">
        <v>2475</v>
      </c>
      <c r="T291" s="51" t="s">
        <v>2127</v>
      </c>
      <c r="U291" s="151" t="s">
        <v>1651</v>
      </c>
      <c r="V291" s="51" t="s">
        <v>3244</v>
      </c>
      <c r="W291" s="19"/>
      <c r="X291" s="19"/>
      <c r="Y291" s="99">
        <v>443</v>
      </c>
    </row>
    <row r="292" spans="2:31" ht="20" x14ac:dyDescent="0.2">
      <c r="B292" s="150" t="s">
        <v>649</v>
      </c>
      <c r="C292" s="33" t="s">
        <v>106</v>
      </c>
      <c r="D292" s="33" t="s">
        <v>2876</v>
      </c>
      <c r="E292" s="175">
        <v>1</v>
      </c>
      <c r="F292" s="151" t="s">
        <v>1128</v>
      </c>
      <c r="G292" s="152">
        <v>68.728145699999999</v>
      </c>
      <c r="H292" s="152">
        <v>42.424781296296295</v>
      </c>
      <c r="I292" s="175">
        <v>500</v>
      </c>
      <c r="J292" s="266">
        <f>_xlfn.XLOOKUP($I292,Inputs!$C$6:$C$23,Inputs!$D$6:$D$23)*$G292</f>
        <v>27.147617551500002</v>
      </c>
      <c r="K292" s="255"/>
      <c r="L292" s="186">
        <v>1260</v>
      </c>
      <c r="M292" s="186">
        <v>1260</v>
      </c>
      <c r="N292" s="99">
        <f t="shared" si="63"/>
        <v>1091.1920087683927</v>
      </c>
      <c r="O292" s="99">
        <f t="shared" si="64"/>
        <v>1091.1920087683927</v>
      </c>
      <c r="P292" s="131">
        <v>0.9</v>
      </c>
      <c r="Q292" s="186">
        <f t="shared" si="67"/>
        <v>982.07280789155345</v>
      </c>
      <c r="R292" s="186">
        <f t="shared" si="67"/>
        <v>982.07280789155345</v>
      </c>
      <c r="S292" s="151" t="s">
        <v>1795</v>
      </c>
      <c r="T292" s="51" t="s">
        <v>3199</v>
      </c>
      <c r="U292" s="151" t="s">
        <v>1651</v>
      </c>
      <c r="V292" s="51" t="s">
        <v>3244</v>
      </c>
      <c r="W292" s="19"/>
      <c r="X292" s="19"/>
      <c r="Y292" s="99">
        <v>524</v>
      </c>
      <c r="AA292" s="29"/>
      <c r="AC292" s="29"/>
      <c r="AD292" s="29"/>
      <c r="AE292" s="29"/>
    </row>
    <row r="293" spans="2:31" ht="20" x14ac:dyDescent="0.2">
      <c r="B293" s="150" t="s">
        <v>651</v>
      </c>
      <c r="C293" s="33" t="s">
        <v>106</v>
      </c>
      <c r="D293" s="33" t="s">
        <v>2876</v>
      </c>
      <c r="E293" s="175">
        <v>1</v>
      </c>
      <c r="F293" s="151" t="s">
        <v>1128</v>
      </c>
      <c r="G293" s="152">
        <v>68.571744699999996</v>
      </c>
      <c r="H293" s="152">
        <v>42.3282374691358</v>
      </c>
      <c r="I293" s="175">
        <v>500</v>
      </c>
      <c r="J293" s="266">
        <f>_xlfn.XLOOKUP($I293,Inputs!$C$6:$C$23,Inputs!$D$6:$D$23)*$G293</f>
        <v>27.085839156500001</v>
      </c>
      <c r="K293" s="255"/>
      <c r="L293" s="186">
        <v>1260</v>
      </c>
      <c r="M293" s="186">
        <v>1260</v>
      </c>
      <c r="N293" s="99">
        <f t="shared" si="63"/>
        <v>1091.1920087683927</v>
      </c>
      <c r="O293" s="99">
        <f t="shared" si="64"/>
        <v>1091.1920087683927</v>
      </c>
      <c r="P293" s="131">
        <v>0.9</v>
      </c>
      <c r="Q293" s="186">
        <f t="shared" si="67"/>
        <v>982.07280789155345</v>
      </c>
      <c r="R293" s="186">
        <f t="shared" si="67"/>
        <v>982.07280789155345</v>
      </c>
      <c r="S293" s="151" t="s">
        <v>1795</v>
      </c>
      <c r="T293" s="51" t="s">
        <v>3199</v>
      </c>
      <c r="U293" s="151" t="s">
        <v>1651</v>
      </c>
      <c r="V293" s="51" t="s">
        <v>3244</v>
      </c>
      <c r="W293" s="19"/>
      <c r="X293" s="19"/>
      <c r="Y293" s="99">
        <v>526</v>
      </c>
      <c r="AA293" s="29"/>
      <c r="AC293" s="29"/>
      <c r="AD293" s="29"/>
      <c r="AE293" s="29"/>
    </row>
    <row r="294" spans="2:31" ht="20" x14ac:dyDescent="0.2">
      <c r="B294" s="150" t="s">
        <v>1219</v>
      </c>
      <c r="C294" s="33" t="s">
        <v>106</v>
      </c>
      <c r="D294" s="33" t="s">
        <v>2876</v>
      </c>
      <c r="E294" s="175">
        <v>1</v>
      </c>
      <c r="F294" s="151" t="s">
        <v>1128</v>
      </c>
      <c r="G294" s="152">
        <v>1</v>
      </c>
      <c r="H294" s="152">
        <v>0.61728395061728392</v>
      </c>
      <c r="I294" s="175">
        <v>69</v>
      </c>
      <c r="J294" s="266">
        <f>_xlfn.XLOOKUP($I294,Inputs!$C$6:$C$23,Inputs!$D$6:$D$23)*$G294</f>
        <v>0.38428571428571429</v>
      </c>
      <c r="K294" s="255"/>
      <c r="L294" s="186">
        <v>590</v>
      </c>
      <c r="M294" s="186">
        <v>610</v>
      </c>
      <c r="N294" s="99">
        <f t="shared" si="63"/>
        <v>70.51178837612899</v>
      </c>
      <c r="O294" s="99">
        <f t="shared" si="64"/>
        <v>72.902018490574036</v>
      </c>
      <c r="P294" s="131">
        <v>0.9</v>
      </c>
      <c r="Q294" s="186">
        <f t="shared" si="67"/>
        <v>63.460609538516096</v>
      </c>
      <c r="R294" s="186">
        <f t="shared" si="67"/>
        <v>65.61181664151664</v>
      </c>
      <c r="S294" s="151" t="s">
        <v>2511</v>
      </c>
      <c r="T294" s="51" t="s">
        <v>2169</v>
      </c>
      <c r="U294" s="151" t="s">
        <v>1652</v>
      </c>
      <c r="V294" s="51" t="s">
        <v>3413</v>
      </c>
      <c r="W294" s="19"/>
      <c r="X294" s="19"/>
      <c r="Y294" s="99">
        <v>697</v>
      </c>
      <c r="AA294" s="29"/>
      <c r="AC294" s="29"/>
      <c r="AD294" s="29"/>
      <c r="AE294" s="29"/>
    </row>
    <row r="295" spans="2:31" ht="20" x14ac:dyDescent="0.2">
      <c r="B295" s="150" t="s">
        <v>1218</v>
      </c>
      <c r="C295" s="33" t="s">
        <v>106</v>
      </c>
      <c r="D295" s="33" t="s">
        <v>2876</v>
      </c>
      <c r="E295" s="175">
        <v>1</v>
      </c>
      <c r="F295" s="151" t="s">
        <v>1128</v>
      </c>
      <c r="G295" s="152">
        <v>4</v>
      </c>
      <c r="H295" s="152">
        <v>2.4691358024691357</v>
      </c>
      <c r="I295" s="175">
        <v>69</v>
      </c>
      <c r="J295" s="266">
        <f>_xlfn.XLOOKUP($I295,Inputs!$C$6:$C$23,Inputs!$D$6:$D$23)*$G295</f>
        <v>1.5371428571428571</v>
      </c>
      <c r="K295" s="255"/>
      <c r="L295" s="186">
        <v>730</v>
      </c>
      <c r="M295" s="186">
        <v>940</v>
      </c>
      <c r="N295" s="99">
        <f t="shared" si="63"/>
        <v>87.243399177244342</v>
      </c>
      <c r="O295" s="99">
        <f t="shared" si="64"/>
        <v>112.34081537891738</v>
      </c>
      <c r="P295" s="131">
        <v>0.9</v>
      </c>
      <c r="Q295" s="186">
        <f t="shared" si="67"/>
        <v>78.519059259519906</v>
      </c>
      <c r="R295" s="186">
        <f t="shared" si="67"/>
        <v>101.10673384102564</v>
      </c>
      <c r="S295" s="151" t="s">
        <v>2510</v>
      </c>
      <c r="T295" s="51" t="s">
        <v>2170</v>
      </c>
      <c r="U295" s="151" t="s">
        <v>2511</v>
      </c>
      <c r="V295" s="51" t="s">
        <v>2169</v>
      </c>
      <c r="W295" s="19"/>
      <c r="X295" s="19"/>
      <c r="Y295" s="99">
        <v>696</v>
      </c>
      <c r="AA295" s="29"/>
      <c r="AC295" s="29"/>
      <c r="AD295" s="29"/>
      <c r="AE295" s="29"/>
    </row>
    <row r="296" spans="2:31" s="165" customFormat="1" ht="20" x14ac:dyDescent="0.2">
      <c r="B296" s="150" t="s">
        <v>1221</v>
      </c>
      <c r="C296" s="33" t="s">
        <v>106</v>
      </c>
      <c r="D296" s="33" t="s">
        <v>2876</v>
      </c>
      <c r="E296" s="175">
        <v>1</v>
      </c>
      <c r="F296" s="151" t="s">
        <v>1128</v>
      </c>
      <c r="G296" s="152">
        <v>4</v>
      </c>
      <c r="H296" s="152">
        <v>2.4691358024691357</v>
      </c>
      <c r="I296" s="175">
        <v>69</v>
      </c>
      <c r="J296" s="266">
        <f>_xlfn.XLOOKUP($I296,Inputs!$C$6:$C$23,Inputs!$D$6:$D$23)*$G296</f>
        <v>1.5371428571428571</v>
      </c>
      <c r="K296" s="255"/>
      <c r="L296" s="186">
        <v>730</v>
      </c>
      <c r="M296" s="186">
        <v>940</v>
      </c>
      <c r="N296" s="99">
        <f t="shared" si="63"/>
        <v>87.243399177244342</v>
      </c>
      <c r="O296" s="99">
        <f t="shared" si="64"/>
        <v>112.34081537891738</v>
      </c>
      <c r="P296" s="131">
        <v>0.9</v>
      </c>
      <c r="Q296" s="186">
        <f t="shared" si="67"/>
        <v>78.519059259519906</v>
      </c>
      <c r="R296" s="186">
        <f t="shared" si="67"/>
        <v>101.10673384102564</v>
      </c>
      <c r="S296" s="151" t="s">
        <v>2510</v>
      </c>
      <c r="T296" s="51" t="s">
        <v>2170</v>
      </c>
      <c r="U296" s="151" t="s">
        <v>2511</v>
      </c>
      <c r="V296" s="51" t="s">
        <v>2169</v>
      </c>
      <c r="W296" s="19"/>
      <c r="X296" s="19"/>
      <c r="Y296" s="99">
        <v>706</v>
      </c>
    </row>
    <row r="297" spans="2:31" ht="20" x14ac:dyDescent="0.2">
      <c r="B297" s="150" t="s">
        <v>1383</v>
      </c>
      <c r="C297" s="33" t="s">
        <v>106</v>
      </c>
      <c r="D297" s="33" t="s">
        <v>2876</v>
      </c>
      <c r="E297" s="175">
        <v>1</v>
      </c>
      <c r="F297" s="151" t="s">
        <v>1128</v>
      </c>
      <c r="G297" s="152">
        <v>21.548596199999999</v>
      </c>
      <c r="H297" s="152">
        <v>13.301602592592591</v>
      </c>
      <c r="I297" s="175">
        <v>69</v>
      </c>
      <c r="J297" s="266">
        <f>_xlfn.XLOOKUP($I297,Inputs!$C$6:$C$23,Inputs!$D$6:$D$23)*$G297</f>
        <v>8.2808176825714277</v>
      </c>
      <c r="K297" s="267">
        <f>IF((42.4*(H297)^(-0.6595))&gt;=3,3,(IF(42.4*(H297)^(-0.6595)&lt;=0.5,0.5,(42.4*(H297)^(-0.6595)))))</f>
        <v>3</v>
      </c>
      <c r="L297" s="99"/>
      <c r="M297" s="99"/>
      <c r="N297" s="99">
        <f t="shared" si="63"/>
        <v>0</v>
      </c>
      <c r="O297" s="99">
        <f t="shared" si="64"/>
        <v>0</v>
      </c>
      <c r="P297" s="131">
        <v>0.9</v>
      </c>
      <c r="Q297" s="305">
        <f>_xlfn.XLOOKUP($I297,Inputs!$G$6:$G$23,Inputs!J$6:J$23)*$K297</f>
        <v>36</v>
      </c>
      <c r="R297" s="305">
        <f>_xlfn.XLOOKUP($I297,Inputs!$G$6:$G$23,Inputs!K$6:K$23)*$K297</f>
        <v>39</v>
      </c>
      <c r="S297" s="151" t="s">
        <v>1884</v>
      </c>
      <c r="T297" s="51" t="s">
        <v>3328</v>
      </c>
      <c r="U297" s="151" t="s">
        <v>2305</v>
      </c>
      <c r="V297" s="51" t="s">
        <v>3116</v>
      </c>
      <c r="W297" s="19"/>
      <c r="X297" s="19"/>
      <c r="Y297" s="99">
        <v>993</v>
      </c>
      <c r="AA297" s="29"/>
      <c r="AC297" s="29"/>
      <c r="AD297" s="29"/>
      <c r="AE297" s="29"/>
    </row>
    <row r="298" spans="2:31" s="90" customFormat="1" ht="20" x14ac:dyDescent="0.2">
      <c r="B298" s="150" t="s">
        <v>1282</v>
      </c>
      <c r="C298" s="33" t="s">
        <v>106</v>
      </c>
      <c r="D298" s="33" t="s">
        <v>2876</v>
      </c>
      <c r="E298" s="175">
        <v>1</v>
      </c>
      <c r="F298" s="151" t="s">
        <v>1128</v>
      </c>
      <c r="G298" s="152">
        <v>3.5985100000000006E-2</v>
      </c>
      <c r="H298" s="152">
        <v>2.2213024691358028E-2</v>
      </c>
      <c r="I298" s="175">
        <v>69</v>
      </c>
      <c r="J298" s="266">
        <f>_xlfn.XLOOKUP($I298,Inputs!$C$6:$C$23,Inputs!$D$6:$D$23)*$G298</f>
        <v>1.3828559857142859E-2</v>
      </c>
      <c r="K298" s="267">
        <f>IF((42.4*(H298)^(-0.6595))&gt;=3,3,(IF(42.4*(H298)^(-0.6595)&lt;=0.5,0.5,(42.4*(H298)^(-0.6595)))))</f>
        <v>3</v>
      </c>
      <c r="L298" s="99"/>
      <c r="M298" s="99"/>
      <c r="N298" s="99">
        <f t="shared" si="63"/>
        <v>0</v>
      </c>
      <c r="O298" s="99">
        <f t="shared" si="64"/>
        <v>0</v>
      </c>
      <c r="P298" s="131">
        <v>0.9</v>
      </c>
      <c r="Q298" s="305">
        <f>_xlfn.XLOOKUP($I298,Inputs!$G$6:$G$23,Inputs!J$6:J$23)*$K298</f>
        <v>36</v>
      </c>
      <c r="R298" s="305">
        <f>_xlfn.XLOOKUP($I298,Inputs!$G$6:$G$23,Inputs!K$6:K$23)*$K298</f>
        <v>39</v>
      </c>
      <c r="S298" s="151" t="s">
        <v>2538</v>
      </c>
      <c r="T298" s="51" t="s">
        <v>2197</v>
      </c>
      <c r="U298" s="151" t="s">
        <v>1653</v>
      </c>
      <c r="V298" s="51" t="s">
        <v>3117</v>
      </c>
      <c r="W298" s="19"/>
      <c r="X298" s="19"/>
      <c r="Y298" s="99">
        <v>807</v>
      </c>
    </row>
    <row r="299" spans="2:31" ht="20" x14ac:dyDescent="0.2">
      <c r="B299" s="150" t="s">
        <v>1280</v>
      </c>
      <c r="C299" s="33" t="s">
        <v>106</v>
      </c>
      <c r="D299" s="33" t="s">
        <v>2876</v>
      </c>
      <c r="E299" s="175">
        <v>1</v>
      </c>
      <c r="F299" s="151" t="s">
        <v>1128</v>
      </c>
      <c r="G299" s="152">
        <v>25</v>
      </c>
      <c r="H299" s="152">
        <v>15.432098765432098</v>
      </c>
      <c r="I299" s="175">
        <v>69</v>
      </c>
      <c r="J299" s="266">
        <f>_xlfn.XLOOKUP($I299,Inputs!$C$6:$C$23,Inputs!$D$6:$D$23)*$G299</f>
        <v>9.6071428571428577</v>
      </c>
      <c r="K299" s="255"/>
      <c r="L299" s="186">
        <v>505</v>
      </c>
      <c r="M299" s="186">
        <v>601</v>
      </c>
      <c r="N299" s="99">
        <f t="shared" si="63"/>
        <v>60.353310389737523</v>
      </c>
      <c r="O299" s="99">
        <f t="shared" si="64"/>
        <v>71.826414939073771</v>
      </c>
      <c r="P299" s="131">
        <v>0.9</v>
      </c>
      <c r="Q299" s="186">
        <f>N299*$P299</f>
        <v>54.317979350763771</v>
      </c>
      <c r="R299" s="186">
        <f>O299*$P299</f>
        <v>64.643773445166403</v>
      </c>
      <c r="S299" s="151" t="s">
        <v>1692</v>
      </c>
      <c r="T299" s="51" t="s">
        <v>3192</v>
      </c>
      <c r="U299" s="151" t="s">
        <v>2538</v>
      </c>
      <c r="V299" s="51" t="s">
        <v>2197</v>
      </c>
      <c r="W299" s="19"/>
      <c r="X299" s="19"/>
      <c r="Y299" s="99">
        <v>806</v>
      </c>
      <c r="AA299" s="29"/>
      <c r="AC299" s="29"/>
      <c r="AD299" s="29"/>
      <c r="AE299" s="29"/>
    </row>
    <row r="300" spans="2:31" s="90" customFormat="1" ht="20" x14ac:dyDescent="0.2">
      <c r="B300" s="230" t="s">
        <v>2644</v>
      </c>
      <c r="C300" s="51" t="s">
        <v>173</v>
      </c>
      <c r="D300" s="33" t="s">
        <v>2876</v>
      </c>
      <c r="E300" s="231">
        <v>1</v>
      </c>
      <c r="F300" s="230" t="s">
        <v>1128</v>
      </c>
      <c r="G300" s="232">
        <v>11.5</v>
      </c>
      <c r="H300" s="232">
        <v>7.098765432098765</v>
      </c>
      <c r="I300" s="231">
        <v>138</v>
      </c>
      <c r="J300" s="266">
        <f>_xlfn.XLOOKUP($I300,Inputs!$C$6:$C$23,Inputs!$D$6:$D$23)*$G300</f>
        <v>4.9860714285714289</v>
      </c>
      <c r="K300" s="267">
        <f>IF((42.4*(H300)^(-0.6595))&gt;=3,3,(IF(42.4*(H300)^(-0.6595)&lt;=0.5,0.5,(42.4*(H300)^(-0.6595)))))</f>
        <v>3</v>
      </c>
      <c r="L300" s="99"/>
      <c r="M300" s="99"/>
      <c r="N300" s="99"/>
      <c r="O300" s="99"/>
      <c r="P300" s="69"/>
      <c r="Q300" s="305">
        <f>_xlfn.XLOOKUP($I300,Inputs!$G$6:$G$23,Inputs!J$6:J$23)*$K300</f>
        <v>141</v>
      </c>
      <c r="R300" s="305">
        <f>_xlfn.XLOOKUP($I300,Inputs!$G$6:$G$23,Inputs!K$6:K$23)*$K300</f>
        <v>156</v>
      </c>
      <c r="S300" s="230" t="s">
        <v>3574</v>
      </c>
      <c r="T300" s="51" t="s">
        <v>3575</v>
      </c>
      <c r="U300" s="230" t="s">
        <v>2645</v>
      </c>
      <c r="V300" s="51" t="s">
        <v>3245</v>
      </c>
      <c r="W300" s="19"/>
      <c r="X300" s="19"/>
      <c r="Y300" s="99">
        <v>1103</v>
      </c>
    </row>
    <row r="301" spans="2:31" ht="20" x14ac:dyDescent="0.2">
      <c r="B301" s="150" t="s">
        <v>471</v>
      </c>
      <c r="C301" s="33" t="s">
        <v>106</v>
      </c>
      <c r="D301" s="33" t="s">
        <v>2876</v>
      </c>
      <c r="E301" s="175">
        <v>1</v>
      </c>
      <c r="F301" s="151" t="s">
        <v>1128</v>
      </c>
      <c r="G301" s="152">
        <v>9.1199999999999992</v>
      </c>
      <c r="H301" s="152">
        <v>5.6296296296296289</v>
      </c>
      <c r="I301" s="175">
        <v>138</v>
      </c>
      <c r="J301" s="266">
        <f>_xlfn.XLOOKUP($I301,Inputs!$C$6:$C$23,Inputs!$D$6:$D$23)*$G301</f>
        <v>3.9541714285714287</v>
      </c>
      <c r="K301" s="255"/>
      <c r="L301" s="186">
        <v>714</v>
      </c>
      <c r="M301" s="186">
        <v>912</v>
      </c>
      <c r="N301" s="99">
        <f t="shared" ref="N301:N312" si="68">(SQRT(3)*L301*$I301)/1000</f>
        <v>170.66243017137663</v>
      </c>
      <c r="O301" s="99">
        <f t="shared" ref="O301:O312" si="69">(SQRT(3)*M301*$I301)/1000</f>
        <v>217.9889864373886</v>
      </c>
      <c r="P301" s="131">
        <v>0.9</v>
      </c>
      <c r="Q301" s="186">
        <f t="shared" ref="Q301:R303" si="70">N301*$P301</f>
        <v>153.59618715423898</v>
      </c>
      <c r="R301" s="186">
        <f t="shared" si="70"/>
        <v>196.19008779364975</v>
      </c>
      <c r="S301" s="151" t="s">
        <v>2419</v>
      </c>
      <c r="T301" s="51" t="s">
        <v>2070</v>
      </c>
      <c r="U301" s="151" t="s">
        <v>1654</v>
      </c>
      <c r="V301" s="51" t="s">
        <v>3246</v>
      </c>
      <c r="W301" s="19"/>
      <c r="X301" s="19"/>
      <c r="Y301" s="99">
        <v>176</v>
      </c>
      <c r="AA301" s="29"/>
      <c r="AC301" s="29"/>
      <c r="AD301" s="29"/>
      <c r="AE301" s="29"/>
    </row>
    <row r="302" spans="2:31" ht="20" x14ac:dyDescent="0.2">
      <c r="B302" s="150" t="s">
        <v>480</v>
      </c>
      <c r="C302" s="33" t="s">
        <v>106</v>
      </c>
      <c r="D302" s="33" t="s">
        <v>2876</v>
      </c>
      <c r="E302" s="175">
        <v>1</v>
      </c>
      <c r="F302" s="151" t="s">
        <v>1128</v>
      </c>
      <c r="G302" s="152">
        <v>5.1059457000000004</v>
      </c>
      <c r="H302" s="152">
        <v>3.1518183333333334</v>
      </c>
      <c r="I302" s="175">
        <v>138</v>
      </c>
      <c r="J302" s="266">
        <f>_xlfn.XLOOKUP($I302,Inputs!$C$6:$C$23,Inputs!$D$6:$D$23)*$G302</f>
        <v>2.2137921713571433</v>
      </c>
      <c r="K302" s="255"/>
      <c r="L302" s="186">
        <v>710</v>
      </c>
      <c r="M302" s="186">
        <v>830</v>
      </c>
      <c r="N302" s="99">
        <f t="shared" si="68"/>
        <v>169.70633812559859</v>
      </c>
      <c r="O302" s="99">
        <f t="shared" si="69"/>
        <v>198.3890994989392</v>
      </c>
      <c r="P302" s="131">
        <v>0.9</v>
      </c>
      <c r="Q302" s="186">
        <f t="shared" si="70"/>
        <v>152.73570431303872</v>
      </c>
      <c r="R302" s="186">
        <f t="shared" si="70"/>
        <v>178.55018954904529</v>
      </c>
      <c r="S302" s="151" t="s">
        <v>1934</v>
      </c>
      <c r="T302" s="51" t="s">
        <v>3350</v>
      </c>
      <c r="U302" s="151" t="s">
        <v>1654</v>
      </c>
      <c r="V302" s="51" t="s">
        <v>3246</v>
      </c>
      <c r="W302" s="19"/>
      <c r="X302" s="19"/>
      <c r="Y302" s="99">
        <v>223</v>
      </c>
      <c r="AA302" s="29"/>
      <c r="AC302" s="29"/>
      <c r="AD302" s="29"/>
      <c r="AE302" s="29"/>
    </row>
    <row r="303" spans="2:31" ht="20" x14ac:dyDescent="0.2">
      <c r="B303" s="150" t="s">
        <v>2380</v>
      </c>
      <c r="C303" s="33" t="s">
        <v>106</v>
      </c>
      <c r="D303" s="33" t="s">
        <v>2876</v>
      </c>
      <c r="E303" s="175">
        <v>1</v>
      </c>
      <c r="F303" s="151" t="s">
        <v>1128</v>
      </c>
      <c r="G303" s="152">
        <v>0.88</v>
      </c>
      <c r="H303" s="152">
        <v>0.54320987654320985</v>
      </c>
      <c r="I303" s="175">
        <v>69</v>
      </c>
      <c r="J303" s="266">
        <f>_xlfn.XLOOKUP($I303,Inputs!$C$6:$C$23,Inputs!$D$6:$D$23)*$G303</f>
        <v>0.33817142857142857</v>
      </c>
      <c r="K303" s="255"/>
      <c r="L303" s="186">
        <v>810</v>
      </c>
      <c r="M303" s="3">
        <v>940</v>
      </c>
      <c r="N303" s="99">
        <f t="shared" si="68"/>
        <v>96.804319635024541</v>
      </c>
      <c r="O303" s="99">
        <f t="shared" si="69"/>
        <v>112.34081537891738</v>
      </c>
      <c r="P303" s="131">
        <v>0.9</v>
      </c>
      <c r="Q303" s="186">
        <f t="shared" si="70"/>
        <v>87.123887671522084</v>
      </c>
      <c r="R303" s="186">
        <f t="shared" si="70"/>
        <v>101.10673384102564</v>
      </c>
      <c r="S303" s="151" t="s">
        <v>2502</v>
      </c>
      <c r="T303" s="51" t="s">
        <v>2160</v>
      </c>
      <c r="U303" s="151" t="s">
        <v>2287</v>
      </c>
      <c r="V303" s="51" t="s">
        <v>3659</v>
      </c>
      <c r="W303" s="19"/>
      <c r="X303" s="19"/>
      <c r="Y303" s="99">
        <v>642</v>
      </c>
      <c r="AA303" s="29"/>
      <c r="AC303" s="29"/>
      <c r="AD303" s="29"/>
      <c r="AE303" s="29"/>
    </row>
    <row r="304" spans="2:31" ht="20" x14ac:dyDescent="0.2">
      <c r="B304" s="150" t="s">
        <v>1507</v>
      </c>
      <c r="C304" s="33" t="s">
        <v>106</v>
      </c>
      <c r="D304" s="33" t="s">
        <v>2876</v>
      </c>
      <c r="E304" s="175">
        <v>1</v>
      </c>
      <c r="F304" s="151" t="s">
        <v>1128</v>
      </c>
      <c r="G304" s="152">
        <v>1</v>
      </c>
      <c r="H304" s="152">
        <v>0.61728395061728392</v>
      </c>
      <c r="I304" s="175">
        <v>138</v>
      </c>
      <c r="J304" s="266">
        <f>_xlfn.XLOOKUP($I304,Inputs!$C$6:$C$23,Inputs!$D$6:$D$23)*$G304</f>
        <v>0.43357142857142861</v>
      </c>
      <c r="K304" s="267">
        <f>IF((42.4*(H304)^(-0.6595))&gt;=3,3,(IF(42.4*(H304)^(-0.6595)&lt;=0.5,0.5,(42.4*(H304)^(-0.6595)))))</f>
        <v>3</v>
      </c>
      <c r="L304" s="99"/>
      <c r="M304" s="99"/>
      <c r="N304" s="99">
        <f t="shared" si="68"/>
        <v>0</v>
      </c>
      <c r="O304" s="99">
        <f t="shared" si="69"/>
        <v>0</v>
      </c>
      <c r="P304" s="131">
        <v>0.9</v>
      </c>
      <c r="Q304" s="305">
        <f>_xlfn.XLOOKUP($I304,Inputs!$G$6:$G$23,Inputs!J$6:J$23)*$K304</f>
        <v>141</v>
      </c>
      <c r="R304" s="305">
        <f>_xlfn.XLOOKUP($I304,Inputs!$G$6:$G$23,Inputs!K$6:K$23)*$K304</f>
        <v>156</v>
      </c>
      <c r="S304" s="151" t="s">
        <v>2450</v>
      </c>
      <c r="T304" s="51" t="s">
        <v>2101</v>
      </c>
      <c r="U304" s="151" t="s">
        <v>1655</v>
      </c>
      <c r="V304" s="51" t="s">
        <v>3634</v>
      </c>
      <c r="W304" s="19"/>
      <c r="X304" s="19"/>
      <c r="Y304" s="99">
        <v>271</v>
      </c>
      <c r="AA304" s="29"/>
      <c r="AC304" s="29"/>
      <c r="AD304" s="29"/>
      <c r="AE304" s="29"/>
    </row>
    <row r="305" spans="2:31" s="165" customFormat="1" ht="20" x14ac:dyDescent="0.2">
      <c r="B305" s="150" t="s">
        <v>496</v>
      </c>
      <c r="C305" s="33" t="s">
        <v>106</v>
      </c>
      <c r="D305" s="33" t="s">
        <v>2876</v>
      </c>
      <c r="E305" s="175">
        <v>1</v>
      </c>
      <c r="F305" s="151" t="s">
        <v>1128</v>
      </c>
      <c r="G305" s="152">
        <v>7</v>
      </c>
      <c r="H305" s="152">
        <v>4.3209876543209873</v>
      </c>
      <c r="I305" s="175">
        <v>138</v>
      </c>
      <c r="J305" s="266">
        <f>_xlfn.XLOOKUP($I305,Inputs!$C$6:$C$23,Inputs!$D$6:$D$23)*$G305</f>
        <v>3.0350000000000001</v>
      </c>
      <c r="K305" s="255"/>
      <c r="L305" s="186">
        <v>559</v>
      </c>
      <c r="M305" s="186">
        <v>674</v>
      </c>
      <c r="N305" s="99">
        <f t="shared" si="68"/>
        <v>133.61386339747833</v>
      </c>
      <c r="O305" s="99">
        <f t="shared" si="69"/>
        <v>161.10150971359641</v>
      </c>
      <c r="P305" s="131">
        <v>0.9</v>
      </c>
      <c r="Q305" s="186">
        <f>N305*$P305</f>
        <v>120.2524770577305</v>
      </c>
      <c r="R305" s="186">
        <f>O305*$P305</f>
        <v>144.99135874223677</v>
      </c>
      <c r="S305" s="151" t="s">
        <v>2449</v>
      </c>
      <c r="T305" s="51" t="s">
        <v>2102</v>
      </c>
      <c r="U305" s="151" t="s">
        <v>2450</v>
      </c>
      <c r="V305" s="51" t="s">
        <v>2101</v>
      </c>
      <c r="W305" s="19"/>
      <c r="X305" s="19"/>
      <c r="Y305" s="99">
        <v>270</v>
      </c>
    </row>
    <row r="306" spans="2:31" s="165" customFormat="1" ht="20" x14ac:dyDescent="0.2">
      <c r="B306" s="150" t="s">
        <v>1506</v>
      </c>
      <c r="C306" s="33" t="s">
        <v>106</v>
      </c>
      <c r="D306" s="33" t="s">
        <v>2876</v>
      </c>
      <c r="E306" s="175">
        <v>1</v>
      </c>
      <c r="F306" s="151" t="s">
        <v>1128</v>
      </c>
      <c r="G306" s="152">
        <v>1</v>
      </c>
      <c r="H306" s="152">
        <v>0.61728395061728392</v>
      </c>
      <c r="I306" s="175">
        <v>138</v>
      </c>
      <c r="J306" s="266">
        <f>_xlfn.XLOOKUP($I306,Inputs!$C$6:$C$23,Inputs!$D$6:$D$23)*$G306</f>
        <v>0.43357142857142861</v>
      </c>
      <c r="K306" s="267">
        <f>IF((42.4*(H306)^(-0.6595))&gt;=3,3,(IF(42.4*(H306)^(-0.6595)&lt;=0.5,0.5,(42.4*(H306)^(-0.6595)))))</f>
        <v>3</v>
      </c>
      <c r="L306" s="99"/>
      <c r="M306" s="99"/>
      <c r="N306" s="99">
        <f t="shared" si="68"/>
        <v>0</v>
      </c>
      <c r="O306" s="99">
        <f t="shared" si="69"/>
        <v>0</v>
      </c>
      <c r="P306" s="131">
        <v>0.9</v>
      </c>
      <c r="Q306" s="305">
        <f>_xlfn.XLOOKUP($I306,Inputs!$G$6:$G$23,Inputs!J$6:J$23)*$K306</f>
        <v>141</v>
      </c>
      <c r="R306" s="305">
        <f>_xlfn.XLOOKUP($I306,Inputs!$G$6:$G$23,Inputs!K$6:K$23)*$K306</f>
        <v>156</v>
      </c>
      <c r="S306" s="151" t="s">
        <v>2449</v>
      </c>
      <c r="T306" s="51" t="s">
        <v>2102</v>
      </c>
      <c r="U306" s="151" t="s">
        <v>1656</v>
      </c>
      <c r="V306" s="51" t="s">
        <v>3635</v>
      </c>
      <c r="W306" s="19"/>
      <c r="X306" s="19"/>
      <c r="Y306" s="99">
        <v>269</v>
      </c>
    </row>
    <row r="307" spans="2:31" ht="20" x14ac:dyDescent="0.2">
      <c r="B307" s="150" t="s">
        <v>496</v>
      </c>
      <c r="C307" s="33" t="s">
        <v>106</v>
      </c>
      <c r="D307" s="33" t="s">
        <v>2876</v>
      </c>
      <c r="E307" s="175">
        <v>1</v>
      </c>
      <c r="F307" s="151" t="s">
        <v>1128</v>
      </c>
      <c r="G307" s="152">
        <v>15.130246400000001</v>
      </c>
      <c r="H307" s="152">
        <v>9.3396582716049377</v>
      </c>
      <c r="I307" s="175">
        <v>138</v>
      </c>
      <c r="J307" s="266">
        <f>_xlfn.XLOOKUP($I307,Inputs!$C$6:$C$23,Inputs!$D$6:$D$23)*$G307</f>
        <v>6.5600425462857155</v>
      </c>
      <c r="K307" s="255"/>
      <c r="L307" s="186">
        <v>559</v>
      </c>
      <c r="M307" s="186">
        <v>674</v>
      </c>
      <c r="N307" s="99">
        <f t="shared" si="68"/>
        <v>133.61386339747833</v>
      </c>
      <c r="O307" s="99">
        <f t="shared" si="69"/>
        <v>161.10150971359641</v>
      </c>
      <c r="P307" s="131">
        <v>0.9</v>
      </c>
      <c r="Q307" s="186">
        <f>N307*$P307</f>
        <v>120.2524770577305</v>
      </c>
      <c r="R307" s="186">
        <f>O307*$P307</f>
        <v>144.99135874223677</v>
      </c>
      <c r="S307" s="151" t="s">
        <v>1596</v>
      </c>
      <c r="T307" s="51" t="s">
        <v>3224</v>
      </c>
      <c r="U307" s="151" t="s">
        <v>2449</v>
      </c>
      <c r="V307" s="51" t="s">
        <v>2102</v>
      </c>
      <c r="W307" s="19"/>
      <c r="X307" s="19"/>
      <c r="Y307" s="99">
        <v>268</v>
      </c>
      <c r="AA307" s="29"/>
      <c r="AC307" s="29"/>
      <c r="AD307" s="29"/>
      <c r="AE307" s="29"/>
    </row>
    <row r="308" spans="2:31" ht="20" x14ac:dyDescent="0.2">
      <c r="B308" s="150" t="s">
        <v>1445</v>
      </c>
      <c r="C308" s="33" t="s">
        <v>106</v>
      </c>
      <c r="D308" s="33" t="s">
        <v>2876</v>
      </c>
      <c r="E308" s="175">
        <v>1</v>
      </c>
      <c r="F308" s="151" t="s">
        <v>1128</v>
      </c>
      <c r="G308" s="152">
        <v>1.0679456000000001</v>
      </c>
      <c r="H308" s="152">
        <v>0.65922567901234563</v>
      </c>
      <c r="I308" s="175">
        <v>138</v>
      </c>
      <c r="J308" s="266">
        <f>_xlfn.XLOOKUP($I308,Inputs!$C$6:$C$23,Inputs!$D$6:$D$23)*$G308</f>
        <v>0.4630306994285715</v>
      </c>
      <c r="K308" s="267">
        <f>IF((42.4*(H308)^(-0.6595))&gt;=3,3,(IF(42.4*(H308)^(-0.6595)&lt;=0.5,0.5,(42.4*(H308)^(-0.6595)))))</f>
        <v>3</v>
      </c>
      <c r="L308" s="99"/>
      <c r="M308" s="99"/>
      <c r="N308" s="99">
        <f t="shared" si="68"/>
        <v>0</v>
      </c>
      <c r="O308" s="99">
        <f t="shared" si="69"/>
        <v>0</v>
      </c>
      <c r="P308" s="131">
        <v>0.9</v>
      </c>
      <c r="Q308" s="305">
        <f>_xlfn.XLOOKUP($I308,Inputs!$G$6:$G$23,Inputs!J$6:J$23)*$K308</f>
        <v>141</v>
      </c>
      <c r="R308" s="305">
        <f>_xlfn.XLOOKUP($I308,Inputs!$G$6:$G$23,Inputs!K$6:K$23)*$K308</f>
        <v>156</v>
      </c>
      <c r="S308" s="151" t="s">
        <v>2444</v>
      </c>
      <c r="T308" s="51" t="s">
        <v>2095</v>
      </c>
      <c r="U308" s="151" t="s">
        <v>2269</v>
      </c>
      <c r="V308" s="51" t="s">
        <v>3415</v>
      </c>
      <c r="W308" s="19"/>
      <c r="X308" s="19"/>
      <c r="Y308" s="99">
        <v>251</v>
      </c>
      <c r="AA308" s="29"/>
      <c r="AC308" s="29"/>
      <c r="AD308" s="29"/>
      <c r="AE308" s="29"/>
    </row>
    <row r="309" spans="2:31" s="165" customFormat="1" ht="20" x14ac:dyDescent="0.2">
      <c r="B309" s="150" t="s">
        <v>489</v>
      </c>
      <c r="C309" s="33" t="s">
        <v>106</v>
      </c>
      <c r="D309" s="33" t="s">
        <v>2876</v>
      </c>
      <c r="E309" s="175">
        <v>1</v>
      </c>
      <c r="F309" s="151" t="s">
        <v>1128</v>
      </c>
      <c r="G309" s="152">
        <v>15</v>
      </c>
      <c r="H309" s="152">
        <v>9.2592592592592595</v>
      </c>
      <c r="I309" s="175">
        <v>138</v>
      </c>
      <c r="J309" s="266">
        <f>_xlfn.XLOOKUP($I309,Inputs!$C$6:$C$23,Inputs!$D$6:$D$23)*$G309</f>
        <v>6.503571428571429</v>
      </c>
      <c r="K309" s="255"/>
      <c r="L309" s="186">
        <v>265</v>
      </c>
      <c r="M309" s="186">
        <v>442</v>
      </c>
      <c r="N309" s="99">
        <f t="shared" si="68"/>
        <v>63.341098032793838</v>
      </c>
      <c r="O309" s="99">
        <f t="shared" si="69"/>
        <v>105.64817105847125</v>
      </c>
      <c r="P309" s="131">
        <v>0.9</v>
      </c>
      <c r="Q309" s="186">
        <f t="shared" ref="Q309:R312" si="71">N309*$P309</f>
        <v>57.006988229514455</v>
      </c>
      <c r="R309" s="186">
        <f t="shared" si="71"/>
        <v>95.083353952624122</v>
      </c>
      <c r="S309" s="151" t="s">
        <v>2443</v>
      </c>
      <c r="T309" s="51" t="s">
        <v>2098</v>
      </c>
      <c r="U309" s="151" t="s">
        <v>2444</v>
      </c>
      <c r="V309" s="51" t="s">
        <v>2095</v>
      </c>
      <c r="W309" s="19"/>
      <c r="X309" s="19"/>
      <c r="Y309" s="99">
        <v>250</v>
      </c>
    </row>
    <row r="310" spans="2:31" ht="20" x14ac:dyDescent="0.2">
      <c r="B310" s="150" t="s">
        <v>435</v>
      </c>
      <c r="C310" s="33" t="s">
        <v>106</v>
      </c>
      <c r="D310" s="33" t="s">
        <v>2876</v>
      </c>
      <c r="E310" s="175">
        <v>1</v>
      </c>
      <c r="F310" s="151" t="s">
        <v>1128</v>
      </c>
      <c r="G310" s="152">
        <v>2</v>
      </c>
      <c r="H310" s="152">
        <v>1.2345679012345678</v>
      </c>
      <c r="I310" s="175">
        <v>138</v>
      </c>
      <c r="J310" s="266">
        <f>_xlfn.XLOOKUP($I310,Inputs!$C$6:$C$23,Inputs!$D$6:$D$23)*$G310</f>
        <v>0.86714285714285722</v>
      </c>
      <c r="K310" s="255"/>
      <c r="L310" s="186">
        <v>635</v>
      </c>
      <c r="M310" s="186">
        <v>805</v>
      </c>
      <c r="N310" s="99">
        <f t="shared" si="68"/>
        <v>151.77961226726069</v>
      </c>
      <c r="O310" s="99">
        <f t="shared" si="69"/>
        <v>192.41352421282656</v>
      </c>
      <c r="P310" s="131">
        <v>0.9</v>
      </c>
      <c r="Q310" s="186">
        <f t="shared" si="71"/>
        <v>136.60165104053462</v>
      </c>
      <c r="R310" s="186">
        <f t="shared" si="71"/>
        <v>173.17217179154392</v>
      </c>
      <c r="S310" s="151" t="s">
        <v>2401</v>
      </c>
      <c r="T310" s="51" t="s">
        <v>2051</v>
      </c>
      <c r="U310" s="151" t="s">
        <v>1657</v>
      </c>
      <c r="V310" s="51" t="s">
        <v>3632</v>
      </c>
      <c r="W310" s="19"/>
      <c r="X310" s="19"/>
      <c r="Y310" s="99">
        <v>77</v>
      </c>
      <c r="AA310" s="29"/>
      <c r="AC310" s="29"/>
      <c r="AD310" s="29"/>
      <c r="AE310" s="29"/>
    </row>
    <row r="311" spans="2:31" ht="20" x14ac:dyDescent="0.2">
      <c r="B311" s="150" t="s">
        <v>436</v>
      </c>
      <c r="C311" s="33" t="s">
        <v>106</v>
      </c>
      <c r="D311" s="33" t="s">
        <v>2876</v>
      </c>
      <c r="E311" s="175">
        <v>1</v>
      </c>
      <c r="F311" s="151" t="s">
        <v>1128</v>
      </c>
      <c r="G311" s="152">
        <v>2</v>
      </c>
      <c r="H311" s="152">
        <v>1.2345679012345678</v>
      </c>
      <c r="I311" s="175">
        <v>138</v>
      </c>
      <c r="J311" s="266">
        <f>_xlfn.XLOOKUP($I311,Inputs!$C$6:$C$23,Inputs!$D$6:$D$23)*$G311</f>
        <v>0.86714285714285722</v>
      </c>
      <c r="K311" s="255"/>
      <c r="L311" s="186">
        <v>635</v>
      </c>
      <c r="M311" s="186">
        <v>805</v>
      </c>
      <c r="N311" s="99">
        <f t="shared" si="68"/>
        <v>151.77961226726069</v>
      </c>
      <c r="O311" s="99">
        <f t="shared" si="69"/>
        <v>192.41352421282656</v>
      </c>
      <c r="P311" s="131">
        <v>0.9</v>
      </c>
      <c r="Q311" s="186">
        <f t="shared" si="71"/>
        <v>136.60165104053462</v>
      </c>
      <c r="R311" s="186">
        <f t="shared" si="71"/>
        <v>173.17217179154392</v>
      </c>
      <c r="S311" s="151" t="s">
        <v>2401</v>
      </c>
      <c r="T311" s="51" t="s">
        <v>2051</v>
      </c>
      <c r="U311" s="151" t="s">
        <v>1657</v>
      </c>
      <c r="V311" s="51" t="s">
        <v>3632</v>
      </c>
      <c r="W311" s="19"/>
      <c r="X311" s="19"/>
      <c r="Y311" s="99">
        <v>80</v>
      </c>
      <c r="AA311" s="29"/>
      <c r="AC311" s="29"/>
      <c r="AD311" s="29"/>
      <c r="AE311" s="29"/>
    </row>
    <row r="312" spans="2:31" s="165" customFormat="1" ht="20" x14ac:dyDescent="0.2">
      <c r="B312" s="150" t="s">
        <v>1374</v>
      </c>
      <c r="C312" s="33" t="s">
        <v>106</v>
      </c>
      <c r="D312" s="33" t="s">
        <v>2876</v>
      </c>
      <c r="E312" s="175">
        <v>1</v>
      </c>
      <c r="F312" s="151" t="s">
        <v>1128</v>
      </c>
      <c r="G312" s="152">
        <v>8.1096599000000005</v>
      </c>
      <c r="H312" s="152">
        <v>5.0059629012345681</v>
      </c>
      <c r="I312" s="175">
        <v>69</v>
      </c>
      <c r="J312" s="266">
        <f>_xlfn.XLOOKUP($I312,Inputs!$C$6:$C$23,Inputs!$D$6:$D$23)*$G312</f>
        <v>3.1164264472857144</v>
      </c>
      <c r="K312" s="255"/>
      <c r="L312" s="186">
        <v>725</v>
      </c>
      <c r="M312" s="186">
        <v>925</v>
      </c>
      <c r="N312" s="99">
        <f t="shared" si="68"/>
        <v>86.64584164863308</v>
      </c>
      <c r="O312" s="99">
        <f t="shared" si="69"/>
        <v>110.5481427930836</v>
      </c>
      <c r="P312" s="131">
        <v>0.9</v>
      </c>
      <c r="Q312" s="186">
        <f t="shared" si="71"/>
        <v>77.981257483769781</v>
      </c>
      <c r="R312" s="186">
        <f t="shared" si="71"/>
        <v>99.493328513775239</v>
      </c>
      <c r="S312" s="151" t="s">
        <v>1695</v>
      </c>
      <c r="T312" s="51" t="s">
        <v>3256</v>
      </c>
      <c r="U312" s="151" t="s">
        <v>1658</v>
      </c>
      <c r="V312" s="179" t="s">
        <v>3434</v>
      </c>
      <c r="W312" s="19"/>
      <c r="X312" s="19"/>
      <c r="Y312" s="99">
        <v>975</v>
      </c>
    </row>
    <row r="313" spans="2:31" s="165" customFormat="1" ht="20" x14ac:dyDescent="0.2">
      <c r="B313" s="230" t="s">
        <v>2646</v>
      </c>
      <c r="C313" s="51" t="s">
        <v>173</v>
      </c>
      <c r="D313" s="33" t="s">
        <v>2876</v>
      </c>
      <c r="E313" s="231">
        <v>1</v>
      </c>
      <c r="F313" s="230" t="s">
        <v>1128</v>
      </c>
      <c r="G313" s="232">
        <v>5</v>
      </c>
      <c r="H313" s="232">
        <v>3.0864197530864197</v>
      </c>
      <c r="I313" s="231">
        <v>138</v>
      </c>
      <c r="J313" s="266">
        <f>_xlfn.XLOOKUP($I313,Inputs!$C$6:$C$23,Inputs!$D$6:$D$23)*$G313</f>
        <v>2.1678571428571431</v>
      </c>
      <c r="K313" s="267">
        <f>IF((42.4*(H313)^(-0.6595))&gt;=3,3,(IF(42.4*(H313)^(-0.6595)&lt;=0.5,0.5,(42.4*(H313)^(-0.6595)))))</f>
        <v>3</v>
      </c>
      <c r="L313" s="99"/>
      <c r="M313" s="99"/>
      <c r="N313" s="99"/>
      <c r="O313" s="99"/>
      <c r="P313" s="69"/>
      <c r="Q313" s="305">
        <f>_xlfn.XLOOKUP($I313,Inputs!$G$6:$G$23,Inputs!J$6:J$23)*$K313</f>
        <v>141</v>
      </c>
      <c r="R313" s="305">
        <f>_xlfn.XLOOKUP($I313,Inputs!$G$6:$G$23,Inputs!K$6:K$23)*$K313</f>
        <v>156</v>
      </c>
      <c r="S313" s="230" t="s">
        <v>2645</v>
      </c>
      <c r="T313" s="51" t="s">
        <v>3245</v>
      </c>
      <c r="U313" s="230" t="s">
        <v>2647</v>
      </c>
      <c r="V313" s="51" t="s">
        <v>3414</v>
      </c>
      <c r="W313" s="19"/>
      <c r="X313" s="19"/>
      <c r="Y313" s="99">
        <v>1126</v>
      </c>
    </row>
    <row r="314" spans="2:31" s="165" customFormat="1" ht="20" x14ac:dyDescent="0.2">
      <c r="B314" s="151" t="s">
        <v>1501</v>
      </c>
      <c r="C314" s="33" t="s">
        <v>106</v>
      </c>
      <c r="D314" s="33" t="s">
        <v>2876</v>
      </c>
      <c r="E314" s="175">
        <v>1</v>
      </c>
      <c r="F314" s="151" t="s">
        <v>1128</v>
      </c>
      <c r="G314" s="174">
        <v>4.6051799999999997E-2</v>
      </c>
      <c r="H314" s="152">
        <v>2.8427037037037032E-2</v>
      </c>
      <c r="I314" s="175">
        <v>138</v>
      </c>
      <c r="J314" s="266">
        <f>_xlfn.XLOOKUP($I314,Inputs!$C$6:$C$23,Inputs!$D$6:$D$23)*$G314</f>
        <v>1.9966744714285715E-2</v>
      </c>
      <c r="K314" s="267">
        <f>IF((42.4*(H314)^(-0.6595))&gt;=3,3,(IF(42.4*(H314)^(-0.6595)&lt;=0.5,0.5,(42.4*(H314)^(-0.6595)))))</f>
        <v>3</v>
      </c>
      <c r="L314" s="99"/>
      <c r="M314" s="99"/>
      <c r="N314" s="99">
        <f t="shared" ref="N314:O321" si="72">(SQRT(3)*L314*$I314)/1000</f>
        <v>0</v>
      </c>
      <c r="O314" s="99">
        <f t="shared" si="72"/>
        <v>0</v>
      </c>
      <c r="P314" s="131">
        <v>0.9</v>
      </c>
      <c r="Q314" s="305">
        <f>_xlfn.XLOOKUP($I314,Inputs!$G$6:$G$23,Inputs!J$6:J$23)*$K314</f>
        <v>141</v>
      </c>
      <c r="R314" s="305">
        <f>_xlfn.XLOOKUP($I314,Inputs!$G$6:$G$23,Inputs!K$6:K$23)*$K314</f>
        <v>156</v>
      </c>
      <c r="S314" s="151" t="s">
        <v>2435</v>
      </c>
      <c r="T314" s="51" t="s">
        <v>2087</v>
      </c>
      <c r="U314" s="151" t="s">
        <v>1660</v>
      </c>
      <c r="V314" s="51" t="s">
        <v>3418</v>
      </c>
      <c r="W314" s="19"/>
      <c r="X314" s="19"/>
      <c r="Y314" s="99">
        <v>215</v>
      </c>
    </row>
    <row r="315" spans="2:31" s="165" customFormat="1" ht="20" x14ac:dyDescent="0.2">
      <c r="B315" s="150" t="s">
        <v>479</v>
      </c>
      <c r="C315" s="33" t="s">
        <v>106</v>
      </c>
      <c r="D315" s="33" t="s">
        <v>2876</v>
      </c>
      <c r="E315" s="175">
        <v>1</v>
      </c>
      <c r="F315" s="151" t="s">
        <v>1128</v>
      </c>
      <c r="G315" s="152">
        <v>20</v>
      </c>
      <c r="H315" s="152">
        <v>12.345679012345679</v>
      </c>
      <c r="I315" s="175">
        <v>138</v>
      </c>
      <c r="J315" s="266">
        <f>_xlfn.XLOOKUP($I315,Inputs!$C$6:$C$23,Inputs!$D$6:$D$23)*$G315</f>
        <v>8.6714285714285726</v>
      </c>
      <c r="K315" s="255"/>
      <c r="L315" s="186">
        <v>571</v>
      </c>
      <c r="M315" s="186">
        <v>728</v>
      </c>
      <c r="N315" s="99">
        <f t="shared" si="72"/>
        <v>136.4821395348124</v>
      </c>
      <c r="O315" s="99">
        <f t="shared" si="72"/>
        <v>174.00875233159968</v>
      </c>
      <c r="P315" s="131">
        <v>0.9</v>
      </c>
      <c r="Q315" s="186">
        <f t="shared" ref="Q315:R317" si="73">N315*$P315</f>
        <v>122.83392558133117</v>
      </c>
      <c r="R315" s="186">
        <f t="shared" si="73"/>
        <v>156.60787709843973</v>
      </c>
      <c r="S315" s="151" t="s">
        <v>1866</v>
      </c>
      <c r="T315" s="51" t="s">
        <v>3320</v>
      </c>
      <c r="U315" s="151" t="s">
        <v>2435</v>
      </c>
      <c r="V315" s="51" t="s">
        <v>2087</v>
      </c>
      <c r="W315" s="19"/>
      <c r="X315" s="19"/>
      <c r="Y315" s="99">
        <v>214</v>
      </c>
    </row>
    <row r="316" spans="2:31" ht="20" x14ac:dyDescent="0.2">
      <c r="B316" s="150" t="s">
        <v>1454</v>
      </c>
      <c r="C316" s="33" t="s">
        <v>106</v>
      </c>
      <c r="D316" s="33" t="s">
        <v>2876</v>
      </c>
      <c r="E316" s="175">
        <v>1</v>
      </c>
      <c r="F316" s="151" t="s">
        <v>1128</v>
      </c>
      <c r="G316" s="152">
        <v>2.9560158000000003</v>
      </c>
      <c r="H316" s="152">
        <v>1.8247011111111111</v>
      </c>
      <c r="I316" s="175">
        <v>138</v>
      </c>
      <c r="J316" s="266">
        <f>_xlfn.XLOOKUP($I316,Inputs!$C$6:$C$23,Inputs!$D$6:$D$23)*$G316</f>
        <v>1.2816439932857144</v>
      </c>
      <c r="K316" s="255"/>
      <c r="L316" s="186">
        <v>255</v>
      </c>
      <c r="M316" s="186">
        <v>440</v>
      </c>
      <c r="N316" s="99">
        <f t="shared" si="72"/>
        <v>60.950867918348784</v>
      </c>
      <c r="O316" s="99">
        <f t="shared" si="72"/>
        <v>105.17012503558223</v>
      </c>
      <c r="P316" s="131">
        <v>0.9</v>
      </c>
      <c r="Q316" s="186">
        <f t="shared" si="73"/>
        <v>54.855781126513904</v>
      </c>
      <c r="R316" s="186">
        <f t="shared" si="73"/>
        <v>94.653112532024011</v>
      </c>
      <c r="S316" s="151" t="s">
        <v>1723</v>
      </c>
      <c r="T316" s="51" t="s">
        <v>3267</v>
      </c>
      <c r="U316" s="151" t="s">
        <v>1661</v>
      </c>
      <c r="V316" s="51" t="s">
        <v>3638</v>
      </c>
      <c r="W316" s="19"/>
      <c r="X316" s="19"/>
      <c r="Y316" s="99">
        <v>331</v>
      </c>
      <c r="AA316" s="29"/>
      <c r="AC316" s="29"/>
      <c r="AD316" s="29"/>
      <c r="AE316" s="29"/>
    </row>
    <row r="317" spans="2:31" ht="20" x14ac:dyDescent="0.2">
      <c r="B317" s="150" t="s">
        <v>1530</v>
      </c>
      <c r="C317" s="33" t="s">
        <v>106</v>
      </c>
      <c r="D317" s="33" t="s">
        <v>2876</v>
      </c>
      <c r="E317" s="175">
        <v>1</v>
      </c>
      <c r="F317" s="151" t="s">
        <v>1128</v>
      </c>
      <c r="G317" s="152">
        <v>0.1312535</v>
      </c>
      <c r="H317" s="152">
        <v>8.1020679012345664E-2</v>
      </c>
      <c r="I317" s="175">
        <v>69</v>
      </c>
      <c r="J317" s="266">
        <f>_xlfn.XLOOKUP($I317,Inputs!$C$6:$C$23,Inputs!$D$6:$D$23)*$G317</f>
        <v>5.0438844999999996E-2</v>
      </c>
      <c r="K317" s="255"/>
      <c r="L317" s="186">
        <v>1070</v>
      </c>
      <c r="M317" s="186">
        <v>1295</v>
      </c>
      <c r="N317" s="99">
        <f t="shared" si="72"/>
        <v>127.87731112281021</v>
      </c>
      <c r="O317" s="99">
        <f t="shared" si="72"/>
        <v>154.76739991031704</v>
      </c>
      <c r="P317" s="131">
        <v>0.9</v>
      </c>
      <c r="Q317" s="186">
        <f t="shared" si="73"/>
        <v>115.08958001052919</v>
      </c>
      <c r="R317" s="186">
        <f t="shared" si="73"/>
        <v>139.29065991928533</v>
      </c>
      <c r="S317" s="151" t="s">
        <v>2534</v>
      </c>
      <c r="T317" s="51" t="s">
        <v>2193</v>
      </c>
      <c r="U317" s="151" t="s">
        <v>1662</v>
      </c>
      <c r="V317" s="51" t="s">
        <v>3639</v>
      </c>
      <c r="W317" s="19"/>
      <c r="X317" s="19"/>
      <c r="Y317" s="99">
        <v>783</v>
      </c>
      <c r="AA317" s="29"/>
      <c r="AC317" s="29"/>
      <c r="AD317" s="29"/>
      <c r="AE317" s="29"/>
    </row>
    <row r="318" spans="2:31" s="165" customFormat="1" ht="20" x14ac:dyDescent="0.2">
      <c r="B318" s="150" t="s">
        <v>1161</v>
      </c>
      <c r="C318" s="33" t="s">
        <v>106</v>
      </c>
      <c r="D318" s="33" t="s">
        <v>2876</v>
      </c>
      <c r="E318" s="175">
        <v>1</v>
      </c>
      <c r="F318" s="151" t="s">
        <v>1128</v>
      </c>
      <c r="G318" s="152">
        <v>0.14034200000000002</v>
      </c>
      <c r="H318" s="152">
        <v>8.6630864197530869E-2</v>
      </c>
      <c r="I318" s="175">
        <v>69</v>
      </c>
      <c r="J318" s="266">
        <f>_xlfn.XLOOKUP($I318,Inputs!$C$6:$C$23,Inputs!$D$6:$D$23)*$G318</f>
        <v>5.3931425714285726E-2</v>
      </c>
      <c r="K318" s="267">
        <f>IF((42.4*(H318)^(-0.6595))&gt;=3,3,(IF(42.4*(H318)^(-0.6595)&lt;=0.5,0.5,(42.4*(H318)^(-0.6595)))))</f>
        <v>3</v>
      </c>
      <c r="L318" s="99"/>
      <c r="M318" s="99"/>
      <c r="N318" s="99">
        <f t="shared" si="72"/>
        <v>0</v>
      </c>
      <c r="O318" s="99">
        <f t="shared" si="72"/>
        <v>0</v>
      </c>
      <c r="P318" s="131">
        <v>0.9</v>
      </c>
      <c r="Q318" s="305">
        <f>_xlfn.XLOOKUP($I318,Inputs!$G$6:$G$23,Inputs!J$6:J$23)*$K318</f>
        <v>36</v>
      </c>
      <c r="R318" s="305">
        <f>_xlfn.XLOOKUP($I318,Inputs!$G$6:$G$23,Inputs!K$6:K$23)*$K318</f>
        <v>39</v>
      </c>
      <c r="S318" s="151" t="s">
        <v>2493</v>
      </c>
      <c r="T318" s="51" t="s">
        <v>2150</v>
      </c>
      <c r="U318" s="151" t="s">
        <v>1663</v>
      </c>
      <c r="V318" s="51" t="s">
        <v>3640</v>
      </c>
      <c r="W318" s="19"/>
      <c r="X318" s="19"/>
      <c r="Y318" s="99">
        <v>609</v>
      </c>
    </row>
    <row r="319" spans="2:31" ht="20" x14ac:dyDescent="0.2">
      <c r="B319" s="150" t="s">
        <v>1159</v>
      </c>
      <c r="C319" s="33" t="s">
        <v>106</v>
      </c>
      <c r="D319" s="33" t="s">
        <v>2876</v>
      </c>
      <c r="E319" s="175">
        <v>1</v>
      </c>
      <c r="F319" s="151" t="s">
        <v>1128</v>
      </c>
      <c r="G319" s="152">
        <v>11.49</v>
      </c>
      <c r="H319" s="152">
        <v>7.0925925925925926</v>
      </c>
      <c r="I319" s="175">
        <v>69</v>
      </c>
      <c r="J319" s="266">
        <f>_xlfn.XLOOKUP($I319,Inputs!$C$6:$C$23,Inputs!$D$6:$D$23)*$G319</f>
        <v>4.4154428571428577</v>
      </c>
      <c r="K319" s="255"/>
      <c r="L319" s="186">
        <v>420</v>
      </c>
      <c r="M319" s="186">
        <v>515</v>
      </c>
      <c r="N319" s="99">
        <f t="shared" si="72"/>
        <v>50.194832403346062</v>
      </c>
      <c r="O319" s="99">
        <f t="shared" si="72"/>
        <v>61.548425446960046</v>
      </c>
      <c r="P319" s="131">
        <v>0.9</v>
      </c>
      <c r="Q319" s="186">
        <f t="shared" ref="Q319:R321" si="74">N319*$P319</f>
        <v>45.175349163011454</v>
      </c>
      <c r="R319" s="186">
        <f t="shared" si="74"/>
        <v>55.393582902264043</v>
      </c>
      <c r="S319" s="151" t="s">
        <v>2481</v>
      </c>
      <c r="T319" s="51" t="s">
        <v>2137</v>
      </c>
      <c r="U319" s="151" t="s">
        <v>2493</v>
      </c>
      <c r="V319" s="51" t="s">
        <v>2150</v>
      </c>
      <c r="W319" s="19"/>
      <c r="X319" s="19"/>
      <c r="Y319" s="99">
        <v>608</v>
      </c>
      <c r="AA319" s="29"/>
      <c r="AC319" s="29"/>
      <c r="AD319" s="29"/>
      <c r="AE319" s="29"/>
    </row>
    <row r="320" spans="2:31" ht="20" x14ac:dyDescent="0.2">
      <c r="B320" s="150" t="s">
        <v>594</v>
      </c>
      <c r="C320" s="33" t="s">
        <v>106</v>
      </c>
      <c r="D320" s="33" t="s">
        <v>2876</v>
      </c>
      <c r="E320" s="175">
        <v>1</v>
      </c>
      <c r="F320" s="151" t="s">
        <v>1128</v>
      </c>
      <c r="G320" s="152">
        <v>2.5779407999999999</v>
      </c>
      <c r="H320" s="152">
        <v>1.5913214814814813</v>
      </c>
      <c r="I320" s="175">
        <v>230</v>
      </c>
      <c r="J320" s="266">
        <f>_xlfn.XLOOKUP($I320,Inputs!$C$6:$C$23,Inputs!$D$6:$D$23)*$G320</f>
        <v>1.237411584</v>
      </c>
      <c r="K320" s="255"/>
      <c r="L320" s="186">
        <v>1133</v>
      </c>
      <c r="M320" s="3">
        <v>1204</v>
      </c>
      <c r="N320" s="99">
        <f t="shared" si="72"/>
        <v>451.35511994437371</v>
      </c>
      <c r="O320" s="99">
        <f t="shared" si="72"/>
        <v>479.63950963197345</v>
      </c>
      <c r="P320" s="131">
        <v>0.9</v>
      </c>
      <c r="Q320" s="186">
        <f t="shared" si="74"/>
        <v>406.21960794993635</v>
      </c>
      <c r="R320" s="186">
        <f t="shared" si="74"/>
        <v>431.67555866877609</v>
      </c>
      <c r="S320" s="151" t="s">
        <v>1722</v>
      </c>
      <c r="T320" s="51" t="s">
        <v>3266</v>
      </c>
      <c r="U320" s="151" t="s">
        <v>1664</v>
      </c>
      <c r="V320" s="51" t="s">
        <v>3378</v>
      </c>
      <c r="W320" s="19"/>
      <c r="X320" s="19"/>
      <c r="Y320" s="99">
        <v>449</v>
      </c>
      <c r="AA320" s="29"/>
      <c r="AC320" s="29"/>
      <c r="AD320" s="29"/>
      <c r="AE320" s="29"/>
    </row>
    <row r="321" spans="2:31" s="165" customFormat="1" ht="20" x14ac:dyDescent="0.2">
      <c r="B321" s="150" t="s">
        <v>596</v>
      </c>
      <c r="C321" s="33" t="s">
        <v>106</v>
      </c>
      <c r="D321" s="33" t="s">
        <v>2876</v>
      </c>
      <c r="E321" s="175">
        <v>1</v>
      </c>
      <c r="F321" s="151" t="s">
        <v>1128</v>
      </c>
      <c r="G321" s="152">
        <v>5.3990938999999996</v>
      </c>
      <c r="H321" s="152">
        <v>3.3327740123456784</v>
      </c>
      <c r="I321" s="175">
        <v>230</v>
      </c>
      <c r="J321" s="266">
        <f>_xlfn.XLOOKUP($I321,Inputs!$C$6:$C$23,Inputs!$D$6:$D$23)*$G321</f>
        <v>2.5915650719999999</v>
      </c>
      <c r="K321" s="255"/>
      <c r="L321" s="186">
        <v>1032</v>
      </c>
      <c r="M321" s="186">
        <v>1091</v>
      </c>
      <c r="N321" s="99">
        <f t="shared" si="72"/>
        <v>411.11957968454868</v>
      </c>
      <c r="O321" s="99">
        <f t="shared" si="72"/>
        <v>434.62350914325833</v>
      </c>
      <c r="P321" s="131">
        <v>0.9</v>
      </c>
      <c r="Q321" s="186">
        <f t="shared" si="74"/>
        <v>370.00762171609381</v>
      </c>
      <c r="R321" s="186">
        <f t="shared" si="74"/>
        <v>391.16115822893249</v>
      </c>
      <c r="S321" s="151" t="s">
        <v>1599</v>
      </c>
      <c r="T321" s="51" t="s">
        <v>3226</v>
      </c>
      <c r="U321" s="151" t="s">
        <v>1664</v>
      </c>
      <c r="V321" s="51" t="s">
        <v>3378</v>
      </c>
      <c r="W321" s="19"/>
      <c r="X321" s="19"/>
      <c r="Y321" s="99">
        <v>452</v>
      </c>
    </row>
    <row r="322" spans="2:31" ht="20" x14ac:dyDescent="0.2">
      <c r="B322" s="230" t="s">
        <v>2701</v>
      </c>
      <c r="C322" s="51" t="s">
        <v>173</v>
      </c>
      <c r="D322" s="33" t="s">
        <v>2876</v>
      </c>
      <c r="E322" s="231">
        <v>1</v>
      </c>
      <c r="F322" s="230" t="s">
        <v>1128</v>
      </c>
      <c r="G322" s="232">
        <v>1</v>
      </c>
      <c r="H322" s="232">
        <v>0.61728395061728392</v>
      </c>
      <c r="I322" s="231">
        <v>63</v>
      </c>
      <c r="J322" s="266">
        <f>_xlfn.XLOOKUP($I322,Inputs!$C$6:$C$23,Inputs!$D$6:$D$23)*$G322</f>
        <v>0.38</v>
      </c>
      <c r="K322" s="267">
        <f>IF((42.4*(H322)^(-0.6595))&gt;=3,3,(IF(42.4*(H322)^(-0.6595)&lt;=0.5,0.5,(42.4*(H322)^(-0.6595)))))</f>
        <v>3</v>
      </c>
      <c r="L322" s="99"/>
      <c r="M322" s="99"/>
      <c r="N322" s="99"/>
      <c r="O322" s="99"/>
      <c r="P322" s="69"/>
      <c r="Q322" s="305">
        <f>_xlfn.XLOOKUP($I322,Inputs!$G$6:$G$23,Inputs!J$6:J$23)*$K322</f>
        <v>29.767499999999998</v>
      </c>
      <c r="R322" s="305">
        <f>_xlfn.XLOOKUP($I322,Inputs!$G$6:$G$23,Inputs!K$6:K$23)*$K322</f>
        <v>32.532786885245905</v>
      </c>
      <c r="S322" s="230" t="s">
        <v>1936</v>
      </c>
      <c r="T322" s="51" t="s">
        <v>3356</v>
      </c>
      <c r="U322" s="230" t="s">
        <v>3582</v>
      </c>
      <c r="V322" s="51" t="s">
        <v>3583</v>
      </c>
      <c r="W322" s="19"/>
      <c r="X322" s="19"/>
      <c r="Y322" s="99">
        <v>1127</v>
      </c>
      <c r="AA322" s="29"/>
      <c r="AC322" s="29"/>
      <c r="AD322" s="29"/>
      <c r="AE322" s="29"/>
    </row>
    <row r="323" spans="2:31" s="165" customFormat="1" ht="20" x14ac:dyDescent="0.2">
      <c r="B323" s="150" t="s">
        <v>1453</v>
      </c>
      <c r="C323" s="33" t="s">
        <v>106</v>
      </c>
      <c r="D323" s="33" t="s">
        <v>2876</v>
      </c>
      <c r="E323" s="175">
        <v>1</v>
      </c>
      <c r="F323" s="151" t="s">
        <v>1128</v>
      </c>
      <c r="G323" s="152">
        <v>8</v>
      </c>
      <c r="H323" s="152">
        <v>4.9382716049382713</v>
      </c>
      <c r="I323" s="175">
        <v>138</v>
      </c>
      <c r="J323" s="266">
        <f>_xlfn.XLOOKUP($I323,Inputs!$C$6:$C$23,Inputs!$D$6:$D$23)*$G323</f>
        <v>3.4685714285714289</v>
      </c>
      <c r="K323" s="267">
        <f>IF((42.4*(H323)^(-0.6595))&gt;=3,3,(IF(42.4*(H323)^(-0.6595)&lt;=0.5,0.5,(42.4*(H323)^(-0.6595)))))</f>
        <v>3</v>
      </c>
      <c r="L323" s="99"/>
      <c r="M323" s="99"/>
      <c r="N323" s="99">
        <f t="shared" ref="N323:N364" si="75">(SQRT(3)*L323*$I323)/1000</f>
        <v>0</v>
      </c>
      <c r="O323" s="99">
        <f t="shared" ref="O323:O364" si="76">(SQRT(3)*M323*$I323)/1000</f>
        <v>0</v>
      </c>
      <c r="P323" s="131">
        <v>0.9</v>
      </c>
      <c r="Q323" s="305">
        <f>_xlfn.XLOOKUP($I323,Inputs!$G$6:$G$23,Inputs!J$6:J$23)*$K323</f>
        <v>141</v>
      </c>
      <c r="R323" s="305">
        <f>_xlfn.XLOOKUP($I323,Inputs!$G$6:$G$23,Inputs!K$6:K$23)*$K323</f>
        <v>156</v>
      </c>
      <c r="S323" s="151" t="s">
        <v>2462</v>
      </c>
      <c r="T323" s="51" t="s">
        <v>2113</v>
      </c>
      <c r="U323" s="151" t="s">
        <v>1665</v>
      </c>
      <c r="V323" s="51" t="s">
        <v>3637</v>
      </c>
      <c r="W323" s="19"/>
      <c r="X323" s="19"/>
      <c r="Y323" s="99">
        <v>311</v>
      </c>
    </row>
    <row r="324" spans="2:31" s="165" customFormat="1" ht="20" x14ac:dyDescent="0.2">
      <c r="B324" s="150" t="s">
        <v>509</v>
      </c>
      <c r="C324" s="33" t="s">
        <v>106</v>
      </c>
      <c r="D324" s="33" t="s">
        <v>2876</v>
      </c>
      <c r="E324" s="175">
        <v>1</v>
      </c>
      <c r="F324" s="151" t="s">
        <v>1128</v>
      </c>
      <c r="G324" s="152">
        <v>7</v>
      </c>
      <c r="H324" s="152">
        <v>4.3209876543209873</v>
      </c>
      <c r="I324" s="175">
        <v>138</v>
      </c>
      <c r="J324" s="266">
        <f>_xlfn.XLOOKUP($I324,Inputs!$C$6:$C$23,Inputs!$D$6:$D$23)*$G324</f>
        <v>3.0350000000000001</v>
      </c>
      <c r="K324" s="255"/>
      <c r="L324" s="186">
        <v>567</v>
      </c>
      <c r="M324" s="3">
        <v>717</v>
      </c>
      <c r="N324" s="99">
        <f t="shared" si="75"/>
        <v>135.52604748903437</v>
      </c>
      <c r="O324" s="99">
        <f t="shared" si="76"/>
        <v>171.37949920571015</v>
      </c>
      <c r="P324" s="131">
        <v>0.9</v>
      </c>
      <c r="Q324" s="186">
        <f t="shared" ref="Q324:R327" si="77">N324*$P324</f>
        <v>121.97344274013093</v>
      </c>
      <c r="R324" s="186">
        <f t="shared" si="77"/>
        <v>154.24154928513914</v>
      </c>
      <c r="S324" s="151" t="s">
        <v>2461</v>
      </c>
      <c r="T324" s="51" t="s">
        <v>2115</v>
      </c>
      <c r="U324" s="151" t="s">
        <v>2462</v>
      </c>
      <c r="V324" s="51" t="s">
        <v>2113</v>
      </c>
      <c r="W324" s="19"/>
      <c r="X324" s="19"/>
      <c r="Y324" s="99">
        <v>310</v>
      </c>
    </row>
    <row r="325" spans="2:31" ht="20" x14ac:dyDescent="0.2">
      <c r="B325" s="151" t="s">
        <v>1104</v>
      </c>
      <c r="C325" s="33" t="s">
        <v>106</v>
      </c>
      <c r="D325" s="33" t="s">
        <v>2876</v>
      </c>
      <c r="E325" s="175">
        <v>1</v>
      </c>
      <c r="F325" s="151" t="s">
        <v>1128</v>
      </c>
      <c r="G325" s="174">
        <v>20</v>
      </c>
      <c r="H325" s="152">
        <v>12.345679012345679</v>
      </c>
      <c r="I325" s="175">
        <v>230</v>
      </c>
      <c r="J325" s="266">
        <f>_xlfn.XLOOKUP($I325,Inputs!$C$6:$C$23,Inputs!$D$6:$D$23)*$G325</f>
        <v>9.6</v>
      </c>
      <c r="K325" s="255"/>
      <c r="L325" s="186">
        <v>1301</v>
      </c>
      <c r="M325" s="186">
        <v>1591</v>
      </c>
      <c r="N325" s="99">
        <f t="shared" si="75"/>
        <v>518.28156314883506</v>
      </c>
      <c r="O325" s="99">
        <f t="shared" si="76"/>
        <v>633.80935201367924</v>
      </c>
      <c r="P325" s="131">
        <v>0.9</v>
      </c>
      <c r="Q325" s="186">
        <f t="shared" si="77"/>
        <v>466.45340683395159</v>
      </c>
      <c r="R325" s="186">
        <f t="shared" si="77"/>
        <v>570.4284168123113</v>
      </c>
      <c r="S325" s="151" t="s">
        <v>2309</v>
      </c>
      <c r="T325" s="51" t="s">
        <v>3129</v>
      </c>
      <c r="U325" s="151" t="s">
        <v>2306</v>
      </c>
      <c r="V325" s="51" t="s">
        <v>3119</v>
      </c>
      <c r="W325" s="19"/>
      <c r="X325" s="19"/>
      <c r="Y325" s="99">
        <v>373</v>
      </c>
      <c r="AA325" s="29"/>
      <c r="AC325" s="29"/>
      <c r="AD325" s="29"/>
      <c r="AE325" s="29"/>
    </row>
    <row r="326" spans="2:31" s="165" customFormat="1" ht="20" x14ac:dyDescent="0.2">
      <c r="B326" s="151" t="s">
        <v>1107</v>
      </c>
      <c r="C326" s="33" t="s">
        <v>106</v>
      </c>
      <c r="D326" s="33" t="s">
        <v>2876</v>
      </c>
      <c r="E326" s="175">
        <v>1</v>
      </c>
      <c r="F326" s="151" t="s">
        <v>1128</v>
      </c>
      <c r="G326" s="174">
        <v>1.5</v>
      </c>
      <c r="H326" s="152">
        <v>0.92592592592592582</v>
      </c>
      <c r="I326" s="175">
        <v>287</v>
      </c>
      <c r="J326" s="266">
        <f>_xlfn.XLOOKUP($I326,Inputs!$C$6:$C$23,Inputs!$D$6:$D$23)*$G326</f>
        <v>0.69308333333333327</v>
      </c>
      <c r="K326" s="255"/>
      <c r="L326" s="186">
        <v>670</v>
      </c>
      <c r="M326" s="186">
        <v>1190</v>
      </c>
      <c r="N326" s="99">
        <f t="shared" si="75"/>
        <v>333.0560497874194</v>
      </c>
      <c r="O326" s="99">
        <f t="shared" si="76"/>
        <v>591.5473123089987</v>
      </c>
      <c r="P326" s="131">
        <v>0.9</v>
      </c>
      <c r="Q326" s="186">
        <f t="shared" si="77"/>
        <v>299.75044480867746</v>
      </c>
      <c r="R326" s="186">
        <f t="shared" si="77"/>
        <v>532.39258107809883</v>
      </c>
      <c r="S326" s="151" t="s">
        <v>1786</v>
      </c>
      <c r="T326" s="51" t="s">
        <v>3290</v>
      </c>
      <c r="U326" s="151" t="s">
        <v>1666</v>
      </c>
      <c r="V326" s="51" t="s">
        <v>3641</v>
      </c>
      <c r="W326" s="19"/>
      <c r="X326" s="19"/>
      <c r="Y326" s="99">
        <v>433</v>
      </c>
    </row>
    <row r="327" spans="2:31" ht="20" x14ac:dyDescent="0.2">
      <c r="B327" s="150" t="s">
        <v>1317</v>
      </c>
      <c r="C327" s="33" t="s">
        <v>106</v>
      </c>
      <c r="D327" s="33" t="s">
        <v>2876</v>
      </c>
      <c r="E327" s="175">
        <v>1</v>
      </c>
      <c r="F327" s="151" t="s">
        <v>1128</v>
      </c>
      <c r="G327" s="152">
        <v>2.4688294000000002</v>
      </c>
      <c r="H327" s="152">
        <v>1.5239687654320988</v>
      </c>
      <c r="I327" s="175">
        <v>69</v>
      </c>
      <c r="J327" s="266">
        <f>_xlfn.XLOOKUP($I327,Inputs!$C$6:$C$23,Inputs!$D$6:$D$23)*$G327</f>
        <v>0.94873586942857147</v>
      </c>
      <c r="K327" s="255"/>
      <c r="L327" s="186">
        <v>340</v>
      </c>
      <c r="M327" s="186">
        <v>403</v>
      </c>
      <c r="N327" s="99">
        <f t="shared" si="75"/>
        <v>40.633911945565856</v>
      </c>
      <c r="O327" s="99">
        <f t="shared" si="76"/>
        <v>48.163136806067769</v>
      </c>
      <c r="P327" s="131">
        <v>0.9</v>
      </c>
      <c r="Q327" s="186">
        <f t="shared" si="77"/>
        <v>36.570520751009269</v>
      </c>
      <c r="R327" s="186">
        <f t="shared" si="77"/>
        <v>43.346823125460993</v>
      </c>
      <c r="S327" s="151" t="s">
        <v>1819</v>
      </c>
      <c r="T327" s="51" t="s">
        <v>3299</v>
      </c>
      <c r="U327" s="151" t="s">
        <v>1667</v>
      </c>
      <c r="V327" s="51" t="s">
        <v>3633</v>
      </c>
      <c r="W327" s="19"/>
      <c r="X327" s="19"/>
      <c r="Y327" s="99">
        <v>871</v>
      </c>
      <c r="AA327" s="29"/>
      <c r="AC327" s="29"/>
      <c r="AD327" s="29"/>
      <c r="AE327" s="29"/>
    </row>
    <row r="328" spans="2:31" ht="20" x14ac:dyDescent="0.2">
      <c r="B328" s="150" t="s">
        <v>1485</v>
      </c>
      <c r="C328" s="33" t="s">
        <v>106</v>
      </c>
      <c r="D328" s="33" t="s">
        <v>2876</v>
      </c>
      <c r="E328" s="175">
        <v>1</v>
      </c>
      <c r="F328" s="151" t="s">
        <v>1128</v>
      </c>
      <c r="G328" s="152">
        <v>6.7788700000000007E-2</v>
      </c>
      <c r="H328" s="152">
        <v>4.1844876543209876E-2</v>
      </c>
      <c r="I328" s="175">
        <v>138</v>
      </c>
      <c r="J328" s="266">
        <f>_xlfn.XLOOKUP($I328,Inputs!$C$6:$C$23,Inputs!$D$6:$D$23)*$G328</f>
        <v>2.9391243500000004E-2</v>
      </c>
      <c r="K328" s="267">
        <f>IF((42.4*(H328)^(-0.6595))&gt;=3,3,(IF(42.4*(H328)^(-0.6595)&lt;=0.5,0.5,(42.4*(H328)^(-0.6595)))))</f>
        <v>3</v>
      </c>
      <c r="L328" s="99"/>
      <c r="M328" s="99"/>
      <c r="N328" s="99">
        <f t="shared" si="75"/>
        <v>0</v>
      </c>
      <c r="O328" s="99">
        <f t="shared" si="76"/>
        <v>0</v>
      </c>
      <c r="P328" s="131">
        <v>0.9</v>
      </c>
      <c r="Q328" s="305">
        <f>_xlfn.XLOOKUP($I328,Inputs!$G$6:$G$23,Inputs!J$6:J$23)*$K328</f>
        <v>141</v>
      </c>
      <c r="R328" s="305">
        <f>_xlfn.XLOOKUP($I328,Inputs!$G$6:$G$23,Inputs!K$6:K$23)*$K328</f>
        <v>156</v>
      </c>
      <c r="S328" s="151" t="s">
        <v>2464</v>
      </c>
      <c r="T328" s="51" t="s">
        <v>2116</v>
      </c>
      <c r="U328" s="151" t="s">
        <v>1668</v>
      </c>
      <c r="V328" s="51" t="s">
        <v>3419</v>
      </c>
      <c r="W328" s="19"/>
      <c r="X328" s="19"/>
      <c r="Y328" s="99">
        <v>316</v>
      </c>
      <c r="AA328" s="29"/>
      <c r="AC328" s="29"/>
      <c r="AD328" s="29"/>
      <c r="AE328" s="29"/>
    </row>
    <row r="329" spans="2:31" ht="20" x14ac:dyDescent="0.2">
      <c r="B329" s="150" t="s">
        <v>510</v>
      </c>
      <c r="C329" s="33" t="s">
        <v>106</v>
      </c>
      <c r="D329" s="33" t="s">
        <v>2876</v>
      </c>
      <c r="E329" s="175">
        <v>1</v>
      </c>
      <c r="F329" s="151" t="s">
        <v>1128</v>
      </c>
      <c r="G329" s="152">
        <v>110</v>
      </c>
      <c r="H329" s="152">
        <v>67.901234567901227</v>
      </c>
      <c r="I329" s="175">
        <v>138</v>
      </c>
      <c r="J329" s="266">
        <f>_xlfn.XLOOKUP($I329,Inputs!$C$6:$C$23,Inputs!$D$6:$D$23)*$G329</f>
        <v>47.69285714285715</v>
      </c>
      <c r="K329" s="255"/>
      <c r="L329" s="186">
        <v>430</v>
      </c>
      <c r="M329" s="186">
        <v>545</v>
      </c>
      <c r="N329" s="99">
        <f t="shared" si="75"/>
        <v>102.77989492113718</v>
      </c>
      <c r="O329" s="99">
        <f t="shared" si="76"/>
        <v>130.26754123725524</v>
      </c>
      <c r="P329" s="131">
        <v>0.9</v>
      </c>
      <c r="Q329" s="186">
        <f>N329*$P329</f>
        <v>92.501905429023466</v>
      </c>
      <c r="R329" s="186">
        <f>O329*$P329</f>
        <v>117.24078711352972</v>
      </c>
      <c r="S329" s="151" t="s">
        <v>1578</v>
      </c>
      <c r="T329" s="51" t="s">
        <v>3215</v>
      </c>
      <c r="U329" s="151" t="s">
        <v>2464</v>
      </c>
      <c r="V329" s="51" t="s">
        <v>2116</v>
      </c>
      <c r="W329" s="19"/>
      <c r="X329" s="19"/>
      <c r="Y329" s="99">
        <v>315</v>
      </c>
      <c r="AA329" s="29"/>
      <c r="AC329" s="29"/>
      <c r="AD329" s="29"/>
      <c r="AE329" s="29"/>
    </row>
    <row r="330" spans="2:31" ht="20" x14ac:dyDescent="0.2">
      <c r="B330" s="150" t="s">
        <v>1482</v>
      </c>
      <c r="C330" s="33" t="s">
        <v>106</v>
      </c>
      <c r="D330" s="33" t="s">
        <v>2876</v>
      </c>
      <c r="E330" s="175">
        <v>1</v>
      </c>
      <c r="F330" s="151" t="s">
        <v>1128</v>
      </c>
      <c r="G330" s="152">
        <v>0.69733100000000003</v>
      </c>
      <c r="H330" s="152">
        <v>0.43045123456790124</v>
      </c>
      <c r="I330" s="175">
        <v>138</v>
      </c>
      <c r="J330" s="266">
        <f>_xlfn.XLOOKUP($I330,Inputs!$C$6:$C$23,Inputs!$D$6:$D$23)*$G330</f>
        <v>0.30234279785714291</v>
      </c>
      <c r="K330" s="267">
        <f>IF((42.4*(H330)^(-0.6595))&gt;=3,3,(IF(42.4*(H330)^(-0.6595)&lt;=0.5,0.5,(42.4*(H330)^(-0.6595)))))</f>
        <v>3</v>
      </c>
      <c r="L330" s="99"/>
      <c r="M330" s="99"/>
      <c r="N330" s="99">
        <f t="shared" si="75"/>
        <v>0</v>
      </c>
      <c r="O330" s="99">
        <f t="shared" si="76"/>
        <v>0</v>
      </c>
      <c r="P330" s="131">
        <v>0.9</v>
      </c>
      <c r="Q330" s="305">
        <f>_xlfn.XLOOKUP($I330,Inputs!$G$6:$G$23,Inputs!J$6:J$23)*$K330</f>
        <v>141</v>
      </c>
      <c r="R330" s="305">
        <f>_xlfn.XLOOKUP($I330,Inputs!$G$6:$G$23,Inputs!K$6:K$23)*$K330</f>
        <v>156</v>
      </c>
      <c r="S330" s="151" t="s">
        <v>2460</v>
      </c>
      <c r="T330" s="51" t="s">
        <v>2111</v>
      </c>
      <c r="U330" s="151" t="s">
        <v>1669</v>
      </c>
      <c r="V330" s="51" t="s">
        <v>3420</v>
      </c>
      <c r="W330" s="19"/>
      <c r="X330" s="19"/>
      <c r="Y330" s="99">
        <v>307</v>
      </c>
      <c r="AA330" s="29"/>
      <c r="AC330" s="29"/>
      <c r="AD330" s="29"/>
      <c r="AE330" s="29"/>
    </row>
    <row r="331" spans="2:31" ht="20" x14ac:dyDescent="0.2">
      <c r="B331" s="150" t="s">
        <v>508</v>
      </c>
      <c r="C331" s="33" t="s">
        <v>106</v>
      </c>
      <c r="D331" s="33" t="s">
        <v>2876</v>
      </c>
      <c r="E331" s="175">
        <v>1</v>
      </c>
      <c r="F331" s="151" t="s">
        <v>1128</v>
      </c>
      <c r="G331" s="152">
        <v>3.16</v>
      </c>
      <c r="H331" s="152">
        <v>1.9506172839506173</v>
      </c>
      <c r="I331" s="175">
        <v>138</v>
      </c>
      <c r="J331" s="266">
        <f>_xlfn.XLOOKUP($I331,Inputs!$C$6:$C$23,Inputs!$D$6:$D$23)*$G331</f>
        <v>1.3700857142857144</v>
      </c>
      <c r="K331" s="255"/>
      <c r="L331" s="186">
        <v>560</v>
      </c>
      <c r="M331" s="186">
        <v>674</v>
      </c>
      <c r="N331" s="99">
        <f t="shared" si="75"/>
        <v>133.85288640892284</v>
      </c>
      <c r="O331" s="99">
        <f t="shared" si="76"/>
        <v>161.10150971359641</v>
      </c>
      <c r="P331" s="131">
        <v>0.9</v>
      </c>
      <c r="Q331" s="186">
        <f>N331*$P331</f>
        <v>120.46759776803056</v>
      </c>
      <c r="R331" s="186">
        <f>O331*$P331</f>
        <v>144.99135874223677</v>
      </c>
      <c r="S331" s="151" t="s">
        <v>1807</v>
      </c>
      <c r="T331" s="51" t="s">
        <v>3682</v>
      </c>
      <c r="U331" s="151" t="s">
        <v>2460</v>
      </c>
      <c r="V331" s="51" t="s">
        <v>2111</v>
      </c>
      <c r="W331" s="19"/>
      <c r="X331" s="19"/>
      <c r="Y331" s="99">
        <v>306</v>
      </c>
      <c r="AA331" s="29"/>
      <c r="AC331" s="29"/>
      <c r="AD331" s="29"/>
      <c r="AE331" s="29"/>
    </row>
    <row r="332" spans="2:31" ht="20" x14ac:dyDescent="0.2">
      <c r="B332" s="150" t="s">
        <v>502</v>
      </c>
      <c r="C332" s="33" t="s">
        <v>106</v>
      </c>
      <c r="D332" s="33" t="s">
        <v>2876</v>
      </c>
      <c r="E332" s="175">
        <v>1</v>
      </c>
      <c r="F332" s="151" t="s">
        <v>1128</v>
      </c>
      <c r="G332" s="152">
        <v>2</v>
      </c>
      <c r="H332" s="152">
        <v>1.2345679012345678</v>
      </c>
      <c r="I332" s="175">
        <v>138</v>
      </c>
      <c r="J332" s="266">
        <f>_xlfn.XLOOKUP($I332,Inputs!$C$6:$C$23,Inputs!$D$6:$D$23)*$G332</f>
        <v>0.86714285714285722</v>
      </c>
      <c r="K332" s="255"/>
      <c r="L332" s="186">
        <v>265</v>
      </c>
      <c r="M332" s="186">
        <v>440</v>
      </c>
      <c r="N332" s="99">
        <f t="shared" si="75"/>
        <v>63.341098032793838</v>
      </c>
      <c r="O332" s="99">
        <f t="shared" si="76"/>
        <v>105.17012503558223</v>
      </c>
      <c r="P332" s="131">
        <v>0.9</v>
      </c>
      <c r="Q332" s="186">
        <f>N332*$P332</f>
        <v>57.006988229514455</v>
      </c>
      <c r="R332" s="186">
        <f>O332*$P332</f>
        <v>94.653112532024011</v>
      </c>
      <c r="S332" s="151" t="s">
        <v>2457</v>
      </c>
      <c r="T332" s="51" t="s">
        <v>2109</v>
      </c>
      <c r="U332" s="151" t="s">
        <v>1670</v>
      </c>
      <c r="V332" s="51" t="s">
        <v>3644</v>
      </c>
      <c r="W332" s="19"/>
      <c r="X332" s="19"/>
      <c r="Y332" s="99">
        <v>292</v>
      </c>
      <c r="AA332" s="29"/>
      <c r="AC332" s="29"/>
      <c r="AD332" s="29"/>
      <c r="AE332" s="29"/>
    </row>
    <row r="333" spans="2:31" ht="20" x14ac:dyDescent="0.2">
      <c r="B333" s="150" t="s">
        <v>1290</v>
      </c>
      <c r="C333" s="33" t="s">
        <v>106</v>
      </c>
      <c r="D333" s="33" t="s">
        <v>2876</v>
      </c>
      <c r="E333" s="175">
        <v>1</v>
      </c>
      <c r="F333" s="151" t="s">
        <v>1128</v>
      </c>
      <c r="G333" s="152">
        <v>0.28566430000000004</v>
      </c>
      <c r="H333" s="152">
        <v>0.17633598765432099</v>
      </c>
      <c r="I333" s="175">
        <v>69</v>
      </c>
      <c r="J333" s="266">
        <f>_xlfn.XLOOKUP($I333,Inputs!$C$6:$C$23,Inputs!$D$6:$D$23)*$G333</f>
        <v>0.10977670957142859</v>
      </c>
      <c r="K333" s="267">
        <f>IF((42.4*(H333)^(-0.6595))&gt;=3,3,(IF(42.4*(H333)^(-0.6595)&lt;=0.5,0.5,(42.4*(H333)^(-0.6595)))))</f>
        <v>3</v>
      </c>
      <c r="L333" s="99"/>
      <c r="M333" s="99"/>
      <c r="N333" s="99">
        <f t="shared" si="75"/>
        <v>0</v>
      </c>
      <c r="O333" s="99">
        <f t="shared" si="76"/>
        <v>0</v>
      </c>
      <c r="P333" s="131">
        <v>0.9</v>
      </c>
      <c r="Q333" s="305">
        <f>_xlfn.XLOOKUP($I333,Inputs!$G$6:$G$23,Inputs!J$6:J$23)*$K333</f>
        <v>36</v>
      </c>
      <c r="R333" s="305">
        <f>_xlfn.XLOOKUP($I333,Inputs!$G$6:$G$23,Inputs!K$6:K$23)*$K333</f>
        <v>39</v>
      </c>
      <c r="S333" s="151" t="s">
        <v>2545</v>
      </c>
      <c r="T333" s="51" t="s">
        <v>2202</v>
      </c>
      <c r="U333" s="151" t="s">
        <v>1672</v>
      </c>
      <c r="V333" s="51" t="s">
        <v>3624</v>
      </c>
      <c r="W333" s="19"/>
      <c r="X333" s="19"/>
      <c r="Y333" s="99">
        <v>823</v>
      </c>
      <c r="AA333" s="29"/>
      <c r="AC333" s="29"/>
      <c r="AD333" s="29"/>
      <c r="AE333" s="29"/>
    </row>
    <row r="334" spans="2:31" ht="20" x14ac:dyDescent="0.2">
      <c r="B334" s="150" t="s">
        <v>1289</v>
      </c>
      <c r="C334" s="33" t="s">
        <v>106</v>
      </c>
      <c r="D334" s="33" t="s">
        <v>2876</v>
      </c>
      <c r="E334" s="175">
        <v>1</v>
      </c>
      <c r="F334" s="151" t="s">
        <v>1128</v>
      </c>
      <c r="G334" s="152">
        <v>5</v>
      </c>
      <c r="H334" s="152">
        <v>3.0864197530864197</v>
      </c>
      <c r="I334" s="175">
        <v>69</v>
      </c>
      <c r="J334" s="266">
        <f>_xlfn.XLOOKUP($I334,Inputs!$C$6:$C$23,Inputs!$D$6:$D$23)*$G334</f>
        <v>1.9214285714285715</v>
      </c>
      <c r="K334" s="255"/>
      <c r="L334" s="186">
        <v>239</v>
      </c>
      <c r="M334" s="186">
        <v>384</v>
      </c>
      <c r="N334" s="99">
        <f t="shared" si="75"/>
        <v>28.563249867618353</v>
      </c>
      <c r="O334" s="99">
        <f t="shared" si="76"/>
        <v>45.892418197344973</v>
      </c>
      <c r="P334" s="131">
        <v>0.9</v>
      </c>
      <c r="Q334" s="186">
        <f>N334*$P334</f>
        <v>25.706924880856519</v>
      </c>
      <c r="R334" s="186">
        <f>O334*$P334</f>
        <v>41.303176377610477</v>
      </c>
      <c r="S334" s="151" t="s">
        <v>1866</v>
      </c>
      <c r="T334" s="51" t="s">
        <v>3320</v>
      </c>
      <c r="U334" s="151" t="s">
        <v>2545</v>
      </c>
      <c r="V334" s="51" t="s">
        <v>2202</v>
      </c>
      <c r="W334" s="19"/>
      <c r="X334" s="19"/>
      <c r="Y334" s="99">
        <v>822</v>
      </c>
      <c r="AA334" s="29"/>
      <c r="AC334" s="29"/>
      <c r="AD334" s="29"/>
      <c r="AE334" s="29"/>
    </row>
    <row r="335" spans="2:31" ht="20" x14ac:dyDescent="0.2">
      <c r="B335" s="150" t="s">
        <v>504</v>
      </c>
      <c r="C335" s="33" t="s">
        <v>106</v>
      </c>
      <c r="D335" s="33" t="s">
        <v>2876</v>
      </c>
      <c r="E335" s="175">
        <v>1</v>
      </c>
      <c r="F335" s="151" t="s">
        <v>1128</v>
      </c>
      <c r="G335" s="152">
        <v>2</v>
      </c>
      <c r="H335" s="152">
        <v>1.2345679012345678</v>
      </c>
      <c r="I335" s="175">
        <v>138</v>
      </c>
      <c r="J335" s="266">
        <f>_xlfn.XLOOKUP($I335,Inputs!$C$6:$C$23,Inputs!$D$6:$D$23)*$G335</f>
        <v>0.86714285714285722</v>
      </c>
      <c r="K335" s="255"/>
      <c r="L335" s="186">
        <v>350</v>
      </c>
      <c r="M335" s="186">
        <v>495</v>
      </c>
      <c r="N335" s="99">
        <f t="shared" si="75"/>
        <v>83.658054005576759</v>
      </c>
      <c r="O335" s="99">
        <f t="shared" si="76"/>
        <v>118.31639066502999</v>
      </c>
      <c r="P335" s="131">
        <v>0.9</v>
      </c>
      <c r="Q335" s="186">
        <f>N335*$P335</f>
        <v>75.292248605019083</v>
      </c>
      <c r="R335" s="186">
        <f>O335*$P335</f>
        <v>106.48475159852698</v>
      </c>
      <c r="S335" s="151" t="s">
        <v>2458</v>
      </c>
      <c r="T335" s="51" t="s">
        <v>2110</v>
      </c>
      <c r="U335" s="151" t="s">
        <v>1673</v>
      </c>
      <c r="V335" s="51" t="s">
        <v>3643</v>
      </c>
      <c r="W335" s="19"/>
      <c r="X335" s="19"/>
      <c r="Y335" s="99">
        <v>296</v>
      </c>
      <c r="AA335" s="29"/>
      <c r="AC335" s="29"/>
      <c r="AD335" s="29"/>
      <c r="AE335" s="29"/>
    </row>
    <row r="336" spans="2:31" s="90" customFormat="1" ht="20" x14ac:dyDescent="0.2">
      <c r="B336" s="150" t="s">
        <v>1381</v>
      </c>
      <c r="C336" s="33" t="s">
        <v>106</v>
      </c>
      <c r="D336" s="33" t="s">
        <v>2876</v>
      </c>
      <c r="E336" s="175">
        <v>1</v>
      </c>
      <c r="F336" s="151" t="s">
        <v>1128</v>
      </c>
      <c r="G336" s="152">
        <v>2.3734931000000001</v>
      </c>
      <c r="H336" s="152">
        <v>1.4651191975308642</v>
      </c>
      <c r="I336" s="175">
        <v>69</v>
      </c>
      <c r="J336" s="266">
        <f>_xlfn.XLOOKUP($I336,Inputs!$C$6:$C$23,Inputs!$D$6:$D$23)*$G336</f>
        <v>0.91209949128571433</v>
      </c>
      <c r="K336" s="267">
        <f>IF((42.4*(H336)^(-0.6595))&gt;=3,3,(IF(42.4*(H336)^(-0.6595)&lt;=0.5,0.5,(42.4*(H336)^(-0.6595)))))</f>
        <v>3</v>
      </c>
      <c r="L336" s="99"/>
      <c r="M336" s="99"/>
      <c r="N336" s="99">
        <f t="shared" si="75"/>
        <v>0</v>
      </c>
      <c r="O336" s="99">
        <f t="shared" si="76"/>
        <v>0</v>
      </c>
      <c r="P336" s="131">
        <v>0.9</v>
      </c>
      <c r="Q336" s="305">
        <f>_xlfn.XLOOKUP($I336,Inputs!$G$6:$G$23,Inputs!J$6:J$23)*$K336</f>
        <v>36</v>
      </c>
      <c r="R336" s="305">
        <f>_xlfn.XLOOKUP($I336,Inputs!$G$6:$G$23,Inputs!K$6:K$23)*$K336</f>
        <v>39</v>
      </c>
      <c r="S336" s="151" t="s">
        <v>2601</v>
      </c>
      <c r="T336" s="51" t="s">
        <v>2260</v>
      </c>
      <c r="U336" s="151" t="s">
        <v>2368</v>
      </c>
      <c r="V336" s="51" t="s">
        <v>3120</v>
      </c>
      <c r="W336" s="19"/>
      <c r="X336" s="19"/>
      <c r="Y336" s="99">
        <v>988</v>
      </c>
    </row>
    <row r="337" spans="2:31" s="90" customFormat="1" ht="20" x14ac:dyDescent="0.2">
      <c r="B337" s="150" t="s">
        <v>1376</v>
      </c>
      <c r="C337" s="33" t="s">
        <v>106</v>
      </c>
      <c r="D337" s="33" t="s">
        <v>2876</v>
      </c>
      <c r="E337" s="175">
        <v>1</v>
      </c>
      <c r="F337" s="151" t="s">
        <v>1128</v>
      </c>
      <c r="G337" s="152">
        <v>1.4155519999999999</v>
      </c>
      <c r="H337" s="152">
        <v>0.87379753086419742</v>
      </c>
      <c r="I337" s="175">
        <v>69</v>
      </c>
      <c r="J337" s="266">
        <f>_xlfn.XLOOKUP($I337,Inputs!$C$6:$C$23,Inputs!$D$6:$D$23)*$G337</f>
        <v>0.54397641142857145</v>
      </c>
      <c r="K337" s="255"/>
      <c r="L337" s="186">
        <v>450</v>
      </c>
      <c r="M337" s="186">
        <v>760</v>
      </c>
      <c r="N337" s="99">
        <f t="shared" si="75"/>
        <v>53.780177575013639</v>
      </c>
      <c r="O337" s="99">
        <f t="shared" si="76"/>
        <v>90.828744348911911</v>
      </c>
      <c r="P337" s="131">
        <v>0.9</v>
      </c>
      <c r="Q337" s="186">
        <f t="shared" ref="Q337:R341" si="78">N337*$P337</f>
        <v>48.402159817512278</v>
      </c>
      <c r="R337" s="186">
        <f t="shared" si="78"/>
        <v>81.745869914020716</v>
      </c>
      <c r="S337" s="151" t="s">
        <v>2598</v>
      </c>
      <c r="T337" s="51" t="s">
        <v>2257</v>
      </c>
      <c r="U337" s="151" t="s">
        <v>1674</v>
      </c>
      <c r="V337" s="51" t="s">
        <v>3422</v>
      </c>
      <c r="W337" s="19"/>
      <c r="X337" s="19"/>
      <c r="Y337" s="99">
        <v>977</v>
      </c>
    </row>
    <row r="338" spans="2:31" ht="20" x14ac:dyDescent="0.2">
      <c r="B338" s="150" t="s">
        <v>1378</v>
      </c>
      <c r="C338" s="33" t="s">
        <v>106</v>
      </c>
      <c r="D338" s="33" t="s">
        <v>2876</v>
      </c>
      <c r="E338" s="175">
        <v>1</v>
      </c>
      <c r="F338" s="151" t="s">
        <v>1128</v>
      </c>
      <c r="G338" s="152">
        <v>2.2365583</v>
      </c>
      <c r="H338" s="152">
        <v>1.3805915432098765</v>
      </c>
      <c r="I338" s="175">
        <v>69</v>
      </c>
      <c r="J338" s="266">
        <f>_xlfn.XLOOKUP($I338,Inputs!$C$6:$C$23,Inputs!$D$6:$D$23)*$G338</f>
        <v>0.85947740385714289</v>
      </c>
      <c r="K338" s="255"/>
      <c r="L338" s="186">
        <v>1050</v>
      </c>
      <c r="M338" s="186">
        <v>1190</v>
      </c>
      <c r="N338" s="99">
        <f t="shared" si="75"/>
        <v>125.48708100836515</v>
      </c>
      <c r="O338" s="99">
        <f t="shared" si="76"/>
        <v>142.2186918094805</v>
      </c>
      <c r="P338" s="131">
        <v>0.9</v>
      </c>
      <c r="Q338" s="186">
        <f t="shared" si="78"/>
        <v>112.93837290752865</v>
      </c>
      <c r="R338" s="186">
        <f t="shared" si="78"/>
        <v>127.99682262853246</v>
      </c>
      <c r="S338" s="151" t="s">
        <v>2599</v>
      </c>
      <c r="T338" s="51" t="s">
        <v>2258</v>
      </c>
      <c r="U338" s="151" t="s">
        <v>1674</v>
      </c>
      <c r="V338" s="51" t="s">
        <v>3422</v>
      </c>
      <c r="W338" s="19"/>
      <c r="X338" s="19"/>
      <c r="Y338" s="99">
        <v>980</v>
      </c>
      <c r="AA338" s="29"/>
      <c r="AC338" s="29"/>
      <c r="AD338" s="29"/>
      <c r="AE338" s="29"/>
    </row>
    <row r="339" spans="2:31" ht="20" x14ac:dyDescent="0.2">
      <c r="B339" s="150" t="s">
        <v>1375</v>
      </c>
      <c r="C339" s="33" t="s">
        <v>106</v>
      </c>
      <c r="D339" s="33" t="s">
        <v>2876</v>
      </c>
      <c r="E339" s="175">
        <v>1</v>
      </c>
      <c r="F339" s="151" t="s">
        <v>1128</v>
      </c>
      <c r="G339" s="152">
        <v>10</v>
      </c>
      <c r="H339" s="152">
        <v>6.1728395061728394</v>
      </c>
      <c r="I339" s="175">
        <v>69</v>
      </c>
      <c r="J339" s="266">
        <f>_xlfn.XLOOKUP($I339,Inputs!$C$6:$C$23,Inputs!$D$6:$D$23)*$G339</f>
        <v>3.842857142857143</v>
      </c>
      <c r="K339" s="255"/>
      <c r="L339" s="186">
        <v>450</v>
      </c>
      <c r="M339" s="186">
        <v>760</v>
      </c>
      <c r="N339" s="99">
        <f t="shared" si="75"/>
        <v>53.780177575013639</v>
      </c>
      <c r="O339" s="99">
        <f t="shared" si="76"/>
        <v>90.828744348911911</v>
      </c>
      <c r="P339" s="131">
        <v>0.9</v>
      </c>
      <c r="Q339" s="186">
        <f t="shared" si="78"/>
        <v>48.402159817512278</v>
      </c>
      <c r="R339" s="186">
        <f t="shared" si="78"/>
        <v>81.745869914020716</v>
      </c>
      <c r="S339" s="151" t="s">
        <v>1608</v>
      </c>
      <c r="T339" s="51" t="s">
        <v>3229</v>
      </c>
      <c r="U339" s="151" t="s">
        <v>2598</v>
      </c>
      <c r="V339" s="51" t="s">
        <v>2257</v>
      </c>
      <c r="W339" s="19"/>
      <c r="X339" s="19"/>
      <c r="Y339" s="99">
        <v>976</v>
      </c>
      <c r="AA339" s="29"/>
      <c r="AC339" s="29"/>
      <c r="AD339" s="29"/>
      <c r="AE339" s="29"/>
    </row>
    <row r="340" spans="2:31" s="165" customFormat="1" ht="20" x14ac:dyDescent="0.2">
      <c r="B340" s="150" t="s">
        <v>500</v>
      </c>
      <c r="C340" s="33" t="s">
        <v>106</v>
      </c>
      <c r="D340" s="33" t="s">
        <v>2876</v>
      </c>
      <c r="E340" s="175">
        <v>1</v>
      </c>
      <c r="F340" s="151" t="s">
        <v>1128</v>
      </c>
      <c r="G340" s="152">
        <v>18</v>
      </c>
      <c r="H340" s="152">
        <v>11.111111111111111</v>
      </c>
      <c r="I340" s="175">
        <v>138</v>
      </c>
      <c r="J340" s="266">
        <f>_xlfn.XLOOKUP($I340,Inputs!$C$6:$C$23,Inputs!$D$6:$D$23)*$G340</f>
        <v>7.8042857142857152</v>
      </c>
      <c r="K340" s="255"/>
      <c r="L340" s="186">
        <v>570</v>
      </c>
      <c r="M340" s="186">
        <v>682</v>
      </c>
      <c r="N340" s="99">
        <f t="shared" si="75"/>
        <v>136.24311652336789</v>
      </c>
      <c r="O340" s="99">
        <f t="shared" si="76"/>
        <v>163.01369380515243</v>
      </c>
      <c r="P340" s="131">
        <v>0.9</v>
      </c>
      <c r="Q340" s="186">
        <f t="shared" si="78"/>
        <v>122.6188048710311</v>
      </c>
      <c r="R340" s="186">
        <f t="shared" si="78"/>
        <v>146.71232442463719</v>
      </c>
      <c r="S340" s="151" t="s">
        <v>2455</v>
      </c>
      <c r="T340" s="51" t="s">
        <v>2335</v>
      </c>
      <c r="U340" s="151" t="s">
        <v>1675</v>
      </c>
      <c r="V340" s="179" t="s">
        <v>3247</v>
      </c>
      <c r="W340" s="19"/>
      <c r="X340" s="19"/>
      <c r="Y340" s="99">
        <v>286</v>
      </c>
    </row>
    <row r="341" spans="2:31" s="185" customFormat="1" ht="20" x14ac:dyDescent="0.2">
      <c r="B341" s="150" t="s">
        <v>507</v>
      </c>
      <c r="C341" s="33" t="s">
        <v>106</v>
      </c>
      <c r="D341" s="33" t="s">
        <v>2876</v>
      </c>
      <c r="E341" s="175">
        <v>1</v>
      </c>
      <c r="F341" s="151" t="s">
        <v>1128</v>
      </c>
      <c r="G341" s="152">
        <v>10</v>
      </c>
      <c r="H341" s="152">
        <v>6.1728395061728394</v>
      </c>
      <c r="I341" s="175">
        <v>138</v>
      </c>
      <c r="J341" s="266">
        <f>_xlfn.XLOOKUP($I341,Inputs!$C$6:$C$23,Inputs!$D$6:$D$23)*$G341</f>
        <v>4.3357142857142863</v>
      </c>
      <c r="K341" s="255"/>
      <c r="L341" s="186">
        <v>560</v>
      </c>
      <c r="M341" s="186">
        <v>675</v>
      </c>
      <c r="N341" s="99">
        <f t="shared" si="75"/>
        <v>133.85288640892284</v>
      </c>
      <c r="O341" s="99">
        <f t="shared" si="76"/>
        <v>161.34053272504093</v>
      </c>
      <c r="P341" s="131">
        <v>0.9</v>
      </c>
      <c r="Q341" s="186">
        <f t="shared" si="78"/>
        <v>120.46759776803056</v>
      </c>
      <c r="R341" s="186">
        <f t="shared" si="78"/>
        <v>145.20647945253685</v>
      </c>
      <c r="S341" s="151" t="s">
        <v>2453</v>
      </c>
      <c r="T341" s="51" t="s">
        <v>2106</v>
      </c>
      <c r="U341" s="151" t="s">
        <v>1675</v>
      </c>
      <c r="V341" s="179" t="s">
        <v>3247</v>
      </c>
      <c r="W341" s="19"/>
      <c r="X341" s="19"/>
      <c r="Y341" s="99">
        <v>301</v>
      </c>
    </row>
    <row r="342" spans="2:31" s="185" customFormat="1" ht="20" x14ac:dyDescent="0.2">
      <c r="B342" s="151" t="s">
        <v>1105</v>
      </c>
      <c r="C342" s="33" t="s">
        <v>106</v>
      </c>
      <c r="D342" s="33" t="s">
        <v>2876</v>
      </c>
      <c r="E342" s="175">
        <v>1</v>
      </c>
      <c r="F342" s="151" t="s">
        <v>1128</v>
      </c>
      <c r="G342" s="174">
        <v>40</v>
      </c>
      <c r="H342" s="152">
        <v>24.691358024691358</v>
      </c>
      <c r="I342" s="175">
        <v>287</v>
      </c>
      <c r="J342" s="266">
        <f>_xlfn.XLOOKUP($I342,Inputs!$C$6:$C$23,Inputs!$D$6:$D$23)*$G342</f>
        <v>18.482222222222223</v>
      </c>
      <c r="K342" s="267">
        <f>IF((42.4*(H342)^(-0.6595))&gt;=3,3,(IF(42.4*(H342)^(-0.6595)&lt;=0.5,0.5,(42.4*(H342)^(-0.6595)))))</f>
        <v>3</v>
      </c>
      <c r="L342" s="99"/>
      <c r="M342" s="99"/>
      <c r="N342" s="99">
        <f t="shared" si="75"/>
        <v>0</v>
      </c>
      <c r="O342" s="99">
        <f t="shared" si="76"/>
        <v>0</v>
      </c>
      <c r="P342" s="131">
        <v>0.9</v>
      </c>
      <c r="Q342" s="305">
        <f>_xlfn.XLOOKUP($I342,Inputs!$G$6:$G$23,Inputs!J$6:J$23)*$K342</f>
        <v>641.83636363636356</v>
      </c>
      <c r="R342" s="305">
        <f>_xlfn.XLOOKUP($I342,Inputs!$G$6:$G$23,Inputs!K$6:K$23)*$K342</f>
        <v>726.78529411764703</v>
      </c>
      <c r="S342" s="151" t="s">
        <v>1600</v>
      </c>
      <c r="T342" s="51" t="s">
        <v>3227</v>
      </c>
      <c r="U342" s="151" t="s">
        <v>2307</v>
      </c>
      <c r="V342" s="51" t="s">
        <v>3121</v>
      </c>
      <c r="W342" s="19"/>
      <c r="X342" s="19"/>
      <c r="Y342" s="99">
        <v>505</v>
      </c>
    </row>
    <row r="343" spans="2:31" s="185" customFormat="1" ht="20" x14ac:dyDescent="0.2">
      <c r="B343" s="150" t="s">
        <v>1401</v>
      </c>
      <c r="C343" s="33" t="s">
        <v>106</v>
      </c>
      <c r="D343" s="33" t="s">
        <v>2876</v>
      </c>
      <c r="E343" s="175">
        <v>1</v>
      </c>
      <c r="F343" s="151" t="s">
        <v>1128</v>
      </c>
      <c r="G343" s="152">
        <v>2</v>
      </c>
      <c r="H343" s="152">
        <v>1.2345679012345678</v>
      </c>
      <c r="I343" s="175">
        <v>69</v>
      </c>
      <c r="J343" s="266">
        <f>_xlfn.XLOOKUP($I343,Inputs!$C$6:$C$23,Inputs!$D$6:$D$23)*$G343</f>
        <v>0.76857142857142857</v>
      </c>
      <c r="K343" s="255"/>
      <c r="L343" s="186">
        <v>230</v>
      </c>
      <c r="M343" s="186">
        <v>380</v>
      </c>
      <c r="N343" s="99">
        <f t="shared" si="75"/>
        <v>27.487646316118084</v>
      </c>
      <c r="O343" s="99">
        <f t="shared" si="76"/>
        <v>45.414372174455956</v>
      </c>
      <c r="P343" s="131">
        <v>0.9</v>
      </c>
      <c r="Q343" s="186">
        <f t="shared" ref="Q343:Q351" si="79">N343*$P343</f>
        <v>24.738881684506275</v>
      </c>
      <c r="R343" s="186">
        <f t="shared" ref="R343:R351" si="80">O343*$P343</f>
        <v>40.872934957010358</v>
      </c>
      <c r="S343" s="151" t="s">
        <v>2605</v>
      </c>
      <c r="T343" s="51" t="s">
        <v>2262</v>
      </c>
      <c r="U343" s="151" t="s">
        <v>1956</v>
      </c>
      <c r="V343" s="51" t="s">
        <v>3122</v>
      </c>
      <c r="W343" s="19"/>
      <c r="X343" s="19"/>
      <c r="Y343" s="99">
        <v>1000</v>
      </c>
    </row>
    <row r="344" spans="2:31" ht="20" x14ac:dyDescent="0.2">
      <c r="B344" s="150" t="s">
        <v>563</v>
      </c>
      <c r="C344" s="33" t="s">
        <v>106</v>
      </c>
      <c r="D344" s="33" t="s">
        <v>2876</v>
      </c>
      <c r="E344" s="175">
        <v>1</v>
      </c>
      <c r="F344" s="151" t="s">
        <v>1128</v>
      </c>
      <c r="G344" s="152">
        <v>6.8642970999999999</v>
      </c>
      <c r="H344" s="152">
        <v>4.2372204320987654</v>
      </c>
      <c r="I344" s="175">
        <v>230</v>
      </c>
      <c r="J344" s="266">
        <f>_xlfn.XLOOKUP($I344,Inputs!$C$6:$C$23,Inputs!$D$6:$D$23)*$G344</f>
        <v>3.2948626079999999</v>
      </c>
      <c r="K344" s="255"/>
      <c r="L344" s="186">
        <v>1700</v>
      </c>
      <c r="M344" s="3">
        <v>2204</v>
      </c>
      <c r="N344" s="99">
        <f t="shared" si="75"/>
        <v>677.23186575943089</v>
      </c>
      <c r="O344" s="99">
        <f t="shared" si="76"/>
        <v>878.01119537281522</v>
      </c>
      <c r="P344" s="131">
        <v>0.9</v>
      </c>
      <c r="Q344" s="186">
        <f t="shared" si="79"/>
        <v>609.50867918348786</v>
      </c>
      <c r="R344" s="186">
        <f t="shared" si="80"/>
        <v>790.21007583553376</v>
      </c>
      <c r="S344" s="151" t="s">
        <v>1730</v>
      </c>
      <c r="T344" s="51" t="s">
        <v>3204</v>
      </c>
      <c r="U344" s="151" t="s">
        <v>1676</v>
      </c>
      <c r="V344" s="51" t="s">
        <v>3248</v>
      </c>
      <c r="W344" s="19"/>
      <c r="X344" s="19"/>
      <c r="Y344" s="99">
        <v>412</v>
      </c>
      <c r="AA344" s="29"/>
      <c r="AC344" s="29"/>
      <c r="AD344" s="29"/>
      <c r="AE344" s="29"/>
    </row>
    <row r="345" spans="2:31" s="165" customFormat="1" ht="20" x14ac:dyDescent="0.2">
      <c r="B345" s="150" t="s">
        <v>1373</v>
      </c>
      <c r="C345" s="33" t="s">
        <v>106</v>
      </c>
      <c r="D345" s="33" t="s">
        <v>2876</v>
      </c>
      <c r="E345" s="175">
        <v>1</v>
      </c>
      <c r="F345" s="151" t="s">
        <v>1128</v>
      </c>
      <c r="G345" s="152">
        <v>61.119470399999997</v>
      </c>
      <c r="H345" s="152">
        <v>37.728068148148147</v>
      </c>
      <c r="I345" s="175">
        <v>69</v>
      </c>
      <c r="J345" s="266">
        <f>_xlfn.XLOOKUP($I345,Inputs!$C$6:$C$23,Inputs!$D$6:$D$23)*$G345</f>
        <v>23.487339339428569</v>
      </c>
      <c r="K345" s="255"/>
      <c r="L345" s="186">
        <v>280</v>
      </c>
      <c r="M345" s="186">
        <v>447</v>
      </c>
      <c r="N345" s="99">
        <f t="shared" si="75"/>
        <v>33.463221602230711</v>
      </c>
      <c r="O345" s="99">
        <f t="shared" si="76"/>
        <v>53.421643057846879</v>
      </c>
      <c r="P345" s="131">
        <v>0.9</v>
      </c>
      <c r="Q345" s="186">
        <f t="shared" si="79"/>
        <v>30.116899442007639</v>
      </c>
      <c r="R345" s="186">
        <f t="shared" si="80"/>
        <v>48.079478752062194</v>
      </c>
      <c r="S345" s="151" t="s">
        <v>1909</v>
      </c>
      <c r="T345" s="51" t="s">
        <v>3200</v>
      </c>
      <c r="U345" s="151" t="s">
        <v>1677</v>
      </c>
      <c r="V345" s="179" t="s">
        <v>3249</v>
      </c>
      <c r="W345" s="19"/>
      <c r="X345" s="19"/>
      <c r="Y345" s="99">
        <v>973</v>
      </c>
    </row>
    <row r="346" spans="2:31" s="185" customFormat="1" ht="20" x14ac:dyDescent="0.2">
      <c r="B346" s="150" t="s">
        <v>1358</v>
      </c>
      <c r="C346" s="33" t="s">
        <v>106</v>
      </c>
      <c r="D346" s="33" t="s">
        <v>2876</v>
      </c>
      <c r="E346" s="175">
        <v>1</v>
      </c>
      <c r="F346" s="151" t="s">
        <v>1128</v>
      </c>
      <c r="G346" s="152">
        <v>1.1579259</v>
      </c>
      <c r="H346" s="152">
        <v>0.71476907407407397</v>
      </c>
      <c r="I346" s="175">
        <v>69</v>
      </c>
      <c r="J346" s="266">
        <f>_xlfn.XLOOKUP($I346,Inputs!$C$6:$C$23,Inputs!$D$6:$D$23)*$G346</f>
        <v>0.44497438157142855</v>
      </c>
      <c r="K346" s="255"/>
      <c r="L346" s="186">
        <v>500</v>
      </c>
      <c r="M346" s="3">
        <v>600</v>
      </c>
      <c r="N346" s="99">
        <f t="shared" si="75"/>
        <v>59.755752861126261</v>
      </c>
      <c r="O346" s="99">
        <f t="shared" si="76"/>
        <v>71.706903433351513</v>
      </c>
      <c r="P346" s="131">
        <v>0.9</v>
      </c>
      <c r="Q346" s="186">
        <f t="shared" si="79"/>
        <v>53.780177575013639</v>
      </c>
      <c r="R346" s="186">
        <f t="shared" si="80"/>
        <v>64.536213090016361</v>
      </c>
      <c r="S346" s="151" t="s">
        <v>2590</v>
      </c>
      <c r="T346" s="51" t="s">
        <v>2249</v>
      </c>
      <c r="U346" s="151" t="s">
        <v>1678</v>
      </c>
      <c r="V346" s="51" t="s">
        <v>3645</v>
      </c>
      <c r="W346" s="19"/>
      <c r="X346" s="19"/>
      <c r="Y346" s="99">
        <v>948</v>
      </c>
    </row>
    <row r="347" spans="2:31" ht="20" x14ac:dyDescent="0.2">
      <c r="B347" s="150" t="s">
        <v>1363</v>
      </c>
      <c r="C347" s="33" t="s">
        <v>106</v>
      </c>
      <c r="D347" s="33" t="s">
        <v>2876</v>
      </c>
      <c r="E347" s="175">
        <v>1</v>
      </c>
      <c r="F347" s="151" t="s">
        <v>1128</v>
      </c>
      <c r="G347" s="152">
        <v>1.1525213000000001</v>
      </c>
      <c r="H347" s="152">
        <v>0.71143290123456793</v>
      </c>
      <c r="I347" s="175">
        <v>69</v>
      </c>
      <c r="J347" s="266">
        <f>_xlfn.XLOOKUP($I347,Inputs!$C$6:$C$23,Inputs!$D$6:$D$23)*$G347</f>
        <v>0.44289747100000004</v>
      </c>
      <c r="K347" s="255"/>
      <c r="L347" s="186">
        <v>500</v>
      </c>
      <c r="M347" s="3">
        <v>600</v>
      </c>
      <c r="N347" s="99">
        <f t="shared" si="75"/>
        <v>59.755752861126261</v>
      </c>
      <c r="O347" s="99">
        <f t="shared" si="76"/>
        <v>71.706903433351513</v>
      </c>
      <c r="P347" s="131">
        <v>0.9</v>
      </c>
      <c r="Q347" s="186">
        <f t="shared" si="79"/>
        <v>53.780177575013639</v>
      </c>
      <c r="R347" s="186">
        <f t="shared" si="80"/>
        <v>64.536213090016361</v>
      </c>
      <c r="S347" s="184" t="s">
        <v>2590</v>
      </c>
      <c r="T347" s="51" t="s">
        <v>2249</v>
      </c>
      <c r="U347" s="151" t="s">
        <v>1678</v>
      </c>
      <c r="V347" s="51" t="s">
        <v>3645</v>
      </c>
      <c r="W347" s="19"/>
      <c r="X347" s="19"/>
      <c r="Y347" s="99">
        <v>958</v>
      </c>
      <c r="AA347" s="29"/>
      <c r="AC347" s="29"/>
      <c r="AD347" s="29"/>
      <c r="AE347" s="29"/>
    </row>
    <row r="348" spans="2:31" s="165" customFormat="1" ht="20" x14ac:dyDescent="0.2">
      <c r="B348" s="150" t="s">
        <v>1356</v>
      </c>
      <c r="C348" s="33" t="s">
        <v>106</v>
      </c>
      <c r="D348" s="33" t="s">
        <v>2876</v>
      </c>
      <c r="E348" s="175">
        <v>1</v>
      </c>
      <c r="F348" s="151" t="s">
        <v>1128</v>
      </c>
      <c r="G348" s="152">
        <v>1</v>
      </c>
      <c r="H348" s="152">
        <v>0.61728395061728392</v>
      </c>
      <c r="I348" s="175">
        <v>69</v>
      </c>
      <c r="J348" s="266">
        <f>_xlfn.XLOOKUP($I348,Inputs!$C$6:$C$23,Inputs!$D$6:$D$23)*$G348</f>
        <v>0.38428571428571429</v>
      </c>
      <c r="K348" s="255"/>
      <c r="L348" s="186">
        <v>850</v>
      </c>
      <c r="M348" s="186">
        <v>1020</v>
      </c>
      <c r="N348" s="99">
        <f t="shared" si="75"/>
        <v>101.58477986391465</v>
      </c>
      <c r="O348" s="99">
        <f t="shared" si="76"/>
        <v>121.90173583669757</v>
      </c>
      <c r="P348" s="131">
        <v>0.9</v>
      </c>
      <c r="Q348" s="186">
        <f t="shared" si="79"/>
        <v>91.426301877523187</v>
      </c>
      <c r="R348" s="186">
        <f t="shared" si="80"/>
        <v>109.71156225302781</v>
      </c>
      <c r="S348" s="151" t="s">
        <v>2589</v>
      </c>
      <c r="T348" s="51" t="s">
        <v>2248</v>
      </c>
      <c r="U348" s="151" t="s">
        <v>2590</v>
      </c>
      <c r="V348" s="51" t="s">
        <v>2249</v>
      </c>
      <c r="W348" s="19"/>
      <c r="X348" s="19"/>
      <c r="Y348" s="99">
        <v>947</v>
      </c>
    </row>
    <row r="349" spans="2:31" s="165" customFormat="1" ht="20" x14ac:dyDescent="0.2">
      <c r="B349" s="150" t="s">
        <v>1361</v>
      </c>
      <c r="C349" s="33" t="s">
        <v>106</v>
      </c>
      <c r="D349" s="33" t="s">
        <v>2876</v>
      </c>
      <c r="E349" s="175">
        <v>1</v>
      </c>
      <c r="F349" s="151" t="s">
        <v>1128</v>
      </c>
      <c r="G349" s="152">
        <v>0.6</v>
      </c>
      <c r="H349" s="152">
        <v>0.37037037037037035</v>
      </c>
      <c r="I349" s="175">
        <v>69</v>
      </c>
      <c r="J349" s="266">
        <f>_xlfn.XLOOKUP($I349,Inputs!$C$6:$C$23,Inputs!$D$6:$D$23)*$G349</f>
        <v>0.23057142857142857</v>
      </c>
      <c r="K349" s="255"/>
      <c r="L349" s="186">
        <v>850</v>
      </c>
      <c r="M349" s="186">
        <v>1020</v>
      </c>
      <c r="N349" s="99">
        <f t="shared" si="75"/>
        <v>101.58477986391465</v>
      </c>
      <c r="O349" s="99">
        <f t="shared" si="76"/>
        <v>121.90173583669757</v>
      </c>
      <c r="P349" s="131">
        <v>0.9</v>
      </c>
      <c r="Q349" s="186">
        <f t="shared" si="79"/>
        <v>91.426301877523187</v>
      </c>
      <c r="R349" s="186">
        <f t="shared" si="80"/>
        <v>109.71156225302781</v>
      </c>
      <c r="S349" s="184" t="s">
        <v>2592</v>
      </c>
      <c r="T349" s="51" t="s">
        <v>2251</v>
      </c>
      <c r="U349" s="184" t="s">
        <v>2590</v>
      </c>
      <c r="V349" s="179" t="s">
        <v>2249</v>
      </c>
      <c r="W349" s="19"/>
      <c r="X349" s="19"/>
      <c r="Y349" s="99">
        <v>957</v>
      </c>
    </row>
    <row r="350" spans="2:31" s="185" customFormat="1" ht="20" x14ac:dyDescent="0.2">
      <c r="B350" s="150" t="s">
        <v>1300</v>
      </c>
      <c r="C350" s="33" t="s">
        <v>106</v>
      </c>
      <c r="D350" s="33" t="s">
        <v>2876</v>
      </c>
      <c r="E350" s="175">
        <v>1</v>
      </c>
      <c r="F350" s="151" t="s">
        <v>1128</v>
      </c>
      <c r="G350" s="152">
        <v>4.4415200000000002E-2</v>
      </c>
      <c r="H350" s="152">
        <v>2.741679012345679E-2</v>
      </c>
      <c r="I350" s="175">
        <v>69</v>
      </c>
      <c r="J350" s="266">
        <f>_xlfn.XLOOKUP($I350,Inputs!$C$6:$C$23,Inputs!$D$6:$D$23)*$G350</f>
        <v>1.706812685714286E-2</v>
      </c>
      <c r="K350" s="255"/>
      <c r="L350" s="186">
        <v>425</v>
      </c>
      <c r="M350" s="186">
        <v>511</v>
      </c>
      <c r="N350" s="99">
        <f t="shared" si="75"/>
        <v>50.792389931957324</v>
      </c>
      <c r="O350" s="99">
        <f t="shared" si="76"/>
        <v>61.070379424071042</v>
      </c>
      <c r="P350" s="131">
        <v>0.9</v>
      </c>
      <c r="Q350" s="186">
        <f t="shared" si="79"/>
        <v>45.713150938761594</v>
      </c>
      <c r="R350" s="186">
        <f t="shared" si="80"/>
        <v>54.963341481663939</v>
      </c>
      <c r="S350" s="151" t="s">
        <v>2553</v>
      </c>
      <c r="T350" s="51" t="s">
        <v>2210</v>
      </c>
      <c r="U350" s="151" t="s">
        <v>1679</v>
      </c>
      <c r="V350" s="51" t="s">
        <v>3425</v>
      </c>
      <c r="W350" s="19"/>
      <c r="X350" s="19"/>
      <c r="Y350" s="99">
        <v>845</v>
      </c>
    </row>
    <row r="351" spans="2:31" s="185" customFormat="1" ht="20" x14ac:dyDescent="0.2">
      <c r="B351" s="150" t="s">
        <v>1295</v>
      </c>
      <c r="C351" s="33" t="s">
        <v>106</v>
      </c>
      <c r="D351" s="33" t="s">
        <v>2876</v>
      </c>
      <c r="E351" s="175">
        <v>1</v>
      </c>
      <c r="F351" s="151" t="s">
        <v>1128</v>
      </c>
      <c r="G351" s="152">
        <v>27</v>
      </c>
      <c r="H351" s="152">
        <v>16.666666666666664</v>
      </c>
      <c r="I351" s="175">
        <v>69</v>
      </c>
      <c r="J351" s="266">
        <f>_xlfn.XLOOKUP($I351,Inputs!$C$6:$C$23,Inputs!$D$6:$D$23)*$G351</f>
        <v>10.375714285714286</v>
      </c>
      <c r="K351" s="255"/>
      <c r="L351" s="186">
        <v>349</v>
      </c>
      <c r="M351" s="186">
        <v>453</v>
      </c>
      <c r="N351" s="99">
        <f t="shared" si="75"/>
        <v>41.709515497066128</v>
      </c>
      <c r="O351" s="99">
        <f t="shared" si="76"/>
        <v>54.138712092180391</v>
      </c>
      <c r="P351" s="131">
        <v>0.9</v>
      </c>
      <c r="Q351" s="186">
        <f t="shared" si="79"/>
        <v>37.538563947359513</v>
      </c>
      <c r="R351" s="186">
        <f t="shared" si="80"/>
        <v>48.724840882962354</v>
      </c>
      <c r="S351" s="151" t="s">
        <v>2552</v>
      </c>
      <c r="T351" s="51" t="s">
        <v>2208</v>
      </c>
      <c r="U351" s="151" t="s">
        <v>2553</v>
      </c>
      <c r="V351" s="51" t="s">
        <v>2210</v>
      </c>
      <c r="W351" s="19"/>
      <c r="X351" s="19"/>
      <c r="Y351" s="99">
        <v>844</v>
      </c>
    </row>
    <row r="352" spans="2:31" ht="20" x14ac:dyDescent="0.2">
      <c r="B352" s="151" t="s">
        <v>1516</v>
      </c>
      <c r="C352" s="33" t="s">
        <v>106</v>
      </c>
      <c r="D352" s="33" t="s">
        <v>3716</v>
      </c>
      <c r="E352" s="175">
        <v>1</v>
      </c>
      <c r="F352" s="151" t="s">
        <v>1128</v>
      </c>
      <c r="G352" s="174">
        <v>2</v>
      </c>
      <c r="H352" s="152">
        <v>1.2345679012345678</v>
      </c>
      <c r="I352" s="175">
        <v>138</v>
      </c>
      <c r="J352" s="266">
        <f>_xlfn.XLOOKUP($I352,Inputs!$C$6:$C$23,Inputs!$D$6:$D$23)*$G352</f>
        <v>0.86714285714285722</v>
      </c>
      <c r="K352" s="267">
        <f>IF((42.4*(H352)^(-0.6595))&gt;=3,3,(IF(42.4*(H352)^(-0.6595)&lt;=0.5,0.5,(42.4*(H352)^(-0.6595)))))</f>
        <v>3</v>
      </c>
      <c r="L352" s="99"/>
      <c r="M352" s="99"/>
      <c r="N352" s="99">
        <f t="shared" si="75"/>
        <v>0</v>
      </c>
      <c r="O352" s="99">
        <f t="shared" si="76"/>
        <v>0</v>
      </c>
      <c r="P352" s="131">
        <v>0.9</v>
      </c>
      <c r="Q352" s="305">
        <f>_xlfn.XLOOKUP($I352,Inputs!$G$6:$G$23,Inputs!J$6:J$23)*$K352</f>
        <v>141</v>
      </c>
      <c r="R352" s="305">
        <f>_xlfn.XLOOKUP($I352,Inputs!$G$6:$G$23,Inputs!K$6:K$23)*$K352</f>
        <v>156</v>
      </c>
      <c r="S352" s="151" t="s">
        <v>2452</v>
      </c>
      <c r="T352" s="51" t="s">
        <v>2103</v>
      </c>
      <c r="U352" s="151" t="s">
        <v>1680</v>
      </c>
      <c r="V352" s="51" t="s">
        <v>3652</v>
      </c>
      <c r="W352" s="19"/>
      <c r="X352" s="19"/>
      <c r="Y352" s="99">
        <v>276</v>
      </c>
      <c r="AA352" s="29"/>
      <c r="AC352" s="29"/>
      <c r="AD352" s="29"/>
      <c r="AE352" s="29"/>
    </row>
    <row r="353" spans="2:31" ht="20" x14ac:dyDescent="0.2">
      <c r="B353" s="150" t="s">
        <v>497</v>
      </c>
      <c r="C353" s="33" t="s">
        <v>106</v>
      </c>
      <c r="D353" s="33" t="s">
        <v>3716</v>
      </c>
      <c r="E353" s="175">
        <v>1</v>
      </c>
      <c r="F353" s="151" t="s">
        <v>1128</v>
      </c>
      <c r="G353" s="152">
        <v>115</v>
      </c>
      <c r="H353" s="152">
        <v>70.987654320987644</v>
      </c>
      <c r="I353" s="175">
        <v>138</v>
      </c>
      <c r="J353" s="266">
        <f>_xlfn.XLOOKUP($I353,Inputs!$C$6:$C$23,Inputs!$D$6:$D$23)*$G353</f>
        <v>49.860714285714288</v>
      </c>
      <c r="K353" s="255"/>
      <c r="L353" s="186">
        <v>770</v>
      </c>
      <c r="M353" s="186">
        <v>970</v>
      </c>
      <c r="N353" s="99">
        <f t="shared" si="75"/>
        <v>184.0477188122689</v>
      </c>
      <c r="O353" s="99">
        <f t="shared" si="76"/>
        <v>231.85232110116988</v>
      </c>
      <c r="P353" s="131">
        <v>0.9</v>
      </c>
      <c r="Q353" s="186">
        <f t="shared" ref="Q353:R355" si="81">N353*$P353</f>
        <v>165.64294693104202</v>
      </c>
      <c r="R353" s="186">
        <f t="shared" si="81"/>
        <v>208.66708899105291</v>
      </c>
      <c r="S353" s="151" t="s">
        <v>2451</v>
      </c>
      <c r="T353" s="51" t="s">
        <v>2104</v>
      </c>
      <c r="U353" s="151" t="s">
        <v>2452</v>
      </c>
      <c r="V353" s="51" t="s">
        <v>2103</v>
      </c>
      <c r="W353" s="19"/>
      <c r="X353" s="19"/>
      <c r="Y353" s="99">
        <v>275</v>
      </c>
      <c r="AA353" s="29"/>
      <c r="AC353" s="29"/>
      <c r="AD353" s="29"/>
      <c r="AE353" s="29"/>
    </row>
    <row r="354" spans="2:31" ht="20" x14ac:dyDescent="0.2">
      <c r="B354" s="150" t="s">
        <v>1448</v>
      </c>
      <c r="C354" s="33" t="s">
        <v>106</v>
      </c>
      <c r="D354" s="33" t="s">
        <v>2876</v>
      </c>
      <c r="E354" s="175">
        <v>1</v>
      </c>
      <c r="F354" s="151" t="s">
        <v>1128</v>
      </c>
      <c r="G354" s="152">
        <v>56.663144299999999</v>
      </c>
      <c r="H354" s="152">
        <v>34.977249567901232</v>
      </c>
      <c r="I354" s="175">
        <v>138</v>
      </c>
      <c r="J354" s="266">
        <f>_xlfn.XLOOKUP($I354,Inputs!$C$6:$C$23,Inputs!$D$6:$D$23)*$G354</f>
        <v>24.567520421500003</v>
      </c>
      <c r="K354" s="255"/>
      <c r="L354" s="186">
        <v>570</v>
      </c>
      <c r="M354" s="186">
        <v>725</v>
      </c>
      <c r="N354" s="99">
        <f t="shared" si="75"/>
        <v>136.24311652336789</v>
      </c>
      <c r="O354" s="99">
        <f t="shared" si="76"/>
        <v>173.29168329726616</v>
      </c>
      <c r="P354" s="131">
        <v>0.9</v>
      </c>
      <c r="Q354" s="186">
        <f t="shared" si="81"/>
        <v>122.6188048710311</v>
      </c>
      <c r="R354" s="186">
        <f t="shared" si="81"/>
        <v>155.96251496753956</v>
      </c>
      <c r="S354" s="151" t="s">
        <v>2455</v>
      </c>
      <c r="T354" s="51" t="s">
        <v>2335</v>
      </c>
      <c r="U354" s="151" t="s">
        <v>1683</v>
      </c>
      <c r="V354" s="179" t="s">
        <v>3427</v>
      </c>
      <c r="W354" s="19"/>
      <c r="X354" s="19"/>
      <c r="Y354" s="99">
        <v>285</v>
      </c>
      <c r="AA354" s="29"/>
      <c r="AC354" s="29"/>
      <c r="AD354" s="29"/>
      <c r="AE354" s="29"/>
    </row>
    <row r="355" spans="2:31" s="90" customFormat="1" ht="20" x14ac:dyDescent="0.2">
      <c r="B355" s="150" t="s">
        <v>500</v>
      </c>
      <c r="C355" s="33" t="s">
        <v>106</v>
      </c>
      <c r="D355" s="33" t="s">
        <v>2876</v>
      </c>
      <c r="E355" s="175">
        <v>1</v>
      </c>
      <c r="F355" s="151" t="s">
        <v>1128</v>
      </c>
      <c r="G355" s="152">
        <v>64.06</v>
      </c>
      <c r="H355" s="152">
        <v>39.543209876543209</v>
      </c>
      <c r="I355" s="175">
        <v>138</v>
      </c>
      <c r="J355" s="266">
        <f>_xlfn.XLOOKUP($I355,Inputs!$C$6:$C$23,Inputs!$D$6:$D$23)*$G355</f>
        <v>27.774585714285717</v>
      </c>
      <c r="K355" s="255"/>
      <c r="L355" s="186">
        <v>570</v>
      </c>
      <c r="M355" s="186">
        <v>682</v>
      </c>
      <c r="N355" s="99">
        <f t="shared" si="75"/>
        <v>136.24311652336789</v>
      </c>
      <c r="O355" s="99">
        <f t="shared" si="76"/>
        <v>163.01369380515243</v>
      </c>
      <c r="P355" s="131">
        <v>0.9</v>
      </c>
      <c r="Q355" s="186">
        <f t="shared" si="81"/>
        <v>122.6188048710311</v>
      </c>
      <c r="R355" s="186">
        <f t="shared" si="81"/>
        <v>146.71232442463719</v>
      </c>
      <c r="S355" s="151" t="s">
        <v>2454</v>
      </c>
      <c r="T355" s="51" t="s">
        <v>2107</v>
      </c>
      <c r="U355" s="151" t="s">
        <v>2455</v>
      </c>
      <c r="V355" s="179" t="s">
        <v>2335</v>
      </c>
      <c r="W355" s="19"/>
      <c r="X355" s="19"/>
      <c r="Y355" s="99">
        <v>284</v>
      </c>
    </row>
    <row r="356" spans="2:31" s="90" customFormat="1" ht="20" x14ac:dyDescent="0.2">
      <c r="B356" s="150" t="s">
        <v>1441</v>
      </c>
      <c r="C356" s="33" t="s">
        <v>106</v>
      </c>
      <c r="D356" s="33" t="s">
        <v>2876</v>
      </c>
      <c r="E356" s="175">
        <v>1</v>
      </c>
      <c r="F356" s="151" t="s">
        <v>1128</v>
      </c>
      <c r="G356" s="152">
        <v>2.7017378999999999</v>
      </c>
      <c r="H356" s="152">
        <v>1.6677394444444442</v>
      </c>
      <c r="I356" s="175">
        <v>138</v>
      </c>
      <c r="J356" s="266">
        <f>_xlfn.XLOOKUP($I356,Inputs!$C$6:$C$23,Inputs!$D$6:$D$23)*$G356</f>
        <v>1.1713963609285716</v>
      </c>
      <c r="K356" s="267">
        <f>IF((42.4*(H356)^(-0.6595))&gt;=3,3,(IF(42.4*(H356)^(-0.6595)&lt;=0.5,0.5,(42.4*(H356)^(-0.6595)))))</f>
        <v>3</v>
      </c>
      <c r="L356" s="99"/>
      <c r="M356" s="99"/>
      <c r="N356" s="99">
        <f t="shared" si="75"/>
        <v>0</v>
      </c>
      <c r="O356" s="99">
        <f t="shared" si="76"/>
        <v>0</v>
      </c>
      <c r="P356" s="131">
        <v>0.9</v>
      </c>
      <c r="Q356" s="305">
        <f>_xlfn.XLOOKUP($I356,Inputs!$G$6:$G$23,Inputs!J$6:J$23)*$K356</f>
        <v>141</v>
      </c>
      <c r="R356" s="305">
        <f>_xlfn.XLOOKUP($I356,Inputs!$G$6:$G$23,Inputs!K$6:K$23)*$K356</f>
        <v>156</v>
      </c>
      <c r="S356" s="151" t="s">
        <v>2432</v>
      </c>
      <c r="T356" s="51" t="s">
        <v>2085</v>
      </c>
      <c r="U356" s="151" t="s">
        <v>1684</v>
      </c>
      <c r="V356" s="51" t="s">
        <v>3428</v>
      </c>
      <c r="W356" s="19"/>
      <c r="X356" s="19"/>
      <c r="Y356" s="99">
        <v>206</v>
      </c>
    </row>
    <row r="357" spans="2:31" s="90" customFormat="1" ht="20" x14ac:dyDescent="0.2">
      <c r="B357" s="150" t="s">
        <v>476</v>
      </c>
      <c r="C357" s="33" t="s">
        <v>106</v>
      </c>
      <c r="D357" s="33" t="s">
        <v>2876</v>
      </c>
      <c r="E357" s="175">
        <v>1</v>
      </c>
      <c r="F357" s="151" t="s">
        <v>1128</v>
      </c>
      <c r="G357" s="152">
        <v>19</v>
      </c>
      <c r="H357" s="152">
        <v>11.728395061728394</v>
      </c>
      <c r="I357" s="175">
        <v>138</v>
      </c>
      <c r="J357" s="266">
        <f>_xlfn.XLOOKUP($I357,Inputs!$C$6:$C$23,Inputs!$D$6:$D$23)*$G357</f>
        <v>8.237857142857143</v>
      </c>
      <c r="K357" s="255"/>
      <c r="L357" s="186">
        <v>484</v>
      </c>
      <c r="M357" s="186">
        <v>622</v>
      </c>
      <c r="N357" s="99">
        <f t="shared" si="75"/>
        <v>115.68713753914044</v>
      </c>
      <c r="O357" s="99">
        <f t="shared" si="76"/>
        <v>148.67231311848212</v>
      </c>
      <c r="P357" s="131">
        <v>0.9</v>
      </c>
      <c r="Q357" s="186">
        <f>N357*$P357</f>
        <v>104.1184237852264</v>
      </c>
      <c r="R357" s="186">
        <f>O357*$P357</f>
        <v>133.80508180663392</v>
      </c>
      <c r="S357" s="151" t="s">
        <v>2431</v>
      </c>
      <c r="T357" s="51" t="s">
        <v>2082</v>
      </c>
      <c r="U357" s="151" t="s">
        <v>2432</v>
      </c>
      <c r="V357" s="51" t="s">
        <v>2085</v>
      </c>
      <c r="W357" s="19"/>
      <c r="X357" s="19"/>
      <c r="Y357" s="99">
        <v>205</v>
      </c>
    </row>
    <row r="358" spans="2:31" s="90" customFormat="1" ht="20" x14ac:dyDescent="0.2">
      <c r="B358" s="150" t="s">
        <v>1239</v>
      </c>
      <c r="C358" s="33" t="s">
        <v>106</v>
      </c>
      <c r="D358" s="33" t="s">
        <v>2876</v>
      </c>
      <c r="E358" s="175">
        <v>1</v>
      </c>
      <c r="F358" s="151" t="s">
        <v>1128</v>
      </c>
      <c r="G358" s="152">
        <v>4.7808100000000006E-2</v>
      </c>
      <c r="H358" s="152">
        <v>2.9511172839506175E-2</v>
      </c>
      <c r="I358" s="175">
        <v>69</v>
      </c>
      <c r="J358" s="266">
        <f>_xlfn.XLOOKUP($I358,Inputs!$C$6:$C$23,Inputs!$D$6:$D$23)*$G358</f>
        <v>1.8371969857142859E-2</v>
      </c>
      <c r="K358" s="267">
        <f>IF((42.4*(H358)^(-0.6595))&gt;=3,3,(IF(42.4*(H358)^(-0.6595)&lt;=0.5,0.5,(42.4*(H358)^(-0.6595)))))</f>
        <v>3</v>
      </c>
      <c r="L358" s="99"/>
      <c r="M358" s="99"/>
      <c r="N358" s="99">
        <f t="shared" si="75"/>
        <v>0</v>
      </c>
      <c r="O358" s="99">
        <f t="shared" si="76"/>
        <v>0</v>
      </c>
      <c r="P358" s="131">
        <v>0.9</v>
      </c>
      <c r="Q358" s="305">
        <f>_xlfn.XLOOKUP($I358,Inputs!$G$6:$G$23,Inputs!J$6:J$23)*$K358</f>
        <v>36</v>
      </c>
      <c r="R358" s="305">
        <f>_xlfn.XLOOKUP($I358,Inputs!$G$6:$G$23,Inputs!K$6:K$23)*$K358</f>
        <v>39</v>
      </c>
      <c r="S358" s="151" t="s">
        <v>2524</v>
      </c>
      <c r="T358" s="51" t="s">
        <v>2183</v>
      </c>
      <c r="U358" s="151" t="s">
        <v>213</v>
      </c>
      <c r="V358" s="51" t="s">
        <v>3429</v>
      </c>
      <c r="W358" s="19"/>
      <c r="X358" s="19"/>
      <c r="Y358" s="99">
        <v>737</v>
      </c>
    </row>
    <row r="359" spans="2:31" s="90" customFormat="1" ht="20" x14ac:dyDescent="0.2">
      <c r="B359" s="150" t="s">
        <v>1237</v>
      </c>
      <c r="C359" s="33" t="s">
        <v>106</v>
      </c>
      <c r="D359" s="33" t="s">
        <v>2876</v>
      </c>
      <c r="E359" s="175">
        <v>1</v>
      </c>
      <c r="F359" s="151" t="s">
        <v>1128</v>
      </c>
      <c r="G359" s="152">
        <v>4</v>
      </c>
      <c r="H359" s="152">
        <v>2.4691358024691357</v>
      </c>
      <c r="I359" s="175">
        <v>69</v>
      </c>
      <c r="J359" s="266">
        <f>_xlfn.XLOOKUP($I359,Inputs!$C$6:$C$23,Inputs!$D$6:$D$23)*$G359</f>
        <v>1.5371428571428571</v>
      </c>
      <c r="K359" s="255"/>
      <c r="L359" s="186">
        <v>845</v>
      </c>
      <c r="M359" s="186">
        <v>1020</v>
      </c>
      <c r="N359" s="99">
        <f t="shared" si="75"/>
        <v>100.98722233530337</v>
      </c>
      <c r="O359" s="99">
        <f t="shared" si="76"/>
        <v>121.90173583669757</v>
      </c>
      <c r="P359" s="131">
        <v>0.9</v>
      </c>
      <c r="Q359" s="186">
        <f>N359*$P359</f>
        <v>90.888500101773033</v>
      </c>
      <c r="R359" s="186">
        <f>O359*$P359</f>
        <v>109.71156225302781</v>
      </c>
      <c r="S359" s="151" t="s">
        <v>2523</v>
      </c>
      <c r="T359" s="51" t="s">
        <v>2182</v>
      </c>
      <c r="U359" s="151" t="s">
        <v>2524</v>
      </c>
      <c r="V359" s="51" t="s">
        <v>2183</v>
      </c>
      <c r="W359" s="19"/>
      <c r="X359" s="19"/>
      <c r="Y359" s="99">
        <v>736</v>
      </c>
    </row>
    <row r="360" spans="2:31" s="90" customFormat="1" ht="20" x14ac:dyDescent="0.2">
      <c r="B360" s="151" t="s">
        <v>1108</v>
      </c>
      <c r="C360" s="33" t="s">
        <v>106</v>
      </c>
      <c r="D360" s="33" t="s">
        <v>2876</v>
      </c>
      <c r="E360" s="175">
        <v>1</v>
      </c>
      <c r="F360" s="151" t="s">
        <v>1128</v>
      </c>
      <c r="G360" s="174">
        <v>2</v>
      </c>
      <c r="H360" s="152">
        <v>1.2345679012345678</v>
      </c>
      <c r="I360" s="175">
        <v>138</v>
      </c>
      <c r="J360" s="266">
        <f>_xlfn.XLOOKUP($I360,Inputs!$C$6:$C$23,Inputs!$D$6:$D$23)*$G360</f>
        <v>0.86714285714285722</v>
      </c>
      <c r="K360" s="267">
        <f>IF((42.4*(H360)^(-0.6595))&gt;=3,3,(IF(42.4*(H360)^(-0.6595)&lt;=0.5,0.5,(42.4*(H360)^(-0.6595)))))</f>
        <v>3</v>
      </c>
      <c r="L360" s="99"/>
      <c r="M360" s="99"/>
      <c r="N360" s="99">
        <f t="shared" si="75"/>
        <v>0</v>
      </c>
      <c r="O360" s="99">
        <f t="shared" si="76"/>
        <v>0</v>
      </c>
      <c r="P360" s="131">
        <v>0.9</v>
      </c>
      <c r="Q360" s="305">
        <f>_xlfn.XLOOKUP($I360,Inputs!$G$6:$G$23,Inputs!J$6:J$23)*$K360</f>
        <v>141</v>
      </c>
      <c r="R360" s="305">
        <f>_xlfn.XLOOKUP($I360,Inputs!$G$6:$G$23,Inputs!K$6:K$23)*$K360</f>
        <v>156</v>
      </c>
      <c r="S360" s="151" t="s">
        <v>2313</v>
      </c>
      <c r="T360" s="51" t="s">
        <v>3589</v>
      </c>
      <c r="U360" s="151" t="s">
        <v>2308</v>
      </c>
      <c r="V360" s="51" t="s">
        <v>3124</v>
      </c>
      <c r="W360" s="19"/>
      <c r="X360" s="19"/>
      <c r="Y360" s="99">
        <v>6</v>
      </c>
    </row>
    <row r="361" spans="2:31" s="90" customFormat="1" ht="20" x14ac:dyDescent="0.2">
      <c r="B361" s="150" t="s">
        <v>1526</v>
      </c>
      <c r="C361" s="33" t="s">
        <v>106</v>
      </c>
      <c r="D361" s="33" t="s">
        <v>2876</v>
      </c>
      <c r="E361" s="175">
        <v>1</v>
      </c>
      <c r="F361" s="151" t="s">
        <v>1128</v>
      </c>
      <c r="G361" s="152">
        <v>4.7808100000000006E-2</v>
      </c>
      <c r="H361" s="152">
        <v>2.9511172839506175E-2</v>
      </c>
      <c r="I361" s="175">
        <v>69</v>
      </c>
      <c r="J361" s="266">
        <f>_xlfn.XLOOKUP($I361,Inputs!$C$6:$C$23,Inputs!$D$6:$D$23)*$G361</f>
        <v>1.8371969857142859E-2</v>
      </c>
      <c r="K361" s="255"/>
      <c r="L361" s="186">
        <v>267</v>
      </c>
      <c r="M361" s="3">
        <v>450</v>
      </c>
      <c r="N361" s="99">
        <f t="shared" si="75"/>
        <v>31.909572027841424</v>
      </c>
      <c r="O361" s="99">
        <f t="shared" si="76"/>
        <v>53.780177575013639</v>
      </c>
      <c r="P361" s="131">
        <v>0.9</v>
      </c>
      <c r="Q361" s="186">
        <f>N361*$P361</f>
        <v>28.718614825057283</v>
      </c>
      <c r="R361" s="186">
        <f>O361*$P361</f>
        <v>48.402159817512278</v>
      </c>
      <c r="S361" s="151" t="s">
        <v>2525</v>
      </c>
      <c r="T361" s="51" t="s">
        <v>2184</v>
      </c>
      <c r="U361" s="151" t="s">
        <v>1685</v>
      </c>
      <c r="V361" s="51" t="s">
        <v>3125</v>
      </c>
      <c r="W361" s="19"/>
      <c r="X361" s="19"/>
      <c r="Y361" s="99">
        <v>739</v>
      </c>
    </row>
    <row r="362" spans="2:31" s="90" customFormat="1" ht="20" x14ac:dyDescent="0.2">
      <c r="B362" s="150" t="s">
        <v>1237</v>
      </c>
      <c r="C362" s="33" t="s">
        <v>106</v>
      </c>
      <c r="D362" s="33" t="s">
        <v>2876</v>
      </c>
      <c r="E362" s="175">
        <v>1</v>
      </c>
      <c r="F362" s="151" t="s">
        <v>1128</v>
      </c>
      <c r="G362" s="152">
        <v>1</v>
      </c>
      <c r="H362" s="152">
        <v>0.61728395061728392</v>
      </c>
      <c r="I362" s="175">
        <v>69</v>
      </c>
      <c r="J362" s="266">
        <f>_xlfn.XLOOKUP($I362,Inputs!$C$6:$C$23,Inputs!$D$6:$D$23)*$G362</f>
        <v>0.38428571428571429</v>
      </c>
      <c r="K362" s="255"/>
      <c r="L362" s="186">
        <v>500</v>
      </c>
      <c r="M362" s="186">
        <v>600</v>
      </c>
      <c r="N362" s="99">
        <f t="shared" si="75"/>
        <v>59.755752861126261</v>
      </c>
      <c r="O362" s="99">
        <f t="shared" si="76"/>
        <v>71.706903433351513</v>
      </c>
      <c r="P362" s="131">
        <v>0.9</v>
      </c>
      <c r="Q362" s="186">
        <f>N362*$P362</f>
        <v>53.780177575013639</v>
      </c>
      <c r="R362" s="186">
        <f>O362*$P362</f>
        <v>64.536213090016361</v>
      </c>
      <c r="S362" s="151" t="s">
        <v>2524</v>
      </c>
      <c r="T362" s="51" t="s">
        <v>2183</v>
      </c>
      <c r="U362" s="151" t="s">
        <v>2525</v>
      </c>
      <c r="V362" s="51" t="s">
        <v>2184</v>
      </c>
      <c r="W362" s="19"/>
      <c r="X362" s="19"/>
      <c r="Y362" s="99">
        <v>738</v>
      </c>
    </row>
    <row r="363" spans="2:31" s="90" customFormat="1" ht="20" x14ac:dyDescent="0.2">
      <c r="B363" s="150" t="s">
        <v>1479</v>
      </c>
      <c r="C363" s="33" t="s">
        <v>106</v>
      </c>
      <c r="D363" s="33" t="s">
        <v>2876</v>
      </c>
      <c r="E363" s="175">
        <v>1</v>
      </c>
      <c r="F363" s="151" t="s">
        <v>1128</v>
      </c>
      <c r="G363" s="152">
        <v>1.5799799999999999E-2</v>
      </c>
      <c r="H363" s="152">
        <v>9.7529629629629615E-3</v>
      </c>
      <c r="I363" s="175">
        <v>138</v>
      </c>
      <c r="J363" s="266">
        <f>_xlfn.XLOOKUP($I363,Inputs!$C$6:$C$23,Inputs!$D$6:$D$23)*$G363</f>
        <v>6.8503418571428578E-3</v>
      </c>
      <c r="K363" s="267">
        <f>IF((42.4*(H363)^(-0.6595))&gt;=3,3,(IF(42.4*(H363)^(-0.6595)&lt;=0.5,0.5,(42.4*(H363)^(-0.6595)))))</f>
        <v>3</v>
      </c>
      <c r="L363" s="99"/>
      <c r="M363" s="99"/>
      <c r="N363" s="99">
        <f t="shared" si="75"/>
        <v>0</v>
      </c>
      <c r="O363" s="99">
        <f t="shared" si="76"/>
        <v>0</v>
      </c>
      <c r="P363" s="131">
        <v>0.9</v>
      </c>
      <c r="Q363" s="305">
        <f>_xlfn.XLOOKUP($I363,Inputs!$G$6:$G$23,Inputs!J$6:J$23)*$K363</f>
        <v>141</v>
      </c>
      <c r="R363" s="305">
        <f>_xlfn.XLOOKUP($I363,Inputs!$G$6:$G$23,Inputs!K$6:K$23)*$K363</f>
        <v>156</v>
      </c>
      <c r="S363" s="151" t="s">
        <v>2446</v>
      </c>
      <c r="T363" s="51" t="s">
        <v>2096</v>
      </c>
      <c r="U363" s="151" t="s">
        <v>1686</v>
      </c>
      <c r="V363" s="51" t="s">
        <v>3646</v>
      </c>
      <c r="W363" s="19"/>
      <c r="X363" s="19"/>
      <c r="Y363" s="99">
        <v>255</v>
      </c>
    </row>
    <row r="364" spans="2:31" s="90" customFormat="1" ht="20" x14ac:dyDescent="0.2">
      <c r="B364" s="150" t="s">
        <v>489</v>
      </c>
      <c r="C364" s="33" t="s">
        <v>106</v>
      </c>
      <c r="D364" s="33" t="s">
        <v>2876</v>
      </c>
      <c r="E364" s="175">
        <v>1</v>
      </c>
      <c r="F364" s="151" t="s">
        <v>1128</v>
      </c>
      <c r="G364" s="152">
        <v>20</v>
      </c>
      <c r="H364" s="152">
        <v>12.345679012345679</v>
      </c>
      <c r="I364" s="175">
        <v>138</v>
      </c>
      <c r="J364" s="266">
        <f>_xlfn.XLOOKUP($I364,Inputs!$C$6:$C$23,Inputs!$D$6:$D$23)*$G364</f>
        <v>8.6714285714285726</v>
      </c>
      <c r="K364" s="255"/>
      <c r="L364" s="186">
        <v>265</v>
      </c>
      <c r="M364" s="186">
        <v>442</v>
      </c>
      <c r="N364" s="99">
        <f t="shared" si="75"/>
        <v>63.341098032793838</v>
      </c>
      <c r="O364" s="99">
        <f t="shared" si="76"/>
        <v>105.64817105847125</v>
      </c>
      <c r="P364" s="131">
        <v>0.9</v>
      </c>
      <c r="Q364" s="186">
        <f>N364*$P364</f>
        <v>57.006988229514455</v>
      </c>
      <c r="R364" s="186">
        <f>O364*$P364</f>
        <v>95.083353952624122</v>
      </c>
      <c r="S364" s="151" t="s">
        <v>2445</v>
      </c>
      <c r="T364" s="51" t="s">
        <v>2097</v>
      </c>
      <c r="U364" s="151" t="s">
        <v>2446</v>
      </c>
      <c r="V364" s="179" t="s">
        <v>2096</v>
      </c>
      <c r="W364" s="19"/>
      <c r="X364" s="19"/>
      <c r="Y364" s="99">
        <v>254</v>
      </c>
    </row>
    <row r="365" spans="2:31" s="90" customFormat="1" ht="20" x14ac:dyDescent="0.2">
      <c r="B365" s="230" t="s">
        <v>2711</v>
      </c>
      <c r="C365" s="51" t="s">
        <v>173</v>
      </c>
      <c r="D365" s="33" t="s">
        <v>2876</v>
      </c>
      <c r="E365" s="231">
        <v>1</v>
      </c>
      <c r="F365" s="230" t="s">
        <v>1128</v>
      </c>
      <c r="G365" s="232">
        <v>7.5</v>
      </c>
      <c r="H365" s="232">
        <v>4.6296296296296298</v>
      </c>
      <c r="I365" s="231">
        <v>63</v>
      </c>
      <c r="J365" s="266">
        <f>_xlfn.XLOOKUP($I365,Inputs!$C$6:$C$23,Inputs!$D$6:$D$23)*$G365</f>
        <v>2.85</v>
      </c>
      <c r="K365" s="267">
        <f>IF((42.4*(H365)^(-0.6595))&gt;=3,3,(IF(42.4*(H365)^(-0.6595)&lt;=0.5,0.5,(42.4*(H365)^(-0.6595)))))</f>
        <v>3</v>
      </c>
      <c r="L365" s="99"/>
      <c r="M365" s="99"/>
      <c r="N365" s="99"/>
      <c r="O365" s="99"/>
      <c r="P365" s="69"/>
      <c r="Q365" s="305">
        <f>_xlfn.XLOOKUP($I365,Inputs!$G$6:$G$23,Inputs!J$6:J$23)*$K365</f>
        <v>29.767499999999998</v>
      </c>
      <c r="R365" s="305">
        <f>_xlfn.XLOOKUP($I365,Inputs!$G$6:$G$23,Inputs!K$6:K$23)*$K365</f>
        <v>32.532786885245905</v>
      </c>
      <c r="S365" s="230" t="s">
        <v>2709</v>
      </c>
      <c r="T365" s="51" t="s">
        <v>3218</v>
      </c>
      <c r="U365" s="230" t="s">
        <v>2712</v>
      </c>
      <c r="V365" s="51" t="s">
        <v>3251</v>
      </c>
      <c r="W365" s="19"/>
      <c r="X365" s="19"/>
      <c r="Y365" s="99">
        <v>1058</v>
      </c>
    </row>
    <row r="366" spans="2:31" s="90" customFormat="1" ht="20" x14ac:dyDescent="0.2">
      <c r="B366" s="150" t="s">
        <v>1371</v>
      </c>
      <c r="C366" s="33" t="s">
        <v>106</v>
      </c>
      <c r="D366" s="33" t="s">
        <v>2876</v>
      </c>
      <c r="E366" s="175">
        <v>1</v>
      </c>
      <c r="F366" s="151" t="s">
        <v>1128</v>
      </c>
      <c r="G366" s="152">
        <v>9.7971299999999997E-2</v>
      </c>
      <c r="H366" s="152">
        <v>6.0476111111111105E-2</v>
      </c>
      <c r="I366" s="175">
        <v>69</v>
      </c>
      <c r="J366" s="266">
        <f>_xlfn.XLOOKUP($I366,Inputs!$C$6:$C$23,Inputs!$D$6:$D$23)*$G366</f>
        <v>3.7648970999999996E-2</v>
      </c>
      <c r="K366" s="267">
        <f>IF((42.4*(H366)^(-0.6595))&gt;=3,3,(IF(42.4*(H366)^(-0.6595)&lt;=0.5,0.5,(42.4*(H366)^(-0.6595)))))</f>
        <v>3</v>
      </c>
      <c r="L366" s="99"/>
      <c r="M366" s="99"/>
      <c r="N366" s="99">
        <f t="shared" ref="N366:N382" si="82">(SQRT(3)*L366*$I366)/1000</f>
        <v>0</v>
      </c>
      <c r="O366" s="99">
        <f t="shared" ref="O366:O382" si="83">(SQRT(3)*M366*$I366)/1000</f>
        <v>0</v>
      </c>
      <c r="P366" s="131">
        <v>0.9</v>
      </c>
      <c r="Q366" s="305">
        <f>_xlfn.XLOOKUP($I366,Inputs!$G$6:$G$23,Inputs!J$6:J$23)*$K366</f>
        <v>36</v>
      </c>
      <c r="R366" s="305">
        <f>_xlfn.XLOOKUP($I366,Inputs!$G$6:$G$23,Inputs!K$6:K$23)*$K366</f>
        <v>39</v>
      </c>
      <c r="S366" s="151" t="s">
        <v>2596</v>
      </c>
      <c r="T366" s="51" t="s">
        <v>2255</v>
      </c>
      <c r="U366" s="151" t="s">
        <v>209</v>
      </c>
      <c r="V366" s="51" t="s">
        <v>3190</v>
      </c>
      <c r="W366" s="19"/>
      <c r="X366" s="19"/>
      <c r="Y366" s="99">
        <v>969</v>
      </c>
    </row>
    <row r="367" spans="2:31" s="90" customFormat="1" ht="20" x14ac:dyDescent="0.2">
      <c r="B367" s="150" t="s">
        <v>1370</v>
      </c>
      <c r="C367" s="33" t="s">
        <v>106</v>
      </c>
      <c r="D367" s="33" t="s">
        <v>2876</v>
      </c>
      <c r="E367" s="175">
        <v>1</v>
      </c>
      <c r="F367" s="151" t="s">
        <v>1128</v>
      </c>
      <c r="G367" s="152">
        <v>9</v>
      </c>
      <c r="H367" s="152">
        <v>5.5555555555555554</v>
      </c>
      <c r="I367" s="175">
        <v>69</v>
      </c>
      <c r="J367" s="266">
        <f>_xlfn.XLOOKUP($I367,Inputs!$C$6:$C$23,Inputs!$D$6:$D$23)*$G367</f>
        <v>3.4585714285714286</v>
      </c>
      <c r="K367" s="255"/>
      <c r="L367" s="186">
        <v>280</v>
      </c>
      <c r="M367" s="186">
        <v>450</v>
      </c>
      <c r="N367" s="99">
        <f t="shared" si="82"/>
        <v>33.463221602230711</v>
      </c>
      <c r="O367" s="99">
        <f t="shared" si="83"/>
        <v>53.780177575013639</v>
      </c>
      <c r="P367" s="131">
        <v>0.9</v>
      </c>
      <c r="Q367" s="186">
        <f>N367*$P367</f>
        <v>30.116899442007639</v>
      </c>
      <c r="R367" s="186">
        <f>O367*$P367</f>
        <v>48.402159817512278</v>
      </c>
      <c r="S367" s="151" t="s">
        <v>1695</v>
      </c>
      <c r="T367" s="51" t="s">
        <v>3256</v>
      </c>
      <c r="U367" s="151" t="s">
        <v>2596</v>
      </c>
      <c r="V367" s="51" t="s">
        <v>2255</v>
      </c>
      <c r="W367" s="19"/>
      <c r="X367" s="19"/>
      <c r="Y367" s="99">
        <v>968</v>
      </c>
    </row>
    <row r="368" spans="2:31" s="90" customFormat="1" ht="20" x14ac:dyDescent="0.2">
      <c r="B368" s="150" t="s">
        <v>1372</v>
      </c>
      <c r="C368" s="33" t="s">
        <v>106</v>
      </c>
      <c r="D368" s="33" t="s">
        <v>2876</v>
      </c>
      <c r="E368" s="175">
        <v>1</v>
      </c>
      <c r="F368" s="151" t="s">
        <v>1128</v>
      </c>
      <c r="G368" s="152">
        <v>0.12564120000000001</v>
      </c>
      <c r="H368" s="152">
        <v>7.755629629629629E-2</v>
      </c>
      <c r="I368" s="175">
        <v>69</v>
      </c>
      <c r="J368" s="266">
        <f>_xlfn.XLOOKUP($I368,Inputs!$C$6:$C$23,Inputs!$D$6:$D$23)*$G368</f>
        <v>4.8282118285714291E-2</v>
      </c>
      <c r="K368" s="267">
        <f>IF((42.4*(H368)^(-0.6595))&gt;=3,3,(IF(42.4*(H368)^(-0.6595)&lt;=0.5,0.5,(42.4*(H368)^(-0.6595)))))</f>
        <v>3</v>
      </c>
      <c r="L368" s="99"/>
      <c r="M368" s="99"/>
      <c r="N368" s="99">
        <f t="shared" si="82"/>
        <v>0</v>
      </c>
      <c r="O368" s="99">
        <f t="shared" si="83"/>
        <v>0</v>
      </c>
      <c r="P368" s="131">
        <v>0.9</v>
      </c>
      <c r="Q368" s="305">
        <f>_xlfn.XLOOKUP($I368,Inputs!$G$6:$G$23,Inputs!J$6:J$23)*$K368</f>
        <v>36</v>
      </c>
      <c r="R368" s="305">
        <f>_xlfn.XLOOKUP($I368,Inputs!$G$6:$G$23,Inputs!K$6:K$23)*$K368</f>
        <v>39</v>
      </c>
      <c r="S368" s="151" t="s">
        <v>2597</v>
      </c>
      <c r="T368" s="51" t="s">
        <v>2256</v>
      </c>
      <c r="U368" s="151" t="s">
        <v>1687</v>
      </c>
      <c r="V368" s="51" t="s">
        <v>3647</v>
      </c>
      <c r="W368" s="19"/>
      <c r="X368" s="19"/>
      <c r="Y368" s="99">
        <v>971</v>
      </c>
    </row>
    <row r="369" spans="2:31" s="90" customFormat="1" ht="20" x14ac:dyDescent="0.2">
      <c r="B369" s="150" t="s">
        <v>1370</v>
      </c>
      <c r="C369" s="33" t="s">
        <v>106</v>
      </c>
      <c r="D369" s="33" t="s">
        <v>2876</v>
      </c>
      <c r="E369" s="175">
        <v>1</v>
      </c>
      <c r="F369" s="151" t="s">
        <v>1128</v>
      </c>
      <c r="G369" s="152">
        <v>7</v>
      </c>
      <c r="H369" s="152">
        <v>4.3209876543209873</v>
      </c>
      <c r="I369" s="175">
        <v>69</v>
      </c>
      <c r="J369" s="266">
        <f>_xlfn.XLOOKUP($I369,Inputs!$C$6:$C$23,Inputs!$D$6:$D$23)*$G369</f>
        <v>2.69</v>
      </c>
      <c r="K369" s="255"/>
      <c r="L369" s="186">
        <v>280</v>
      </c>
      <c r="M369" s="186">
        <v>450</v>
      </c>
      <c r="N369" s="99">
        <f t="shared" si="82"/>
        <v>33.463221602230711</v>
      </c>
      <c r="O369" s="99">
        <f t="shared" si="83"/>
        <v>53.780177575013639</v>
      </c>
      <c r="P369" s="131">
        <v>0.9</v>
      </c>
      <c r="Q369" s="186">
        <f t="shared" ref="Q369:R371" si="84">N369*$P369</f>
        <v>30.116899442007639</v>
      </c>
      <c r="R369" s="186">
        <f t="shared" si="84"/>
        <v>48.402159817512278</v>
      </c>
      <c r="S369" s="151" t="s">
        <v>2596</v>
      </c>
      <c r="T369" s="51" t="s">
        <v>2255</v>
      </c>
      <c r="U369" s="151" t="s">
        <v>2597</v>
      </c>
      <c r="V369" s="51" t="s">
        <v>2256</v>
      </c>
      <c r="W369" s="19"/>
      <c r="X369" s="19"/>
      <c r="Y369" s="99">
        <v>970</v>
      </c>
    </row>
    <row r="370" spans="2:31" s="90" customFormat="1" ht="20" x14ac:dyDescent="0.2">
      <c r="B370" s="150" t="s">
        <v>1311</v>
      </c>
      <c r="C370" s="33" t="s">
        <v>106</v>
      </c>
      <c r="D370" s="33" t="s">
        <v>2876</v>
      </c>
      <c r="E370" s="175">
        <v>1</v>
      </c>
      <c r="F370" s="151" t="s">
        <v>1128</v>
      </c>
      <c r="G370" s="152">
        <v>7.75116E-2</v>
      </c>
      <c r="H370" s="152">
        <v>4.7846666666666662E-2</v>
      </c>
      <c r="I370" s="175">
        <v>69</v>
      </c>
      <c r="J370" s="266">
        <f>_xlfn.XLOOKUP($I370,Inputs!$C$6:$C$23,Inputs!$D$6:$D$23)*$G370</f>
        <v>2.9786600571428571E-2</v>
      </c>
      <c r="K370" s="255"/>
      <c r="L370" s="186">
        <v>265</v>
      </c>
      <c r="M370" s="186">
        <v>488</v>
      </c>
      <c r="N370" s="99">
        <f t="shared" si="82"/>
        <v>31.670549016396919</v>
      </c>
      <c r="O370" s="99">
        <f t="shared" si="83"/>
        <v>58.321614792459229</v>
      </c>
      <c r="P370" s="131">
        <v>0.9</v>
      </c>
      <c r="Q370" s="186">
        <f t="shared" si="84"/>
        <v>28.503494114757228</v>
      </c>
      <c r="R370" s="186">
        <f t="shared" si="84"/>
        <v>52.489453313213311</v>
      </c>
      <c r="S370" s="151" t="s">
        <v>2559</v>
      </c>
      <c r="T370" s="51" t="s">
        <v>2216</v>
      </c>
      <c r="U370" s="151" t="s">
        <v>1688</v>
      </c>
      <c r="V370" s="51" t="s">
        <v>3430</v>
      </c>
      <c r="W370" s="19"/>
      <c r="X370" s="19"/>
      <c r="Y370" s="99">
        <v>863</v>
      </c>
    </row>
    <row r="371" spans="2:31" s="90" customFormat="1" ht="20" x14ac:dyDescent="0.2">
      <c r="B371" s="150" t="s">
        <v>1310</v>
      </c>
      <c r="C371" s="33" t="s">
        <v>106</v>
      </c>
      <c r="D371" s="33" t="s">
        <v>2876</v>
      </c>
      <c r="E371" s="175">
        <v>1</v>
      </c>
      <c r="F371" s="151" t="s">
        <v>1128</v>
      </c>
      <c r="G371" s="152">
        <v>15</v>
      </c>
      <c r="H371" s="152">
        <v>9.2592592592592595</v>
      </c>
      <c r="I371" s="175">
        <v>69</v>
      </c>
      <c r="J371" s="266">
        <f>_xlfn.XLOOKUP($I371,Inputs!$C$6:$C$23,Inputs!$D$6:$D$23)*$G371</f>
        <v>5.7642857142857142</v>
      </c>
      <c r="K371" s="255"/>
      <c r="L371" s="186">
        <v>435</v>
      </c>
      <c r="M371" s="186">
        <v>822</v>
      </c>
      <c r="N371" s="99">
        <f t="shared" si="82"/>
        <v>51.987504989179847</v>
      </c>
      <c r="O371" s="99">
        <f t="shared" si="83"/>
        <v>98.238457703691566</v>
      </c>
      <c r="P371" s="131">
        <v>0.9</v>
      </c>
      <c r="Q371" s="186">
        <f t="shared" si="84"/>
        <v>46.788754490261866</v>
      </c>
      <c r="R371" s="186">
        <f t="shared" si="84"/>
        <v>88.414611933322405</v>
      </c>
      <c r="S371" s="151" t="s">
        <v>107</v>
      </c>
      <c r="T371" s="51" t="s">
        <v>3232</v>
      </c>
      <c r="U371" s="151" t="s">
        <v>2559</v>
      </c>
      <c r="V371" s="51" t="s">
        <v>2216</v>
      </c>
      <c r="W371" s="19"/>
      <c r="X371" s="19"/>
      <c r="Y371" s="99">
        <v>862</v>
      </c>
    </row>
    <row r="372" spans="2:31" ht="20" x14ac:dyDescent="0.2">
      <c r="B372" s="150" t="s">
        <v>1408</v>
      </c>
      <c r="C372" s="33" t="s">
        <v>106</v>
      </c>
      <c r="D372" s="33" t="s">
        <v>2876</v>
      </c>
      <c r="E372" s="175">
        <v>1</v>
      </c>
      <c r="F372" s="151" t="s">
        <v>1128</v>
      </c>
      <c r="G372" s="152">
        <v>3.2466500000000002E-2</v>
      </c>
      <c r="H372" s="152">
        <v>2.0041049382716048E-2</v>
      </c>
      <c r="I372" s="175">
        <v>138</v>
      </c>
      <c r="J372" s="266">
        <f>_xlfn.XLOOKUP($I372,Inputs!$C$6:$C$23,Inputs!$D$6:$D$23)*$G372</f>
        <v>1.4076546785714288E-2</v>
      </c>
      <c r="K372" s="267">
        <f>IF((42.4*(H372)^(-0.6595))&gt;=3,3,(IF(42.4*(H372)^(-0.6595)&lt;=0.5,0.5,(42.4*(H372)^(-0.6595)))))</f>
        <v>3</v>
      </c>
      <c r="L372" s="99"/>
      <c r="M372" s="99"/>
      <c r="N372" s="99">
        <f t="shared" si="82"/>
        <v>0</v>
      </c>
      <c r="O372" s="99">
        <f t="shared" si="83"/>
        <v>0</v>
      </c>
      <c r="P372" s="131">
        <v>0.9</v>
      </c>
      <c r="Q372" s="305">
        <f>_xlfn.XLOOKUP($I372,Inputs!$G$6:$G$23,Inputs!J$6:J$23)*$K372</f>
        <v>141</v>
      </c>
      <c r="R372" s="305">
        <f>_xlfn.XLOOKUP($I372,Inputs!$G$6:$G$23,Inputs!K$6:K$23)*$K372</f>
        <v>156</v>
      </c>
      <c r="S372" s="151" t="s">
        <v>2393</v>
      </c>
      <c r="T372" s="51" t="s">
        <v>2041</v>
      </c>
      <c r="U372" s="151" t="s">
        <v>1689</v>
      </c>
      <c r="V372" s="51" t="s">
        <v>3431</v>
      </c>
      <c r="W372" s="19"/>
      <c r="X372" s="19"/>
      <c r="Y372" s="99">
        <v>39</v>
      </c>
      <c r="AA372" s="29"/>
      <c r="AC372" s="29"/>
      <c r="AD372" s="29"/>
      <c r="AE372" s="29"/>
    </row>
    <row r="373" spans="2:31" ht="20" x14ac:dyDescent="0.2">
      <c r="B373" s="150" t="s">
        <v>425</v>
      </c>
      <c r="C373" s="33" t="s">
        <v>106</v>
      </c>
      <c r="D373" s="33" t="s">
        <v>2876</v>
      </c>
      <c r="E373" s="175">
        <v>1</v>
      </c>
      <c r="F373" s="151" t="s">
        <v>1128</v>
      </c>
      <c r="G373" s="152">
        <v>4</v>
      </c>
      <c r="H373" s="152">
        <v>2.4691358024691357</v>
      </c>
      <c r="I373" s="175">
        <v>138</v>
      </c>
      <c r="J373" s="266">
        <f>_xlfn.XLOOKUP($I373,Inputs!$C$6:$C$23,Inputs!$D$6:$D$23)*$G373</f>
        <v>1.7342857142857144</v>
      </c>
      <c r="K373" s="255"/>
      <c r="L373" s="186">
        <v>504</v>
      </c>
      <c r="M373" s="186">
        <v>601</v>
      </c>
      <c r="N373" s="99">
        <f t="shared" si="82"/>
        <v>120.46759776803054</v>
      </c>
      <c r="O373" s="99">
        <f t="shared" si="83"/>
        <v>143.65282987814754</v>
      </c>
      <c r="P373" s="131">
        <v>0.9</v>
      </c>
      <c r="Q373" s="186">
        <f>N373*$P373</f>
        <v>108.42083799122749</v>
      </c>
      <c r="R373" s="186">
        <f>O373*$P373</f>
        <v>129.28754689033281</v>
      </c>
      <c r="S373" s="151" t="s">
        <v>2392</v>
      </c>
      <c r="T373" s="51" t="s">
        <v>2042</v>
      </c>
      <c r="U373" s="151" t="s">
        <v>2393</v>
      </c>
      <c r="V373" s="51" t="s">
        <v>2041</v>
      </c>
      <c r="W373" s="19"/>
      <c r="X373" s="19"/>
      <c r="Y373" s="99">
        <v>38</v>
      </c>
      <c r="AA373" s="29"/>
      <c r="AC373" s="29"/>
      <c r="AD373" s="29"/>
      <c r="AE373" s="29"/>
    </row>
    <row r="374" spans="2:31" ht="20" x14ac:dyDescent="0.2">
      <c r="B374" s="151" t="s">
        <v>1536</v>
      </c>
      <c r="C374" s="33" t="s">
        <v>106</v>
      </c>
      <c r="D374" s="33" t="s">
        <v>2876</v>
      </c>
      <c r="E374" s="175">
        <v>1</v>
      </c>
      <c r="F374" s="151" t="s">
        <v>1128</v>
      </c>
      <c r="G374" s="174">
        <v>1</v>
      </c>
      <c r="H374" s="152">
        <v>0.61728395061728392</v>
      </c>
      <c r="I374" s="175">
        <v>69</v>
      </c>
      <c r="J374" s="266">
        <f>_xlfn.XLOOKUP($I374,Inputs!$C$6:$C$23,Inputs!$D$6:$D$23)*$G374</f>
        <v>0.38428571428571429</v>
      </c>
      <c r="K374" s="267">
        <f>IF((42.4*(H374)^(-0.6595))&gt;=3,3,(IF(42.4*(H374)^(-0.6595)&lt;=0.5,0.5,(42.4*(H374)^(-0.6595)))))</f>
        <v>3</v>
      </c>
      <c r="L374" s="99"/>
      <c r="M374" s="99"/>
      <c r="N374" s="99">
        <f t="shared" si="82"/>
        <v>0</v>
      </c>
      <c r="O374" s="99">
        <f t="shared" si="83"/>
        <v>0</v>
      </c>
      <c r="P374" s="131">
        <v>0.9</v>
      </c>
      <c r="Q374" s="305">
        <f>_xlfn.XLOOKUP($I374,Inputs!$G$6:$G$23,Inputs!J$6:J$23)*$K374</f>
        <v>36</v>
      </c>
      <c r="R374" s="305">
        <f>_xlfn.XLOOKUP($I374,Inputs!$G$6:$G$23,Inputs!K$6:K$23)*$K374</f>
        <v>39</v>
      </c>
      <c r="S374" s="151" t="s">
        <v>2582</v>
      </c>
      <c r="T374" s="51" t="s">
        <v>2241</v>
      </c>
      <c r="U374" s="151" t="s">
        <v>1690</v>
      </c>
      <c r="V374" s="51" t="s">
        <v>3433</v>
      </c>
      <c r="W374" s="19"/>
      <c r="X374" s="19"/>
      <c r="Y374" s="99">
        <v>928</v>
      </c>
      <c r="AA374" s="29"/>
      <c r="AC374" s="29"/>
      <c r="AD374" s="29"/>
      <c r="AE374" s="29"/>
    </row>
    <row r="375" spans="2:31" ht="20" x14ac:dyDescent="0.2">
      <c r="B375" s="150" t="s">
        <v>1345</v>
      </c>
      <c r="C375" s="33" t="s">
        <v>106</v>
      </c>
      <c r="D375" s="33" t="s">
        <v>2876</v>
      </c>
      <c r="E375" s="175">
        <v>1</v>
      </c>
      <c r="F375" s="151" t="s">
        <v>1128</v>
      </c>
      <c r="G375" s="152">
        <v>30</v>
      </c>
      <c r="H375" s="152">
        <v>18.518518518518519</v>
      </c>
      <c r="I375" s="175">
        <v>69</v>
      </c>
      <c r="J375" s="266">
        <f>_xlfn.XLOOKUP($I375,Inputs!$C$6:$C$23,Inputs!$D$6:$D$23)*$G375</f>
        <v>11.528571428571428</v>
      </c>
      <c r="K375" s="255"/>
      <c r="L375" s="186">
        <v>828</v>
      </c>
      <c r="M375" s="186">
        <v>1060</v>
      </c>
      <c r="N375" s="99">
        <f t="shared" si="82"/>
        <v>98.955526738025085</v>
      </c>
      <c r="O375" s="99">
        <f t="shared" si="83"/>
        <v>126.68219606558768</v>
      </c>
      <c r="P375" s="131">
        <v>0.9</v>
      </c>
      <c r="Q375" s="186">
        <f t="shared" ref="Q375:R382" si="85">N375*$P375</f>
        <v>89.059974064222573</v>
      </c>
      <c r="R375" s="186">
        <f t="shared" si="85"/>
        <v>114.01397645902891</v>
      </c>
      <c r="S375" s="151" t="s">
        <v>1872</v>
      </c>
      <c r="T375" s="51" t="s">
        <v>3180</v>
      </c>
      <c r="U375" s="151" t="s">
        <v>2582</v>
      </c>
      <c r="V375" s="51" t="s">
        <v>2241</v>
      </c>
      <c r="W375" s="19"/>
      <c r="X375" s="19"/>
      <c r="Y375" s="99">
        <v>927</v>
      </c>
      <c r="AA375" s="29"/>
      <c r="AC375" s="29"/>
      <c r="AD375" s="29"/>
      <c r="AE375" s="29"/>
    </row>
    <row r="376" spans="2:31" ht="20" x14ac:dyDescent="0.2">
      <c r="B376" s="150" t="s">
        <v>1345</v>
      </c>
      <c r="C376" s="33" t="s">
        <v>106</v>
      </c>
      <c r="D376" s="33" t="s">
        <v>2876</v>
      </c>
      <c r="E376" s="175">
        <v>1</v>
      </c>
      <c r="F376" s="151" t="s">
        <v>1128</v>
      </c>
      <c r="G376" s="152">
        <v>1.19</v>
      </c>
      <c r="H376" s="152">
        <v>0.73456790123456783</v>
      </c>
      <c r="I376" s="175">
        <v>69</v>
      </c>
      <c r="J376" s="266">
        <f>_xlfn.XLOOKUP($I376,Inputs!$C$6:$C$23,Inputs!$D$6:$D$23)*$G376</f>
        <v>0.45729999999999998</v>
      </c>
      <c r="K376" s="255"/>
      <c r="L376" s="186">
        <v>828</v>
      </c>
      <c r="M376" s="186">
        <v>1060</v>
      </c>
      <c r="N376" s="99">
        <f t="shared" si="82"/>
        <v>98.955526738025085</v>
      </c>
      <c r="O376" s="99">
        <f t="shared" si="83"/>
        <v>126.68219606558768</v>
      </c>
      <c r="P376" s="131">
        <v>0.9</v>
      </c>
      <c r="Q376" s="186">
        <f t="shared" si="85"/>
        <v>89.059974064222573</v>
      </c>
      <c r="R376" s="186">
        <f t="shared" si="85"/>
        <v>114.01397645902891</v>
      </c>
      <c r="S376" s="151" t="s">
        <v>2582</v>
      </c>
      <c r="T376" s="51" t="s">
        <v>2241</v>
      </c>
      <c r="U376" s="151" t="s">
        <v>1691</v>
      </c>
      <c r="V376" s="51" t="s">
        <v>3648</v>
      </c>
      <c r="W376" s="19"/>
      <c r="X376" s="19"/>
      <c r="Y376" s="99">
        <v>929</v>
      </c>
      <c r="AA376" s="29"/>
      <c r="AC376" s="29"/>
      <c r="AD376" s="29"/>
      <c r="AE376" s="29"/>
    </row>
    <row r="377" spans="2:31" s="185" customFormat="1" ht="20" x14ac:dyDescent="0.2">
      <c r="B377" s="150" t="s">
        <v>1327</v>
      </c>
      <c r="C377" s="33" t="s">
        <v>106</v>
      </c>
      <c r="D377" s="33" t="s">
        <v>2876</v>
      </c>
      <c r="E377" s="175">
        <v>1</v>
      </c>
      <c r="F377" s="151" t="s">
        <v>1128</v>
      </c>
      <c r="G377" s="152">
        <v>4.4096699999999996E-2</v>
      </c>
      <c r="H377" s="152">
        <v>2.7220185185185181E-2</v>
      </c>
      <c r="I377" s="175">
        <v>69</v>
      </c>
      <c r="J377" s="266">
        <f>_xlfn.XLOOKUP($I377,Inputs!$C$6:$C$23,Inputs!$D$6:$D$23)*$G377</f>
        <v>1.6945731857142855E-2</v>
      </c>
      <c r="K377" s="255"/>
      <c r="L377" s="186">
        <v>450</v>
      </c>
      <c r="M377" s="3">
        <v>760</v>
      </c>
      <c r="N377" s="99">
        <f t="shared" si="82"/>
        <v>53.780177575013639</v>
      </c>
      <c r="O377" s="99">
        <f t="shared" si="83"/>
        <v>90.828744348911911</v>
      </c>
      <c r="P377" s="131">
        <v>0.9</v>
      </c>
      <c r="Q377" s="186">
        <f t="shared" si="85"/>
        <v>48.402159817512278</v>
      </c>
      <c r="R377" s="186">
        <f t="shared" si="85"/>
        <v>81.745869914020716</v>
      </c>
      <c r="S377" s="151" t="s">
        <v>2570</v>
      </c>
      <c r="T377" s="51" t="s">
        <v>2227</v>
      </c>
      <c r="U377" s="151" t="s">
        <v>2270</v>
      </c>
      <c r="V377" s="51" t="s">
        <v>3649</v>
      </c>
      <c r="W377" s="19"/>
      <c r="X377" s="19"/>
      <c r="Y377" s="99">
        <v>898</v>
      </c>
    </row>
    <row r="378" spans="2:31" s="185" customFormat="1" ht="20" x14ac:dyDescent="0.2">
      <c r="B378" s="150" t="s">
        <v>1326</v>
      </c>
      <c r="C378" s="33" t="s">
        <v>106</v>
      </c>
      <c r="D378" s="33" t="s">
        <v>2876</v>
      </c>
      <c r="E378" s="175">
        <v>1</v>
      </c>
      <c r="F378" s="151" t="s">
        <v>1128</v>
      </c>
      <c r="G378" s="152">
        <v>1</v>
      </c>
      <c r="H378" s="152">
        <v>0.61728395061728392</v>
      </c>
      <c r="I378" s="175">
        <v>69</v>
      </c>
      <c r="J378" s="266">
        <f>_xlfn.XLOOKUP($I378,Inputs!$C$6:$C$23,Inputs!$D$6:$D$23)*$G378</f>
        <v>0.38428571428571429</v>
      </c>
      <c r="K378" s="255"/>
      <c r="L378" s="186">
        <v>848</v>
      </c>
      <c r="M378" s="186">
        <v>1016</v>
      </c>
      <c r="N378" s="99">
        <f t="shared" si="82"/>
        <v>101.34575685247015</v>
      </c>
      <c r="O378" s="99">
        <f t="shared" si="83"/>
        <v>121.42368981380856</v>
      </c>
      <c r="P378" s="131">
        <v>0.9</v>
      </c>
      <c r="Q378" s="186">
        <f t="shared" si="85"/>
        <v>91.211181167223131</v>
      </c>
      <c r="R378" s="186">
        <f t="shared" si="85"/>
        <v>109.28132083242771</v>
      </c>
      <c r="S378" s="151" t="s">
        <v>2569</v>
      </c>
      <c r="T378" s="51" t="s">
        <v>2228</v>
      </c>
      <c r="U378" s="151" t="s">
        <v>2570</v>
      </c>
      <c r="V378" s="51" t="s">
        <v>2227</v>
      </c>
      <c r="W378" s="19"/>
      <c r="X378" s="19"/>
      <c r="Y378" s="99">
        <v>897</v>
      </c>
    </row>
    <row r="379" spans="2:31" s="185" customFormat="1" ht="20" x14ac:dyDescent="0.2">
      <c r="B379" s="150" t="s">
        <v>454</v>
      </c>
      <c r="C379" s="33" t="s">
        <v>106</v>
      </c>
      <c r="D379" s="33" t="s">
        <v>2876</v>
      </c>
      <c r="E379" s="175">
        <v>1</v>
      </c>
      <c r="F379" s="151" t="s">
        <v>1128</v>
      </c>
      <c r="G379" s="152">
        <v>14.6750448</v>
      </c>
      <c r="H379" s="152">
        <v>9.0586696296296285</v>
      </c>
      <c r="I379" s="175">
        <v>138</v>
      </c>
      <c r="J379" s="266">
        <f>_xlfn.XLOOKUP($I379,Inputs!$C$6:$C$23,Inputs!$D$6:$D$23)*$G379</f>
        <v>6.3626801382857145</v>
      </c>
      <c r="K379" s="255"/>
      <c r="L379" s="186">
        <v>395</v>
      </c>
      <c r="M379" s="186">
        <v>565</v>
      </c>
      <c r="N379" s="99">
        <f t="shared" si="82"/>
        <v>94.414089520579495</v>
      </c>
      <c r="O379" s="99">
        <f t="shared" si="83"/>
        <v>135.04800146614537</v>
      </c>
      <c r="P379" s="131">
        <v>0.9</v>
      </c>
      <c r="Q379" s="186">
        <f t="shared" si="85"/>
        <v>84.972680568521554</v>
      </c>
      <c r="R379" s="186">
        <f t="shared" si="85"/>
        <v>121.54320131953084</v>
      </c>
      <c r="S379" s="151" t="s">
        <v>167</v>
      </c>
      <c r="T379" s="51" t="s">
        <v>3186</v>
      </c>
      <c r="U379" s="151" t="s">
        <v>1692</v>
      </c>
      <c r="V379" s="51" t="s">
        <v>3192</v>
      </c>
      <c r="W379" s="19"/>
      <c r="X379" s="19"/>
      <c r="Y379" s="99">
        <v>129</v>
      </c>
    </row>
    <row r="380" spans="2:31" ht="20" x14ac:dyDescent="0.2">
      <c r="B380" s="150" t="s">
        <v>1177</v>
      </c>
      <c r="C380" s="33" t="s">
        <v>106</v>
      </c>
      <c r="D380" s="33" t="s">
        <v>2876</v>
      </c>
      <c r="E380" s="175">
        <v>1</v>
      </c>
      <c r="F380" s="151" t="s">
        <v>1128</v>
      </c>
      <c r="G380" s="152">
        <v>5.0798411999999997</v>
      </c>
      <c r="H380" s="152">
        <v>3.135704444444444</v>
      </c>
      <c r="I380" s="175">
        <v>69</v>
      </c>
      <c r="J380" s="266">
        <f>_xlfn.XLOOKUP($I380,Inputs!$C$6:$C$23,Inputs!$D$6:$D$23)*$G380</f>
        <v>1.9521104039999999</v>
      </c>
      <c r="K380" s="255"/>
      <c r="L380" s="186">
        <v>670</v>
      </c>
      <c r="M380" s="186">
        <v>715</v>
      </c>
      <c r="N380" s="99">
        <f t="shared" si="82"/>
        <v>80.072708833909189</v>
      </c>
      <c r="O380" s="99">
        <f t="shared" si="83"/>
        <v>85.450726591410572</v>
      </c>
      <c r="P380" s="131">
        <v>0.9</v>
      </c>
      <c r="Q380" s="186">
        <f t="shared" si="85"/>
        <v>72.065437950518273</v>
      </c>
      <c r="R380" s="186">
        <f t="shared" si="85"/>
        <v>76.905653932269516</v>
      </c>
      <c r="S380" s="151" t="s">
        <v>1749</v>
      </c>
      <c r="T380" s="51" t="s">
        <v>3279</v>
      </c>
      <c r="U380" s="151" t="s">
        <v>1693</v>
      </c>
      <c r="V380" s="179" t="s">
        <v>3252</v>
      </c>
      <c r="W380" s="19"/>
      <c r="X380" s="19"/>
      <c r="Y380" s="99">
        <v>635</v>
      </c>
      <c r="AA380" s="29"/>
      <c r="AC380" s="29"/>
      <c r="AD380" s="29"/>
      <c r="AE380" s="29"/>
    </row>
    <row r="381" spans="2:31" ht="20" x14ac:dyDescent="0.2">
      <c r="B381" s="150" t="s">
        <v>1302</v>
      </c>
      <c r="C381" s="33" t="s">
        <v>106</v>
      </c>
      <c r="D381" s="33" t="s">
        <v>2876</v>
      </c>
      <c r="E381" s="175">
        <v>1</v>
      </c>
      <c r="F381" s="151" t="s">
        <v>1128</v>
      </c>
      <c r="G381" s="152">
        <v>30</v>
      </c>
      <c r="H381" s="152">
        <v>18.518518518518519</v>
      </c>
      <c r="I381" s="175">
        <v>69</v>
      </c>
      <c r="J381" s="266">
        <f>_xlfn.XLOOKUP($I381,Inputs!$C$6:$C$23,Inputs!$D$6:$D$23)*$G381</f>
        <v>11.528571428571428</v>
      </c>
      <c r="K381" s="255"/>
      <c r="L381" s="186">
        <v>401</v>
      </c>
      <c r="M381" s="186">
        <v>567</v>
      </c>
      <c r="N381" s="99">
        <f t="shared" si="82"/>
        <v>47.92411379462326</v>
      </c>
      <c r="O381" s="99">
        <f t="shared" si="83"/>
        <v>67.763023744517184</v>
      </c>
      <c r="P381" s="131">
        <v>0.9</v>
      </c>
      <c r="Q381" s="186">
        <f t="shared" si="85"/>
        <v>43.131702415160937</v>
      </c>
      <c r="R381" s="186">
        <f t="shared" si="85"/>
        <v>60.986721370065467</v>
      </c>
      <c r="S381" s="151" t="s">
        <v>2557</v>
      </c>
      <c r="T381" s="51" t="s">
        <v>2212</v>
      </c>
      <c r="U381" s="151" t="s">
        <v>263</v>
      </c>
      <c r="V381" s="51" t="s">
        <v>3463</v>
      </c>
      <c r="W381" s="19"/>
      <c r="X381" s="19"/>
      <c r="Y381" s="99">
        <v>857</v>
      </c>
      <c r="AA381" s="29"/>
      <c r="AC381" s="29"/>
      <c r="AD381" s="29"/>
      <c r="AE381" s="29"/>
    </row>
    <row r="382" spans="2:31" ht="20" x14ac:dyDescent="0.2">
      <c r="B382" s="150" t="s">
        <v>1307</v>
      </c>
      <c r="C382" s="33" t="s">
        <v>106</v>
      </c>
      <c r="D382" s="33" t="s">
        <v>2876</v>
      </c>
      <c r="E382" s="175">
        <v>1</v>
      </c>
      <c r="F382" s="151" t="s">
        <v>1128</v>
      </c>
      <c r="G382" s="152">
        <v>3.0884450999999999</v>
      </c>
      <c r="H382" s="152">
        <v>1.9064475925925923</v>
      </c>
      <c r="I382" s="175">
        <v>69</v>
      </c>
      <c r="J382" s="266">
        <f>_xlfn.XLOOKUP($I382,Inputs!$C$6:$C$23,Inputs!$D$6:$D$23)*$G382</f>
        <v>1.1868453312857143</v>
      </c>
      <c r="K382" s="255"/>
      <c r="L382" s="186">
        <v>730</v>
      </c>
      <c r="M382" s="3">
        <v>879</v>
      </c>
      <c r="N382" s="99">
        <f t="shared" si="82"/>
        <v>87.243399177244342</v>
      </c>
      <c r="O382" s="99">
        <f t="shared" si="83"/>
        <v>105.05061352985997</v>
      </c>
      <c r="P382" s="131">
        <v>0.9</v>
      </c>
      <c r="Q382" s="186">
        <f t="shared" si="85"/>
        <v>78.519059259519906</v>
      </c>
      <c r="R382" s="186">
        <f t="shared" si="85"/>
        <v>94.545552176873983</v>
      </c>
      <c r="S382" s="151" t="s">
        <v>1748</v>
      </c>
      <c r="T382" s="51" t="s">
        <v>3191</v>
      </c>
      <c r="U382" s="151" t="s">
        <v>263</v>
      </c>
      <c r="V382" s="179" t="s">
        <v>3463</v>
      </c>
      <c r="W382" s="19"/>
      <c r="X382" s="19"/>
      <c r="Y382" s="99">
        <v>858</v>
      </c>
      <c r="AA382" s="29"/>
      <c r="AC382" s="29"/>
      <c r="AD382" s="29"/>
      <c r="AE382" s="29"/>
    </row>
    <row r="383" spans="2:31" ht="20" x14ac:dyDescent="0.2">
      <c r="B383" s="230" t="s">
        <v>2660</v>
      </c>
      <c r="C383" s="51" t="s">
        <v>173</v>
      </c>
      <c r="D383" s="33" t="s">
        <v>2876</v>
      </c>
      <c r="E383" s="231">
        <v>1</v>
      </c>
      <c r="F383" s="230" t="s">
        <v>1128</v>
      </c>
      <c r="G383" s="232">
        <v>35</v>
      </c>
      <c r="H383" s="232">
        <v>21.604938271604937</v>
      </c>
      <c r="I383" s="231">
        <v>161</v>
      </c>
      <c r="J383" s="266">
        <f>_xlfn.XLOOKUP($I383,Inputs!$C$6:$C$23,Inputs!$D$6:$D$23)*$G383</f>
        <v>15.75</v>
      </c>
      <c r="K383" s="267">
        <f>IF((42.4*(H383)^(-0.6595))&gt;=3,3,(IF(42.4*(H383)^(-0.6595)&lt;=0.5,0.5,(42.4*(H383)^(-0.6595)))))</f>
        <v>3</v>
      </c>
      <c r="L383" s="99"/>
      <c r="M383" s="99"/>
      <c r="N383" s="99"/>
      <c r="O383" s="99"/>
      <c r="P383" s="69"/>
      <c r="Q383" s="305">
        <f>_xlfn.XLOOKUP($I383,Inputs!$G$6:$G$23,Inputs!J$6:J$23)*$K383</f>
        <v>192.96029776674939</v>
      </c>
      <c r="R383" s="305">
        <f>_xlfn.XLOOKUP($I383,Inputs!$G$6:$G$23,Inputs!K$6:K$23)*$K383</f>
        <v>212.46721311475409</v>
      </c>
      <c r="S383" s="230" t="s">
        <v>2661</v>
      </c>
      <c r="T383" s="51" t="s">
        <v>3277</v>
      </c>
      <c r="U383" s="230" t="s">
        <v>3565</v>
      </c>
      <c r="V383" s="179" t="s">
        <v>3566</v>
      </c>
      <c r="W383" s="19"/>
      <c r="X383" s="19"/>
      <c r="Y383" s="99">
        <v>1042</v>
      </c>
      <c r="AA383" s="29"/>
      <c r="AC383" s="29"/>
      <c r="AD383" s="29"/>
      <c r="AE383" s="29"/>
    </row>
    <row r="384" spans="2:31" ht="20" x14ac:dyDescent="0.2">
      <c r="B384" s="230" t="s">
        <v>1116</v>
      </c>
      <c r="C384" s="51" t="s">
        <v>173</v>
      </c>
      <c r="D384" s="33" t="s">
        <v>2876</v>
      </c>
      <c r="E384" s="231">
        <v>1</v>
      </c>
      <c r="F384" s="230" t="s">
        <v>1128</v>
      </c>
      <c r="G384" s="232">
        <v>47.5</v>
      </c>
      <c r="H384" s="232">
        <v>29.320987654320987</v>
      </c>
      <c r="I384" s="231">
        <v>161</v>
      </c>
      <c r="J384" s="266">
        <f>_xlfn.XLOOKUP($I384,Inputs!$C$6:$C$23,Inputs!$D$6:$D$23)*$G384</f>
        <v>21.375</v>
      </c>
      <c r="K384" s="267">
        <f>IF((42.4*(H384)^(-0.6595))&gt;=3,3,(IF(42.4*(H384)^(-0.6595)&lt;=0.5,0.5,(42.4*(H384)^(-0.6595)))))</f>
        <v>3</v>
      </c>
      <c r="L384" s="99"/>
      <c r="M384" s="99"/>
      <c r="N384" s="99"/>
      <c r="O384" s="99"/>
      <c r="P384" s="69"/>
      <c r="Q384" s="305">
        <f>_xlfn.XLOOKUP($I384,Inputs!$G$6:$G$23,Inputs!J$6:J$23)*$K384</f>
        <v>192.96029776674939</v>
      </c>
      <c r="R384" s="305">
        <f>_xlfn.XLOOKUP($I384,Inputs!$G$6:$G$23,Inputs!K$6:K$23)*$K384</f>
        <v>212.46721311475409</v>
      </c>
      <c r="S384" s="230" t="s">
        <v>3562</v>
      </c>
      <c r="T384" s="51" t="s">
        <v>3563</v>
      </c>
      <c r="U384" s="230" t="s">
        <v>3565</v>
      </c>
      <c r="V384" s="179" t="s">
        <v>3566</v>
      </c>
      <c r="W384" s="19"/>
      <c r="X384" s="19"/>
      <c r="Y384" s="99">
        <v>1105</v>
      </c>
      <c r="AA384" s="29"/>
      <c r="AC384" s="29"/>
      <c r="AD384" s="29"/>
      <c r="AE384" s="29"/>
    </row>
    <row r="385" spans="2:31" ht="20" x14ac:dyDescent="0.2">
      <c r="B385" s="150" t="s">
        <v>423</v>
      </c>
      <c r="C385" s="33" t="s">
        <v>106</v>
      </c>
      <c r="D385" s="33" t="s">
        <v>2876</v>
      </c>
      <c r="E385" s="175">
        <v>1</v>
      </c>
      <c r="F385" s="151" t="s">
        <v>1128</v>
      </c>
      <c r="G385" s="152">
        <v>28.04</v>
      </c>
      <c r="H385" s="152">
        <v>17.308641975308639</v>
      </c>
      <c r="I385" s="175">
        <v>138</v>
      </c>
      <c r="J385" s="266">
        <f>_xlfn.XLOOKUP($I385,Inputs!$C$6:$C$23,Inputs!$D$6:$D$23)*$G385</f>
        <v>12.157342857142858</v>
      </c>
      <c r="K385" s="255"/>
      <c r="L385" s="186">
        <v>260</v>
      </c>
      <c r="M385" s="186">
        <v>440</v>
      </c>
      <c r="N385" s="99">
        <f t="shared" ref="N385:O388" si="86">(SQRT(3)*L385*$I385)/1000</f>
        <v>62.145982975571314</v>
      </c>
      <c r="O385" s="99">
        <f t="shared" si="86"/>
        <v>105.17012503558223</v>
      </c>
      <c r="P385" s="131">
        <v>0.9</v>
      </c>
      <c r="Q385" s="186">
        <f t="shared" ref="Q385:R388" si="87">N385*$P385</f>
        <v>55.931384678014183</v>
      </c>
      <c r="R385" s="186">
        <f t="shared" si="87"/>
        <v>94.653112532024011</v>
      </c>
      <c r="S385" s="151" t="s">
        <v>2391</v>
      </c>
      <c r="T385" s="51" t="s">
        <v>2039</v>
      </c>
      <c r="U385" s="151" t="s">
        <v>1694</v>
      </c>
      <c r="V385" s="51" t="s">
        <v>3197</v>
      </c>
      <c r="W385" s="19"/>
      <c r="X385" s="19"/>
      <c r="Y385" s="99">
        <v>34</v>
      </c>
      <c r="AA385" s="29"/>
      <c r="AC385" s="29"/>
      <c r="AD385" s="29"/>
      <c r="AE385" s="29"/>
    </row>
    <row r="386" spans="2:31" ht="20" x14ac:dyDescent="0.2">
      <c r="B386" s="150" t="s">
        <v>424</v>
      </c>
      <c r="C386" s="33" t="s">
        <v>106</v>
      </c>
      <c r="D386" s="33" t="s">
        <v>2876</v>
      </c>
      <c r="E386" s="175">
        <v>1</v>
      </c>
      <c r="F386" s="151" t="s">
        <v>1128</v>
      </c>
      <c r="G386" s="152">
        <v>20.679204200000001</v>
      </c>
      <c r="H386" s="152">
        <v>12.764940864197531</v>
      </c>
      <c r="I386" s="175">
        <v>138</v>
      </c>
      <c r="J386" s="266">
        <f>_xlfn.XLOOKUP($I386,Inputs!$C$6:$C$23,Inputs!$D$6:$D$23)*$G386</f>
        <v>8.9659121067142866</v>
      </c>
      <c r="K386" s="255"/>
      <c r="L386" s="186">
        <v>504</v>
      </c>
      <c r="M386" s="186">
        <v>601</v>
      </c>
      <c r="N386" s="99">
        <f t="shared" si="86"/>
        <v>120.46759776803054</v>
      </c>
      <c r="O386" s="99">
        <f t="shared" si="86"/>
        <v>143.65282987814754</v>
      </c>
      <c r="P386" s="131">
        <v>0.9</v>
      </c>
      <c r="Q386" s="186">
        <f t="shared" si="87"/>
        <v>108.42083799122749</v>
      </c>
      <c r="R386" s="186">
        <f t="shared" si="87"/>
        <v>129.28754689033281</v>
      </c>
      <c r="S386" s="151" t="s">
        <v>257</v>
      </c>
      <c r="T386" s="51" t="s">
        <v>3325</v>
      </c>
      <c r="U386" s="151" t="s">
        <v>1694</v>
      </c>
      <c r="V386" s="51" t="s">
        <v>3197</v>
      </c>
      <c r="W386" s="19"/>
      <c r="X386" s="19"/>
      <c r="Y386" s="99">
        <v>35</v>
      </c>
      <c r="AA386" s="29"/>
      <c r="AC386" s="29"/>
      <c r="AD386" s="29"/>
      <c r="AE386" s="29"/>
    </row>
    <row r="387" spans="2:31" ht="20" x14ac:dyDescent="0.2">
      <c r="B387" s="150" t="s">
        <v>448</v>
      </c>
      <c r="C387" s="33" t="s">
        <v>106</v>
      </c>
      <c r="D387" s="33" t="s">
        <v>2876</v>
      </c>
      <c r="E387" s="175">
        <v>1</v>
      </c>
      <c r="F387" s="151" t="s">
        <v>1128</v>
      </c>
      <c r="G387" s="152">
        <v>47.588293200000003</v>
      </c>
      <c r="H387" s="152">
        <v>29.37548962962963</v>
      </c>
      <c r="I387" s="175">
        <v>138</v>
      </c>
      <c r="J387" s="266">
        <f>_xlfn.XLOOKUP($I387,Inputs!$C$6:$C$23,Inputs!$D$6:$D$23)*$G387</f>
        <v>20.632924266000003</v>
      </c>
      <c r="K387" s="255"/>
      <c r="L387" s="186">
        <v>640</v>
      </c>
      <c r="M387" s="3">
        <v>815</v>
      </c>
      <c r="N387" s="99">
        <f t="shared" si="86"/>
        <v>152.97472732448321</v>
      </c>
      <c r="O387" s="99">
        <f t="shared" si="86"/>
        <v>194.80375432727161</v>
      </c>
      <c r="P387" s="131">
        <v>0.9</v>
      </c>
      <c r="Q387" s="186">
        <f t="shared" si="87"/>
        <v>137.6772545920349</v>
      </c>
      <c r="R387" s="186">
        <f t="shared" si="87"/>
        <v>175.32337889454445</v>
      </c>
      <c r="S387" s="151" t="s">
        <v>2324</v>
      </c>
      <c r="T387" s="51" t="s">
        <v>3156</v>
      </c>
      <c r="U387" s="151" t="s">
        <v>184</v>
      </c>
      <c r="V387" s="51" t="s">
        <v>3253</v>
      </c>
      <c r="W387" s="19"/>
      <c r="X387" s="19"/>
      <c r="Y387" s="99">
        <v>116</v>
      </c>
      <c r="AA387" s="29"/>
      <c r="AC387" s="29"/>
      <c r="AD387" s="29"/>
      <c r="AE387" s="29"/>
    </row>
    <row r="388" spans="2:31" s="185" customFormat="1" ht="20" x14ac:dyDescent="0.2">
      <c r="B388" s="150" t="s">
        <v>598</v>
      </c>
      <c r="C388" s="33" t="s">
        <v>106</v>
      </c>
      <c r="D388" s="33" t="s">
        <v>2876</v>
      </c>
      <c r="E388" s="175">
        <v>1</v>
      </c>
      <c r="F388" s="151" t="s">
        <v>1128</v>
      </c>
      <c r="G388" s="152">
        <v>148.86040439999999</v>
      </c>
      <c r="H388" s="152">
        <v>91.889138518518507</v>
      </c>
      <c r="I388" s="175">
        <v>230</v>
      </c>
      <c r="J388" s="266">
        <f>_xlfn.XLOOKUP($I388,Inputs!$C$6:$C$23,Inputs!$D$6:$D$23)*$G388</f>
        <v>71.452994111999999</v>
      </c>
      <c r="K388" s="255"/>
      <c r="L388" s="186">
        <v>972</v>
      </c>
      <c r="M388" s="186">
        <v>1301</v>
      </c>
      <c r="N388" s="99">
        <f t="shared" si="86"/>
        <v>387.21727854009816</v>
      </c>
      <c r="O388" s="99">
        <f t="shared" si="86"/>
        <v>518.28156314883506</v>
      </c>
      <c r="P388" s="131">
        <v>0.9</v>
      </c>
      <c r="Q388" s="186">
        <f t="shared" si="87"/>
        <v>348.49555068608834</v>
      </c>
      <c r="R388" s="186">
        <f t="shared" si="87"/>
        <v>466.45340683395159</v>
      </c>
      <c r="S388" s="151" t="s">
        <v>1651</v>
      </c>
      <c r="T388" s="51" t="s">
        <v>3244</v>
      </c>
      <c r="U388" s="151" t="s">
        <v>184</v>
      </c>
      <c r="V388" s="51" t="s">
        <v>3253</v>
      </c>
      <c r="W388" s="19"/>
      <c r="X388" s="19"/>
      <c r="Y388" s="99">
        <v>454</v>
      </c>
    </row>
    <row r="389" spans="2:31" s="185" customFormat="1" ht="20" x14ac:dyDescent="0.2">
      <c r="B389" s="230" t="s">
        <v>2630</v>
      </c>
      <c r="C389" s="51" t="s">
        <v>173</v>
      </c>
      <c r="D389" s="33" t="s">
        <v>2876</v>
      </c>
      <c r="E389" s="231">
        <v>1</v>
      </c>
      <c r="F389" s="230" t="s">
        <v>1128</v>
      </c>
      <c r="G389" s="232">
        <v>5</v>
      </c>
      <c r="H389" s="232">
        <v>3.0864197530864197</v>
      </c>
      <c r="I389" s="231">
        <v>138</v>
      </c>
      <c r="J389" s="266">
        <f>_xlfn.XLOOKUP($I389,Inputs!$C$6:$C$23,Inputs!$D$6:$D$23)*$G389</f>
        <v>2.1678571428571431</v>
      </c>
      <c r="K389" s="267">
        <f>IF((42.4*(H389)^(-0.6595))&gt;=3,3,(IF(42.4*(H389)^(-0.6595)&lt;=0.5,0.5,(42.4*(H389)^(-0.6595)))))</f>
        <v>3</v>
      </c>
      <c r="L389" s="99"/>
      <c r="M389" s="99"/>
      <c r="N389" s="99"/>
      <c r="O389" s="99"/>
      <c r="P389" s="69"/>
      <c r="Q389" s="305">
        <f>_xlfn.XLOOKUP($I389,Inputs!$G$6:$G$23,Inputs!J$6:J$23)*$K389</f>
        <v>141</v>
      </c>
      <c r="R389" s="305">
        <f>_xlfn.XLOOKUP($I389,Inputs!$G$6:$G$23,Inputs!K$6:K$23)*$K389</f>
        <v>156</v>
      </c>
      <c r="S389" s="230" t="s">
        <v>2631</v>
      </c>
      <c r="T389" s="51" t="s">
        <v>3327</v>
      </c>
      <c r="U389" s="230" t="s">
        <v>3875</v>
      </c>
      <c r="V389" s="51" t="s">
        <v>3254</v>
      </c>
      <c r="W389" s="19"/>
      <c r="X389" s="19"/>
      <c r="Y389" s="99">
        <v>1110</v>
      </c>
    </row>
    <row r="390" spans="2:31" s="185" customFormat="1" ht="20" x14ac:dyDescent="0.2">
      <c r="B390" s="230" t="s">
        <v>2711</v>
      </c>
      <c r="C390" s="51" t="s">
        <v>173</v>
      </c>
      <c r="D390" s="33" t="s">
        <v>2876</v>
      </c>
      <c r="E390" s="231">
        <v>1</v>
      </c>
      <c r="F390" s="230" t="s">
        <v>1128</v>
      </c>
      <c r="G390" s="232">
        <v>4.5</v>
      </c>
      <c r="H390" s="232">
        <v>2.7777777777777777</v>
      </c>
      <c r="I390" s="231">
        <v>63</v>
      </c>
      <c r="J390" s="266">
        <f>_xlfn.XLOOKUP($I390,Inputs!$C$6:$C$23,Inputs!$D$6:$D$23)*$G390</f>
        <v>1.71</v>
      </c>
      <c r="K390" s="267">
        <f>IF((42.4*(H390)^(-0.6595))&gt;=3,3,(IF(42.4*(H390)^(-0.6595)&lt;=0.5,0.5,(42.4*(H390)^(-0.6595)))))</f>
        <v>3</v>
      </c>
      <c r="L390" s="99"/>
      <c r="M390" s="99"/>
      <c r="N390" s="99"/>
      <c r="O390" s="99"/>
      <c r="P390" s="69"/>
      <c r="Q390" s="305">
        <f>_xlfn.XLOOKUP($I390,Inputs!$G$6:$G$23,Inputs!J$6:J$23)*$K390</f>
        <v>29.767499999999998</v>
      </c>
      <c r="R390" s="305">
        <f>_xlfn.XLOOKUP($I390,Inputs!$G$6:$G$23,Inputs!K$6:K$23)*$K390</f>
        <v>32.532786885245905</v>
      </c>
      <c r="S390" s="230" t="s">
        <v>1936</v>
      </c>
      <c r="T390" s="51" t="s">
        <v>3356</v>
      </c>
      <c r="U390" s="230" t="s">
        <v>2710</v>
      </c>
      <c r="V390" s="51" t="s">
        <v>3255</v>
      </c>
      <c r="W390" s="19"/>
      <c r="X390" s="19"/>
      <c r="Y390" s="99">
        <v>1056</v>
      </c>
    </row>
    <row r="391" spans="2:31" ht="20" x14ac:dyDescent="0.2">
      <c r="B391" s="150" t="s">
        <v>660</v>
      </c>
      <c r="C391" s="33" t="s">
        <v>106</v>
      </c>
      <c r="D391" s="33" t="s">
        <v>2876</v>
      </c>
      <c r="E391" s="175">
        <v>1</v>
      </c>
      <c r="F391" s="151" t="s">
        <v>1128</v>
      </c>
      <c r="G391" s="152">
        <v>174.7219738</v>
      </c>
      <c r="H391" s="152">
        <v>107.85307024691357</v>
      </c>
      <c r="I391" s="175">
        <v>500</v>
      </c>
      <c r="J391" s="266">
        <f>_xlfn.XLOOKUP($I391,Inputs!$C$6:$C$23,Inputs!$D$6:$D$23)*$G391</f>
        <v>69.015179650999997</v>
      </c>
      <c r="K391" s="255"/>
      <c r="L391" s="186">
        <v>2000</v>
      </c>
      <c r="M391" s="186">
        <v>3140</v>
      </c>
      <c r="N391" s="99">
        <f t="shared" ref="N391:N426" si="88">(SQRT(3)*L391*$I391)/1000</f>
        <v>1732.0508075688772</v>
      </c>
      <c r="O391" s="99">
        <f t="shared" ref="O391:O426" si="89">(SQRT(3)*M391*$I391)/1000</f>
        <v>2719.319767883137</v>
      </c>
      <c r="P391" s="131">
        <v>0.9</v>
      </c>
      <c r="Q391" s="186">
        <f t="shared" ref="Q391:Q400" si="90">N391*$P391</f>
        <v>1558.8457268119896</v>
      </c>
      <c r="R391" s="186">
        <f t="shared" ref="R391:R400" si="91">O391*$P391</f>
        <v>2447.3877910948236</v>
      </c>
      <c r="S391" s="151" t="s">
        <v>365</v>
      </c>
      <c r="T391" s="51" t="s">
        <v>3355</v>
      </c>
      <c r="U391" s="151" t="s">
        <v>1695</v>
      </c>
      <c r="V391" s="51" t="s">
        <v>3256</v>
      </c>
      <c r="W391" s="19"/>
      <c r="X391" s="19"/>
      <c r="Y391" s="99">
        <v>536</v>
      </c>
      <c r="AA391" s="29"/>
      <c r="AC391" s="29"/>
      <c r="AD391" s="29"/>
      <c r="AE391" s="29"/>
    </row>
    <row r="392" spans="2:31" ht="20" x14ac:dyDescent="0.2">
      <c r="B392" s="150" t="s">
        <v>1233</v>
      </c>
      <c r="C392" s="33" t="s">
        <v>106</v>
      </c>
      <c r="D392" s="33" t="s">
        <v>2876</v>
      </c>
      <c r="E392" s="175">
        <v>1</v>
      </c>
      <c r="F392" s="151" t="s">
        <v>1128</v>
      </c>
      <c r="G392" s="152">
        <v>4.7835842</v>
      </c>
      <c r="H392" s="152">
        <v>2.9528297530864194</v>
      </c>
      <c r="I392" s="175">
        <v>69</v>
      </c>
      <c r="J392" s="266">
        <f>_xlfn.XLOOKUP($I392,Inputs!$C$6:$C$23,Inputs!$D$6:$D$23)*$G392</f>
        <v>1.8382630711428571</v>
      </c>
      <c r="K392" s="255"/>
      <c r="L392" s="186">
        <v>730</v>
      </c>
      <c r="M392" s="186">
        <v>940</v>
      </c>
      <c r="N392" s="99">
        <f t="shared" si="88"/>
        <v>87.243399177244342</v>
      </c>
      <c r="O392" s="99">
        <f t="shared" si="89"/>
        <v>112.34081537891738</v>
      </c>
      <c r="P392" s="131">
        <v>0.9</v>
      </c>
      <c r="Q392" s="186">
        <f t="shared" si="90"/>
        <v>78.519059259519906</v>
      </c>
      <c r="R392" s="186">
        <f t="shared" si="91"/>
        <v>101.10673384102564</v>
      </c>
      <c r="S392" s="151" t="s">
        <v>2519</v>
      </c>
      <c r="T392" s="51" t="s">
        <v>2178</v>
      </c>
      <c r="U392" s="151" t="s">
        <v>3876</v>
      </c>
      <c r="V392" s="51" t="s">
        <v>3399</v>
      </c>
      <c r="W392" s="19"/>
      <c r="X392" s="19"/>
      <c r="Y392" s="99">
        <v>727</v>
      </c>
      <c r="AA392" s="29"/>
      <c r="AC392" s="29"/>
      <c r="AD392" s="29"/>
      <c r="AE392" s="29"/>
    </row>
    <row r="393" spans="2:31" s="90" customFormat="1" ht="20" x14ac:dyDescent="0.2">
      <c r="B393" s="150" t="s">
        <v>1276</v>
      </c>
      <c r="C393" s="33" t="s">
        <v>106</v>
      </c>
      <c r="D393" s="33" t="s">
        <v>2876</v>
      </c>
      <c r="E393" s="175">
        <v>1</v>
      </c>
      <c r="F393" s="151" t="s">
        <v>1128</v>
      </c>
      <c r="G393" s="152">
        <v>7.3964309000000004</v>
      </c>
      <c r="H393" s="152">
        <v>4.5656980864197534</v>
      </c>
      <c r="I393" s="175">
        <v>69</v>
      </c>
      <c r="J393" s="266">
        <f>_xlfn.XLOOKUP($I393,Inputs!$C$6:$C$23,Inputs!$D$6:$D$23)*$G393</f>
        <v>2.8423427315714287</v>
      </c>
      <c r="K393" s="255"/>
      <c r="L393" s="186">
        <v>730</v>
      </c>
      <c r="M393" s="186">
        <v>940</v>
      </c>
      <c r="N393" s="99">
        <f t="shared" si="88"/>
        <v>87.243399177244342</v>
      </c>
      <c r="O393" s="99">
        <f t="shared" si="89"/>
        <v>112.34081537891738</v>
      </c>
      <c r="P393" s="131">
        <v>0.9</v>
      </c>
      <c r="Q393" s="186">
        <f t="shared" si="90"/>
        <v>78.519059259519906</v>
      </c>
      <c r="R393" s="186">
        <f t="shared" si="91"/>
        <v>101.10673384102564</v>
      </c>
      <c r="S393" s="151" t="s">
        <v>2518</v>
      </c>
      <c r="T393" s="51" t="s">
        <v>2177</v>
      </c>
      <c r="U393" s="151" t="s">
        <v>3876</v>
      </c>
      <c r="V393" s="51" t="s">
        <v>3399</v>
      </c>
      <c r="W393" s="19"/>
      <c r="X393" s="19"/>
      <c r="Y393" s="99">
        <v>801</v>
      </c>
    </row>
    <row r="394" spans="2:31" ht="20" x14ac:dyDescent="0.2">
      <c r="B394" s="150" t="s">
        <v>1462</v>
      </c>
      <c r="C394" s="33" t="s">
        <v>106</v>
      </c>
      <c r="D394" s="33" t="s">
        <v>2876</v>
      </c>
      <c r="E394" s="175">
        <v>1</v>
      </c>
      <c r="F394" s="151" t="s">
        <v>1128</v>
      </c>
      <c r="G394" s="152">
        <v>0.11494989999999999</v>
      </c>
      <c r="H394" s="152">
        <v>7.0956728395061716E-2</v>
      </c>
      <c r="I394" s="175">
        <v>138</v>
      </c>
      <c r="J394" s="266">
        <f>_xlfn.XLOOKUP($I394,Inputs!$C$6:$C$23,Inputs!$D$6:$D$23)*$G394</f>
        <v>4.9838992357142856E-2</v>
      </c>
      <c r="K394" s="255"/>
      <c r="L394" s="186">
        <v>713</v>
      </c>
      <c r="M394" s="186">
        <v>684</v>
      </c>
      <c r="N394" s="99">
        <f t="shared" si="88"/>
        <v>170.42340715993211</v>
      </c>
      <c r="O394" s="99">
        <f t="shared" si="89"/>
        <v>163.49173982804146</v>
      </c>
      <c r="P394" s="131">
        <v>0.9</v>
      </c>
      <c r="Q394" s="186">
        <f t="shared" si="90"/>
        <v>153.38106644393889</v>
      </c>
      <c r="R394" s="186">
        <f t="shared" si="91"/>
        <v>147.14256584523733</v>
      </c>
      <c r="S394" s="151" t="s">
        <v>2388</v>
      </c>
      <c r="T394" s="51" t="s">
        <v>2037</v>
      </c>
      <c r="U394" s="151" t="s">
        <v>1697</v>
      </c>
      <c r="V394" s="51" t="s">
        <v>3435</v>
      </c>
      <c r="W394" s="19"/>
      <c r="X394" s="19"/>
      <c r="Y394" s="99">
        <v>26</v>
      </c>
      <c r="AA394" s="29"/>
      <c r="AC394" s="29"/>
      <c r="AD394" s="29"/>
      <c r="AE394" s="29"/>
    </row>
    <row r="395" spans="2:31" ht="20" x14ac:dyDescent="0.2">
      <c r="B395" s="150" t="s">
        <v>422</v>
      </c>
      <c r="C395" s="33" t="s">
        <v>106</v>
      </c>
      <c r="D395" s="33" t="s">
        <v>2876</v>
      </c>
      <c r="E395" s="175">
        <v>1</v>
      </c>
      <c r="F395" s="151" t="s">
        <v>1128</v>
      </c>
      <c r="G395" s="152">
        <v>38.17</v>
      </c>
      <c r="H395" s="152">
        <v>23.561728395061728</v>
      </c>
      <c r="I395" s="175">
        <v>138</v>
      </c>
      <c r="J395" s="266">
        <f>_xlfn.XLOOKUP($I395,Inputs!$C$6:$C$23,Inputs!$D$6:$D$23)*$G395</f>
        <v>16.549421428571431</v>
      </c>
      <c r="K395" s="255"/>
      <c r="L395" s="186">
        <v>375</v>
      </c>
      <c r="M395" s="186">
        <v>530</v>
      </c>
      <c r="N395" s="99">
        <f t="shared" si="88"/>
        <v>89.633629291689402</v>
      </c>
      <c r="O395" s="99">
        <f t="shared" si="89"/>
        <v>126.68219606558768</v>
      </c>
      <c r="P395" s="131">
        <v>0.9</v>
      </c>
      <c r="Q395" s="186">
        <f t="shared" si="90"/>
        <v>80.670266362520465</v>
      </c>
      <c r="R395" s="186">
        <f t="shared" si="91"/>
        <v>114.01397645902891</v>
      </c>
      <c r="S395" s="151" t="s">
        <v>1572</v>
      </c>
      <c r="T395" s="51" t="s">
        <v>3194</v>
      </c>
      <c r="U395" s="151" t="s">
        <v>2388</v>
      </c>
      <c r="V395" s="51" t="s">
        <v>2037</v>
      </c>
      <c r="W395" s="19"/>
      <c r="X395" s="19"/>
      <c r="Y395" s="99">
        <v>25</v>
      </c>
      <c r="AA395" s="29"/>
      <c r="AC395" s="29"/>
      <c r="AD395" s="29"/>
      <c r="AE395" s="29"/>
    </row>
    <row r="396" spans="2:31" ht="20" x14ac:dyDescent="0.2">
      <c r="B396" s="150" t="s">
        <v>1142</v>
      </c>
      <c r="C396" s="33" t="s">
        <v>106</v>
      </c>
      <c r="D396" s="33" t="s">
        <v>2876</v>
      </c>
      <c r="E396" s="175">
        <v>1</v>
      </c>
      <c r="F396" s="151" t="s">
        <v>1128</v>
      </c>
      <c r="G396" s="152">
        <v>1</v>
      </c>
      <c r="H396" s="152">
        <v>0.61728395061728392</v>
      </c>
      <c r="I396" s="175">
        <v>69</v>
      </c>
      <c r="J396" s="266">
        <f>_xlfn.XLOOKUP($I396,Inputs!$C$6:$C$23,Inputs!$D$6:$D$23)*$G396</f>
        <v>0.38428571428571429</v>
      </c>
      <c r="K396" s="255"/>
      <c r="L396" s="186">
        <v>493</v>
      </c>
      <c r="M396" s="186">
        <v>594</v>
      </c>
      <c r="N396" s="99">
        <f t="shared" si="88"/>
        <v>58.919172321070498</v>
      </c>
      <c r="O396" s="99">
        <f t="shared" si="89"/>
        <v>70.989834399017994</v>
      </c>
      <c r="P396" s="131">
        <v>0.9</v>
      </c>
      <c r="Q396" s="186">
        <f t="shared" si="90"/>
        <v>53.02725508896345</v>
      </c>
      <c r="R396" s="186">
        <f t="shared" si="91"/>
        <v>63.890850959116193</v>
      </c>
      <c r="S396" s="151" t="s">
        <v>2625</v>
      </c>
      <c r="T396" s="51" t="s">
        <v>2140</v>
      </c>
      <c r="U396" s="151" t="s">
        <v>1698</v>
      </c>
      <c r="V396" s="51" t="s">
        <v>3436</v>
      </c>
      <c r="W396" s="19"/>
      <c r="X396" s="19"/>
      <c r="Y396" s="99">
        <v>575</v>
      </c>
      <c r="AA396" s="29"/>
      <c r="AC396" s="29"/>
      <c r="AD396" s="29"/>
      <c r="AE396" s="29"/>
    </row>
    <row r="397" spans="2:31" ht="20" x14ac:dyDescent="0.2">
      <c r="B397" s="150" t="s">
        <v>1142</v>
      </c>
      <c r="C397" s="33" t="s">
        <v>106</v>
      </c>
      <c r="D397" s="33" t="s">
        <v>2876</v>
      </c>
      <c r="E397" s="175">
        <v>1</v>
      </c>
      <c r="F397" s="151" t="s">
        <v>1128</v>
      </c>
      <c r="G397" s="152">
        <v>7.56</v>
      </c>
      <c r="H397" s="152">
        <v>4.6666666666666661</v>
      </c>
      <c r="I397" s="175">
        <v>69</v>
      </c>
      <c r="J397" s="266">
        <f>_xlfn.XLOOKUP($I397,Inputs!$C$6:$C$23,Inputs!$D$6:$D$23)*$G397</f>
        <v>2.9051999999999998</v>
      </c>
      <c r="K397" s="255"/>
      <c r="L397" s="186">
        <v>713</v>
      </c>
      <c r="M397" s="186">
        <v>864</v>
      </c>
      <c r="N397" s="99">
        <f t="shared" si="88"/>
        <v>85.211703579966056</v>
      </c>
      <c r="O397" s="99">
        <f t="shared" si="89"/>
        <v>103.25794094402617</v>
      </c>
      <c r="P397" s="131">
        <v>0.9</v>
      </c>
      <c r="Q397" s="186">
        <f t="shared" si="90"/>
        <v>76.690533221969446</v>
      </c>
      <c r="R397" s="186">
        <f t="shared" si="91"/>
        <v>92.932146849623564</v>
      </c>
      <c r="S397" s="151" t="s">
        <v>2483</v>
      </c>
      <c r="T397" s="51" t="s">
        <v>2138</v>
      </c>
      <c r="U397" s="151" t="s">
        <v>2625</v>
      </c>
      <c r="V397" s="51" t="s">
        <v>2140</v>
      </c>
      <c r="W397" s="19"/>
      <c r="X397" s="19"/>
      <c r="Y397" s="99">
        <v>574</v>
      </c>
      <c r="AA397" s="29"/>
      <c r="AC397" s="29"/>
      <c r="AD397" s="29"/>
      <c r="AE397" s="29"/>
    </row>
    <row r="398" spans="2:31" ht="20" x14ac:dyDescent="0.2">
      <c r="B398" s="150" t="s">
        <v>418</v>
      </c>
      <c r="C398" s="33" t="s">
        <v>106</v>
      </c>
      <c r="D398" s="33" t="s">
        <v>2876</v>
      </c>
      <c r="E398" s="175">
        <v>1</v>
      </c>
      <c r="F398" s="151" t="s">
        <v>1128</v>
      </c>
      <c r="G398" s="152">
        <v>30</v>
      </c>
      <c r="H398" s="152">
        <v>18.518518518518519</v>
      </c>
      <c r="I398" s="175">
        <v>138</v>
      </c>
      <c r="J398" s="266">
        <f>_xlfn.XLOOKUP($I398,Inputs!$C$6:$C$23,Inputs!$D$6:$D$23)*$G398</f>
        <v>13.007142857142858</v>
      </c>
      <c r="K398" s="255"/>
      <c r="L398" s="186">
        <v>520</v>
      </c>
      <c r="M398" s="186">
        <v>735</v>
      </c>
      <c r="N398" s="99">
        <f t="shared" si="88"/>
        <v>124.29196595114263</v>
      </c>
      <c r="O398" s="99">
        <f t="shared" si="89"/>
        <v>175.68191341171124</v>
      </c>
      <c r="P398" s="131">
        <v>0.9</v>
      </c>
      <c r="Q398" s="186">
        <f t="shared" si="90"/>
        <v>111.86276935602837</v>
      </c>
      <c r="R398" s="186">
        <f t="shared" si="91"/>
        <v>158.11372207054012</v>
      </c>
      <c r="S398" s="151" t="s">
        <v>2386</v>
      </c>
      <c r="T398" s="51" t="s">
        <v>2035</v>
      </c>
      <c r="U398" s="151" t="s">
        <v>1700</v>
      </c>
      <c r="V398" s="51" t="s">
        <v>3257</v>
      </c>
      <c r="W398" s="19"/>
      <c r="X398" s="19"/>
      <c r="Y398" s="99">
        <v>15</v>
      </c>
      <c r="AA398" s="29"/>
      <c r="AC398" s="29"/>
      <c r="AD398" s="29"/>
      <c r="AE398" s="29"/>
    </row>
    <row r="399" spans="2:31" ht="20" x14ac:dyDescent="0.2">
      <c r="B399" s="150" t="s">
        <v>419</v>
      </c>
      <c r="C399" s="33" t="s">
        <v>106</v>
      </c>
      <c r="D399" s="33" t="s">
        <v>2876</v>
      </c>
      <c r="E399" s="175">
        <v>1</v>
      </c>
      <c r="F399" s="151" t="s">
        <v>1128</v>
      </c>
      <c r="G399" s="152">
        <v>40.36</v>
      </c>
      <c r="H399" s="152">
        <v>24.913580246913579</v>
      </c>
      <c r="I399" s="175">
        <v>138</v>
      </c>
      <c r="J399" s="266">
        <f>_xlfn.XLOOKUP($I399,Inputs!$C$6:$C$23,Inputs!$D$6:$D$23)*$G399</f>
        <v>17.498942857142858</v>
      </c>
      <c r="K399" s="255"/>
      <c r="L399" s="186">
        <v>520</v>
      </c>
      <c r="M399" s="3">
        <v>735</v>
      </c>
      <c r="N399" s="99">
        <f t="shared" si="88"/>
        <v>124.29196595114263</v>
      </c>
      <c r="O399" s="99">
        <f t="shared" si="89"/>
        <v>175.68191341171124</v>
      </c>
      <c r="P399" s="131">
        <v>0.9</v>
      </c>
      <c r="Q399" s="186">
        <f t="shared" si="90"/>
        <v>111.86276935602837</v>
      </c>
      <c r="R399" s="186">
        <f t="shared" si="91"/>
        <v>158.11372207054012</v>
      </c>
      <c r="S399" s="151" t="s">
        <v>2387</v>
      </c>
      <c r="T399" s="51" t="s">
        <v>2036</v>
      </c>
      <c r="U399" s="151" t="s">
        <v>1700</v>
      </c>
      <c r="V399" s="51" t="s">
        <v>3257</v>
      </c>
      <c r="W399" s="19"/>
      <c r="X399" s="19"/>
      <c r="Y399" s="99">
        <v>18</v>
      </c>
      <c r="AA399" s="29"/>
      <c r="AC399" s="29"/>
      <c r="AD399" s="29"/>
      <c r="AE399" s="29"/>
    </row>
    <row r="400" spans="2:31" ht="20" x14ac:dyDescent="0.2">
      <c r="B400" s="150" t="s">
        <v>595</v>
      </c>
      <c r="C400" s="33" t="s">
        <v>106</v>
      </c>
      <c r="D400" s="33" t="s">
        <v>2876</v>
      </c>
      <c r="E400" s="175">
        <v>1</v>
      </c>
      <c r="F400" s="151" t="s">
        <v>1128</v>
      </c>
      <c r="G400" s="152">
        <v>2.7509704999999998</v>
      </c>
      <c r="H400" s="152">
        <v>1.6981299382716046</v>
      </c>
      <c r="I400" s="175">
        <v>230</v>
      </c>
      <c r="J400" s="266">
        <f>_xlfn.XLOOKUP($I400,Inputs!$C$6:$C$23,Inputs!$D$6:$D$23)*$G400</f>
        <v>1.3204658399999998</v>
      </c>
      <c r="K400" s="255"/>
      <c r="L400" s="186">
        <v>1637</v>
      </c>
      <c r="M400" s="186">
        <v>2233</v>
      </c>
      <c r="N400" s="99">
        <f t="shared" si="88"/>
        <v>652.13444955775799</v>
      </c>
      <c r="O400" s="99">
        <f t="shared" si="89"/>
        <v>889.5639742592997</v>
      </c>
      <c r="P400" s="131">
        <v>0.9</v>
      </c>
      <c r="Q400" s="186">
        <f t="shared" si="90"/>
        <v>586.92100460198219</v>
      </c>
      <c r="R400" s="186">
        <f t="shared" si="91"/>
        <v>800.60757683336976</v>
      </c>
      <c r="S400" s="151" t="s">
        <v>1831</v>
      </c>
      <c r="T400" s="51" t="s">
        <v>3308</v>
      </c>
      <c r="U400" s="151" t="s">
        <v>1700</v>
      </c>
      <c r="V400" s="51" t="s">
        <v>3257</v>
      </c>
      <c r="W400" s="19"/>
      <c r="X400" s="19"/>
      <c r="Y400" s="99">
        <v>450</v>
      </c>
      <c r="AA400" s="29"/>
      <c r="AC400" s="29"/>
      <c r="AD400" s="29"/>
      <c r="AE400" s="29"/>
    </row>
    <row r="401" spans="2:31" ht="20" x14ac:dyDescent="0.2">
      <c r="B401" s="150" t="s">
        <v>1409</v>
      </c>
      <c r="C401" s="33" t="s">
        <v>106</v>
      </c>
      <c r="D401" s="33" t="s">
        <v>2876</v>
      </c>
      <c r="E401" s="175">
        <v>1</v>
      </c>
      <c r="F401" s="151" t="s">
        <v>1128</v>
      </c>
      <c r="G401" s="152">
        <v>3.9686343000000002</v>
      </c>
      <c r="H401" s="152">
        <v>2.4497742592592591</v>
      </c>
      <c r="I401" s="175">
        <v>138</v>
      </c>
      <c r="J401" s="266">
        <f>_xlfn.XLOOKUP($I401,Inputs!$C$6:$C$23,Inputs!$D$6:$D$23)*$G401</f>
        <v>1.7206864429285715</v>
      </c>
      <c r="K401" s="267">
        <f>IF((42.4*(H401)^(-0.6595))&gt;=3,3,(IF(42.4*(H401)^(-0.6595)&lt;=0.5,0.5,(42.4*(H401)^(-0.6595)))))</f>
        <v>3</v>
      </c>
      <c r="L401" s="99"/>
      <c r="M401" s="99"/>
      <c r="N401" s="99">
        <f t="shared" si="88"/>
        <v>0</v>
      </c>
      <c r="O401" s="99">
        <f t="shared" si="89"/>
        <v>0</v>
      </c>
      <c r="P401" s="131">
        <v>0.9</v>
      </c>
      <c r="Q401" s="305">
        <f>_xlfn.XLOOKUP($I401,Inputs!$G$6:$G$23,Inputs!J$6:J$23)*$K401</f>
        <v>141</v>
      </c>
      <c r="R401" s="305">
        <f>_xlfn.XLOOKUP($I401,Inputs!$G$6:$G$23,Inputs!K$6:K$23)*$K401</f>
        <v>156</v>
      </c>
      <c r="S401" s="151" t="s">
        <v>2392</v>
      </c>
      <c r="T401" s="51" t="s">
        <v>2042</v>
      </c>
      <c r="U401" s="151" t="s">
        <v>1701</v>
      </c>
      <c r="V401" s="51" t="s">
        <v>3438</v>
      </c>
      <c r="W401" s="19"/>
      <c r="X401" s="19"/>
      <c r="Y401" s="99">
        <v>37</v>
      </c>
      <c r="AA401" s="29"/>
      <c r="AC401" s="29"/>
      <c r="AD401" s="29"/>
      <c r="AE401" s="29"/>
    </row>
    <row r="402" spans="2:31" ht="20" x14ac:dyDescent="0.2">
      <c r="B402" s="150" t="s">
        <v>1411</v>
      </c>
      <c r="C402" s="33" t="s">
        <v>106</v>
      </c>
      <c r="D402" s="33" t="s">
        <v>2876</v>
      </c>
      <c r="E402" s="175">
        <v>1</v>
      </c>
      <c r="F402" s="151" t="s">
        <v>1128</v>
      </c>
      <c r="G402" s="152">
        <v>4.1854024000000001</v>
      </c>
      <c r="H402" s="152">
        <v>2.5835817283950617</v>
      </c>
      <c r="I402" s="175">
        <v>138</v>
      </c>
      <c r="J402" s="266">
        <f>_xlfn.XLOOKUP($I402,Inputs!$C$6:$C$23,Inputs!$D$6:$D$23)*$G402</f>
        <v>1.8146708977142858</v>
      </c>
      <c r="K402" s="267">
        <f>IF((42.4*(H402)^(-0.6595))&gt;=3,3,(IF(42.4*(H402)^(-0.6595)&lt;=0.5,0.5,(42.4*(H402)^(-0.6595)))))</f>
        <v>3</v>
      </c>
      <c r="L402" s="99"/>
      <c r="M402" s="99"/>
      <c r="N402" s="99">
        <f t="shared" si="88"/>
        <v>0</v>
      </c>
      <c r="O402" s="99">
        <f t="shared" si="89"/>
        <v>0</v>
      </c>
      <c r="P402" s="131">
        <v>0.9</v>
      </c>
      <c r="Q402" s="305">
        <f>_xlfn.XLOOKUP($I402,Inputs!$G$6:$G$23,Inputs!J$6:J$23)*$K402</f>
        <v>141</v>
      </c>
      <c r="R402" s="305">
        <f>_xlfn.XLOOKUP($I402,Inputs!$G$6:$G$23,Inputs!K$6:K$23)*$K402</f>
        <v>156</v>
      </c>
      <c r="S402" s="151" t="s">
        <v>2392</v>
      </c>
      <c r="T402" s="51" t="s">
        <v>2042</v>
      </c>
      <c r="U402" s="151" t="s">
        <v>1701</v>
      </c>
      <c r="V402" s="51" t="s">
        <v>3438</v>
      </c>
      <c r="W402" s="19"/>
      <c r="X402" s="19"/>
      <c r="Y402" s="99">
        <v>56</v>
      </c>
      <c r="AA402" s="29"/>
      <c r="AC402" s="29"/>
      <c r="AD402" s="29"/>
      <c r="AE402" s="29"/>
    </row>
    <row r="403" spans="2:31" ht="20" x14ac:dyDescent="0.2">
      <c r="B403" s="150" t="s">
        <v>425</v>
      </c>
      <c r="C403" s="33" t="s">
        <v>106</v>
      </c>
      <c r="D403" s="33" t="s">
        <v>2876</v>
      </c>
      <c r="E403" s="175">
        <v>1</v>
      </c>
      <c r="F403" s="151" t="s">
        <v>1128</v>
      </c>
      <c r="G403" s="152">
        <v>25</v>
      </c>
      <c r="H403" s="152">
        <v>15.432098765432098</v>
      </c>
      <c r="I403" s="175">
        <v>138</v>
      </c>
      <c r="J403" s="266">
        <f>_xlfn.XLOOKUP($I403,Inputs!$C$6:$C$23,Inputs!$D$6:$D$23)*$G403</f>
        <v>10.839285714285715</v>
      </c>
      <c r="K403" s="255"/>
      <c r="L403" s="186">
        <v>504</v>
      </c>
      <c r="M403" s="186">
        <v>601</v>
      </c>
      <c r="N403" s="99">
        <f t="shared" si="88"/>
        <v>120.46759776803054</v>
      </c>
      <c r="O403" s="99">
        <f t="shared" si="89"/>
        <v>143.65282987814754</v>
      </c>
      <c r="P403" s="131">
        <v>0.9</v>
      </c>
      <c r="Q403" s="186">
        <f t="shared" ref="Q403:R407" si="92">N403*$P403</f>
        <v>108.42083799122749</v>
      </c>
      <c r="R403" s="186">
        <f t="shared" si="92"/>
        <v>129.28754689033281</v>
      </c>
      <c r="S403" s="151" t="s">
        <v>1867</v>
      </c>
      <c r="T403" s="51" t="s">
        <v>3196</v>
      </c>
      <c r="U403" s="151" t="s">
        <v>2392</v>
      </c>
      <c r="V403" s="51" t="s">
        <v>2042</v>
      </c>
      <c r="W403" s="19"/>
      <c r="X403" s="19"/>
      <c r="Y403" s="99">
        <v>36</v>
      </c>
      <c r="AA403" s="29"/>
      <c r="AC403" s="29"/>
      <c r="AD403" s="29"/>
      <c r="AE403" s="29"/>
    </row>
    <row r="404" spans="2:31" ht="20" x14ac:dyDescent="0.2">
      <c r="B404" s="150" t="s">
        <v>430</v>
      </c>
      <c r="C404" s="33" t="s">
        <v>106</v>
      </c>
      <c r="D404" s="33" t="s">
        <v>2876</v>
      </c>
      <c r="E404" s="175">
        <v>1</v>
      </c>
      <c r="F404" s="151" t="s">
        <v>1128</v>
      </c>
      <c r="G404" s="152">
        <v>25</v>
      </c>
      <c r="H404" s="152">
        <v>15.432098765432098</v>
      </c>
      <c r="I404" s="175">
        <v>138</v>
      </c>
      <c r="J404" s="266">
        <f>_xlfn.XLOOKUP($I404,Inputs!$C$6:$C$23,Inputs!$D$6:$D$23)*$G404</f>
        <v>10.839285714285715</v>
      </c>
      <c r="K404" s="255"/>
      <c r="L404" s="186">
        <v>848</v>
      </c>
      <c r="M404" s="186">
        <v>1275</v>
      </c>
      <c r="N404" s="99">
        <f t="shared" si="88"/>
        <v>202.69151370494029</v>
      </c>
      <c r="O404" s="99">
        <f t="shared" si="89"/>
        <v>304.75433959174393</v>
      </c>
      <c r="P404" s="131">
        <v>0.9</v>
      </c>
      <c r="Q404" s="186">
        <f t="shared" si="92"/>
        <v>182.42236233444626</v>
      </c>
      <c r="R404" s="186">
        <f t="shared" si="92"/>
        <v>274.27890563256955</v>
      </c>
      <c r="S404" s="151" t="s">
        <v>1867</v>
      </c>
      <c r="T404" s="51" t="s">
        <v>3196</v>
      </c>
      <c r="U404" s="151" t="s">
        <v>2392</v>
      </c>
      <c r="V404" s="51" t="s">
        <v>2042</v>
      </c>
      <c r="W404" s="19"/>
      <c r="X404" s="19"/>
      <c r="Y404" s="99">
        <v>55</v>
      </c>
      <c r="AA404" s="29"/>
      <c r="AC404" s="29"/>
      <c r="AD404" s="29"/>
      <c r="AE404" s="29"/>
    </row>
    <row r="405" spans="2:31" ht="20" x14ac:dyDescent="0.2">
      <c r="B405" s="150" t="s">
        <v>1480</v>
      </c>
      <c r="C405" s="33" t="s">
        <v>106</v>
      </c>
      <c r="D405" s="33" t="s">
        <v>2876</v>
      </c>
      <c r="E405" s="175">
        <v>1</v>
      </c>
      <c r="F405" s="151" t="s">
        <v>1128</v>
      </c>
      <c r="G405" s="152">
        <v>5.1670800999999997</v>
      </c>
      <c r="H405" s="152">
        <v>3.1895556172839501</v>
      </c>
      <c r="I405" s="175">
        <v>138</v>
      </c>
      <c r="J405" s="266">
        <f>_xlfn.XLOOKUP($I405,Inputs!$C$6:$C$23,Inputs!$D$6:$D$23)*$G405</f>
        <v>2.2402983005000001</v>
      </c>
      <c r="K405" s="255"/>
      <c r="L405" s="186">
        <v>1047</v>
      </c>
      <c r="M405" s="186">
        <v>1274</v>
      </c>
      <c r="N405" s="99">
        <f t="shared" si="88"/>
        <v>250.25709298239681</v>
      </c>
      <c r="O405" s="99">
        <f t="shared" si="89"/>
        <v>304.51531658029944</v>
      </c>
      <c r="P405" s="131">
        <v>0.9</v>
      </c>
      <c r="Q405" s="186">
        <f t="shared" si="92"/>
        <v>225.23138368415712</v>
      </c>
      <c r="R405" s="186">
        <f t="shared" si="92"/>
        <v>274.06378492226952</v>
      </c>
      <c r="S405" s="151" t="s">
        <v>2445</v>
      </c>
      <c r="T405" s="51" t="s">
        <v>2097</v>
      </c>
      <c r="U405" s="151" t="s">
        <v>2023</v>
      </c>
      <c r="V405" s="179" t="s">
        <v>3439</v>
      </c>
      <c r="W405" s="19"/>
      <c r="X405" s="19"/>
      <c r="Y405" s="99">
        <v>253</v>
      </c>
      <c r="AA405" s="29"/>
      <c r="AC405" s="29"/>
      <c r="AD405" s="29"/>
      <c r="AE405" s="29"/>
    </row>
    <row r="406" spans="2:31" ht="20" x14ac:dyDescent="0.2">
      <c r="B406" s="150" t="s">
        <v>489</v>
      </c>
      <c r="C406" s="33" t="s">
        <v>106</v>
      </c>
      <c r="D406" s="33" t="s">
        <v>2876</v>
      </c>
      <c r="E406" s="175">
        <v>1</v>
      </c>
      <c r="F406" s="151" t="s">
        <v>1128</v>
      </c>
      <c r="G406" s="152">
        <v>5</v>
      </c>
      <c r="H406" s="152">
        <v>3.0864197530864197</v>
      </c>
      <c r="I406" s="175">
        <v>138</v>
      </c>
      <c r="J406" s="266">
        <f>_xlfn.XLOOKUP($I406,Inputs!$C$6:$C$23,Inputs!$D$6:$D$23)*$G406</f>
        <v>2.1678571428571431</v>
      </c>
      <c r="K406" s="255"/>
      <c r="L406" s="186">
        <v>265</v>
      </c>
      <c r="M406" s="186">
        <v>442</v>
      </c>
      <c r="N406" s="99">
        <f t="shared" si="88"/>
        <v>63.341098032793838</v>
      </c>
      <c r="O406" s="99">
        <f t="shared" si="89"/>
        <v>105.64817105847125</v>
      </c>
      <c r="P406" s="131">
        <v>0.9</v>
      </c>
      <c r="Q406" s="186">
        <f t="shared" si="92"/>
        <v>57.006988229514455</v>
      </c>
      <c r="R406" s="186">
        <f t="shared" si="92"/>
        <v>95.083353952624122</v>
      </c>
      <c r="S406" s="151" t="s">
        <v>2444</v>
      </c>
      <c r="T406" s="51" t="s">
        <v>2095</v>
      </c>
      <c r="U406" s="151" t="s">
        <v>2445</v>
      </c>
      <c r="V406" s="51" t="s">
        <v>2097</v>
      </c>
      <c r="W406" s="19"/>
      <c r="X406" s="19"/>
      <c r="Y406" s="99">
        <v>252</v>
      </c>
      <c r="AA406" s="29"/>
      <c r="AC406" s="29"/>
      <c r="AD406" s="29"/>
      <c r="AE406" s="29"/>
    </row>
    <row r="407" spans="2:31" ht="20" x14ac:dyDescent="0.2">
      <c r="B407" s="150" t="s">
        <v>458</v>
      </c>
      <c r="C407" s="33" t="s">
        <v>106</v>
      </c>
      <c r="D407" s="33" t="s">
        <v>2876</v>
      </c>
      <c r="E407" s="175">
        <v>1</v>
      </c>
      <c r="F407" s="151" t="s">
        <v>1128</v>
      </c>
      <c r="G407" s="152">
        <v>13.835912899999999</v>
      </c>
      <c r="H407" s="152">
        <v>8.5406869753086401</v>
      </c>
      <c r="I407" s="175">
        <v>138</v>
      </c>
      <c r="J407" s="266">
        <f>_xlfn.XLOOKUP($I407,Inputs!$C$6:$C$23,Inputs!$D$6:$D$23)*$G407</f>
        <v>5.9988565216428569</v>
      </c>
      <c r="K407" s="255"/>
      <c r="L407" s="186">
        <v>337</v>
      </c>
      <c r="M407" s="186">
        <v>635</v>
      </c>
      <c r="N407" s="99">
        <f t="shared" si="88"/>
        <v>80.550754856798207</v>
      </c>
      <c r="O407" s="99">
        <f t="shared" si="89"/>
        <v>151.77961226726069</v>
      </c>
      <c r="P407" s="131">
        <v>0.9</v>
      </c>
      <c r="Q407" s="186">
        <f t="shared" si="92"/>
        <v>72.495679371118385</v>
      </c>
      <c r="R407" s="186">
        <f t="shared" si="92"/>
        <v>136.60165104053462</v>
      </c>
      <c r="S407" s="151" t="s">
        <v>184</v>
      </c>
      <c r="T407" s="51" t="s">
        <v>3253</v>
      </c>
      <c r="U407" s="151" t="s">
        <v>1702</v>
      </c>
      <c r="V407" s="179" t="s">
        <v>3650</v>
      </c>
      <c r="W407" s="19"/>
      <c r="X407" s="19"/>
      <c r="Y407" s="99">
        <v>139</v>
      </c>
      <c r="AA407" s="29"/>
      <c r="AC407" s="29"/>
      <c r="AD407" s="29"/>
      <c r="AE407" s="29"/>
    </row>
    <row r="408" spans="2:31" s="165" customFormat="1" ht="20" x14ac:dyDescent="0.2">
      <c r="B408" s="150" t="s">
        <v>1386</v>
      </c>
      <c r="C408" s="33" t="s">
        <v>106</v>
      </c>
      <c r="D408" s="33" t="s">
        <v>2876</v>
      </c>
      <c r="E408" s="175">
        <v>1</v>
      </c>
      <c r="F408" s="151" t="s">
        <v>1128</v>
      </c>
      <c r="G408" s="152">
        <v>1.2542899999999999E-2</v>
      </c>
      <c r="H408" s="152">
        <v>7.7425308641975296E-3</v>
      </c>
      <c r="I408" s="175">
        <v>69</v>
      </c>
      <c r="J408" s="266">
        <f>_xlfn.XLOOKUP($I408,Inputs!$C$6:$C$23,Inputs!$D$6:$D$23)*$G408</f>
        <v>4.8200572857142856E-3</v>
      </c>
      <c r="K408" s="267">
        <f>IF((42.4*(H408)^(-0.6595))&gt;=3,3,(IF(42.4*(H408)^(-0.6595)&lt;=0.5,0.5,(42.4*(H408)^(-0.6595)))))</f>
        <v>3</v>
      </c>
      <c r="L408" s="99"/>
      <c r="M408" s="99"/>
      <c r="N408" s="99">
        <f t="shared" si="88"/>
        <v>0</v>
      </c>
      <c r="O408" s="99">
        <f t="shared" si="89"/>
        <v>0</v>
      </c>
      <c r="P408" s="131">
        <v>0.9</v>
      </c>
      <c r="Q408" s="305">
        <f>_xlfn.XLOOKUP($I408,Inputs!$G$6:$G$23,Inputs!J$6:J$23)*$K408</f>
        <v>36</v>
      </c>
      <c r="R408" s="305">
        <f>_xlfn.XLOOKUP($I408,Inputs!$G$6:$G$23,Inputs!K$6:K$23)*$K408</f>
        <v>39</v>
      </c>
      <c r="S408" s="151" t="s">
        <v>2604</v>
      </c>
      <c r="T408" s="51" t="s">
        <v>2264</v>
      </c>
      <c r="U408" s="151" t="s">
        <v>1703</v>
      </c>
      <c r="V408" s="51" t="s">
        <v>3440</v>
      </c>
      <c r="W408" s="19"/>
      <c r="X408" s="19"/>
      <c r="Y408" s="99">
        <v>997</v>
      </c>
    </row>
    <row r="409" spans="2:31" ht="20" x14ac:dyDescent="0.2">
      <c r="B409" s="150" t="s">
        <v>1401</v>
      </c>
      <c r="C409" s="33" t="s">
        <v>106</v>
      </c>
      <c r="D409" s="33" t="s">
        <v>2876</v>
      </c>
      <c r="E409" s="175">
        <v>1</v>
      </c>
      <c r="F409" s="151" t="s">
        <v>1128</v>
      </c>
      <c r="G409" s="152">
        <v>2.61</v>
      </c>
      <c r="H409" s="152">
        <v>1.6111111111111109</v>
      </c>
      <c r="I409" s="175">
        <v>69</v>
      </c>
      <c r="J409" s="266">
        <f>_xlfn.XLOOKUP($I409,Inputs!$C$6:$C$23,Inputs!$D$6:$D$23)*$G409</f>
        <v>1.0029857142857141</v>
      </c>
      <c r="K409" s="255"/>
      <c r="L409" s="186">
        <v>230</v>
      </c>
      <c r="M409" s="186">
        <v>380</v>
      </c>
      <c r="N409" s="99">
        <f t="shared" si="88"/>
        <v>27.487646316118084</v>
      </c>
      <c r="O409" s="99">
        <f t="shared" si="89"/>
        <v>45.414372174455956</v>
      </c>
      <c r="P409" s="131">
        <v>0.9</v>
      </c>
      <c r="Q409" s="186">
        <f>N409*$P409</f>
        <v>24.738881684506275</v>
      </c>
      <c r="R409" s="186">
        <f>O409*$P409</f>
        <v>40.872934957010358</v>
      </c>
      <c r="S409" s="151" t="s">
        <v>2603</v>
      </c>
      <c r="T409" s="51" t="s">
        <v>2263</v>
      </c>
      <c r="U409" s="151" t="s">
        <v>2604</v>
      </c>
      <c r="V409" s="51" t="s">
        <v>2264</v>
      </c>
      <c r="W409" s="19"/>
      <c r="X409" s="19"/>
      <c r="Y409" s="99">
        <v>996</v>
      </c>
      <c r="AA409" s="29"/>
      <c r="AC409" s="29"/>
      <c r="AD409" s="29"/>
      <c r="AE409" s="29"/>
    </row>
    <row r="410" spans="2:31" ht="20" x14ac:dyDescent="0.2">
      <c r="B410" s="150" t="s">
        <v>1294</v>
      </c>
      <c r="C410" s="33" t="s">
        <v>106</v>
      </c>
      <c r="D410" s="33" t="s">
        <v>2876</v>
      </c>
      <c r="E410" s="175">
        <v>1</v>
      </c>
      <c r="F410" s="151" t="s">
        <v>1128</v>
      </c>
      <c r="G410" s="152">
        <v>20</v>
      </c>
      <c r="H410" s="152">
        <v>12.345679012345679</v>
      </c>
      <c r="I410" s="175">
        <v>69</v>
      </c>
      <c r="J410" s="266">
        <f>_xlfn.XLOOKUP($I410,Inputs!$C$6:$C$23,Inputs!$D$6:$D$23)*$G410</f>
        <v>7.6857142857142859</v>
      </c>
      <c r="K410" s="255"/>
      <c r="L410" s="186">
        <v>490</v>
      </c>
      <c r="M410" s="186">
        <v>627</v>
      </c>
      <c r="N410" s="99">
        <f t="shared" si="88"/>
        <v>58.560637803903738</v>
      </c>
      <c r="O410" s="99">
        <f t="shared" si="89"/>
        <v>74.933714087852337</v>
      </c>
      <c r="P410" s="131">
        <v>0.9</v>
      </c>
      <c r="Q410" s="186">
        <f>N410*$P410</f>
        <v>52.704574023513366</v>
      </c>
      <c r="R410" s="186">
        <f>O410*$P410</f>
        <v>67.440342679067101</v>
      </c>
      <c r="S410" s="151" t="s">
        <v>2549</v>
      </c>
      <c r="T410" s="51" t="s">
        <v>2206</v>
      </c>
      <c r="U410" s="151" t="s">
        <v>1704</v>
      </c>
      <c r="V410" s="51" t="s">
        <v>3651</v>
      </c>
      <c r="W410" s="19"/>
      <c r="X410" s="19"/>
      <c r="Y410" s="99">
        <v>836</v>
      </c>
      <c r="AA410" s="29"/>
      <c r="AC410" s="29"/>
      <c r="AD410" s="29"/>
      <c r="AE410" s="29"/>
    </row>
    <row r="411" spans="2:31" ht="20" x14ac:dyDescent="0.2">
      <c r="B411" s="150" t="s">
        <v>1156</v>
      </c>
      <c r="C411" s="33" t="s">
        <v>106</v>
      </c>
      <c r="D411" s="33" t="s">
        <v>2876</v>
      </c>
      <c r="E411" s="175">
        <v>1</v>
      </c>
      <c r="F411" s="151" t="s">
        <v>1128</v>
      </c>
      <c r="G411" s="152">
        <v>1.4063599999999999E-2</v>
      </c>
      <c r="H411" s="152">
        <v>8.6812345679012342E-3</v>
      </c>
      <c r="I411" s="175">
        <v>69</v>
      </c>
      <c r="J411" s="266">
        <f>_xlfn.XLOOKUP($I411,Inputs!$C$6:$C$23,Inputs!$D$6:$D$23)*$G411</f>
        <v>5.4044405714285711E-3</v>
      </c>
      <c r="K411" s="267">
        <f>IF((42.4*(H411)^(-0.6595))&gt;=3,3,(IF(42.4*(H411)^(-0.6595)&lt;=0.5,0.5,(42.4*(H411)^(-0.6595)))))</f>
        <v>3</v>
      </c>
      <c r="L411" s="99"/>
      <c r="M411" s="99"/>
      <c r="N411" s="99">
        <f t="shared" si="88"/>
        <v>0</v>
      </c>
      <c r="O411" s="99">
        <f t="shared" si="89"/>
        <v>0</v>
      </c>
      <c r="P411" s="131">
        <v>0.9</v>
      </c>
      <c r="Q411" s="305">
        <f>_xlfn.XLOOKUP($I411,Inputs!$G$6:$G$23,Inputs!J$6:J$23)*$K411</f>
        <v>36</v>
      </c>
      <c r="R411" s="305">
        <f>_xlfn.XLOOKUP($I411,Inputs!$G$6:$G$23,Inputs!K$6:K$23)*$K411</f>
        <v>39</v>
      </c>
      <c r="S411" s="151" t="s">
        <v>2492</v>
      </c>
      <c r="T411" s="51" t="s">
        <v>2148</v>
      </c>
      <c r="U411" s="151" t="s">
        <v>1705</v>
      </c>
      <c r="V411" s="51" t="s">
        <v>3441</v>
      </c>
      <c r="W411" s="19"/>
      <c r="X411" s="19"/>
      <c r="Y411" s="99">
        <v>604</v>
      </c>
      <c r="AA411" s="29"/>
      <c r="AC411" s="29"/>
      <c r="AD411" s="29"/>
      <c r="AE411" s="29"/>
    </row>
    <row r="412" spans="2:31" ht="20" x14ac:dyDescent="0.2">
      <c r="B412" s="150" t="s">
        <v>1158</v>
      </c>
      <c r="C412" s="33" t="s">
        <v>106</v>
      </c>
      <c r="D412" s="33" t="s">
        <v>2876</v>
      </c>
      <c r="E412" s="175">
        <v>1</v>
      </c>
      <c r="F412" s="151" t="s">
        <v>1128</v>
      </c>
      <c r="G412" s="152">
        <v>2</v>
      </c>
      <c r="H412" s="152">
        <v>1.2345679012345678</v>
      </c>
      <c r="I412" s="175">
        <v>69</v>
      </c>
      <c r="J412" s="266">
        <f>_xlfn.XLOOKUP($I412,Inputs!$C$6:$C$23,Inputs!$D$6:$D$23)*$G412</f>
        <v>0.76857142857142857</v>
      </c>
      <c r="K412" s="255"/>
      <c r="L412" s="186">
        <v>490</v>
      </c>
      <c r="M412" s="3">
        <v>700</v>
      </c>
      <c r="N412" s="99">
        <f t="shared" si="88"/>
        <v>58.560637803903738</v>
      </c>
      <c r="O412" s="99">
        <f t="shared" si="89"/>
        <v>83.658054005576759</v>
      </c>
      <c r="P412" s="131">
        <v>0.9</v>
      </c>
      <c r="Q412" s="186">
        <f>N412*$P412</f>
        <v>52.704574023513366</v>
      </c>
      <c r="R412" s="186">
        <f>O412*$P412</f>
        <v>75.292248605019083</v>
      </c>
      <c r="S412" s="151" t="s">
        <v>2491</v>
      </c>
      <c r="T412" s="51" t="s">
        <v>2149</v>
      </c>
      <c r="U412" s="151" t="s">
        <v>2492</v>
      </c>
      <c r="V412" s="51" t="s">
        <v>2148</v>
      </c>
      <c r="W412" s="19"/>
      <c r="X412" s="19"/>
      <c r="Y412" s="99">
        <v>603</v>
      </c>
      <c r="AA412" s="29"/>
      <c r="AC412" s="29"/>
      <c r="AD412" s="29"/>
      <c r="AE412" s="29"/>
    </row>
    <row r="413" spans="2:31" ht="20" x14ac:dyDescent="0.2">
      <c r="B413" s="151" t="s">
        <v>1396</v>
      </c>
      <c r="C413" s="33" t="s">
        <v>106</v>
      </c>
      <c r="D413" s="33" t="s">
        <v>2876</v>
      </c>
      <c r="E413" s="175">
        <v>1</v>
      </c>
      <c r="F413" s="151" t="s">
        <v>1128</v>
      </c>
      <c r="G413" s="174">
        <v>3</v>
      </c>
      <c r="H413" s="152">
        <v>1.8518518518518516</v>
      </c>
      <c r="I413" s="175">
        <v>69</v>
      </c>
      <c r="J413" s="266">
        <f>_xlfn.XLOOKUP($I413,Inputs!$C$6:$C$23,Inputs!$D$6:$D$23)*$G413</f>
        <v>1.1528571428571428</v>
      </c>
      <c r="K413" s="267">
        <f>IF((42.4*(H413)^(-0.6595))&gt;=3,3,(IF(42.4*(H413)^(-0.6595)&lt;=0.5,0.5,(42.4*(H413)^(-0.6595)))))</f>
        <v>3</v>
      </c>
      <c r="L413" s="99"/>
      <c r="M413" s="99"/>
      <c r="N413" s="99">
        <f t="shared" si="88"/>
        <v>0</v>
      </c>
      <c r="O413" s="99">
        <f t="shared" si="89"/>
        <v>0</v>
      </c>
      <c r="P413" s="131">
        <v>0.9</v>
      </c>
      <c r="Q413" s="305">
        <f>_xlfn.XLOOKUP($I413,Inputs!$G$6:$G$23,Inputs!J$6:J$23)*$K413</f>
        <v>36</v>
      </c>
      <c r="R413" s="305">
        <f>_xlfn.XLOOKUP($I413,Inputs!$G$6:$G$23,Inputs!K$6:K$23)*$K413</f>
        <v>39</v>
      </c>
      <c r="S413" s="151" t="s">
        <v>2548</v>
      </c>
      <c r="T413" s="51" t="s">
        <v>2205</v>
      </c>
      <c r="U413" s="151" t="s">
        <v>1706</v>
      </c>
      <c r="V413" s="179" t="s">
        <v>3442</v>
      </c>
      <c r="W413" s="19"/>
      <c r="X413" s="19"/>
      <c r="Y413" s="99">
        <v>833</v>
      </c>
      <c r="AA413" s="29"/>
      <c r="AC413" s="29"/>
      <c r="AD413" s="29"/>
      <c r="AE413" s="29"/>
    </row>
    <row r="414" spans="2:31" s="165" customFormat="1" ht="20" x14ac:dyDescent="0.2">
      <c r="B414" s="150" t="s">
        <v>1294</v>
      </c>
      <c r="C414" s="33" t="s">
        <v>106</v>
      </c>
      <c r="D414" s="33" t="s">
        <v>2876</v>
      </c>
      <c r="E414" s="175">
        <v>1</v>
      </c>
      <c r="F414" s="151" t="s">
        <v>1128</v>
      </c>
      <c r="G414" s="152">
        <v>34.68</v>
      </c>
      <c r="H414" s="152">
        <v>21.407407407407405</v>
      </c>
      <c r="I414" s="175">
        <v>69</v>
      </c>
      <c r="J414" s="266">
        <f>_xlfn.XLOOKUP($I414,Inputs!$C$6:$C$23,Inputs!$D$6:$D$23)*$G414</f>
        <v>13.327028571428571</v>
      </c>
      <c r="K414" s="255"/>
      <c r="L414" s="186">
        <v>490</v>
      </c>
      <c r="M414" s="186">
        <v>627</v>
      </c>
      <c r="N414" s="99">
        <f t="shared" si="88"/>
        <v>58.560637803903738</v>
      </c>
      <c r="O414" s="99">
        <f t="shared" si="89"/>
        <v>74.933714087852337</v>
      </c>
      <c r="P414" s="131">
        <v>0.9</v>
      </c>
      <c r="Q414" s="186">
        <f t="shared" ref="Q414:R418" si="93">N414*$P414</f>
        <v>52.704574023513366</v>
      </c>
      <c r="R414" s="186">
        <f t="shared" si="93"/>
        <v>67.440342679067101</v>
      </c>
      <c r="S414" s="151" t="s">
        <v>1777</v>
      </c>
      <c r="T414" s="51" t="s">
        <v>3143</v>
      </c>
      <c r="U414" s="151" t="s">
        <v>2548</v>
      </c>
      <c r="V414" s="179" t="s">
        <v>2205</v>
      </c>
      <c r="W414" s="19"/>
      <c r="X414" s="19"/>
      <c r="Y414" s="99">
        <v>832</v>
      </c>
    </row>
    <row r="415" spans="2:31" ht="20" x14ac:dyDescent="0.2">
      <c r="B415" s="150" t="s">
        <v>420</v>
      </c>
      <c r="C415" s="33" t="s">
        <v>106</v>
      </c>
      <c r="D415" s="33" t="s">
        <v>2876</v>
      </c>
      <c r="E415" s="175">
        <v>1</v>
      </c>
      <c r="F415" s="151" t="s">
        <v>1128</v>
      </c>
      <c r="G415" s="152">
        <v>6.3181852000000003</v>
      </c>
      <c r="H415" s="152">
        <v>3.9001143209876541</v>
      </c>
      <c r="I415" s="175">
        <v>138</v>
      </c>
      <c r="J415" s="266">
        <f>_xlfn.XLOOKUP($I415,Inputs!$C$6:$C$23,Inputs!$D$6:$D$23)*$G415</f>
        <v>2.7393845831428574</v>
      </c>
      <c r="K415" s="255"/>
      <c r="L415" s="186">
        <v>725</v>
      </c>
      <c r="M415" s="186">
        <v>925</v>
      </c>
      <c r="N415" s="99">
        <f t="shared" si="88"/>
        <v>173.29168329726616</v>
      </c>
      <c r="O415" s="99">
        <f t="shared" si="89"/>
        <v>221.0962855861672</v>
      </c>
      <c r="P415" s="131">
        <v>0.9</v>
      </c>
      <c r="Q415" s="186">
        <f t="shared" si="93"/>
        <v>155.96251496753956</v>
      </c>
      <c r="R415" s="186">
        <f t="shared" si="93"/>
        <v>198.98665702755048</v>
      </c>
      <c r="S415" s="151" t="s">
        <v>1700</v>
      </c>
      <c r="T415" s="51" t="s">
        <v>3257</v>
      </c>
      <c r="U415" s="151" t="s">
        <v>1707</v>
      </c>
      <c r="V415" s="179" t="s">
        <v>3258</v>
      </c>
      <c r="W415" s="19"/>
      <c r="X415" s="19"/>
      <c r="Y415" s="99">
        <v>19</v>
      </c>
      <c r="AA415" s="29"/>
      <c r="AC415" s="29"/>
      <c r="AD415" s="29"/>
      <c r="AE415" s="29"/>
    </row>
    <row r="416" spans="2:31" ht="20" x14ac:dyDescent="0.2">
      <c r="B416" s="150" t="s">
        <v>421</v>
      </c>
      <c r="C416" s="33" t="s">
        <v>106</v>
      </c>
      <c r="D416" s="33" t="s">
        <v>2876</v>
      </c>
      <c r="E416" s="175">
        <v>1</v>
      </c>
      <c r="F416" s="151" t="s">
        <v>1128</v>
      </c>
      <c r="G416" s="152">
        <v>40.92</v>
      </c>
      <c r="H416" s="152">
        <v>25.25925925925926</v>
      </c>
      <c r="I416" s="175">
        <v>138</v>
      </c>
      <c r="J416" s="266">
        <f>_xlfn.XLOOKUP($I416,Inputs!$C$6:$C$23,Inputs!$D$6:$D$23)*$G416</f>
        <v>17.74174285714286</v>
      </c>
      <c r="K416" s="255"/>
      <c r="L416" s="186">
        <v>725</v>
      </c>
      <c r="M416" s="186">
        <v>925</v>
      </c>
      <c r="N416" s="99">
        <f t="shared" si="88"/>
        <v>173.29168329726616</v>
      </c>
      <c r="O416" s="99">
        <f t="shared" si="89"/>
        <v>221.0962855861672</v>
      </c>
      <c r="P416" s="131">
        <v>0.9</v>
      </c>
      <c r="Q416" s="186">
        <f t="shared" si="93"/>
        <v>155.96251496753956</v>
      </c>
      <c r="R416" s="186">
        <f t="shared" si="93"/>
        <v>198.98665702755048</v>
      </c>
      <c r="S416" s="151" t="s">
        <v>2386</v>
      </c>
      <c r="T416" s="51" t="s">
        <v>2035</v>
      </c>
      <c r="U416" s="151" t="s">
        <v>1707</v>
      </c>
      <c r="V416" s="51" t="s">
        <v>3258</v>
      </c>
      <c r="W416" s="19"/>
      <c r="X416" s="19"/>
      <c r="Y416" s="99">
        <v>24</v>
      </c>
      <c r="AA416" s="29"/>
      <c r="AC416" s="29"/>
      <c r="AD416" s="29"/>
      <c r="AE416" s="29"/>
    </row>
    <row r="417" spans="2:31" ht="20" x14ac:dyDescent="0.2">
      <c r="B417" s="150" t="s">
        <v>2614</v>
      </c>
      <c r="C417" s="33" t="s">
        <v>106</v>
      </c>
      <c r="D417" s="33" t="s">
        <v>2876</v>
      </c>
      <c r="E417" s="175">
        <v>1</v>
      </c>
      <c r="F417" s="151" t="s">
        <v>1128</v>
      </c>
      <c r="G417" s="152">
        <v>0.02</v>
      </c>
      <c r="H417" s="152">
        <v>1.2345679012345678E-2</v>
      </c>
      <c r="I417" s="175">
        <v>69</v>
      </c>
      <c r="J417" s="266">
        <f>_xlfn.XLOOKUP($I417,Inputs!$C$6:$C$23,Inputs!$D$6:$D$23)*$G417</f>
        <v>7.6857142857142862E-3</v>
      </c>
      <c r="K417" s="255"/>
      <c r="L417" s="186">
        <v>493</v>
      </c>
      <c r="M417" s="186">
        <v>625</v>
      </c>
      <c r="N417" s="99">
        <f t="shared" si="88"/>
        <v>58.919172321070498</v>
      </c>
      <c r="O417" s="99">
        <f t="shared" si="89"/>
        <v>74.694691076407835</v>
      </c>
      <c r="P417" s="131">
        <v>0.9</v>
      </c>
      <c r="Q417" s="186">
        <f t="shared" si="93"/>
        <v>53.02725508896345</v>
      </c>
      <c r="R417" s="186">
        <f t="shared" si="93"/>
        <v>67.225221968767059</v>
      </c>
      <c r="S417" s="151" t="s">
        <v>2612</v>
      </c>
      <c r="T417" s="51" t="s">
        <v>2613</v>
      </c>
      <c r="U417" s="151" t="s">
        <v>2615</v>
      </c>
      <c r="V417" s="51" t="s">
        <v>3444</v>
      </c>
      <c r="W417" s="19"/>
      <c r="X417" s="19"/>
      <c r="Y417" s="99">
        <v>894</v>
      </c>
      <c r="AA417" s="29"/>
      <c r="AC417" s="29"/>
      <c r="AD417" s="29"/>
      <c r="AE417" s="29"/>
    </row>
    <row r="418" spans="2:31" ht="20" x14ac:dyDescent="0.2">
      <c r="B418" s="150" t="s">
        <v>1329</v>
      </c>
      <c r="C418" s="33" t="s">
        <v>106</v>
      </c>
      <c r="D418" s="33" t="s">
        <v>2876</v>
      </c>
      <c r="E418" s="175">
        <v>1</v>
      </c>
      <c r="F418" s="151" t="s">
        <v>1128</v>
      </c>
      <c r="G418" s="152">
        <v>50</v>
      </c>
      <c r="H418" s="152">
        <v>30.864197530864196</v>
      </c>
      <c r="I418" s="175">
        <v>69</v>
      </c>
      <c r="J418" s="266">
        <f>_xlfn.XLOOKUP($I418,Inputs!$C$6:$C$23,Inputs!$D$6:$D$23)*$G418</f>
        <v>19.214285714285715</v>
      </c>
      <c r="K418" s="255"/>
      <c r="L418" s="186">
        <v>850</v>
      </c>
      <c r="M418" s="3">
        <v>1020</v>
      </c>
      <c r="N418" s="99">
        <f t="shared" si="88"/>
        <v>101.58477986391465</v>
      </c>
      <c r="O418" s="99">
        <f t="shared" si="89"/>
        <v>121.90173583669757</v>
      </c>
      <c r="P418" s="131">
        <v>0.9</v>
      </c>
      <c r="Q418" s="186">
        <f t="shared" si="93"/>
        <v>91.426301877523187</v>
      </c>
      <c r="R418" s="186">
        <f t="shared" si="93"/>
        <v>109.71156225302781</v>
      </c>
      <c r="S418" s="151" t="s">
        <v>2568</v>
      </c>
      <c r="T418" s="51" t="s">
        <v>2229</v>
      </c>
      <c r="U418" s="151" t="s">
        <v>2612</v>
      </c>
      <c r="V418" s="179" t="s">
        <v>2613</v>
      </c>
      <c r="W418" s="19"/>
      <c r="X418" s="19"/>
      <c r="Y418" s="99">
        <v>892</v>
      </c>
      <c r="AA418" s="29"/>
      <c r="AC418" s="29"/>
      <c r="AD418" s="29"/>
      <c r="AE418" s="29"/>
    </row>
    <row r="419" spans="2:31" ht="20" x14ac:dyDescent="0.2">
      <c r="B419" s="150" t="s">
        <v>1283</v>
      </c>
      <c r="C419" s="33" t="s">
        <v>106</v>
      </c>
      <c r="D419" s="33" t="s">
        <v>2876</v>
      </c>
      <c r="E419" s="175">
        <v>1</v>
      </c>
      <c r="F419" s="151" t="s">
        <v>1128</v>
      </c>
      <c r="G419" s="152">
        <v>0.19307009999999999</v>
      </c>
      <c r="H419" s="152">
        <v>0.11917907407407406</v>
      </c>
      <c r="I419" s="175">
        <v>69</v>
      </c>
      <c r="J419" s="266">
        <f>_xlfn.XLOOKUP($I419,Inputs!$C$6:$C$23,Inputs!$D$6:$D$23)*$G419</f>
        <v>7.4194081285714281E-2</v>
      </c>
      <c r="K419" s="267">
        <f>IF((42.4*(H419)^(-0.6595))&gt;=3,3,(IF(42.4*(H419)^(-0.6595)&lt;=0.5,0.5,(42.4*(H419)^(-0.6595)))))</f>
        <v>3</v>
      </c>
      <c r="L419" s="99"/>
      <c r="M419" s="99"/>
      <c r="N419" s="99">
        <f t="shared" si="88"/>
        <v>0</v>
      </c>
      <c r="O419" s="99">
        <f t="shared" si="89"/>
        <v>0</v>
      </c>
      <c r="P419" s="131">
        <v>0.9</v>
      </c>
      <c r="Q419" s="305">
        <f>_xlfn.XLOOKUP($I419,Inputs!$G$6:$G$23,Inputs!J$6:J$23)*$K419</f>
        <v>36</v>
      </c>
      <c r="R419" s="305">
        <f>_xlfn.XLOOKUP($I419,Inputs!$G$6:$G$23,Inputs!K$6:K$23)*$K419</f>
        <v>39</v>
      </c>
      <c r="S419" s="151" t="s">
        <v>2541</v>
      </c>
      <c r="T419" s="51" t="s">
        <v>2198</v>
      </c>
      <c r="U419" s="151" t="s">
        <v>1708</v>
      </c>
      <c r="V419" s="51" t="s">
        <v>3599</v>
      </c>
      <c r="W419" s="19"/>
      <c r="X419" s="19"/>
      <c r="Y419" s="99">
        <v>813</v>
      </c>
      <c r="AA419" s="29"/>
      <c r="AC419" s="29"/>
      <c r="AD419" s="29"/>
      <c r="AE419" s="29"/>
    </row>
    <row r="420" spans="2:31" ht="20" x14ac:dyDescent="0.2">
      <c r="B420" s="150" t="s">
        <v>1280</v>
      </c>
      <c r="C420" s="33" t="s">
        <v>106</v>
      </c>
      <c r="D420" s="33" t="s">
        <v>2876</v>
      </c>
      <c r="E420" s="175">
        <v>1</v>
      </c>
      <c r="F420" s="151" t="s">
        <v>1128</v>
      </c>
      <c r="G420" s="152">
        <v>6</v>
      </c>
      <c r="H420" s="152">
        <v>3.7037037037037033</v>
      </c>
      <c r="I420" s="175">
        <v>69</v>
      </c>
      <c r="J420" s="266">
        <f>_xlfn.XLOOKUP($I420,Inputs!$C$6:$C$23,Inputs!$D$6:$D$23)*$G420</f>
        <v>2.3057142857142856</v>
      </c>
      <c r="K420" s="255"/>
      <c r="L420" s="186">
        <v>505</v>
      </c>
      <c r="M420" s="186">
        <v>601</v>
      </c>
      <c r="N420" s="99">
        <f t="shared" si="88"/>
        <v>60.353310389737523</v>
      </c>
      <c r="O420" s="99">
        <f t="shared" si="89"/>
        <v>71.826414939073771</v>
      </c>
      <c r="P420" s="131">
        <v>0.9</v>
      </c>
      <c r="Q420" s="186">
        <f t="shared" ref="Q420:R422" si="94">N420*$P420</f>
        <v>54.317979350763771</v>
      </c>
      <c r="R420" s="186">
        <f t="shared" si="94"/>
        <v>64.643773445166403</v>
      </c>
      <c r="S420" s="151" t="s">
        <v>2540</v>
      </c>
      <c r="T420" s="51" t="s">
        <v>2200</v>
      </c>
      <c r="U420" s="151" t="s">
        <v>2541</v>
      </c>
      <c r="V420" s="51" t="s">
        <v>2198</v>
      </c>
      <c r="W420" s="19"/>
      <c r="X420" s="19"/>
      <c r="Y420" s="99">
        <v>812</v>
      </c>
      <c r="AA420" s="29"/>
      <c r="AC420" s="29"/>
      <c r="AD420" s="29"/>
      <c r="AE420" s="29"/>
    </row>
    <row r="421" spans="2:31" ht="20" x14ac:dyDescent="0.2">
      <c r="B421" s="150" t="s">
        <v>1364</v>
      </c>
      <c r="C421" s="33" t="s">
        <v>106</v>
      </c>
      <c r="D421" s="33" t="s">
        <v>2876</v>
      </c>
      <c r="E421" s="175">
        <v>1</v>
      </c>
      <c r="F421" s="151" t="s">
        <v>1128</v>
      </c>
      <c r="G421" s="152">
        <v>0.21217269999999999</v>
      </c>
      <c r="H421" s="152">
        <v>0.13097080246913578</v>
      </c>
      <c r="I421" s="175">
        <v>69</v>
      </c>
      <c r="J421" s="266">
        <f>_xlfn.XLOOKUP($I421,Inputs!$C$6:$C$23,Inputs!$D$6:$D$23)*$G421</f>
        <v>8.1534937571428573E-2</v>
      </c>
      <c r="K421" s="255"/>
      <c r="L421" s="186">
        <v>493</v>
      </c>
      <c r="M421" s="186">
        <v>625</v>
      </c>
      <c r="N421" s="99">
        <f t="shared" si="88"/>
        <v>58.919172321070498</v>
      </c>
      <c r="O421" s="99">
        <f t="shared" si="89"/>
        <v>74.694691076407835</v>
      </c>
      <c r="P421" s="131">
        <v>0.9</v>
      </c>
      <c r="Q421" s="186">
        <f t="shared" si="94"/>
        <v>53.02725508896345</v>
      </c>
      <c r="R421" s="186">
        <f t="shared" si="94"/>
        <v>67.225221968767059</v>
      </c>
      <c r="S421" s="184" t="s">
        <v>2592</v>
      </c>
      <c r="T421" s="51" t="s">
        <v>2251</v>
      </c>
      <c r="U421" s="151" t="s">
        <v>1709</v>
      </c>
      <c r="V421" s="51" t="s">
        <v>3672</v>
      </c>
      <c r="W421" s="19"/>
      <c r="X421" s="19"/>
      <c r="Y421" s="99">
        <v>956</v>
      </c>
      <c r="AA421" s="29"/>
      <c r="AC421" s="29"/>
      <c r="AD421" s="29"/>
      <c r="AE421" s="29"/>
    </row>
    <row r="422" spans="2:31" ht="20" x14ac:dyDescent="0.2">
      <c r="B422" s="150" t="s">
        <v>1361</v>
      </c>
      <c r="C422" s="33" t="s">
        <v>106</v>
      </c>
      <c r="D422" s="33" t="s">
        <v>2876</v>
      </c>
      <c r="E422" s="175">
        <v>1</v>
      </c>
      <c r="F422" s="151" t="s">
        <v>1128</v>
      </c>
      <c r="G422" s="152">
        <v>0.6</v>
      </c>
      <c r="H422" s="152">
        <v>0.37037037037037035</v>
      </c>
      <c r="I422" s="175">
        <v>69</v>
      </c>
      <c r="J422" s="266">
        <f>_xlfn.XLOOKUP($I422,Inputs!$C$6:$C$23,Inputs!$D$6:$D$23)*$G422</f>
        <v>0.23057142857142857</v>
      </c>
      <c r="K422" s="255"/>
      <c r="L422" s="186">
        <v>850</v>
      </c>
      <c r="M422" s="186">
        <v>1020</v>
      </c>
      <c r="N422" s="99">
        <f t="shared" si="88"/>
        <v>101.58477986391465</v>
      </c>
      <c r="O422" s="99">
        <f t="shared" si="89"/>
        <v>121.90173583669757</v>
      </c>
      <c r="P422" s="131">
        <v>0.9</v>
      </c>
      <c r="Q422" s="186">
        <f t="shared" si="94"/>
        <v>91.426301877523187</v>
      </c>
      <c r="R422" s="186">
        <f t="shared" si="94"/>
        <v>109.71156225302781</v>
      </c>
      <c r="S422" s="151" t="s">
        <v>2589</v>
      </c>
      <c r="T422" s="51" t="s">
        <v>2248</v>
      </c>
      <c r="U422" s="184" t="s">
        <v>2592</v>
      </c>
      <c r="V422" s="51" t="s">
        <v>2251</v>
      </c>
      <c r="W422" s="19"/>
      <c r="X422" s="19"/>
      <c r="Y422" s="99">
        <v>955</v>
      </c>
      <c r="AA422" s="29"/>
      <c r="AC422" s="29"/>
      <c r="AD422" s="29"/>
      <c r="AE422" s="29"/>
    </row>
    <row r="423" spans="2:31" ht="20" x14ac:dyDescent="0.2">
      <c r="B423" s="150" t="s">
        <v>1232</v>
      </c>
      <c r="C423" s="33" t="s">
        <v>106</v>
      </c>
      <c r="D423" s="33" t="s">
        <v>2876</v>
      </c>
      <c r="E423" s="175">
        <v>1</v>
      </c>
      <c r="F423" s="151" t="s">
        <v>1128</v>
      </c>
      <c r="G423" s="152">
        <v>1.7163299999999999E-2</v>
      </c>
      <c r="H423" s="152">
        <v>1.0594629629629629E-2</v>
      </c>
      <c r="I423" s="175">
        <v>69</v>
      </c>
      <c r="J423" s="266">
        <f>_xlfn.XLOOKUP($I423,Inputs!$C$6:$C$23,Inputs!$D$6:$D$23)*$G423</f>
        <v>6.5956109999999995E-3</v>
      </c>
      <c r="K423" s="267">
        <f>IF((42.4*(H423)^(-0.6595))&gt;=3,3,(IF(42.4*(H423)^(-0.6595)&lt;=0.5,0.5,(42.4*(H423)^(-0.6595)))))</f>
        <v>3</v>
      </c>
      <c r="L423" s="99"/>
      <c r="M423" s="99"/>
      <c r="N423" s="99">
        <f t="shared" si="88"/>
        <v>0</v>
      </c>
      <c r="O423" s="99">
        <f t="shared" si="89"/>
        <v>0</v>
      </c>
      <c r="P423" s="131">
        <v>0.9</v>
      </c>
      <c r="Q423" s="305">
        <f>_xlfn.XLOOKUP($I423,Inputs!$G$6:$G$23,Inputs!J$6:J$23)*$K423</f>
        <v>36</v>
      </c>
      <c r="R423" s="305">
        <f>_xlfn.XLOOKUP($I423,Inputs!$G$6:$G$23,Inputs!K$6:K$23)*$K423</f>
        <v>39</v>
      </c>
      <c r="S423" s="151" t="s">
        <v>2518</v>
      </c>
      <c r="T423" s="51" t="s">
        <v>2177</v>
      </c>
      <c r="U423" s="151" t="s">
        <v>1710</v>
      </c>
      <c r="V423" s="51" t="s">
        <v>3445</v>
      </c>
      <c r="W423" s="19"/>
      <c r="X423" s="19"/>
      <c r="Y423" s="99">
        <v>723</v>
      </c>
      <c r="AA423" s="29"/>
      <c r="AC423" s="29"/>
      <c r="AD423" s="29"/>
      <c r="AE423" s="29"/>
    </row>
    <row r="424" spans="2:31" ht="20" x14ac:dyDescent="0.2">
      <c r="B424" s="150" t="s">
        <v>1277</v>
      </c>
      <c r="C424" s="33" t="s">
        <v>106</v>
      </c>
      <c r="D424" s="33" t="s">
        <v>2876</v>
      </c>
      <c r="E424" s="175">
        <v>1</v>
      </c>
      <c r="F424" s="151" t="s">
        <v>1128</v>
      </c>
      <c r="G424" s="152">
        <v>1.4654096999999999</v>
      </c>
      <c r="H424" s="152">
        <v>0.90457388888888879</v>
      </c>
      <c r="I424" s="175">
        <v>69</v>
      </c>
      <c r="J424" s="266">
        <f>_xlfn.XLOOKUP($I424,Inputs!$C$6:$C$23,Inputs!$D$6:$D$23)*$G424</f>
        <v>0.56313601328571428</v>
      </c>
      <c r="K424" s="255"/>
      <c r="L424" s="186">
        <v>730</v>
      </c>
      <c r="M424" s="186">
        <v>940</v>
      </c>
      <c r="N424" s="99">
        <f t="shared" si="88"/>
        <v>87.243399177244342</v>
      </c>
      <c r="O424" s="99">
        <f t="shared" si="89"/>
        <v>112.34081537891738</v>
      </c>
      <c r="P424" s="131">
        <v>0.9</v>
      </c>
      <c r="Q424" s="186">
        <f t="shared" ref="Q424:R426" si="95">N424*$P424</f>
        <v>78.519059259519906</v>
      </c>
      <c r="R424" s="186">
        <f t="shared" si="95"/>
        <v>101.10673384102564</v>
      </c>
      <c r="S424" s="151" t="s">
        <v>2518</v>
      </c>
      <c r="T424" s="51" t="s">
        <v>2177</v>
      </c>
      <c r="U424" s="151" t="s">
        <v>1710</v>
      </c>
      <c r="V424" s="173" t="s">
        <v>3445</v>
      </c>
      <c r="W424" s="19"/>
      <c r="X424" s="19"/>
      <c r="Y424" s="99">
        <v>800</v>
      </c>
      <c r="AA424" s="29"/>
      <c r="AC424" s="29"/>
      <c r="AD424" s="29"/>
      <c r="AE424" s="29"/>
    </row>
    <row r="425" spans="2:31" ht="20" x14ac:dyDescent="0.2">
      <c r="B425" s="150" t="s">
        <v>1231</v>
      </c>
      <c r="C425" s="33" t="s">
        <v>106</v>
      </c>
      <c r="D425" s="33" t="s">
        <v>2876</v>
      </c>
      <c r="E425" s="175">
        <v>1</v>
      </c>
      <c r="F425" s="151" t="s">
        <v>1128</v>
      </c>
      <c r="G425" s="152">
        <v>5.54</v>
      </c>
      <c r="H425" s="152">
        <v>3.4197530864197527</v>
      </c>
      <c r="I425" s="175">
        <v>69</v>
      </c>
      <c r="J425" s="266">
        <f>_xlfn.XLOOKUP($I425,Inputs!$C$6:$C$23,Inputs!$D$6:$D$23)*$G425</f>
        <v>2.128942857142857</v>
      </c>
      <c r="K425" s="255"/>
      <c r="L425" s="186">
        <v>730</v>
      </c>
      <c r="M425" s="186">
        <v>940</v>
      </c>
      <c r="N425" s="99">
        <f t="shared" si="88"/>
        <v>87.243399177244342</v>
      </c>
      <c r="O425" s="99">
        <f t="shared" si="89"/>
        <v>112.34081537891738</v>
      </c>
      <c r="P425" s="131">
        <v>0.9</v>
      </c>
      <c r="Q425" s="186">
        <f t="shared" si="95"/>
        <v>78.519059259519906</v>
      </c>
      <c r="R425" s="186">
        <f t="shared" si="95"/>
        <v>101.10673384102564</v>
      </c>
      <c r="S425" s="151" t="s">
        <v>1735</v>
      </c>
      <c r="T425" s="51" t="s">
        <v>3270</v>
      </c>
      <c r="U425" s="151" t="s">
        <v>2518</v>
      </c>
      <c r="V425" s="173" t="s">
        <v>2177</v>
      </c>
      <c r="W425" s="19"/>
      <c r="X425" s="19"/>
      <c r="Y425" s="99">
        <v>722</v>
      </c>
      <c r="AA425" s="29"/>
      <c r="AC425" s="29"/>
      <c r="AD425" s="29"/>
      <c r="AE425" s="29"/>
    </row>
    <row r="426" spans="2:31" ht="20" x14ac:dyDescent="0.2">
      <c r="B426" s="150" t="s">
        <v>1276</v>
      </c>
      <c r="C426" s="33" t="s">
        <v>106</v>
      </c>
      <c r="D426" s="33" t="s">
        <v>2876</v>
      </c>
      <c r="E426" s="175">
        <v>1</v>
      </c>
      <c r="F426" s="151" t="s">
        <v>1128</v>
      </c>
      <c r="G426" s="152">
        <v>7.3964309000000004</v>
      </c>
      <c r="H426" s="152">
        <v>4.5656980864197534</v>
      </c>
      <c r="I426" s="175">
        <v>69</v>
      </c>
      <c r="J426" s="266">
        <f>_xlfn.XLOOKUP($I426,Inputs!$C$6:$C$23,Inputs!$D$6:$D$23)*$G426</f>
        <v>2.8423427315714287</v>
      </c>
      <c r="K426" s="255"/>
      <c r="L426" s="186">
        <v>1120</v>
      </c>
      <c r="M426" s="186">
        <v>1440</v>
      </c>
      <c r="N426" s="99">
        <f t="shared" si="88"/>
        <v>133.85288640892284</v>
      </c>
      <c r="O426" s="99">
        <f t="shared" si="89"/>
        <v>172.09656824004364</v>
      </c>
      <c r="P426" s="131">
        <v>0.9</v>
      </c>
      <c r="Q426" s="186">
        <f t="shared" si="95"/>
        <v>120.46759776803056</v>
      </c>
      <c r="R426" s="186">
        <f t="shared" si="95"/>
        <v>154.88691141603928</v>
      </c>
      <c r="S426" s="151" t="s">
        <v>1643</v>
      </c>
      <c r="T426" s="51" t="s">
        <v>3242</v>
      </c>
      <c r="U426" s="151" t="s">
        <v>2518</v>
      </c>
      <c r="V426" s="179" t="s">
        <v>2177</v>
      </c>
      <c r="W426" s="19"/>
      <c r="X426" s="19"/>
      <c r="Y426" s="99">
        <v>799</v>
      </c>
      <c r="AA426" s="29"/>
      <c r="AC426" s="29"/>
      <c r="AD426" s="29"/>
      <c r="AE426" s="29"/>
    </row>
    <row r="427" spans="2:31" ht="20" x14ac:dyDescent="0.2">
      <c r="B427" s="230" t="s">
        <v>1112</v>
      </c>
      <c r="C427" s="51" t="s">
        <v>173</v>
      </c>
      <c r="D427" s="33" t="s">
        <v>2876</v>
      </c>
      <c r="E427" s="231">
        <v>1</v>
      </c>
      <c r="F427" s="230" t="s">
        <v>1128</v>
      </c>
      <c r="G427" s="232">
        <v>6</v>
      </c>
      <c r="H427" s="232">
        <v>3.7037037037037033</v>
      </c>
      <c r="I427" s="231">
        <v>138</v>
      </c>
      <c r="J427" s="266">
        <f>_xlfn.XLOOKUP($I427,Inputs!$C$6:$C$23,Inputs!$D$6:$D$23)*$G427</f>
        <v>2.6014285714285714</v>
      </c>
      <c r="K427" s="267">
        <f>IF((42.4*(H427)^(-0.6595))&gt;=3,3,(IF(42.4*(H427)^(-0.6595)&lt;=0.5,0.5,(42.4*(H427)^(-0.6595)))))</f>
        <v>3</v>
      </c>
      <c r="L427" s="99"/>
      <c r="M427" s="99"/>
      <c r="N427" s="99"/>
      <c r="O427" s="99"/>
      <c r="P427" s="69"/>
      <c r="Q427" s="305">
        <f>_xlfn.XLOOKUP($I427,Inputs!$G$6:$G$23,Inputs!J$6:J$23)*$K427</f>
        <v>141</v>
      </c>
      <c r="R427" s="305">
        <f>_xlfn.XLOOKUP($I427,Inputs!$G$6:$G$23,Inputs!K$6:K$23)*$K427</f>
        <v>156</v>
      </c>
      <c r="S427" s="230" t="s">
        <v>2655</v>
      </c>
      <c r="T427" s="51" t="s">
        <v>3612</v>
      </c>
      <c r="U427" s="230" t="s">
        <v>2656</v>
      </c>
      <c r="V427" s="51" t="s">
        <v>3259</v>
      </c>
      <c r="W427" s="19"/>
      <c r="X427" s="19"/>
      <c r="Y427" s="99">
        <v>1095</v>
      </c>
      <c r="AA427" s="29"/>
      <c r="AC427" s="29"/>
      <c r="AD427" s="29"/>
      <c r="AE427" s="29"/>
    </row>
    <row r="428" spans="2:31" ht="20" x14ac:dyDescent="0.2">
      <c r="B428" s="230" t="s">
        <v>2711</v>
      </c>
      <c r="C428" s="51" t="s">
        <v>173</v>
      </c>
      <c r="D428" s="33" t="s">
        <v>2876</v>
      </c>
      <c r="E428" s="231">
        <v>1</v>
      </c>
      <c r="F428" s="230" t="s">
        <v>1128</v>
      </c>
      <c r="G428" s="232">
        <v>7.5</v>
      </c>
      <c r="H428" s="232">
        <v>4.6296296296296298</v>
      </c>
      <c r="I428" s="231">
        <v>63</v>
      </c>
      <c r="J428" s="266">
        <f>_xlfn.XLOOKUP($I428,Inputs!$C$6:$C$23,Inputs!$D$6:$D$23)*$G428</f>
        <v>2.85</v>
      </c>
      <c r="K428" s="267">
        <f>IF((42.4*(H428)^(-0.6595))&gt;=3,3,(IF(42.4*(H428)^(-0.6595)&lt;=0.5,0.5,(42.4*(H428)^(-0.6595)))))</f>
        <v>3</v>
      </c>
      <c r="L428" s="99"/>
      <c r="M428" s="99"/>
      <c r="N428" s="99"/>
      <c r="O428" s="99"/>
      <c r="P428" s="69"/>
      <c r="Q428" s="305">
        <f>_xlfn.XLOOKUP($I428,Inputs!$G$6:$G$23,Inputs!J$6:J$23)*$K428</f>
        <v>29.767499999999998</v>
      </c>
      <c r="R428" s="305">
        <f>_xlfn.XLOOKUP($I428,Inputs!$G$6:$G$23,Inputs!K$6:K$23)*$K428</f>
        <v>32.532786885245905</v>
      </c>
      <c r="S428" s="230" t="s">
        <v>2712</v>
      </c>
      <c r="T428" s="51" t="s">
        <v>3251</v>
      </c>
      <c r="U428" s="230" t="s">
        <v>2713</v>
      </c>
      <c r="V428" s="51" t="s">
        <v>3260</v>
      </c>
      <c r="W428" s="19"/>
      <c r="X428" s="19"/>
      <c r="Y428" s="99">
        <v>1059</v>
      </c>
      <c r="AA428" s="29"/>
      <c r="AC428" s="29"/>
      <c r="AD428" s="29"/>
      <c r="AE428" s="29"/>
    </row>
    <row r="429" spans="2:31" ht="20" x14ac:dyDescent="0.2">
      <c r="B429" s="150" t="s">
        <v>1435</v>
      </c>
      <c r="C429" s="33" t="s">
        <v>106</v>
      </c>
      <c r="D429" s="33" t="s">
        <v>2876</v>
      </c>
      <c r="E429" s="175">
        <v>1</v>
      </c>
      <c r="F429" s="151" t="s">
        <v>1128</v>
      </c>
      <c r="G429" s="152">
        <v>8.1943500000000002E-2</v>
      </c>
      <c r="H429" s="152">
        <v>5.0582407407407402E-2</v>
      </c>
      <c r="I429" s="175">
        <v>138</v>
      </c>
      <c r="J429" s="266">
        <f>_xlfn.XLOOKUP($I429,Inputs!$C$6:$C$23,Inputs!$D$6:$D$23)*$G429</f>
        <v>3.5528360357142859E-2</v>
      </c>
      <c r="K429" s="255"/>
      <c r="L429" s="186">
        <v>254</v>
      </c>
      <c r="M429" s="186">
        <v>488</v>
      </c>
      <c r="N429" s="99">
        <f t="shared" ref="N429:N438" si="96">(SQRT(3)*L429*$I429)/1000</f>
        <v>60.711844906904282</v>
      </c>
      <c r="O429" s="99">
        <f t="shared" ref="O429:O438" si="97">(SQRT(3)*M429*$I429)/1000</f>
        <v>116.64322958491846</v>
      </c>
      <c r="P429" s="131">
        <v>0.9</v>
      </c>
      <c r="Q429" s="186">
        <f t="shared" ref="Q429:Q438" si="98">N429*$P429</f>
        <v>54.640660416213855</v>
      </c>
      <c r="R429" s="186">
        <f t="shared" ref="R429:R438" si="99">O429*$P429</f>
        <v>104.97890662642662</v>
      </c>
      <c r="S429" s="151" t="s">
        <v>2424</v>
      </c>
      <c r="T429" s="51" t="s">
        <v>2078</v>
      </c>
      <c r="U429" s="151" t="s">
        <v>1711</v>
      </c>
      <c r="V429" s="179" t="s">
        <v>3446</v>
      </c>
      <c r="W429" s="19"/>
      <c r="X429" s="19"/>
      <c r="Y429" s="99">
        <v>189</v>
      </c>
      <c r="AA429" s="29"/>
      <c r="AC429" s="29"/>
      <c r="AD429" s="29"/>
      <c r="AE429" s="29"/>
    </row>
    <row r="430" spans="2:31" s="165" customFormat="1" ht="20" x14ac:dyDescent="0.2">
      <c r="B430" s="150" t="s">
        <v>475</v>
      </c>
      <c r="C430" s="33" t="s">
        <v>106</v>
      </c>
      <c r="D430" s="33" t="s">
        <v>2876</v>
      </c>
      <c r="E430" s="175">
        <v>1</v>
      </c>
      <c r="F430" s="151" t="s">
        <v>1128</v>
      </c>
      <c r="G430" s="152">
        <v>0.5</v>
      </c>
      <c r="H430" s="152">
        <v>0.30864197530864196</v>
      </c>
      <c r="I430" s="175">
        <v>138</v>
      </c>
      <c r="J430" s="266">
        <f>_xlfn.XLOOKUP($I430,Inputs!$C$6:$C$23,Inputs!$D$6:$D$23)*$G430</f>
        <v>0.2167857142857143</v>
      </c>
      <c r="K430" s="255"/>
      <c r="L430" s="186">
        <v>484</v>
      </c>
      <c r="M430" s="186">
        <v>622</v>
      </c>
      <c r="N430" s="99">
        <f t="shared" si="96"/>
        <v>115.68713753914044</v>
      </c>
      <c r="O430" s="99">
        <f t="shared" si="97"/>
        <v>148.67231311848212</v>
      </c>
      <c r="P430" s="131">
        <v>0.9</v>
      </c>
      <c r="Q430" s="186">
        <f t="shared" si="98"/>
        <v>104.1184237852264</v>
      </c>
      <c r="R430" s="186">
        <f t="shared" si="99"/>
        <v>133.80508180663392</v>
      </c>
      <c r="S430" s="151" t="s">
        <v>2423</v>
      </c>
      <c r="T430" s="51" t="s">
        <v>2080</v>
      </c>
      <c r="U430" s="151" t="s">
        <v>2424</v>
      </c>
      <c r="V430" s="51" t="s">
        <v>2078</v>
      </c>
      <c r="W430" s="19"/>
      <c r="X430" s="19"/>
      <c r="Y430" s="99">
        <v>188</v>
      </c>
    </row>
    <row r="431" spans="2:31" s="165" customFormat="1" ht="20" x14ac:dyDescent="0.2">
      <c r="B431" s="150" t="s">
        <v>470</v>
      </c>
      <c r="C431" s="33" t="s">
        <v>106</v>
      </c>
      <c r="D431" s="33" t="s">
        <v>2876</v>
      </c>
      <c r="E431" s="175">
        <v>1</v>
      </c>
      <c r="F431" s="151" t="s">
        <v>1128</v>
      </c>
      <c r="G431" s="152">
        <v>42.038848200000004</v>
      </c>
      <c r="H431" s="152">
        <v>25.949906296296298</v>
      </c>
      <c r="I431" s="175">
        <v>138</v>
      </c>
      <c r="J431" s="266">
        <f>_xlfn.XLOOKUP($I431,Inputs!$C$6:$C$23,Inputs!$D$6:$D$23)*$G431</f>
        <v>18.226843469571431</v>
      </c>
      <c r="K431" s="255"/>
      <c r="L431" s="186">
        <v>723</v>
      </c>
      <c r="M431" s="186">
        <v>866</v>
      </c>
      <c r="N431" s="99">
        <f t="shared" si="96"/>
        <v>172.81363727437716</v>
      </c>
      <c r="O431" s="99">
        <f t="shared" si="97"/>
        <v>206.99392791094138</v>
      </c>
      <c r="P431" s="131">
        <v>0.9</v>
      </c>
      <c r="Q431" s="186">
        <f t="shared" si="98"/>
        <v>155.53227354693945</v>
      </c>
      <c r="R431" s="186">
        <f t="shared" si="99"/>
        <v>186.29453511984724</v>
      </c>
      <c r="S431" s="151" t="s">
        <v>2817</v>
      </c>
      <c r="T431" s="51" t="s">
        <v>3725</v>
      </c>
      <c r="U431" s="151" t="s">
        <v>1712</v>
      </c>
      <c r="V431" s="51" t="s">
        <v>3261</v>
      </c>
      <c r="W431" s="19"/>
      <c r="X431" s="19"/>
      <c r="Y431" s="99">
        <v>171</v>
      </c>
    </row>
    <row r="432" spans="2:31" ht="20" x14ac:dyDescent="0.2">
      <c r="B432" s="150" t="s">
        <v>472</v>
      </c>
      <c r="C432" s="33" t="s">
        <v>106</v>
      </c>
      <c r="D432" s="33" t="s">
        <v>2876</v>
      </c>
      <c r="E432" s="175">
        <v>1</v>
      </c>
      <c r="F432" s="151" t="s">
        <v>1128</v>
      </c>
      <c r="G432" s="152">
        <v>42.0688879</v>
      </c>
      <c r="H432" s="152">
        <v>25.968449320987652</v>
      </c>
      <c r="I432" s="175">
        <v>138</v>
      </c>
      <c r="J432" s="266">
        <f>_xlfn.XLOOKUP($I432,Inputs!$C$6:$C$23,Inputs!$D$6:$D$23)*$G432</f>
        <v>18.239867825214287</v>
      </c>
      <c r="K432" s="255"/>
      <c r="L432" s="186">
        <v>497</v>
      </c>
      <c r="M432" s="186">
        <v>593</v>
      </c>
      <c r="N432" s="99">
        <f t="shared" si="96"/>
        <v>118.794436687919</v>
      </c>
      <c r="O432" s="99">
        <f t="shared" si="97"/>
        <v>141.74064578659147</v>
      </c>
      <c r="P432" s="131">
        <v>0.9</v>
      </c>
      <c r="Q432" s="186">
        <f t="shared" si="98"/>
        <v>106.91499301912711</v>
      </c>
      <c r="R432" s="186">
        <f t="shared" si="99"/>
        <v>127.56658120793233</v>
      </c>
      <c r="S432" s="151" t="s">
        <v>2817</v>
      </c>
      <c r="T432" s="51" t="s">
        <v>3725</v>
      </c>
      <c r="U432" s="151" t="s">
        <v>1712</v>
      </c>
      <c r="V432" s="51" t="s">
        <v>3261</v>
      </c>
      <c r="W432" s="19"/>
      <c r="X432" s="19"/>
      <c r="Y432" s="99">
        <v>177</v>
      </c>
      <c r="AA432" s="29"/>
      <c r="AC432" s="29"/>
      <c r="AD432" s="29"/>
      <c r="AE432" s="29"/>
    </row>
    <row r="433" spans="2:31" s="185" customFormat="1" ht="20" x14ac:dyDescent="0.2">
      <c r="B433" s="150" t="s">
        <v>441</v>
      </c>
      <c r="C433" s="33" t="s">
        <v>106</v>
      </c>
      <c r="D433" s="33" t="s">
        <v>2876</v>
      </c>
      <c r="E433" s="175">
        <v>1</v>
      </c>
      <c r="F433" s="151" t="s">
        <v>1128</v>
      </c>
      <c r="G433" s="152">
        <v>1</v>
      </c>
      <c r="H433" s="152">
        <v>0.61728395061728392</v>
      </c>
      <c r="I433" s="175">
        <v>138</v>
      </c>
      <c r="J433" s="266">
        <f>_xlfn.XLOOKUP($I433,Inputs!$C$6:$C$23,Inputs!$D$6:$D$23)*$G433</f>
        <v>0.43357142857142861</v>
      </c>
      <c r="K433" s="255"/>
      <c r="L433" s="186">
        <v>570</v>
      </c>
      <c r="M433" s="186">
        <v>730</v>
      </c>
      <c r="N433" s="99">
        <f t="shared" si="96"/>
        <v>136.24311652336789</v>
      </c>
      <c r="O433" s="99">
        <f t="shared" si="97"/>
        <v>174.48679835448868</v>
      </c>
      <c r="P433" s="131">
        <v>0.9</v>
      </c>
      <c r="Q433" s="186">
        <f t="shared" si="98"/>
        <v>122.6188048710311</v>
      </c>
      <c r="R433" s="186">
        <f t="shared" si="99"/>
        <v>157.03811851903981</v>
      </c>
      <c r="S433" s="151" t="s">
        <v>2404</v>
      </c>
      <c r="T433" s="51" t="s">
        <v>2054</v>
      </c>
      <c r="U433" s="151" t="s">
        <v>1713</v>
      </c>
      <c r="V433" s="179" t="s">
        <v>3193</v>
      </c>
      <c r="W433" s="19"/>
      <c r="X433" s="19"/>
      <c r="Y433" s="99">
        <v>91</v>
      </c>
    </row>
    <row r="434" spans="2:31" ht="20" x14ac:dyDescent="0.2">
      <c r="B434" s="150" t="s">
        <v>569</v>
      </c>
      <c r="C434" s="33" t="s">
        <v>106</v>
      </c>
      <c r="D434" s="33" t="s">
        <v>2876</v>
      </c>
      <c r="E434" s="175">
        <v>1</v>
      </c>
      <c r="F434" s="151" t="s">
        <v>1128</v>
      </c>
      <c r="G434" s="152">
        <v>84.460360399999999</v>
      </c>
      <c r="H434" s="152">
        <v>52.136024938271603</v>
      </c>
      <c r="I434" s="175">
        <v>230</v>
      </c>
      <c r="J434" s="266">
        <f>_xlfn.XLOOKUP($I434,Inputs!$C$6:$C$23,Inputs!$D$6:$D$23)*$G434</f>
        <v>40.540972992</v>
      </c>
      <c r="K434" s="255"/>
      <c r="L434" s="186">
        <v>899</v>
      </c>
      <c r="M434" s="186">
        <v>1137</v>
      </c>
      <c r="N434" s="99">
        <f t="shared" si="96"/>
        <v>358.13614548101674</v>
      </c>
      <c r="O434" s="99">
        <f t="shared" si="97"/>
        <v>452.94860668733708</v>
      </c>
      <c r="P434" s="131">
        <v>0.9</v>
      </c>
      <c r="Q434" s="186">
        <f t="shared" si="98"/>
        <v>322.32253093291507</v>
      </c>
      <c r="R434" s="186">
        <f t="shared" si="99"/>
        <v>407.65374601860339</v>
      </c>
      <c r="S434" s="151" t="s">
        <v>1753</v>
      </c>
      <c r="T434" s="51" t="s">
        <v>3282</v>
      </c>
      <c r="U434" s="151" t="s">
        <v>1714</v>
      </c>
      <c r="V434" s="51" t="s">
        <v>3262</v>
      </c>
      <c r="W434" s="19"/>
      <c r="X434" s="19"/>
      <c r="Y434" s="99">
        <v>418</v>
      </c>
      <c r="AA434" s="29"/>
      <c r="AC434" s="29"/>
      <c r="AD434" s="29"/>
      <c r="AE434" s="29"/>
    </row>
    <row r="435" spans="2:31" ht="20" x14ac:dyDescent="0.2">
      <c r="B435" s="150" t="s">
        <v>1331</v>
      </c>
      <c r="C435" s="33" t="s">
        <v>106</v>
      </c>
      <c r="D435" s="33" t="s">
        <v>2876</v>
      </c>
      <c r="E435" s="175">
        <v>1</v>
      </c>
      <c r="F435" s="151" t="s">
        <v>1128</v>
      </c>
      <c r="G435" s="152">
        <v>1.24</v>
      </c>
      <c r="H435" s="152">
        <v>0.76543209876543206</v>
      </c>
      <c r="I435" s="175">
        <v>69</v>
      </c>
      <c r="J435" s="266">
        <f>_xlfn.XLOOKUP($I435,Inputs!$C$6:$C$23,Inputs!$D$6:$D$23)*$G435</f>
        <v>0.47651428571428572</v>
      </c>
      <c r="K435" s="255"/>
      <c r="L435" s="186">
        <v>265</v>
      </c>
      <c r="M435" s="186">
        <v>441</v>
      </c>
      <c r="N435" s="99">
        <f t="shared" si="96"/>
        <v>31.670549016396919</v>
      </c>
      <c r="O435" s="99">
        <f t="shared" si="97"/>
        <v>52.704574023513366</v>
      </c>
      <c r="P435" s="131">
        <v>0.9</v>
      </c>
      <c r="Q435" s="186">
        <f t="shared" si="98"/>
        <v>28.503494114757228</v>
      </c>
      <c r="R435" s="186">
        <f t="shared" si="99"/>
        <v>47.434116621162033</v>
      </c>
      <c r="S435" s="151" t="s">
        <v>2574</v>
      </c>
      <c r="T435" s="51" t="s">
        <v>2231</v>
      </c>
      <c r="U435" s="151" t="s">
        <v>1714</v>
      </c>
      <c r="V435" s="51" t="s">
        <v>3262</v>
      </c>
      <c r="W435" s="19"/>
      <c r="X435" s="19"/>
      <c r="Y435" s="99">
        <v>908</v>
      </c>
      <c r="AA435" s="29"/>
      <c r="AC435" s="29"/>
      <c r="AD435" s="29"/>
      <c r="AE435" s="29"/>
    </row>
    <row r="436" spans="2:31" ht="20" x14ac:dyDescent="0.2">
      <c r="B436" s="150" t="s">
        <v>515</v>
      </c>
      <c r="C436" s="33" t="s">
        <v>106</v>
      </c>
      <c r="D436" s="33" t="s">
        <v>2876</v>
      </c>
      <c r="E436" s="175">
        <v>1</v>
      </c>
      <c r="F436" s="151" t="s">
        <v>1128</v>
      </c>
      <c r="G436" s="152">
        <v>1.191846</v>
      </c>
      <c r="H436" s="152">
        <v>0.73570740740740737</v>
      </c>
      <c r="I436" s="175">
        <v>138</v>
      </c>
      <c r="J436" s="266">
        <f>_xlfn.XLOOKUP($I436,Inputs!$C$6:$C$23,Inputs!$D$6:$D$23)*$G436</f>
        <v>0.51675037285714287</v>
      </c>
      <c r="K436" s="255"/>
      <c r="L436" s="186">
        <v>490</v>
      </c>
      <c r="M436" s="186">
        <v>595</v>
      </c>
      <c r="N436" s="99">
        <f t="shared" si="96"/>
        <v>117.12127560780748</v>
      </c>
      <c r="O436" s="99">
        <f t="shared" si="97"/>
        <v>142.2186918094805</v>
      </c>
      <c r="P436" s="131">
        <v>0.9</v>
      </c>
      <c r="Q436" s="186">
        <f t="shared" si="98"/>
        <v>105.40914804702673</v>
      </c>
      <c r="R436" s="186">
        <f t="shared" si="99"/>
        <v>127.99682262853246</v>
      </c>
      <c r="S436" s="151" t="s">
        <v>1723</v>
      </c>
      <c r="T436" s="51" t="s">
        <v>3267</v>
      </c>
      <c r="U436" s="151" t="s">
        <v>1715</v>
      </c>
      <c r="V436" s="51" t="s">
        <v>3450</v>
      </c>
      <c r="W436" s="19"/>
      <c r="X436" s="19"/>
      <c r="Y436" s="99">
        <v>328</v>
      </c>
    </row>
    <row r="437" spans="2:31" ht="20" x14ac:dyDescent="0.2">
      <c r="B437" s="150" t="s">
        <v>1163</v>
      </c>
      <c r="C437" s="33" t="s">
        <v>106</v>
      </c>
      <c r="D437" s="33" t="s">
        <v>2876</v>
      </c>
      <c r="E437" s="175">
        <v>1</v>
      </c>
      <c r="F437" s="151" t="s">
        <v>1128</v>
      </c>
      <c r="G437" s="152">
        <v>14.9020391</v>
      </c>
      <c r="H437" s="152">
        <v>9.1987895679012333</v>
      </c>
      <c r="I437" s="175">
        <v>69</v>
      </c>
      <c r="J437" s="266">
        <f>_xlfn.XLOOKUP($I437,Inputs!$C$6:$C$23,Inputs!$D$6:$D$23)*$G437</f>
        <v>5.7266407398571424</v>
      </c>
      <c r="K437" s="255"/>
      <c r="L437" s="186">
        <v>732</v>
      </c>
      <c r="M437" s="3">
        <v>875</v>
      </c>
      <c r="N437" s="99">
        <f t="shared" si="96"/>
        <v>87.482422188688858</v>
      </c>
      <c r="O437" s="99">
        <f t="shared" si="97"/>
        <v>104.57256750697096</v>
      </c>
      <c r="P437" s="131">
        <v>0.9</v>
      </c>
      <c r="Q437" s="186">
        <f t="shared" si="98"/>
        <v>78.734179969819976</v>
      </c>
      <c r="R437" s="186">
        <f t="shared" si="99"/>
        <v>94.115310756273857</v>
      </c>
      <c r="S437" s="151" t="s">
        <v>1879</v>
      </c>
      <c r="T437" s="51" t="s">
        <v>3159</v>
      </c>
      <c r="U437" s="151" t="s">
        <v>1716</v>
      </c>
      <c r="V437" s="51" t="s">
        <v>3263</v>
      </c>
      <c r="W437" s="19"/>
      <c r="X437" s="19"/>
      <c r="Y437" s="99">
        <v>613</v>
      </c>
      <c r="AA437" s="29"/>
      <c r="AC437" s="29"/>
      <c r="AD437" s="29"/>
      <c r="AE437" s="29"/>
    </row>
    <row r="438" spans="2:31" ht="20" x14ac:dyDescent="0.2">
      <c r="B438" s="150" t="s">
        <v>1171</v>
      </c>
      <c r="C438" s="33" t="s">
        <v>106</v>
      </c>
      <c r="D438" s="33" t="s">
        <v>2876</v>
      </c>
      <c r="E438" s="175">
        <v>1</v>
      </c>
      <c r="F438" s="151" t="s">
        <v>1128</v>
      </c>
      <c r="G438" s="152">
        <v>14.777338400000001</v>
      </c>
      <c r="H438" s="152">
        <v>9.1218138271604943</v>
      </c>
      <c r="I438" s="175">
        <v>69</v>
      </c>
      <c r="J438" s="266">
        <f>_xlfn.XLOOKUP($I438,Inputs!$C$6:$C$23,Inputs!$D$6:$D$23)*$G438</f>
        <v>5.6787200422857147</v>
      </c>
      <c r="K438" s="255"/>
      <c r="L438" s="186">
        <v>580</v>
      </c>
      <c r="M438" s="186">
        <v>740</v>
      </c>
      <c r="N438" s="99">
        <f t="shared" si="96"/>
        <v>69.316673318906467</v>
      </c>
      <c r="O438" s="99">
        <f t="shared" si="97"/>
        <v>88.438514234466865</v>
      </c>
      <c r="P438" s="131">
        <v>0.9</v>
      </c>
      <c r="Q438" s="186">
        <f t="shared" si="98"/>
        <v>62.385005987015823</v>
      </c>
      <c r="R438" s="186">
        <f t="shared" si="99"/>
        <v>79.594662811020186</v>
      </c>
      <c r="S438" s="151" t="s">
        <v>1879</v>
      </c>
      <c r="T438" s="51" t="s">
        <v>3159</v>
      </c>
      <c r="U438" s="151" t="s">
        <v>1716</v>
      </c>
      <c r="V438" s="51" t="s">
        <v>3263</v>
      </c>
      <c r="W438" s="19"/>
      <c r="X438" s="19"/>
      <c r="Y438" s="99">
        <v>625</v>
      </c>
      <c r="AA438" s="29"/>
      <c r="AC438" s="29"/>
      <c r="AD438" s="29"/>
      <c r="AE438" s="29"/>
    </row>
    <row r="439" spans="2:31" ht="20" x14ac:dyDescent="0.2">
      <c r="B439" s="230" t="s">
        <v>2639</v>
      </c>
      <c r="C439" s="51" t="s">
        <v>173</v>
      </c>
      <c r="D439" s="33" t="s">
        <v>2876</v>
      </c>
      <c r="E439" s="231">
        <v>1</v>
      </c>
      <c r="F439" s="230" t="s">
        <v>1128</v>
      </c>
      <c r="G439" s="232">
        <v>6.5</v>
      </c>
      <c r="H439" s="232">
        <v>4.0123456790123457</v>
      </c>
      <c r="I439" s="231">
        <v>138</v>
      </c>
      <c r="J439" s="266">
        <f>_xlfn.XLOOKUP($I439,Inputs!$C$6:$C$23,Inputs!$D$6:$D$23)*$G439</f>
        <v>2.8182142857142858</v>
      </c>
      <c r="K439" s="267">
        <f>IF((42.4*(H439)^(-0.6595))&gt;=3,3,(IF(42.4*(H439)^(-0.6595)&lt;=0.5,0.5,(42.4*(H439)^(-0.6595)))))</f>
        <v>3</v>
      </c>
      <c r="L439" s="99"/>
      <c r="M439" s="99"/>
      <c r="N439" s="99"/>
      <c r="O439" s="99"/>
      <c r="P439" s="69"/>
      <c r="Q439" s="305">
        <f>_xlfn.XLOOKUP($I439,Inputs!$G$6:$G$23,Inputs!J$6:J$23)*$K439</f>
        <v>141</v>
      </c>
      <c r="R439" s="305">
        <f>_xlfn.XLOOKUP($I439,Inputs!$G$6:$G$23,Inputs!K$6:K$23)*$K439</f>
        <v>156</v>
      </c>
      <c r="S439" s="230" t="s">
        <v>2635</v>
      </c>
      <c r="T439" s="51" t="s">
        <v>2762</v>
      </c>
      <c r="U439" s="230" t="s">
        <v>2634</v>
      </c>
      <c r="V439" s="51" t="s">
        <v>3264</v>
      </c>
      <c r="W439" s="19"/>
      <c r="X439" s="19"/>
      <c r="Y439" s="99">
        <v>1119</v>
      </c>
      <c r="AA439" s="29"/>
      <c r="AC439" s="29"/>
      <c r="AD439" s="29"/>
      <c r="AE439" s="29"/>
    </row>
    <row r="440" spans="2:31" s="165" customFormat="1" ht="20" x14ac:dyDescent="0.2">
      <c r="B440" s="230" t="s">
        <v>2630</v>
      </c>
      <c r="C440" s="51" t="s">
        <v>173</v>
      </c>
      <c r="D440" s="33" t="s">
        <v>2876</v>
      </c>
      <c r="E440" s="231">
        <v>1</v>
      </c>
      <c r="F440" s="230" t="s">
        <v>1128</v>
      </c>
      <c r="G440" s="232">
        <v>1.5</v>
      </c>
      <c r="H440" s="232">
        <v>0.92592592592592582</v>
      </c>
      <c r="I440" s="231">
        <v>138</v>
      </c>
      <c r="J440" s="266">
        <f>_xlfn.XLOOKUP($I440,Inputs!$C$6:$C$23,Inputs!$D$6:$D$23)*$G440</f>
        <v>0.65035714285714286</v>
      </c>
      <c r="K440" s="267">
        <f>IF((42.4*(H440)^(-0.6595))&gt;=3,3,(IF(42.4*(H440)^(-0.6595)&lt;=0.5,0.5,(42.4*(H440)^(-0.6595)))))</f>
        <v>3</v>
      </c>
      <c r="L440" s="99"/>
      <c r="M440" s="99"/>
      <c r="N440" s="99"/>
      <c r="O440" s="99"/>
      <c r="P440" s="69"/>
      <c r="Q440" s="305">
        <f>_xlfn.XLOOKUP($I440,Inputs!$G$6:$G$23,Inputs!J$6:J$23)*$K440</f>
        <v>141</v>
      </c>
      <c r="R440" s="305">
        <f>_xlfn.XLOOKUP($I440,Inputs!$G$6:$G$23,Inputs!K$6:K$23)*$K440</f>
        <v>156</v>
      </c>
      <c r="S440" s="230" t="s">
        <v>2633</v>
      </c>
      <c r="T440" s="51" t="s">
        <v>3322</v>
      </c>
      <c r="U440" s="230" t="s">
        <v>2635</v>
      </c>
      <c r="V440" s="51" t="s">
        <v>2762</v>
      </c>
      <c r="W440" s="19"/>
      <c r="X440" s="19"/>
      <c r="Y440" s="99">
        <v>1113</v>
      </c>
    </row>
    <row r="441" spans="2:31" ht="20" x14ac:dyDescent="0.2">
      <c r="B441" s="150" t="s">
        <v>1144</v>
      </c>
      <c r="C441" s="33" t="s">
        <v>106</v>
      </c>
      <c r="D441" s="33" t="s">
        <v>2876</v>
      </c>
      <c r="E441" s="175">
        <v>1</v>
      </c>
      <c r="F441" s="151" t="s">
        <v>1128</v>
      </c>
      <c r="G441" s="152">
        <v>3.1053924000000004</v>
      </c>
      <c r="H441" s="152">
        <v>1.916908888888889</v>
      </c>
      <c r="I441" s="175">
        <v>69</v>
      </c>
      <c r="J441" s="266">
        <f>_xlfn.XLOOKUP($I441,Inputs!$C$6:$C$23,Inputs!$D$6:$D$23)*$G441</f>
        <v>1.1933579365714286</v>
      </c>
      <c r="K441" s="255"/>
      <c r="L441" s="186">
        <v>440</v>
      </c>
      <c r="M441" s="186">
        <v>555</v>
      </c>
      <c r="N441" s="99">
        <f t="shared" ref="N441:N456" si="100">(SQRT(3)*L441*$I441)/1000</f>
        <v>52.585062517791116</v>
      </c>
      <c r="O441" s="99">
        <f t="shared" ref="O441:O456" si="101">(SQRT(3)*M441*$I441)/1000</f>
        <v>66.328885675850145</v>
      </c>
      <c r="P441" s="131">
        <v>0.9</v>
      </c>
      <c r="Q441" s="186">
        <f t="shared" ref="Q441:R446" si="102">N441*$P441</f>
        <v>47.326556266012005</v>
      </c>
      <c r="R441" s="186">
        <f t="shared" si="102"/>
        <v>59.695997108265132</v>
      </c>
      <c r="S441" s="151" t="s">
        <v>2486</v>
      </c>
      <c r="T441" s="51" t="s">
        <v>2344</v>
      </c>
      <c r="U441" s="151" t="s">
        <v>228</v>
      </c>
      <c r="V441" s="51" t="s">
        <v>3195</v>
      </c>
      <c r="W441" s="19"/>
      <c r="X441" s="19"/>
      <c r="Y441" s="99">
        <v>584</v>
      </c>
      <c r="AA441" s="29"/>
      <c r="AC441" s="29"/>
      <c r="AD441" s="29"/>
      <c r="AE441" s="29"/>
    </row>
    <row r="442" spans="2:31" ht="20" x14ac:dyDescent="0.2">
      <c r="B442" s="150" t="s">
        <v>1272</v>
      </c>
      <c r="C442" s="33" t="s">
        <v>106</v>
      </c>
      <c r="D442" s="33" t="s">
        <v>2876</v>
      </c>
      <c r="E442" s="175">
        <v>1</v>
      </c>
      <c r="F442" s="151" t="s">
        <v>1128</v>
      </c>
      <c r="G442" s="152">
        <v>1</v>
      </c>
      <c r="H442" s="152">
        <v>0.61728395061728392</v>
      </c>
      <c r="I442" s="175">
        <v>69</v>
      </c>
      <c r="J442" s="266">
        <f>_xlfn.XLOOKUP($I442,Inputs!$C$6:$C$23,Inputs!$D$6:$D$23)*$G442</f>
        <v>0.38428571428571429</v>
      </c>
      <c r="K442" s="255"/>
      <c r="L442" s="186">
        <v>730</v>
      </c>
      <c r="M442" s="186">
        <v>940</v>
      </c>
      <c r="N442" s="99">
        <f t="shared" si="100"/>
        <v>87.243399177244342</v>
      </c>
      <c r="O442" s="99">
        <f t="shared" si="101"/>
        <v>112.34081537891738</v>
      </c>
      <c r="P442" s="131">
        <v>0.9</v>
      </c>
      <c r="Q442" s="186">
        <f t="shared" si="102"/>
        <v>78.519059259519906</v>
      </c>
      <c r="R442" s="186">
        <f t="shared" si="102"/>
        <v>101.10673384102564</v>
      </c>
      <c r="S442" s="151" t="s">
        <v>2537</v>
      </c>
      <c r="T442" s="51" t="s">
        <v>2195</v>
      </c>
      <c r="U442" s="151" t="s">
        <v>228</v>
      </c>
      <c r="V442" s="51" t="s">
        <v>3195</v>
      </c>
      <c r="W442" s="19"/>
      <c r="X442" s="19"/>
      <c r="Y442" s="99">
        <v>796</v>
      </c>
      <c r="AA442" s="29"/>
      <c r="AC442" s="29"/>
      <c r="AD442" s="29"/>
      <c r="AE442" s="29"/>
    </row>
    <row r="443" spans="2:31" ht="20" x14ac:dyDescent="0.2">
      <c r="B443" s="150" t="s">
        <v>523</v>
      </c>
      <c r="C443" s="33" t="s">
        <v>106</v>
      </c>
      <c r="D443" s="33" t="s">
        <v>2876</v>
      </c>
      <c r="E443" s="175">
        <v>1</v>
      </c>
      <c r="F443" s="151" t="s">
        <v>1128</v>
      </c>
      <c r="G443" s="152">
        <v>5.2716402000000002</v>
      </c>
      <c r="H443" s="152">
        <v>3.2540988888888887</v>
      </c>
      <c r="I443" s="175">
        <v>230</v>
      </c>
      <c r="J443" s="266">
        <f>_xlfn.XLOOKUP($I443,Inputs!$C$6:$C$23,Inputs!$D$6:$D$23)*$G443</f>
        <v>2.5303872960000002</v>
      </c>
      <c r="K443" s="255"/>
      <c r="L443" s="186">
        <v>995</v>
      </c>
      <c r="M443" s="186">
        <v>1210</v>
      </c>
      <c r="N443" s="99">
        <f t="shared" si="100"/>
        <v>396.37982731213754</v>
      </c>
      <c r="O443" s="99">
        <f t="shared" si="101"/>
        <v>482.0297397464185</v>
      </c>
      <c r="P443" s="131">
        <v>0.9</v>
      </c>
      <c r="Q443" s="186">
        <f t="shared" si="102"/>
        <v>356.74184458092378</v>
      </c>
      <c r="R443" s="186">
        <f t="shared" si="102"/>
        <v>433.82676577177665</v>
      </c>
      <c r="S443" s="151" t="s">
        <v>1944</v>
      </c>
      <c r="T443" s="51" t="s">
        <v>3354</v>
      </c>
      <c r="U443" s="151" t="s">
        <v>1717</v>
      </c>
      <c r="V443" s="51" t="s">
        <v>3265</v>
      </c>
      <c r="W443" s="19"/>
      <c r="X443" s="19"/>
      <c r="Y443" s="99">
        <v>351</v>
      </c>
      <c r="AA443" s="29"/>
      <c r="AC443" s="29"/>
      <c r="AD443" s="29"/>
      <c r="AE443" s="29"/>
    </row>
    <row r="444" spans="2:31" s="165" customFormat="1" ht="20" x14ac:dyDescent="0.2">
      <c r="B444" s="150" t="s">
        <v>539</v>
      </c>
      <c r="C444" s="33" t="s">
        <v>106</v>
      </c>
      <c r="D444" s="33" t="s">
        <v>2876</v>
      </c>
      <c r="E444" s="175">
        <v>1</v>
      </c>
      <c r="F444" s="151" t="s">
        <v>1128</v>
      </c>
      <c r="G444" s="152">
        <v>8.6181560000000008</v>
      </c>
      <c r="H444" s="152">
        <v>5.3198493827160496</v>
      </c>
      <c r="I444" s="175">
        <v>230</v>
      </c>
      <c r="J444" s="266">
        <f>_xlfn.XLOOKUP($I444,Inputs!$C$6:$C$23,Inputs!$D$6:$D$23)*$G444</f>
        <v>4.1367148800000004</v>
      </c>
      <c r="K444" s="255"/>
      <c r="L444" s="186">
        <v>1070</v>
      </c>
      <c r="M444" s="186">
        <v>1230</v>
      </c>
      <c r="N444" s="99">
        <f t="shared" si="100"/>
        <v>426.2577037427007</v>
      </c>
      <c r="O444" s="99">
        <f t="shared" si="101"/>
        <v>489.99717346123538</v>
      </c>
      <c r="P444" s="131">
        <v>0.9</v>
      </c>
      <c r="Q444" s="186">
        <f t="shared" si="102"/>
        <v>383.63193336843062</v>
      </c>
      <c r="R444" s="186">
        <f t="shared" si="102"/>
        <v>440.99745611511185</v>
      </c>
      <c r="S444" s="151" t="s">
        <v>1639</v>
      </c>
      <c r="T444" s="51" t="s">
        <v>3240</v>
      </c>
      <c r="U444" s="151" t="s">
        <v>1717</v>
      </c>
      <c r="V444" s="51" t="s">
        <v>3265</v>
      </c>
      <c r="W444" s="19"/>
      <c r="X444" s="19"/>
      <c r="Y444" s="99">
        <v>377</v>
      </c>
    </row>
    <row r="445" spans="2:31" s="165" customFormat="1" ht="20" x14ac:dyDescent="0.2">
      <c r="B445" s="150" t="s">
        <v>549</v>
      </c>
      <c r="C445" s="33" t="s">
        <v>106</v>
      </c>
      <c r="D445" s="33" t="s">
        <v>2876</v>
      </c>
      <c r="E445" s="175">
        <v>1</v>
      </c>
      <c r="F445" s="151" t="s">
        <v>1128</v>
      </c>
      <c r="G445" s="152">
        <v>19.3088953</v>
      </c>
      <c r="H445" s="152">
        <v>11.919071172839505</v>
      </c>
      <c r="I445" s="175">
        <v>230</v>
      </c>
      <c r="J445" s="266">
        <f>_xlfn.XLOOKUP($I445,Inputs!$C$6:$C$23,Inputs!$D$6:$D$23)*$G445</f>
        <v>9.2682697439999995</v>
      </c>
      <c r="K445" s="255"/>
      <c r="L445" s="186">
        <v>840</v>
      </c>
      <c r="M445" s="308">
        <v>1160</v>
      </c>
      <c r="N445" s="99">
        <f t="shared" si="100"/>
        <v>334.63221602230703</v>
      </c>
      <c r="O445" s="99">
        <f t="shared" si="101"/>
        <v>462.11115545937645</v>
      </c>
      <c r="P445" s="131">
        <v>0.9</v>
      </c>
      <c r="Q445" s="186">
        <f t="shared" si="102"/>
        <v>301.16899442007633</v>
      </c>
      <c r="R445" s="186">
        <f t="shared" si="102"/>
        <v>415.90003991343883</v>
      </c>
      <c r="S445" s="151" t="s">
        <v>1779</v>
      </c>
      <c r="T445" s="51" t="s">
        <v>3288</v>
      </c>
      <c r="U445" s="151" t="s">
        <v>1717</v>
      </c>
      <c r="V445" s="51" t="s">
        <v>3265</v>
      </c>
      <c r="W445" s="19"/>
      <c r="X445" s="19"/>
      <c r="Y445" s="99">
        <v>391</v>
      </c>
    </row>
    <row r="446" spans="2:31" s="165" customFormat="1" ht="20" x14ac:dyDescent="0.2">
      <c r="B446" s="151" t="s">
        <v>551</v>
      </c>
      <c r="C446" s="33" t="s">
        <v>106</v>
      </c>
      <c r="D446" s="33" t="s">
        <v>2876</v>
      </c>
      <c r="E446" s="175">
        <v>1</v>
      </c>
      <c r="F446" s="151" t="s">
        <v>1128</v>
      </c>
      <c r="G446" s="174">
        <v>8</v>
      </c>
      <c r="H446" s="152">
        <v>4.9382716049382713</v>
      </c>
      <c r="I446" s="175">
        <v>230</v>
      </c>
      <c r="J446" s="266">
        <f>_xlfn.XLOOKUP($I446,Inputs!$C$6:$C$23,Inputs!$D$6:$D$23)*$G446</f>
        <v>3.84</v>
      </c>
      <c r="K446" s="255"/>
      <c r="L446" s="186">
        <v>1089</v>
      </c>
      <c r="M446" s="186">
        <v>1259</v>
      </c>
      <c r="N446" s="99">
        <f t="shared" si="100"/>
        <v>433.82676577177665</v>
      </c>
      <c r="O446" s="99">
        <f t="shared" si="101"/>
        <v>501.54995234771974</v>
      </c>
      <c r="P446" s="131">
        <v>0.9</v>
      </c>
      <c r="Q446" s="186">
        <f t="shared" si="102"/>
        <v>390.44408919459897</v>
      </c>
      <c r="R446" s="186">
        <f t="shared" si="102"/>
        <v>451.39495711294779</v>
      </c>
      <c r="S446" s="151" t="s">
        <v>1598</v>
      </c>
      <c r="T446" s="51" t="s">
        <v>3225</v>
      </c>
      <c r="U446" s="151" t="s">
        <v>1717</v>
      </c>
      <c r="V446" s="51" t="s">
        <v>3265</v>
      </c>
      <c r="W446" s="19"/>
      <c r="X446" s="19"/>
      <c r="Y446" s="99">
        <v>394</v>
      </c>
    </row>
    <row r="447" spans="2:31" s="165" customFormat="1" ht="20" x14ac:dyDescent="0.2">
      <c r="B447" s="150" t="s">
        <v>1273</v>
      </c>
      <c r="C447" s="33" t="s">
        <v>106</v>
      </c>
      <c r="D447" s="33" t="s">
        <v>2876</v>
      </c>
      <c r="E447" s="175">
        <v>1</v>
      </c>
      <c r="F447" s="151" t="s">
        <v>1128</v>
      </c>
      <c r="G447" s="152">
        <v>0.29676360000000002</v>
      </c>
      <c r="H447" s="152">
        <v>0.18318740740740741</v>
      </c>
      <c r="I447" s="175">
        <v>69</v>
      </c>
      <c r="J447" s="266">
        <f>_xlfn.XLOOKUP($I447,Inputs!$C$6:$C$23,Inputs!$D$6:$D$23)*$G447</f>
        <v>0.11404201200000001</v>
      </c>
      <c r="K447" s="267">
        <f>IF((42.4*(H447)^(-0.6595))&gt;=3,3,(IF(42.4*(H447)^(-0.6595)&lt;=0.5,0.5,(42.4*(H447)^(-0.6595)))))</f>
        <v>3</v>
      </c>
      <c r="L447" s="99"/>
      <c r="M447" s="99"/>
      <c r="N447" s="99">
        <f t="shared" si="100"/>
        <v>0</v>
      </c>
      <c r="O447" s="99">
        <f t="shared" si="101"/>
        <v>0</v>
      </c>
      <c r="P447" s="131">
        <v>0.9</v>
      </c>
      <c r="Q447" s="305">
        <f>_xlfn.XLOOKUP($I447,Inputs!$G$6:$G$23,Inputs!J$6:J$23)*$K447</f>
        <v>36</v>
      </c>
      <c r="R447" s="305">
        <f>_xlfn.XLOOKUP($I447,Inputs!$G$6:$G$23,Inputs!K$6:K$23)*$K447</f>
        <v>39</v>
      </c>
      <c r="S447" s="151" t="s">
        <v>2537</v>
      </c>
      <c r="T447" s="51" t="s">
        <v>2195</v>
      </c>
      <c r="U447" s="151" t="s">
        <v>1718</v>
      </c>
      <c r="V447" s="51" t="s">
        <v>3448</v>
      </c>
      <c r="W447" s="19"/>
      <c r="X447" s="19"/>
      <c r="Y447" s="99">
        <v>795</v>
      </c>
    </row>
    <row r="448" spans="2:31" s="165" customFormat="1" ht="20" x14ac:dyDescent="0.2">
      <c r="B448" s="150" t="s">
        <v>1272</v>
      </c>
      <c r="C448" s="33" t="s">
        <v>106</v>
      </c>
      <c r="D448" s="33" t="s">
        <v>2876</v>
      </c>
      <c r="E448" s="175">
        <v>1</v>
      </c>
      <c r="F448" s="151" t="s">
        <v>1128</v>
      </c>
      <c r="G448" s="152">
        <v>27.65</v>
      </c>
      <c r="H448" s="152">
        <v>17.067901234567898</v>
      </c>
      <c r="I448" s="175">
        <v>69</v>
      </c>
      <c r="J448" s="266">
        <f>_xlfn.XLOOKUP($I448,Inputs!$C$6:$C$23,Inputs!$D$6:$D$23)*$G448</f>
        <v>10.625499999999999</v>
      </c>
      <c r="K448" s="255"/>
      <c r="L448" s="186">
        <v>730</v>
      </c>
      <c r="M448" s="186">
        <v>940</v>
      </c>
      <c r="N448" s="99">
        <f t="shared" si="100"/>
        <v>87.243399177244342</v>
      </c>
      <c r="O448" s="99">
        <f t="shared" si="101"/>
        <v>112.34081537891738</v>
      </c>
      <c r="P448" s="131">
        <v>0.9</v>
      </c>
      <c r="Q448" s="186">
        <f>N448*$P448</f>
        <v>78.519059259519906</v>
      </c>
      <c r="R448" s="186">
        <f>O448*$P448</f>
        <v>101.10673384102564</v>
      </c>
      <c r="S448" s="151" t="s">
        <v>1935</v>
      </c>
      <c r="T448" s="51" t="s">
        <v>3727</v>
      </c>
      <c r="U448" s="151" t="s">
        <v>2537</v>
      </c>
      <c r="V448" s="51" t="s">
        <v>2195</v>
      </c>
      <c r="W448" s="19"/>
      <c r="X448" s="19"/>
      <c r="Y448" s="99">
        <v>794</v>
      </c>
    </row>
    <row r="449" spans="2:25" s="165" customFormat="1" ht="20" x14ac:dyDescent="0.2">
      <c r="B449" s="151" t="s">
        <v>1528</v>
      </c>
      <c r="C449" s="33" t="s">
        <v>106</v>
      </c>
      <c r="D449" s="33" t="s">
        <v>2876</v>
      </c>
      <c r="E449" s="175">
        <v>1</v>
      </c>
      <c r="F449" s="151" t="s">
        <v>1128</v>
      </c>
      <c r="G449" s="174">
        <v>1</v>
      </c>
      <c r="H449" s="152">
        <v>0.61728395061728392</v>
      </c>
      <c r="I449" s="175">
        <v>69</v>
      </c>
      <c r="J449" s="266">
        <f>_xlfn.XLOOKUP($I449,Inputs!$C$6:$C$23,Inputs!$D$6:$D$23)*$G449</f>
        <v>0.38428571428571429</v>
      </c>
      <c r="K449" s="267">
        <f>IF((42.4*(H449)^(-0.6595))&gt;=3,3,(IF(42.4*(H449)^(-0.6595)&lt;=0.5,0.5,(42.4*(H449)^(-0.6595)))))</f>
        <v>3</v>
      </c>
      <c r="L449" s="99"/>
      <c r="M449" s="99"/>
      <c r="N449" s="99">
        <f t="shared" si="100"/>
        <v>0</v>
      </c>
      <c r="O449" s="99">
        <f t="shared" si="101"/>
        <v>0</v>
      </c>
      <c r="P449" s="131">
        <v>0.9</v>
      </c>
      <c r="Q449" s="305">
        <f>_xlfn.XLOOKUP($I449,Inputs!$G$6:$G$23,Inputs!J$6:J$23)*$K449</f>
        <v>36</v>
      </c>
      <c r="R449" s="305">
        <f>_xlfn.XLOOKUP($I449,Inputs!$G$6:$G$23,Inputs!K$6:K$23)*$K449</f>
        <v>39</v>
      </c>
      <c r="S449" s="151" t="s">
        <v>2531</v>
      </c>
      <c r="T449" s="51" t="s">
        <v>2189</v>
      </c>
      <c r="U449" s="151" t="s">
        <v>1719</v>
      </c>
      <c r="V449" s="51" t="s">
        <v>3449</v>
      </c>
      <c r="W449" s="19"/>
      <c r="X449" s="19"/>
      <c r="Y449" s="99">
        <v>768</v>
      </c>
    </row>
    <row r="450" spans="2:25" s="165" customFormat="1" ht="20" x14ac:dyDescent="0.2">
      <c r="B450" s="150" t="s">
        <v>1254</v>
      </c>
      <c r="C450" s="33" t="s">
        <v>106</v>
      </c>
      <c r="D450" s="33" t="s">
        <v>2876</v>
      </c>
      <c r="E450" s="175">
        <v>1</v>
      </c>
      <c r="F450" s="151" t="s">
        <v>1128</v>
      </c>
      <c r="G450" s="152">
        <v>13</v>
      </c>
      <c r="H450" s="152">
        <v>8.0246913580246915</v>
      </c>
      <c r="I450" s="175">
        <v>69</v>
      </c>
      <c r="J450" s="266">
        <f>_xlfn.XLOOKUP($I450,Inputs!$C$6:$C$23,Inputs!$D$6:$D$23)*$G450</f>
        <v>4.9957142857142856</v>
      </c>
      <c r="K450" s="255"/>
      <c r="L450" s="186">
        <v>730</v>
      </c>
      <c r="M450" s="186">
        <v>880</v>
      </c>
      <c r="N450" s="99">
        <f t="shared" si="100"/>
        <v>87.243399177244342</v>
      </c>
      <c r="O450" s="99">
        <f t="shared" si="101"/>
        <v>105.17012503558223</v>
      </c>
      <c r="P450" s="131">
        <v>0.9</v>
      </c>
      <c r="Q450" s="186">
        <f t="shared" ref="Q450:R456" si="103">N450*$P450</f>
        <v>78.519059259519906</v>
      </c>
      <c r="R450" s="186">
        <f t="shared" si="103"/>
        <v>94.653112532024011</v>
      </c>
      <c r="S450" s="151" t="s">
        <v>2530</v>
      </c>
      <c r="T450" s="51" t="s">
        <v>2190</v>
      </c>
      <c r="U450" s="151" t="s">
        <v>2531</v>
      </c>
      <c r="V450" s="51" t="s">
        <v>2189</v>
      </c>
      <c r="W450" s="19"/>
      <c r="X450" s="19"/>
      <c r="Y450" s="99">
        <v>767</v>
      </c>
    </row>
    <row r="451" spans="2:25" s="165" customFormat="1" ht="20" x14ac:dyDescent="0.2">
      <c r="B451" s="150" t="s">
        <v>1237</v>
      </c>
      <c r="C451" s="33" t="s">
        <v>106</v>
      </c>
      <c r="D451" s="33" t="s">
        <v>2876</v>
      </c>
      <c r="E451" s="175">
        <v>1</v>
      </c>
      <c r="F451" s="151" t="s">
        <v>1128</v>
      </c>
      <c r="G451" s="152">
        <v>15</v>
      </c>
      <c r="H451" s="152">
        <v>9.2592592592592595</v>
      </c>
      <c r="I451" s="175">
        <v>69</v>
      </c>
      <c r="J451" s="266">
        <f>_xlfn.XLOOKUP($I451,Inputs!$C$6:$C$23,Inputs!$D$6:$D$23)*$G451</f>
        <v>5.7642857142857142</v>
      </c>
      <c r="K451" s="255"/>
      <c r="L451" s="186">
        <v>500</v>
      </c>
      <c r="M451" s="186">
        <v>600</v>
      </c>
      <c r="N451" s="99">
        <f t="shared" si="100"/>
        <v>59.755752861126261</v>
      </c>
      <c r="O451" s="99">
        <f t="shared" si="101"/>
        <v>71.706903433351513</v>
      </c>
      <c r="P451" s="131">
        <v>0.9</v>
      </c>
      <c r="Q451" s="186">
        <f t="shared" si="103"/>
        <v>53.780177575013639</v>
      </c>
      <c r="R451" s="186">
        <f t="shared" si="103"/>
        <v>64.536213090016361</v>
      </c>
      <c r="S451" s="151" t="s">
        <v>2527</v>
      </c>
      <c r="T451" s="51" t="s">
        <v>2185</v>
      </c>
      <c r="U451" s="151" t="s">
        <v>1720</v>
      </c>
      <c r="V451" s="51" t="s">
        <v>3409</v>
      </c>
      <c r="W451" s="19"/>
      <c r="X451" s="19"/>
      <c r="Y451" s="99">
        <v>744</v>
      </c>
    </row>
    <row r="452" spans="2:25" s="165" customFormat="1" ht="20" x14ac:dyDescent="0.2">
      <c r="B452" s="150" t="s">
        <v>1263</v>
      </c>
      <c r="C452" s="33" t="s">
        <v>106</v>
      </c>
      <c r="D452" s="33" t="s">
        <v>2876</v>
      </c>
      <c r="E452" s="175">
        <v>1</v>
      </c>
      <c r="F452" s="151" t="s">
        <v>1128</v>
      </c>
      <c r="G452" s="152">
        <v>5.3400017999999996</v>
      </c>
      <c r="H452" s="152">
        <v>3.296297407407407</v>
      </c>
      <c r="I452" s="175">
        <v>69</v>
      </c>
      <c r="J452" s="266">
        <f>_xlfn.XLOOKUP($I452,Inputs!$C$6:$C$23,Inputs!$D$6:$D$23)*$G452</f>
        <v>2.0520864059999999</v>
      </c>
      <c r="K452" s="255"/>
      <c r="L452" s="186">
        <v>370</v>
      </c>
      <c r="M452" s="186">
        <v>470</v>
      </c>
      <c r="N452" s="99">
        <f t="shared" si="100"/>
        <v>44.219257117233433</v>
      </c>
      <c r="O452" s="99">
        <f t="shared" si="101"/>
        <v>56.170407689458692</v>
      </c>
      <c r="P452" s="131">
        <v>0.9</v>
      </c>
      <c r="Q452" s="186">
        <f t="shared" si="103"/>
        <v>39.797331405510093</v>
      </c>
      <c r="R452" s="186">
        <f t="shared" si="103"/>
        <v>50.553366920512822</v>
      </c>
      <c r="S452" s="151" t="s">
        <v>1643</v>
      </c>
      <c r="T452" s="51" t="s">
        <v>3242</v>
      </c>
      <c r="U452" s="151" t="s">
        <v>1720</v>
      </c>
      <c r="V452" s="179" t="s">
        <v>3409</v>
      </c>
      <c r="W452" s="19"/>
      <c r="X452" s="19"/>
      <c r="Y452" s="99">
        <v>779</v>
      </c>
    </row>
    <row r="453" spans="2:25" s="165" customFormat="1" ht="20" x14ac:dyDescent="0.2">
      <c r="B453" s="150" t="s">
        <v>547</v>
      </c>
      <c r="C453" s="33" t="s">
        <v>106</v>
      </c>
      <c r="D453" s="33" t="s">
        <v>2876</v>
      </c>
      <c r="E453" s="175">
        <v>1</v>
      </c>
      <c r="F453" s="151" t="s">
        <v>1128</v>
      </c>
      <c r="G453" s="152">
        <v>61.556590100000001</v>
      </c>
      <c r="H453" s="152">
        <v>37.997895123456786</v>
      </c>
      <c r="I453" s="175">
        <v>230</v>
      </c>
      <c r="J453" s="266">
        <f>_xlfn.XLOOKUP($I453,Inputs!$C$6:$C$23,Inputs!$D$6:$D$23)*$G453</f>
        <v>29.547163248</v>
      </c>
      <c r="K453" s="255"/>
      <c r="L453" s="186">
        <v>530</v>
      </c>
      <c r="M453" s="186">
        <v>940</v>
      </c>
      <c r="N453" s="99">
        <f t="shared" si="100"/>
        <v>211.13699344264614</v>
      </c>
      <c r="O453" s="99">
        <f t="shared" si="101"/>
        <v>374.46938459639125</v>
      </c>
      <c r="P453" s="131">
        <v>0.9</v>
      </c>
      <c r="Q453" s="186">
        <f t="shared" si="103"/>
        <v>190.02329409838154</v>
      </c>
      <c r="R453" s="186">
        <f t="shared" si="103"/>
        <v>337.02244613675214</v>
      </c>
      <c r="S453" s="151" t="s">
        <v>1795</v>
      </c>
      <c r="T453" s="51" t="s">
        <v>3199</v>
      </c>
      <c r="U453" s="151" t="s">
        <v>1721</v>
      </c>
      <c r="V453" s="179" t="s">
        <v>3700</v>
      </c>
      <c r="W453" s="19"/>
      <c r="X453" s="19"/>
      <c r="Y453" s="99">
        <v>389</v>
      </c>
    </row>
    <row r="454" spans="2:25" s="165" customFormat="1" ht="20" x14ac:dyDescent="0.2">
      <c r="B454" s="150" t="s">
        <v>593</v>
      </c>
      <c r="C454" s="33" t="s">
        <v>106</v>
      </c>
      <c r="D454" s="33" t="s">
        <v>2876</v>
      </c>
      <c r="E454" s="175">
        <v>1</v>
      </c>
      <c r="F454" s="151" t="s">
        <v>1128</v>
      </c>
      <c r="G454" s="152">
        <v>4.1609381999999995</v>
      </c>
      <c r="H454" s="152">
        <v>2.56848037037037</v>
      </c>
      <c r="I454" s="175">
        <v>230</v>
      </c>
      <c r="J454" s="266">
        <f>_xlfn.XLOOKUP($I454,Inputs!$C$6:$C$23,Inputs!$D$6:$D$23)*$G454</f>
        <v>1.9972503359999996</v>
      </c>
      <c r="K454" s="255"/>
      <c r="L454" s="186">
        <v>824</v>
      </c>
      <c r="M454" s="186">
        <v>913</v>
      </c>
      <c r="N454" s="99">
        <f t="shared" si="100"/>
        <v>328.25826905045363</v>
      </c>
      <c r="O454" s="99">
        <f t="shared" si="101"/>
        <v>363.71334908138857</v>
      </c>
      <c r="P454" s="131">
        <v>0.9</v>
      </c>
      <c r="Q454" s="186">
        <f t="shared" si="103"/>
        <v>295.43244214540829</v>
      </c>
      <c r="R454" s="186">
        <f t="shared" si="103"/>
        <v>327.34201417324971</v>
      </c>
      <c r="S454" s="151" t="s">
        <v>1707</v>
      </c>
      <c r="T454" s="51" t="s">
        <v>3258</v>
      </c>
      <c r="U454" s="151" t="s">
        <v>1722</v>
      </c>
      <c r="V454" s="51" t="s">
        <v>3266</v>
      </c>
      <c r="W454" s="19"/>
      <c r="X454" s="19"/>
      <c r="Y454" s="99">
        <v>448</v>
      </c>
    </row>
    <row r="455" spans="2:25" s="165" customFormat="1" ht="20" x14ac:dyDescent="0.2">
      <c r="B455" s="150" t="s">
        <v>597</v>
      </c>
      <c r="C455" s="33" t="s">
        <v>106</v>
      </c>
      <c r="D455" s="33" t="s">
        <v>2876</v>
      </c>
      <c r="E455" s="175">
        <v>1</v>
      </c>
      <c r="F455" s="151" t="s">
        <v>1128</v>
      </c>
      <c r="G455" s="152">
        <v>7.0613653000000003</v>
      </c>
      <c r="H455" s="152">
        <v>4.3588674691358023</v>
      </c>
      <c r="I455" s="175">
        <v>230</v>
      </c>
      <c r="J455" s="266">
        <f>_xlfn.XLOOKUP($I455,Inputs!$C$6:$C$23,Inputs!$D$6:$D$23)*$G455</f>
        <v>3.3894553439999999</v>
      </c>
      <c r="K455" s="255"/>
      <c r="L455" s="186">
        <v>735</v>
      </c>
      <c r="M455" s="186">
        <v>870</v>
      </c>
      <c r="N455" s="99">
        <f t="shared" si="100"/>
        <v>292.8031890195187</v>
      </c>
      <c r="O455" s="99">
        <f t="shared" si="101"/>
        <v>346.58336659453232</v>
      </c>
      <c r="P455" s="131">
        <v>0.9</v>
      </c>
      <c r="Q455" s="186">
        <f t="shared" si="103"/>
        <v>263.52287011756681</v>
      </c>
      <c r="R455" s="186">
        <f t="shared" si="103"/>
        <v>311.92502993507912</v>
      </c>
      <c r="S455" s="151" t="s">
        <v>1700</v>
      </c>
      <c r="T455" s="51" t="s">
        <v>3257</v>
      </c>
      <c r="U455" s="151" t="s">
        <v>1722</v>
      </c>
      <c r="V455" s="51" t="s">
        <v>3266</v>
      </c>
      <c r="W455" s="19"/>
      <c r="X455" s="19"/>
      <c r="Y455" s="99">
        <v>453</v>
      </c>
    </row>
    <row r="456" spans="2:25" s="165" customFormat="1" ht="20" x14ac:dyDescent="0.2">
      <c r="B456" s="150" t="s">
        <v>519</v>
      </c>
      <c r="C456" s="33" t="s">
        <v>106</v>
      </c>
      <c r="D456" s="33" t="s">
        <v>2876</v>
      </c>
      <c r="E456" s="175">
        <v>1</v>
      </c>
      <c r="F456" s="151" t="s">
        <v>1128</v>
      </c>
      <c r="G456" s="152">
        <v>33.255826999999996</v>
      </c>
      <c r="H456" s="152">
        <v>20.528288271604936</v>
      </c>
      <c r="I456" s="175">
        <v>138</v>
      </c>
      <c r="J456" s="266">
        <f>_xlfn.XLOOKUP($I456,Inputs!$C$6:$C$23,Inputs!$D$6:$D$23)*$G456</f>
        <v>14.418776420714286</v>
      </c>
      <c r="K456" s="255"/>
      <c r="L456" s="186">
        <v>255</v>
      </c>
      <c r="M456" s="3">
        <v>440</v>
      </c>
      <c r="N456" s="99">
        <f t="shared" si="100"/>
        <v>60.950867918348784</v>
      </c>
      <c r="O456" s="99">
        <f t="shared" si="101"/>
        <v>105.17012503558223</v>
      </c>
      <c r="P456" s="131">
        <v>0.9</v>
      </c>
      <c r="Q456" s="186">
        <f t="shared" si="103"/>
        <v>54.855781126513904</v>
      </c>
      <c r="R456" s="186">
        <f t="shared" si="103"/>
        <v>94.653112532024011</v>
      </c>
      <c r="S456" s="151" t="s">
        <v>1918</v>
      </c>
      <c r="T456" s="51" t="s">
        <v>3344</v>
      </c>
      <c r="U456" s="151" t="s">
        <v>1723</v>
      </c>
      <c r="V456" s="51" t="s">
        <v>3267</v>
      </c>
      <c r="W456" s="19"/>
      <c r="X456" s="19"/>
      <c r="Y456" s="99">
        <v>333</v>
      </c>
    </row>
    <row r="457" spans="2:25" s="165" customFormat="1" ht="20" x14ac:dyDescent="0.2">
      <c r="B457" s="230" t="s">
        <v>2670</v>
      </c>
      <c r="C457" s="51" t="s">
        <v>173</v>
      </c>
      <c r="D457" s="33" t="s">
        <v>2876</v>
      </c>
      <c r="E457" s="231">
        <v>1</v>
      </c>
      <c r="F457" s="230" t="s">
        <v>1128</v>
      </c>
      <c r="G457" s="232">
        <v>9.5</v>
      </c>
      <c r="H457" s="232">
        <v>5.8641975308641969</v>
      </c>
      <c r="I457" s="231">
        <v>63</v>
      </c>
      <c r="J457" s="266">
        <f>_xlfn.XLOOKUP($I457,Inputs!$C$6:$C$23,Inputs!$D$6:$D$23)*$G457</f>
        <v>3.61</v>
      </c>
      <c r="K457" s="267">
        <f>IF((42.4*(H457)^(-0.6595))&gt;=3,3,(IF(42.4*(H457)^(-0.6595)&lt;=0.5,0.5,(42.4*(H457)^(-0.6595)))))</f>
        <v>3</v>
      </c>
      <c r="L457" s="99"/>
      <c r="M457" s="99"/>
      <c r="N457" s="99"/>
      <c r="O457" s="99"/>
      <c r="P457" s="69"/>
      <c r="Q457" s="305">
        <f>_xlfn.XLOOKUP($I457,Inputs!$G$6:$G$23,Inputs!J$6:J$23)*$K457</f>
        <v>29.767499999999998</v>
      </c>
      <c r="R457" s="305">
        <f>_xlfn.XLOOKUP($I457,Inputs!$G$6:$G$23,Inputs!K$6:K$23)*$K457</f>
        <v>32.532786885245905</v>
      </c>
      <c r="S457" s="230" t="s">
        <v>2672</v>
      </c>
      <c r="T457" s="51" t="s">
        <v>3272</v>
      </c>
      <c r="U457" s="230" t="s">
        <v>2673</v>
      </c>
      <c r="V457" s="51" t="s">
        <v>3268</v>
      </c>
      <c r="W457" s="19"/>
      <c r="X457" s="19" t="s">
        <v>3704</v>
      </c>
      <c r="Y457" s="99">
        <v>1093</v>
      </c>
    </row>
    <row r="458" spans="2:25" s="165" customFormat="1" ht="20" x14ac:dyDescent="0.2">
      <c r="B458" s="150" t="s">
        <v>1466</v>
      </c>
      <c r="C458" s="33" t="s">
        <v>106</v>
      </c>
      <c r="D458" s="33" t="s">
        <v>2876</v>
      </c>
      <c r="E458" s="175">
        <v>1</v>
      </c>
      <c r="F458" s="151" t="s">
        <v>1128</v>
      </c>
      <c r="G458" s="152">
        <v>0.58151900000000001</v>
      </c>
      <c r="H458" s="152">
        <v>0.35896234567901231</v>
      </c>
      <c r="I458" s="175">
        <v>138</v>
      </c>
      <c r="J458" s="266">
        <f>_xlfn.XLOOKUP($I458,Inputs!$C$6:$C$23,Inputs!$D$6:$D$23)*$G458</f>
        <v>0.25213002357142861</v>
      </c>
      <c r="K458" s="255"/>
      <c r="L458" s="186">
        <v>851</v>
      </c>
      <c r="M458" s="186">
        <v>1091</v>
      </c>
      <c r="N458" s="99">
        <f t="shared" ref="N458:N494" si="104">(SQRT(3)*L458*$I458)/1000</f>
        <v>203.40858273927378</v>
      </c>
      <c r="O458" s="99">
        <f t="shared" ref="O458:O494" si="105">(SQRT(3)*M458*$I458)/1000</f>
        <v>260.77410548595503</v>
      </c>
      <c r="P458" s="131">
        <v>0.9</v>
      </c>
      <c r="Q458" s="186">
        <f t="shared" ref="Q458:Q480" si="106">N458*$P458</f>
        <v>183.0677244653464</v>
      </c>
      <c r="R458" s="186">
        <f t="shared" ref="R458:R480" si="107">O458*$P458</f>
        <v>234.69669493735952</v>
      </c>
      <c r="S458" s="151" t="s">
        <v>2396</v>
      </c>
      <c r="T458" s="51" t="s">
        <v>2045</v>
      </c>
      <c r="U458" s="151" t="s">
        <v>1724</v>
      </c>
      <c r="V458" s="51" t="s">
        <v>3452</v>
      </c>
      <c r="W458" s="19"/>
      <c r="X458" s="19"/>
      <c r="Y458" s="99">
        <v>59</v>
      </c>
    </row>
    <row r="459" spans="2:25" s="165" customFormat="1" ht="20" x14ac:dyDescent="0.2">
      <c r="B459" s="150" t="s">
        <v>431</v>
      </c>
      <c r="C459" s="33" t="s">
        <v>106</v>
      </c>
      <c r="D459" s="33" t="s">
        <v>2876</v>
      </c>
      <c r="E459" s="175">
        <v>1</v>
      </c>
      <c r="F459" s="151" t="s">
        <v>1128</v>
      </c>
      <c r="G459" s="152">
        <v>20</v>
      </c>
      <c r="H459" s="152">
        <v>12.345679012345679</v>
      </c>
      <c r="I459" s="175">
        <v>138</v>
      </c>
      <c r="J459" s="266">
        <f>_xlfn.XLOOKUP($I459,Inputs!$C$6:$C$23,Inputs!$D$6:$D$23)*$G459</f>
        <v>8.6714285714285726</v>
      </c>
      <c r="K459" s="255"/>
      <c r="L459" s="186">
        <v>851</v>
      </c>
      <c r="M459" s="186">
        <v>1091</v>
      </c>
      <c r="N459" s="99">
        <f t="shared" si="104"/>
        <v>203.40858273927378</v>
      </c>
      <c r="O459" s="99">
        <f t="shared" si="105"/>
        <v>260.77410548595503</v>
      </c>
      <c r="P459" s="131">
        <v>0.9</v>
      </c>
      <c r="Q459" s="186">
        <f t="shared" si="106"/>
        <v>183.0677244653464</v>
      </c>
      <c r="R459" s="186">
        <f t="shared" si="107"/>
        <v>234.69669493735952</v>
      </c>
      <c r="S459" s="151" t="s">
        <v>1712</v>
      </c>
      <c r="T459" s="51" t="s">
        <v>3261</v>
      </c>
      <c r="U459" s="151" t="s">
        <v>2396</v>
      </c>
      <c r="V459" s="51" t="s">
        <v>2045</v>
      </c>
      <c r="W459" s="19"/>
      <c r="X459" s="19"/>
      <c r="Y459" s="99">
        <v>58</v>
      </c>
    </row>
    <row r="460" spans="2:25" s="165" customFormat="1" ht="20" x14ac:dyDescent="0.2">
      <c r="B460" s="150" t="s">
        <v>1417</v>
      </c>
      <c r="C460" s="33" t="s">
        <v>106</v>
      </c>
      <c r="D460" s="33" t="s">
        <v>2876</v>
      </c>
      <c r="E460" s="175">
        <v>1</v>
      </c>
      <c r="F460" s="151" t="s">
        <v>1128</v>
      </c>
      <c r="G460" s="152">
        <v>2.9760270999999996</v>
      </c>
      <c r="H460" s="152">
        <v>1.8370537654320984</v>
      </c>
      <c r="I460" s="175">
        <v>138</v>
      </c>
      <c r="J460" s="266">
        <f>_xlfn.XLOOKUP($I460,Inputs!$C$6:$C$23,Inputs!$D$6:$D$23)*$G460</f>
        <v>1.2903203212142857</v>
      </c>
      <c r="K460" s="255"/>
      <c r="L460" s="186">
        <v>1050</v>
      </c>
      <c r="M460" s="186">
        <v>1350</v>
      </c>
      <c r="N460" s="99">
        <f t="shared" si="104"/>
        <v>250.9741620167303</v>
      </c>
      <c r="O460" s="99">
        <f t="shared" si="105"/>
        <v>322.68106545008186</v>
      </c>
      <c r="P460" s="131">
        <v>0.9</v>
      </c>
      <c r="Q460" s="186">
        <f t="shared" si="106"/>
        <v>225.87674581505729</v>
      </c>
      <c r="R460" s="186">
        <f t="shared" si="107"/>
        <v>290.41295890507371</v>
      </c>
      <c r="S460" s="151" t="s">
        <v>2403</v>
      </c>
      <c r="T460" s="51" t="s">
        <v>2053</v>
      </c>
      <c r="U460" s="151" t="s">
        <v>1725</v>
      </c>
      <c r="V460" s="51" t="s">
        <v>3453</v>
      </c>
      <c r="W460" s="19"/>
      <c r="X460" s="19"/>
      <c r="Y460" s="99">
        <v>123</v>
      </c>
    </row>
    <row r="461" spans="2:25" s="165" customFormat="1" ht="20" x14ac:dyDescent="0.2">
      <c r="B461" s="150" t="s">
        <v>441</v>
      </c>
      <c r="C461" s="33" t="s">
        <v>106</v>
      </c>
      <c r="D461" s="33" t="s">
        <v>2876</v>
      </c>
      <c r="E461" s="175">
        <v>1</v>
      </c>
      <c r="F461" s="151" t="s">
        <v>1128</v>
      </c>
      <c r="G461" s="152">
        <v>10</v>
      </c>
      <c r="H461" s="152">
        <v>6.1728395061728394</v>
      </c>
      <c r="I461" s="175">
        <v>138</v>
      </c>
      <c r="J461" s="266">
        <f>_xlfn.XLOOKUP($I461,Inputs!$C$6:$C$23,Inputs!$D$6:$D$23)*$G461</f>
        <v>4.3357142857142863</v>
      </c>
      <c r="K461" s="255"/>
      <c r="L461" s="186">
        <v>570</v>
      </c>
      <c r="M461" s="186">
        <v>730</v>
      </c>
      <c r="N461" s="99">
        <f t="shared" si="104"/>
        <v>136.24311652336789</v>
      </c>
      <c r="O461" s="99">
        <f t="shared" si="105"/>
        <v>174.48679835448868</v>
      </c>
      <c r="P461" s="131">
        <v>0.9</v>
      </c>
      <c r="Q461" s="186">
        <f t="shared" si="106"/>
        <v>122.6188048710311</v>
      </c>
      <c r="R461" s="186">
        <f t="shared" si="107"/>
        <v>157.03811851903981</v>
      </c>
      <c r="S461" s="151" t="s">
        <v>1738</v>
      </c>
      <c r="T461" s="51" t="s">
        <v>3187</v>
      </c>
      <c r="U461" s="184" t="s">
        <v>2403</v>
      </c>
      <c r="V461" s="51" t="s">
        <v>2053</v>
      </c>
      <c r="W461" s="19"/>
      <c r="X461" s="19"/>
      <c r="Y461" s="99">
        <v>88</v>
      </c>
    </row>
    <row r="462" spans="2:25" s="165" customFormat="1" ht="20" x14ac:dyDescent="0.2">
      <c r="B462" s="150" t="s">
        <v>451</v>
      </c>
      <c r="C462" s="33" t="s">
        <v>106</v>
      </c>
      <c r="D462" s="33" t="s">
        <v>2876</v>
      </c>
      <c r="E462" s="175">
        <v>1</v>
      </c>
      <c r="F462" s="151" t="s">
        <v>1128</v>
      </c>
      <c r="G462" s="152">
        <v>3</v>
      </c>
      <c r="H462" s="152">
        <v>1.8518518518518516</v>
      </c>
      <c r="I462" s="175">
        <v>138</v>
      </c>
      <c r="J462" s="266">
        <f>_xlfn.XLOOKUP($I462,Inputs!$C$6:$C$23,Inputs!$D$6:$D$23)*$G462</f>
        <v>1.3007142857142857</v>
      </c>
      <c r="K462" s="255"/>
      <c r="L462" s="186">
        <v>591</v>
      </c>
      <c r="M462" s="186">
        <v>781</v>
      </c>
      <c r="N462" s="99">
        <f t="shared" si="104"/>
        <v>141.2625997637025</v>
      </c>
      <c r="O462" s="99">
        <f t="shared" si="105"/>
        <v>186.67697193815843</v>
      </c>
      <c r="P462" s="131">
        <v>0.9</v>
      </c>
      <c r="Q462" s="186">
        <f t="shared" si="106"/>
        <v>127.13633978733225</v>
      </c>
      <c r="R462" s="186">
        <f t="shared" si="107"/>
        <v>168.0092747443426</v>
      </c>
      <c r="S462" s="151" t="s">
        <v>1726</v>
      </c>
      <c r="T462" s="51" t="s">
        <v>3269</v>
      </c>
      <c r="U462" s="151" t="s">
        <v>2403</v>
      </c>
      <c r="V462" s="51" t="s">
        <v>2053</v>
      </c>
      <c r="W462" s="19"/>
      <c r="X462" s="19"/>
      <c r="Y462" s="99">
        <v>122</v>
      </c>
    </row>
    <row r="463" spans="2:25" s="165" customFormat="1" ht="20" x14ac:dyDescent="0.2">
      <c r="B463" s="150" t="s">
        <v>1490</v>
      </c>
      <c r="C463" s="33" t="s">
        <v>106</v>
      </c>
      <c r="D463" s="33" t="s">
        <v>2876</v>
      </c>
      <c r="E463" s="175">
        <v>1</v>
      </c>
      <c r="F463" s="151" t="s">
        <v>1128</v>
      </c>
      <c r="G463" s="152">
        <v>12.198368200000001</v>
      </c>
      <c r="H463" s="152">
        <v>7.5298569135802467</v>
      </c>
      <c r="I463" s="175">
        <v>230</v>
      </c>
      <c r="J463" s="266">
        <f>_xlfn.XLOOKUP($I463,Inputs!$C$6:$C$23,Inputs!$D$6:$D$23)*$G463</f>
        <v>5.855216736</v>
      </c>
      <c r="K463" s="255"/>
      <c r="L463" s="186">
        <v>2100</v>
      </c>
      <c r="M463" s="3">
        <v>2568</v>
      </c>
      <c r="N463" s="99">
        <f t="shared" si="104"/>
        <v>836.58054005576764</v>
      </c>
      <c r="O463" s="99">
        <f t="shared" si="105"/>
        <v>1023.0184889824818</v>
      </c>
      <c r="P463" s="131">
        <v>0.9</v>
      </c>
      <c r="Q463" s="186">
        <f t="shared" si="106"/>
        <v>752.92248605019086</v>
      </c>
      <c r="R463" s="186">
        <f t="shared" si="107"/>
        <v>920.71664008423363</v>
      </c>
      <c r="S463" s="151" t="s">
        <v>2475</v>
      </c>
      <c r="T463" s="51" t="s">
        <v>2127</v>
      </c>
      <c r="U463" s="151" t="s">
        <v>1726</v>
      </c>
      <c r="V463" s="51" t="s">
        <v>3269</v>
      </c>
      <c r="W463" s="19"/>
      <c r="X463" s="19"/>
      <c r="Y463" s="99">
        <v>437</v>
      </c>
    </row>
    <row r="464" spans="2:25" s="165" customFormat="1" ht="20" x14ac:dyDescent="0.2">
      <c r="B464" s="150" t="s">
        <v>1491</v>
      </c>
      <c r="C464" s="33" t="s">
        <v>106</v>
      </c>
      <c r="D464" s="33" t="s">
        <v>2876</v>
      </c>
      <c r="E464" s="175">
        <v>1</v>
      </c>
      <c r="F464" s="151" t="s">
        <v>1128</v>
      </c>
      <c r="G464" s="152">
        <v>12.1691666</v>
      </c>
      <c r="H464" s="152">
        <v>7.511831234567901</v>
      </c>
      <c r="I464" s="175">
        <v>230</v>
      </c>
      <c r="J464" s="266">
        <f>_xlfn.XLOOKUP($I464,Inputs!$C$6:$C$23,Inputs!$D$6:$D$23)*$G464</f>
        <v>5.8411999679999997</v>
      </c>
      <c r="K464" s="255"/>
      <c r="L464" s="187">
        <v>2100</v>
      </c>
      <c r="M464" s="187">
        <v>2568</v>
      </c>
      <c r="N464" s="99">
        <f t="shared" si="104"/>
        <v>836.58054005576764</v>
      </c>
      <c r="O464" s="99">
        <f t="shared" si="105"/>
        <v>1023.0184889824818</v>
      </c>
      <c r="P464" s="131">
        <v>0.9</v>
      </c>
      <c r="Q464" s="186">
        <f t="shared" si="106"/>
        <v>752.92248605019086</v>
      </c>
      <c r="R464" s="186">
        <f t="shared" si="107"/>
        <v>920.71664008423363</v>
      </c>
      <c r="S464" s="151" t="s">
        <v>2475</v>
      </c>
      <c r="T464" s="51" t="s">
        <v>2127</v>
      </c>
      <c r="U464" s="151" t="s">
        <v>1726</v>
      </c>
      <c r="V464" s="51" t="s">
        <v>3269</v>
      </c>
      <c r="W464" s="19"/>
      <c r="X464" s="19"/>
      <c r="Y464" s="99">
        <v>442</v>
      </c>
    </row>
    <row r="465" spans="2:25" s="165" customFormat="1" ht="20" x14ac:dyDescent="0.2">
      <c r="B465" s="150" t="s">
        <v>585</v>
      </c>
      <c r="C465" s="33" t="s">
        <v>106</v>
      </c>
      <c r="D465" s="33" t="s">
        <v>2876</v>
      </c>
      <c r="E465" s="175">
        <v>1</v>
      </c>
      <c r="F465" s="151" t="s">
        <v>1128</v>
      </c>
      <c r="G465" s="152">
        <v>45</v>
      </c>
      <c r="H465" s="152">
        <v>27.777777777777775</v>
      </c>
      <c r="I465" s="175">
        <v>230</v>
      </c>
      <c r="J465" s="266">
        <f>_xlfn.XLOOKUP($I465,Inputs!$C$6:$C$23,Inputs!$D$6:$D$23)*$G465</f>
        <v>21.599999999999998</v>
      </c>
      <c r="K465" s="255"/>
      <c r="L465" s="186">
        <v>1636</v>
      </c>
      <c r="M465" s="186">
        <v>2233</v>
      </c>
      <c r="N465" s="99">
        <f t="shared" si="104"/>
        <v>651.73607787201718</v>
      </c>
      <c r="O465" s="99">
        <f t="shared" si="105"/>
        <v>889.5639742592997</v>
      </c>
      <c r="P465" s="131">
        <v>0.9</v>
      </c>
      <c r="Q465" s="186">
        <f t="shared" si="106"/>
        <v>586.56247008481546</v>
      </c>
      <c r="R465" s="186">
        <f t="shared" si="107"/>
        <v>800.60757683336976</v>
      </c>
      <c r="S465" s="151" t="s">
        <v>1958</v>
      </c>
      <c r="T465" s="51" t="s">
        <v>3321</v>
      </c>
      <c r="U465" s="151" t="s">
        <v>2475</v>
      </c>
      <c r="V465" s="51" t="s">
        <v>2127</v>
      </c>
      <c r="W465" s="19"/>
      <c r="X465" s="19"/>
      <c r="Y465" s="99">
        <v>436</v>
      </c>
    </row>
    <row r="466" spans="2:25" s="165" customFormat="1" ht="20" x14ac:dyDescent="0.2">
      <c r="B466" s="150" t="s">
        <v>588</v>
      </c>
      <c r="C466" s="33" t="s">
        <v>106</v>
      </c>
      <c r="D466" s="33" t="s">
        <v>2876</v>
      </c>
      <c r="E466" s="175">
        <v>1</v>
      </c>
      <c r="F466" s="151" t="s">
        <v>1128</v>
      </c>
      <c r="G466" s="152">
        <v>45</v>
      </c>
      <c r="H466" s="152">
        <v>27.777777777777775</v>
      </c>
      <c r="I466" s="175">
        <v>230</v>
      </c>
      <c r="J466" s="266">
        <f>_xlfn.XLOOKUP($I466,Inputs!$C$6:$C$23,Inputs!$D$6:$D$23)*$G466</f>
        <v>21.599999999999998</v>
      </c>
      <c r="K466" s="255"/>
      <c r="L466" s="186">
        <v>1637</v>
      </c>
      <c r="M466" s="3">
        <v>2233</v>
      </c>
      <c r="N466" s="99">
        <f t="shared" si="104"/>
        <v>652.13444955775799</v>
      </c>
      <c r="O466" s="99">
        <f t="shared" si="105"/>
        <v>889.5639742592997</v>
      </c>
      <c r="P466" s="131">
        <v>0.9</v>
      </c>
      <c r="Q466" s="186">
        <f t="shared" si="106"/>
        <v>586.92100460198219</v>
      </c>
      <c r="R466" s="186">
        <f t="shared" si="107"/>
        <v>800.60757683336976</v>
      </c>
      <c r="S466" s="151" t="s">
        <v>1958</v>
      </c>
      <c r="T466" s="51" t="s">
        <v>3321</v>
      </c>
      <c r="U466" s="151" t="s">
        <v>2475</v>
      </c>
      <c r="V466" s="51" t="s">
        <v>2127</v>
      </c>
      <c r="W466" s="19"/>
      <c r="X466" s="19"/>
      <c r="Y466" s="99">
        <v>441</v>
      </c>
    </row>
    <row r="467" spans="2:25" s="165" customFormat="1" ht="20" x14ac:dyDescent="0.2">
      <c r="B467" s="150" t="s">
        <v>516</v>
      </c>
      <c r="C467" s="33" t="s">
        <v>106</v>
      </c>
      <c r="D467" s="33" t="s">
        <v>2876</v>
      </c>
      <c r="E467" s="175">
        <v>1</v>
      </c>
      <c r="F467" s="151" t="s">
        <v>1128</v>
      </c>
      <c r="G467" s="152">
        <v>72.319170900000003</v>
      </c>
      <c r="H467" s="152">
        <v>44.64146351851852</v>
      </c>
      <c r="I467" s="175">
        <v>138</v>
      </c>
      <c r="J467" s="266">
        <f>_xlfn.XLOOKUP($I467,Inputs!$C$6:$C$23,Inputs!$D$6:$D$23)*$G467</f>
        <v>31.355526240214289</v>
      </c>
      <c r="K467" s="255"/>
      <c r="L467" s="186">
        <v>485</v>
      </c>
      <c r="M467" s="186">
        <v>590</v>
      </c>
      <c r="N467" s="99">
        <f t="shared" si="104"/>
        <v>115.92616055058494</v>
      </c>
      <c r="O467" s="99">
        <f t="shared" si="105"/>
        <v>141.02357675225798</v>
      </c>
      <c r="P467" s="131">
        <v>0.9</v>
      </c>
      <c r="Q467" s="186">
        <f t="shared" si="106"/>
        <v>104.33354449552645</v>
      </c>
      <c r="R467" s="186">
        <f t="shared" si="107"/>
        <v>126.92121907703219</v>
      </c>
      <c r="S467" s="151" t="s">
        <v>1898</v>
      </c>
      <c r="T467" s="51" t="s">
        <v>3334</v>
      </c>
      <c r="U467" s="151" t="s">
        <v>1727</v>
      </c>
      <c r="V467" s="51" t="s">
        <v>3528</v>
      </c>
      <c r="W467" s="19"/>
      <c r="X467" s="19"/>
      <c r="Y467" s="99">
        <v>329</v>
      </c>
    </row>
    <row r="468" spans="2:25" s="165" customFormat="1" ht="20" x14ac:dyDescent="0.2">
      <c r="B468" s="150" t="s">
        <v>1469</v>
      </c>
      <c r="C468" s="33" t="s">
        <v>106</v>
      </c>
      <c r="D468" s="33" t="s">
        <v>2876</v>
      </c>
      <c r="E468" s="175">
        <v>1</v>
      </c>
      <c r="F468" s="151" t="s">
        <v>1128</v>
      </c>
      <c r="G468" s="152">
        <v>7.9499200000000006E-2</v>
      </c>
      <c r="H468" s="152">
        <v>4.9073580246913578E-2</v>
      </c>
      <c r="I468" s="175">
        <v>138</v>
      </c>
      <c r="J468" s="266">
        <f>_xlfn.XLOOKUP($I468,Inputs!$C$6:$C$23,Inputs!$D$6:$D$23)*$G468</f>
        <v>3.4468581714285719E-2</v>
      </c>
      <c r="K468" s="255"/>
      <c r="L468" s="186">
        <v>1308</v>
      </c>
      <c r="M468" s="186">
        <v>1667</v>
      </c>
      <c r="N468" s="99">
        <f t="shared" si="104"/>
        <v>312.64209896941264</v>
      </c>
      <c r="O468" s="99">
        <f t="shared" si="105"/>
        <v>398.45136007798993</v>
      </c>
      <c r="P468" s="131">
        <v>0.9</v>
      </c>
      <c r="Q468" s="186">
        <f t="shared" si="106"/>
        <v>281.37788907247136</v>
      </c>
      <c r="R468" s="186">
        <f t="shared" si="107"/>
        <v>358.60622407019093</v>
      </c>
      <c r="S468" s="151" t="s">
        <v>2401</v>
      </c>
      <c r="T468" s="51" t="s">
        <v>2051</v>
      </c>
      <c r="U468" s="151" t="s">
        <v>1728</v>
      </c>
      <c r="V468" s="51" t="s">
        <v>3127</v>
      </c>
      <c r="W468" s="19"/>
      <c r="X468" s="19"/>
      <c r="Y468" s="99">
        <v>76</v>
      </c>
    </row>
    <row r="469" spans="2:25" s="165" customFormat="1" ht="20" x14ac:dyDescent="0.2">
      <c r="B469" s="150" t="s">
        <v>1404</v>
      </c>
      <c r="C469" s="33" t="s">
        <v>106</v>
      </c>
      <c r="D469" s="33" t="s">
        <v>2876</v>
      </c>
      <c r="E469" s="175">
        <v>1</v>
      </c>
      <c r="F469" s="151" t="s">
        <v>1128</v>
      </c>
      <c r="G469" s="152">
        <v>7.5073700000000007E-2</v>
      </c>
      <c r="H469" s="152">
        <v>4.6341790123456794E-2</v>
      </c>
      <c r="I469" s="175">
        <v>138</v>
      </c>
      <c r="J469" s="266">
        <f>_xlfn.XLOOKUP($I469,Inputs!$C$6:$C$23,Inputs!$D$6:$D$23)*$G469</f>
        <v>3.2549811357142862E-2</v>
      </c>
      <c r="K469" s="255"/>
      <c r="L469" s="186">
        <v>1308</v>
      </c>
      <c r="M469" s="186">
        <v>1667</v>
      </c>
      <c r="N469" s="99">
        <f t="shared" si="104"/>
        <v>312.64209896941264</v>
      </c>
      <c r="O469" s="99">
        <f t="shared" si="105"/>
        <v>398.45136007798993</v>
      </c>
      <c r="P469" s="131">
        <v>0.9</v>
      </c>
      <c r="Q469" s="186">
        <f t="shared" si="106"/>
        <v>281.37788907247136</v>
      </c>
      <c r="R469" s="186">
        <f t="shared" si="107"/>
        <v>358.60622407019093</v>
      </c>
      <c r="S469" s="151" t="s">
        <v>2401</v>
      </c>
      <c r="T469" s="51" t="s">
        <v>2051</v>
      </c>
      <c r="U469" s="151" t="s">
        <v>1728</v>
      </c>
      <c r="V469" s="51" t="s">
        <v>3127</v>
      </c>
      <c r="W469" s="19"/>
      <c r="X469" s="19"/>
      <c r="Y469" s="99">
        <v>79</v>
      </c>
    </row>
    <row r="470" spans="2:25" s="165" customFormat="1" ht="20" x14ac:dyDescent="0.2">
      <c r="B470" s="150" t="s">
        <v>435</v>
      </c>
      <c r="C470" s="33" t="s">
        <v>106</v>
      </c>
      <c r="D470" s="33" t="s">
        <v>2876</v>
      </c>
      <c r="E470" s="175">
        <v>1</v>
      </c>
      <c r="F470" s="151" t="s">
        <v>1128</v>
      </c>
      <c r="G470" s="152">
        <v>1.81</v>
      </c>
      <c r="H470" s="152">
        <v>1.1172839506172838</v>
      </c>
      <c r="I470" s="175">
        <v>138</v>
      </c>
      <c r="J470" s="266">
        <f>_xlfn.XLOOKUP($I470,Inputs!$C$6:$C$23,Inputs!$D$6:$D$23)*$G470</f>
        <v>0.7847642857142858</v>
      </c>
      <c r="K470" s="255"/>
      <c r="L470" s="186">
        <v>635</v>
      </c>
      <c r="M470" s="186">
        <v>805</v>
      </c>
      <c r="N470" s="99">
        <f t="shared" si="104"/>
        <v>151.77961226726069</v>
      </c>
      <c r="O470" s="99">
        <f t="shared" si="105"/>
        <v>192.41352421282656</v>
      </c>
      <c r="P470" s="131">
        <v>0.9</v>
      </c>
      <c r="Q470" s="186">
        <f t="shared" si="106"/>
        <v>136.60165104053462</v>
      </c>
      <c r="R470" s="186">
        <f t="shared" si="107"/>
        <v>173.17217179154392</v>
      </c>
      <c r="S470" s="151" t="s">
        <v>1734</v>
      </c>
      <c r="T470" s="51" t="s">
        <v>3128</v>
      </c>
      <c r="U470" s="151" t="s">
        <v>2401</v>
      </c>
      <c r="V470" s="51" t="s">
        <v>2051</v>
      </c>
      <c r="W470" s="19"/>
      <c r="X470" s="19"/>
      <c r="Y470" s="99">
        <v>75</v>
      </c>
    </row>
    <row r="471" spans="2:25" s="165" customFormat="1" ht="20" x14ac:dyDescent="0.2">
      <c r="B471" s="150" t="s">
        <v>436</v>
      </c>
      <c r="C471" s="33" t="s">
        <v>106</v>
      </c>
      <c r="D471" s="33" t="s">
        <v>2876</v>
      </c>
      <c r="E471" s="175">
        <v>1</v>
      </c>
      <c r="F471" s="151" t="s">
        <v>1128</v>
      </c>
      <c r="G471" s="152">
        <v>1.82</v>
      </c>
      <c r="H471" s="152">
        <v>1.1234567901234567</v>
      </c>
      <c r="I471" s="175">
        <v>138</v>
      </c>
      <c r="J471" s="266">
        <f>_xlfn.XLOOKUP($I471,Inputs!$C$6:$C$23,Inputs!$D$6:$D$23)*$G471</f>
        <v>0.78910000000000013</v>
      </c>
      <c r="K471" s="255"/>
      <c r="L471" s="186">
        <v>635</v>
      </c>
      <c r="M471" s="186">
        <v>805</v>
      </c>
      <c r="N471" s="99">
        <f t="shared" si="104"/>
        <v>151.77961226726069</v>
      </c>
      <c r="O471" s="99">
        <f t="shared" si="105"/>
        <v>192.41352421282656</v>
      </c>
      <c r="P471" s="131">
        <v>0.9</v>
      </c>
      <c r="Q471" s="186">
        <f t="shared" si="106"/>
        <v>136.60165104053462</v>
      </c>
      <c r="R471" s="186">
        <f t="shared" si="107"/>
        <v>173.17217179154392</v>
      </c>
      <c r="S471" s="151" t="s">
        <v>1734</v>
      </c>
      <c r="T471" s="51" t="s">
        <v>3128</v>
      </c>
      <c r="U471" s="151" t="s">
        <v>2401</v>
      </c>
      <c r="V471" s="51" t="s">
        <v>2051</v>
      </c>
      <c r="W471" s="19"/>
      <c r="X471" s="19"/>
      <c r="Y471" s="99">
        <v>78</v>
      </c>
    </row>
    <row r="472" spans="2:25" s="165" customFormat="1" ht="20" x14ac:dyDescent="0.2">
      <c r="B472" s="150" t="s">
        <v>603</v>
      </c>
      <c r="C472" s="33" t="s">
        <v>106</v>
      </c>
      <c r="D472" s="33" t="s">
        <v>2876</v>
      </c>
      <c r="E472" s="175">
        <v>1</v>
      </c>
      <c r="F472" s="151" t="s">
        <v>1128</v>
      </c>
      <c r="G472" s="152">
        <v>11.9946833</v>
      </c>
      <c r="H472" s="152">
        <v>7.4041254938271601</v>
      </c>
      <c r="I472" s="175">
        <v>230</v>
      </c>
      <c r="J472" s="266">
        <f>_xlfn.XLOOKUP($I472,Inputs!$C$6:$C$23,Inputs!$D$6:$D$23)*$G472</f>
        <v>5.7574479839999997</v>
      </c>
      <c r="K472" s="255"/>
      <c r="L472" s="186">
        <v>1045</v>
      </c>
      <c r="M472" s="186">
        <v>1345</v>
      </c>
      <c r="N472" s="99">
        <f t="shared" si="104"/>
        <v>416.29841159917959</v>
      </c>
      <c r="O472" s="99">
        <f t="shared" si="105"/>
        <v>535.80991732143218</v>
      </c>
      <c r="P472" s="131">
        <v>0.9</v>
      </c>
      <c r="Q472" s="186">
        <f t="shared" si="106"/>
        <v>374.66857043926166</v>
      </c>
      <c r="R472" s="186">
        <f t="shared" si="107"/>
        <v>482.22892558928896</v>
      </c>
      <c r="S472" s="151" t="s">
        <v>1855</v>
      </c>
      <c r="T472" s="51" t="s">
        <v>3152</v>
      </c>
      <c r="U472" s="151" t="s">
        <v>1729</v>
      </c>
      <c r="V472" s="51" t="s">
        <v>3202</v>
      </c>
      <c r="W472" s="19"/>
      <c r="X472" s="19"/>
      <c r="Y472" s="99">
        <v>459</v>
      </c>
    </row>
    <row r="473" spans="2:25" s="165" customFormat="1" ht="20" x14ac:dyDescent="0.2">
      <c r="B473" s="150" t="s">
        <v>653</v>
      </c>
      <c r="C473" s="33" t="s">
        <v>106</v>
      </c>
      <c r="D473" s="33" t="s">
        <v>2876</v>
      </c>
      <c r="E473" s="175">
        <v>1</v>
      </c>
      <c r="F473" s="151" t="s">
        <v>1128</v>
      </c>
      <c r="G473" s="152">
        <v>49.717145100000003</v>
      </c>
      <c r="H473" s="152">
        <v>30.689595740740742</v>
      </c>
      <c r="I473" s="175">
        <v>500</v>
      </c>
      <c r="J473" s="266">
        <f>_xlfn.XLOOKUP($I473,Inputs!$C$6:$C$23,Inputs!$D$6:$D$23)*$G473</f>
        <v>19.638272314500004</v>
      </c>
      <c r="K473" s="255"/>
      <c r="L473" s="186">
        <v>2495</v>
      </c>
      <c r="M473" s="186">
        <v>3448</v>
      </c>
      <c r="N473" s="99">
        <f t="shared" si="104"/>
        <v>2160.7333824421744</v>
      </c>
      <c r="O473" s="99">
        <f t="shared" si="105"/>
        <v>2986.0555922487442</v>
      </c>
      <c r="P473" s="131">
        <v>0.9</v>
      </c>
      <c r="Q473" s="186">
        <f t="shared" si="106"/>
        <v>1944.6600441979569</v>
      </c>
      <c r="R473" s="186">
        <f t="shared" si="107"/>
        <v>2687.4500330238698</v>
      </c>
      <c r="S473" s="151" t="s">
        <v>1612</v>
      </c>
      <c r="T473" s="51" t="s">
        <v>3233</v>
      </c>
      <c r="U473" s="151" t="s">
        <v>1730</v>
      </c>
      <c r="V473" s="51" t="s">
        <v>3204</v>
      </c>
      <c r="W473" s="19"/>
      <c r="X473" s="19"/>
      <c r="Y473" s="99">
        <v>528</v>
      </c>
    </row>
    <row r="474" spans="2:25" s="165" customFormat="1" ht="20" x14ac:dyDescent="0.2">
      <c r="B474" s="150" t="s">
        <v>656</v>
      </c>
      <c r="C474" s="33" t="s">
        <v>106</v>
      </c>
      <c r="D474" s="33" t="s">
        <v>2876</v>
      </c>
      <c r="E474" s="175">
        <v>1</v>
      </c>
      <c r="F474" s="151" t="s">
        <v>1128</v>
      </c>
      <c r="G474" s="152">
        <v>19.5228818</v>
      </c>
      <c r="H474" s="152">
        <v>12.051161604938271</v>
      </c>
      <c r="I474" s="175">
        <v>500</v>
      </c>
      <c r="J474" s="266">
        <f>_xlfn.XLOOKUP($I474,Inputs!$C$6:$C$23,Inputs!$D$6:$D$23)*$G474</f>
        <v>7.7115383110000009</v>
      </c>
      <c r="K474" s="255"/>
      <c r="L474" s="186">
        <v>2500</v>
      </c>
      <c r="M474" s="186">
        <v>3470</v>
      </c>
      <c r="N474" s="99">
        <f t="shared" si="104"/>
        <v>2165.0635094610966</v>
      </c>
      <c r="O474" s="99">
        <f t="shared" si="105"/>
        <v>3005.1081511320021</v>
      </c>
      <c r="P474" s="131">
        <v>0.9</v>
      </c>
      <c r="Q474" s="186">
        <f t="shared" si="106"/>
        <v>1948.5571585149869</v>
      </c>
      <c r="R474" s="186">
        <f t="shared" si="107"/>
        <v>2704.5973360188018</v>
      </c>
      <c r="S474" s="151" t="s">
        <v>1779</v>
      </c>
      <c r="T474" s="51" t="s">
        <v>3288</v>
      </c>
      <c r="U474" s="151" t="s">
        <v>1730</v>
      </c>
      <c r="V474" s="51" t="s">
        <v>3204</v>
      </c>
      <c r="W474" s="19"/>
      <c r="X474" s="19"/>
      <c r="Y474" s="99">
        <v>532</v>
      </c>
    </row>
    <row r="475" spans="2:25" s="165" customFormat="1" ht="20" x14ac:dyDescent="0.2">
      <c r="B475" s="150" t="s">
        <v>669</v>
      </c>
      <c r="C475" s="33" t="s">
        <v>106</v>
      </c>
      <c r="D475" s="33" t="s">
        <v>2876</v>
      </c>
      <c r="E475" s="175">
        <v>1</v>
      </c>
      <c r="F475" s="151" t="s">
        <v>1128</v>
      </c>
      <c r="G475" s="152">
        <v>263.93434740000004</v>
      </c>
      <c r="H475" s="152">
        <v>162.92243666666667</v>
      </c>
      <c r="I475" s="175">
        <v>500</v>
      </c>
      <c r="J475" s="266">
        <f>_xlfn.XLOOKUP($I475,Inputs!$C$6:$C$23,Inputs!$D$6:$D$23)*$G475</f>
        <v>104.25406722300002</v>
      </c>
      <c r="K475" s="255"/>
      <c r="L475" s="186">
        <v>2153</v>
      </c>
      <c r="M475" s="186">
        <v>3130</v>
      </c>
      <c r="N475" s="99">
        <f t="shared" si="104"/>
        <v>1864.5526943478962</v>
      </c>
      <c r="O475" s="99">
        <f t="shared" si="105"/>
        <v>2710.6595138452931</v>
      </c>
      <c r="P475" s="131">
        <v>0.9</v>
      </c>
      <c r="Q475" s="186">
        <f t="shared" si="106"/>
        <v>1678.0974249131066</v>
      </c>
      <c r="R475" s="186">
        <f t="shared" si="107"/>
        <v>2439.5935624607637</v>
      </c>
      <c r="S475" s="151" t="s">
        <v>1809</v>
      </c>
      <c r="T475" s="51" t="s">
        <v>3296</v>
      </c>
      <c r="U475" s="151" t="s">
        <v>1730</v>
      </c>
      <c r="V475" s="51" t="s">
        <v>3204</v>
      </c>
      <c r="W475" s="19"/>
      <c r="X475" s="19"/>
      <c r="Y475" s="99">
        <v>545</v>
      </c>
    </row>
    <row r="476" spans="2:25" s="165" customFormat="1" ht="20" x14ac:dyDescent="0.2">
      <c r="B476" s="150" t="s">
        <v>1178</v>
      </c>
      <c r="C476" s="33" t="s">
        <v>106</v>
      </c>
      <c r="D476" s="33" t="s">
        <v>2876</v>
      </c>
      <c r="E476" s="175">
        <v>1</v>
      </c>
      <c r="F476" s="151" t="s">
        <v>1128</v>
      </c>
      <c r="G476" s="152">
        <v>3.32</v>
      </c>
      <c r="H476" s="152">
        <v>2.0493827160493825</v>
      </c>
      <c r="I476" s="175">
        <v>69</v>
      </c>
      <c r="J476" s="266">
        <f>_xlfn.XLOOKUP($I476,Inputs!$C$6:$C$23,Inputs!$D$6:$D$23)*$G476</f>
        <v>1.2758285714285713</v>
      </c>
      <c r="K476" s="255"/>
      <c r="L476" s="186">
        <v>810</v>
      </c>
      <c r="M476" s="3">
        <v>940</v>
      </c>
      <c r="N476" s="99">
        <f t="shared" si="104"/>
        <v>96.804319635024541</v>
      </c>
      <c r="O476" s="99">
        <f t="shared" si="105"/>
        <v>112.34081537891738</v>
      </c>
      <c r="P476" s="131">
        <v>0.9</v>
      </c>
      <c r="Q476" s="186">
        <f t="shared" si="106"/>
        <v>87.123887671522084</v>
      </c>
      <c r="R476" s="186">
        <f t="shared" si="107"/>
        <v>101.10673384102564</v>
      </c>
      <c r="S476" s="151" t="s">
        <v>2502</v>
      </c>
      <c r="T476" s="51" t="s">
        <v>2160</v>
      </c>
      <c r="U476" s="151" t="s">
        <v>1730</v>
      </c>
      <c r="V476" s="51" t="s">
        <v>3204</v>
      </c>
      <c r="W476" s="19"/>
      <c r="X476" s="19"/>
      <c r="Y476" s="99">
        <v>643</v>
      </c>
    </row>
    <row r="477" spans="2:25" s="165" customFormat="1" ht="20" x14ac:dyDescent="0.2">
      <c r="B477" s="150" t="s">
        <v>1243</v>
      </c>
      <c r="C477" s="33" t="s">
        <v>106</v>
      </c>
      <c r="D477" s="33" t="s">
        <v>2876</v>
      </c>
      <c r="E477" s="175">
        <v>1</v>
      </c>
      <c r="F477" s="151" t="s">
        <v>1128</v>
      </c>
      <c r="G477" s="152">
        <v>2.82</v>
      </c>
      <c r="H477" s="152">
        <v>1.7407407407407405</v>
      </c>
      <c r="I477" s="175">
        <v>69</v>
      </c>
      <c r="J477" s="266">
        <f>_xlfn.XLOOKUP($I477,Inputs!$C$6:$C$23,Inputs!$D$6:$D$23)*$G477</f>
        <v>1.0836857142857141</v>
      </c>
      <c r="K477" s="255"/>
      <c r="L477" s="186">
        <v>810</v>
      </c>
      <c r="M477" s="186">
        <v>940</v>
      </c>
      <c r="N477" s="99">
        <f t="shared" si="104"/>
        <v>96.804319635024541</v>
      </c>
      <c r="O477" s="99">
        <f t="shared" si="105"/>
        <v>112.34081537891738</v>
      </c>
      <c r="P477" s="131">
        <v>0.9</v>
      </c>
      <c r="Q477" s="186">
        <f t="shared" si="106"/>
        <v>87.123887671522084</v>
      </c>
      <c r="R477" s="186">
        <f t="shared" si="107"/>
        <v>101.10673384102564</v>
      </c>
      <c r="S477" s="151" t="s">
        <v>2502</v>
      </c>
      <c r="T477" s="51" t="s">
        <v>2160</v>
      </c>
      <c r="U477" s="151" t="s">
        <v>1730</v>
      </c>
      <c r="V477" s="51" t="s">
        <v>3204</v>
      </c>
      <c r="W477" s="19"/>
      <c r="X477" s="19"/>
      <c r="Y477" s="99">
        <v>752</v>
      </c>
    </row>
    <row r="478" spans="2:25" s="165" customFormat="1" ht="20" x14ac:dyDescent="0.2">
      <c r="B478" s="150" t="s">
        <v>606</v>
      </c>
      <c r="C478" s="33" t="s">
        <v>106</v>
      </c>
      <c r="D478" s="33" t="s">
        <v>2876</v>
      </c>
      <c r="E478" s="175">
        <v>1</v>
      </c>
      <c r="F478" s="151" t="s">
        <v>1128</v>
      </c>
      <c r="G478" s="152">
        <v>129.8016911</v>
      </c>
      <c r="H478" s="152">
        <v>80.124500679012343</v>
      </c>
      <c r="I478" s="175">
        <v>230</v>
      </c>
      <c r="J478" s="266">
        <f>_xlfn.XLOOKUP($I478,Inputs!$C$6:$C$23,Inputs!$D$6:$D$23)*$G478</f>
        <v>62.304811727999997</v>
      </c>
      <c r="K478" s="255"/>
      <c r="L478" s="186">
        <v>1062</v>
      </c>
      <c r="M478" s="186">
        <v>1357</v>
      </c>
      <c r="N478" s="99">
        <f t="shared" si="104"/>
        <v>423.07073025677391</v>
      </c>
      <c r="O478" s="99">
        <f t="shared" si="105"/>
        <v>540.59037755032216</v>
      </c>
      <c r="P478" s="131">
        <v>0.9</v>
      </c>
      <c r="Q478" s="186">
        <f t="shared" si="106"/>
        <v>380.76365723109654</v>
      </c>
      <c r="R478" s="186">
        <f t="shared" si="107"/>
        <v>486.53133979528997</v>
      </c>
      <c r="S478" s="151" t="s">
        <v>107</v>
      </c>
      <c r="T478" s="51" t="s">
        <v>3232</v>
      </c>
      <c r="U478" s="151" t="s">
        <v>1731</v>
      </c>
      <c r="V478" s="51" t="s">
        <v>3208</v>
      </c>
      <c r="W478" s="19"/>
      <c r="X478" s="19"/>
      <c r="Y478" s="99">
        <v>462</v>
      </c>
    </row>
    <row r="479" spans="2:25" s="165" customFormat="1" ht="20" x14ac:dyDescent="0.2">
      <c r="B479" s="150" t="s">
        <v>1295</v>
      </c>
      <c r="C479" s="33" t="s">
        <v>106</v>
      </c>
      <c r="D479" s="33" t="s">
        <v>2876</v>
      </c>
      <c r="E479" s="175">
        <v>1</v>
      </c>
      <c r="F479" s="151" t="s">
        <v>1128</v>
      </c>
      <c r="G479" s="152">
        <v>10.61</v>
      </c>
      <c r="H479" s="152">
        <v>6.549382716049382</v>
      </c>
      <c r="I479" s="175">
        <v>69</v>
      </c>
      <c r="J479" s="266">
        <f>_xlfn.XLOOKUP($I479,Inputs!$C$6:$C$23,Inputs!$D$6:$D$23)*$G479</f>
        <v>4.0772714285714287</v>
      </c>
      <c r="K479" s="255"/>
      <c r="L479" s="186">
        <v>349</v>
      </c>
      <c r="M479" s="186">
        <v>453</v>
      </c>
      <c r="N479" s="99">
        <f t="shared" si="104"/>
        <v>41.709515497066128</v>
      </c>
      <c r="O479" s="99">
        <f t="shared" si="105"/>
        <v>54.138712092180391</v>
      </c>
      <c r="P479" s="131">
        <v>0.9</v>
      </c>
      <c r="Q479" s="186">
        <f t="shared" si="106"/>
        <v>37.538563947359513</v>
      </c>
      <c r="R479" s="186">
        <f t="shared" si="107"/>
        <v>48.724840882962354</v>
      </c>
      <c r="S479" s="151" t="s">
        <v>2554</v>
      </c>
      <c r="T479" s="51" t="s">
        <v>2207</v>
      </c>
      <c r="U479" s="151" t="s">
        <v>1731</v>
      </c>
      <c r="V479" s="51" t="s">
        <v>3208</v>
      </c>
      <c r="W479" s="19"/>
      <c r="X479" s="19"/>
      <c r="Y479" s="99">
        <v>848</v>
      </c>
    </row>
    <row r="480" spans="2:25" s="165" customFormat="1" ht="20" x14ac:dyDescent="0.2">
      <c r="B480" s="150" t="s">
        <v>1140</v>
      </c>
      <c r="C480" s="33" t="s">
        <v>106</v>
      </c>
      <c r="D480" s="33" t="s">
        <v>2876</v>
      </c>
      <c r="E480" s="175">
        <v>1</v>
      </c>
      <c r="F480" s="151" t="s">
        <v>1128</v>
      </c>
      <c r="G480" s="152">
        <v>8.7899280999999991</v>
      </c>
      <c r="H480" s="152">
        <v>5.4258815432098757</v>
      </c>
      <c r="I480" s="175">
        <v>69</v>
      </c>
      <c r="J480" s="266">
        <f>_xlfn.XLOOKUP($I480,Inputs!$C$6:$C$23,Inputs!$D$6:$D$23)*$G480</f>
        <v>3.3778437984285712</v>
      </c>
      <c r="K480" s="255"/>
      <c r="L480" s="186">
        <v>400</v>
      </c>
      <c r="M480" s="186">
        <v>505</v>
      </c>
      <c r="N480" s="99">
        <f t="shared" si="104"/>
        <v>47.804602288901016</v>
      </c>
      <c r="O480" s="99">
        <f t="shared" si="105"/>
        <v>60.353310389737523</v>
      </c>
      <c r="P480" s="131">
        <v>0.9</v>
      </c>
      <c r="Q480" s="186">
        <f t="shared" si="106"/>
        <v>43.024142060010917</v>
      </c>
      <c r="R480" s="186">
        <f t="shared" si="107"/>
        <v>54.317979350763771</v>
      </c>
      <c r="S480" s="151" t="s">
        <v>2929</v>
      </c>
      <c r="T480" s="51" t="s">
        <v>3723</v>
      </c>
      <c r="U480" s="151" t="s">
        <v>1732</v>
      </c>
      <c r="V480" s="51" t="s">
        <v>3701</v>
      </c>
      <c r="W480" s="19"/>
      <c r="X480" s="19"/>
      <c r="Y480" s="99">
        <v>565</v>
      </c>
    </row>
    <row r="481" spans="2:25" s="165" customFormat="1" ht="20" x14ac:dyDescent="0.2">
      <c r="B481" s="151" t="s">
        <v>1541</v>
      </c>
      <c r="C481" s="33" t="s">
        <v>106</v>
      </c>
      <c r="D481" s="33" t="s">
        <v>2876</v>
      </c>
      <c r="E481" s="175">
        <v>1</v>
      </c>
      <c r="F481" s="151" t="s">
        <v>1128</v>
      </c>
      <c r="G481" s="174">
        <v>1</v>
      </c>
      <c r="H481" s="152">
        <v>0.61728395061728392</v>
      </c>
      <c r="I481" s="175">
        <v>69</v>
      </c>
      <c r="J481" s="266">
        <f>_xlfn.XLOOKUP($I481,Inputs!$C$6:$C$23,Inputs!$D$6:$D$23)*$G481</f>
        <v>0.38428571428571429</v>
      </c>
      <c r="K481" s="267">
        <f>IF((42.4*(H481)^(-0.6595))&gt;=3,3,(IF(42.4*(H481)^(-0.6595)&lt;=0.5,0.5,(42.4*(H481)^(-0.6595)))))</f>
        <v>3</v>
      </c>
      <c r="L481" s="99"/>
      <c r="M481" s="99"/>
      <c r="N481" s="99">
        <f t="shared" si="104"/>
        <v>0</v>
      </c>
      <c r="O481" s="99">
        <f t="shared" si="105"/>
        <v>0</v>
      </c>
      <c r="P481" s="131">
        <v>0.9</v>
      </c>
      <c r="Q481" s="305">
        <f>_xlfn.XLOOKUP($I481,Inputs!$G$6:$G$23,Inputs!J$6:J$23)*$K481</f>
        <v>36</v>
      </c>
      <c r="R481" s="305">
        <f>_xlfn.XLOOKUP($I481,Inputs!$G$6:$G$23,Inputs!K$6:K$23)*$K481</f>
        <v>39</v>
      </c>
      <c r="S481" s="151" t="s">
        <v>2600</v>
      </c>
      <c r="T481" s="51" t="s">
        <v>2259</v>
      </c>
      <c r="U481" s="151" t="s">
        <v>1733</v>
      </c>
      <c r="V481" s="51" t="s">
        <v>3455</v>
      </c>
      <c r="W481" s="19"/>
      <c r="X481" s="19"/>
      <c r="Y481" s="99">
        <v>983</v>
      </c>
    </row>
    <row r="482" spans="2:25" s="90" customFormat="1" ht="20" x14ac:dyDescent="0.2">
      <c r="B482" s="150" t="s">
        <v>1379</v>
      </c>
      <c r="C482" s="33" t="s">
        <v>106</v>
      </c>
      <c r="D482" s="33" t="s">
        <v>2876</v>
      </c>
      <c r="E482" s="175">
        <v>1</v>
      </c>
      <c r="F482" s="151" t="s">
        <v>1128</v>
      </c>
      <c r="G482" s="152">
        <v>28.51</v>
      </c>
      <c r="H482" s="152">
        <v>17.598765432098766</v>
      </c>
      <c r="I482" s="175">
        <v>69</v>
      </c>
      <c r="J482" s="266">
        <f>_xlfn.XLOOKUP($I482,Inputs!$C$6:$C$23,Inputs!$D$6:$D$23)*$G482</f>
        <v>10.955985714285715</v>
      </c>
      <c r="K482" s="255"/>
      <c r="L482" s="186">
        <v>280</v>
      </c>
      <c r="M482" s="186">
        <v>450</v>
      </c>
      <c r="N482" s="99">
        <f t="shared" si="104"/>
        <v>33.463221602230711</v>
      </c>
      <c r="O482" s="99">
        <f t="shared" si="105"/>
        <v>53.780177575013639</v>
      </c>
      <c r="P482" s="131">
        <v>0.9</v>
      </c>
      <c r="Q482" s="186">
        <f t="shared" ref="Q482:Q494" si="108">N482*$P482</f>
        <v>30.116899442007639</v>
      </c>
      <c r="R482" s="186">
        <f t="shared" ref="R482:R494" si="109">O482*$P482</f>
        <v>48.402159817512278</v>
      </c>
      <c r="S482" s="151" t="s">
        <v>1608</v>
      </c>
      <c r="T482" s="51" t="s">
        <v>3229</v>
      </c>
      <c r="U482" s="151" t="s">
        <v>2600</v>
      </c>
      <c r="V482" s="51" t="s">
        <v>2259</v>
      </c>
      <c r="W482" s="19"/>
      <c r="X482" s="19"/>
      <c r="Y482" s="99">
        <v>982</v>
      </c>
    </row>
    <row r="483" spans="2:25" s="185" customFormat="1" ht="20" x14ac:dyDescent="0.2">
      <c r="B483" s="150" t="s">
        <v>433</v>
      </c>
      <c r="C483" s="33" t="s">
        <v>106</v>
      </c>
      <c r="D483" s="33" t="s">
        <v>2876</v>
      </c>
      <c r="E483" s="175">
        <v>1</v>
      </c>
      <c r="F483" s="151" t="s">
        <v>1128</v>
      </c>
      <c r="G483" s="152">
        <v>18.739999999999998</v>
      </c>
      <c r="H483" s="152">
        <v>11.5679012345679</v>
      </c>
      <c r="I483" s="175">
        <v>138</v>
      </c>
      <c r="J483" s="266">
        <f>_xlfn.XLOOKUP($I483,Inputs!$C$6:$C$23,Inputs!$D$6:$D$23)*$G483</f>
        <v>8.1251285714285721</v>
      </c>
      <c r="K483" s="255"/>
      <c r="L483" s="186">
        <v>625</v>
      </c>
      <c r="M483" s="186">
        <v>805</v>
      </c>
      <c r="N483" s="99">
        <f t="shared" si="104"/>
        <v>149.38938215281567</v>
      </c>
      <c r="O483" s="99">
        <f t="shared" si="105"/>
        <v>192.41352421282656</v>
      </c>
      <c r="P483" s="131">
        <v>0.9</v>
      </c>
      <c r="Q483" s="186">
        <f t="shared" si="108"/>
        <v>134.45044393753412</v>
      </c>
      <c r="R483" s="186">
        <f t="shared" si="109"/>
        <v>173.17217179154392</v>
      </c>
      <c r="S483" s="151" t="s">
        <v>2399</v>
      </c>
      <c r="T483" s="51" t="s">
        <v>2048</v>
      </c>
      <c r="U483" s="151" t="s">
        <v>1734</v>
      </c>
      <c r="V483" s="51" t="s">
        <v>3128</v>
      </c>
      <c r="W483" s="19"/>
      <c r="X483" s="19"/>
      <c r="Y483" s="99">
        <v>69</v>
      </c>
    </row>
    <row r="484" spans="2:25" s="165" customFormat="1" ht="20" x14ac:dyDescent="0.2">
      <c r="B484" s="150" t="s">
        <v>434</v>
      </c>
      <c r="C484" s="33" t="s">
        <v>106</v>
      </c>
      <c r="D484" s="33" t="s">
        <v>2876</v>
      </c>
      <c r="E484" s="175">
        <v>1</v>
      </c>
      <c r="F484" s="151" t="s">
        <v>1128</v>
      </c>
      <c r="G484" s="152">
        <v>3</v>
      </c>
      <c r="H484" s="152">
        <v>1.8518518518518516</v>
      </c>
      <c r="I484" s="175">
        <v>138</v>
      </c>
      <c r="J484" s="266">
        <f>_xlfn.XLOOKUP($I484,Inputs!$C$6:$C$23,Inputs!$D$6:$D$23)*$G484</f>
        <v>1.3007142857142857</v>
      </c>
      <c r="K484" s="255"/>
      <c r="L484" s="186">
        <v>635</v>
      </c>
      <c r="M484" s="186">
        <v>810</v>
      </c>
      <c r="N484" s="99">
        <f t="shared" si="104"/>
        <v>151.77961226726069</v>
      </c>
      <c r="O484" s="99">
        <f t="shared" si="105"/>
        <v>193.60863927004908</v>
      </c>
      <c r="P484" s="131">
        <v>0.9</v>
      </c>
      <c r="Q484" s="186">
        <f t="shared" si="108"/>
        <v>136.60165104053462</v>
      </c>
      <c r="R484" s="186">
        <f t="shared" si="109"/>
        <v>174.24777534304417</v>
      </c>
      <c r="S484" s="151" t="s">
        <v>2400</v>
      </c>
      <c r="T484" s="51" t="s">
        <v>2049</v>
      </c>
      <c r="U484" s="151" t="s">
        <v>1734</v>
      </c>
      <c r="V484" s="51" t="s">
        <v>3128</v>
      </c>
      <c r="W484" s="19"/>
      <c r="X484" s="19"/>
      <c r="Y484" s="99">
        <v>73</v>
      </c>
    </row>
    <row r="485" spans="2:25" s="165" customFormat="1" ht="20" x14ac:dyDescent="0.2">
      <c r="B485" s="150" t="s">
        <v>447</v>
      </c>
      <c r="C485" s="33" t="s">
        <v>106</v>
      </c>
      <c r="D485" s="33" t="s">
        <v>2876</v>
      </c>
      <c r="E485" s="175">
        <v>1</v>
      </c>
      <c r="F485" s="151" t="s">
        <v>1128</v>
      </c>
      <c r="G485" s="152">
        <v>3</v>
      </c>
      <c r="H485" s="152">
        <v>1.8518518518518516</v>
      </c>
      <c r="I485" s="175">
        <v>138</v>
      </c>
      <c r="J485" s="266">
        <f>_xlfn.XLOOKUP($I485,Inputs!$C$6:$C$23,Inputs!$D$6:$D$23)*$G485</f>
        <v>1.3007142857142857</v>
      </c>
      <c r="K485" s="255"/>
      <c r="L485" s="186">
        <v>635</v>
      </c>
      <c r="M485" s="186">
        <v>810</v>
      </c>
      <c r="N485" s="99">
        <f t="shared" si="104"/>
        <v>151.77961226726069</v>
      </c>
      <c r="O485" s="99">
        <f t="shared" si="105"/>
        <v>193.60863927004908</v>
      </c>
      <c r="P485" s="131">
        <v>0.9</v>
      </c>
      <c r="Q485" s="186">
        <f t="shared" si="108"/>
        <v>136.60165104053462</v>
      </c>
      <c r="R485" s="186">
        <f t="shared" si="109"/>
        <v>174.24777534304417</v>
      </c>
      <c r="S485" s="151" t="s">
        <v>2400</v>
      </c>
      <c r="T485" s="51" t="s">
        <v>2049</v>
      </c>
      <c r="U485" s="151" t="s">
        <v>1734</v>
      </c>
      <c r="V485" s="51" t="s">
        <v>3128</v>
      </c>
      <c r="W485" s="19"/>
      <c r="X485" s="19"/>
      <c r="Y485" s="99">
        <v>115</v>
      </c>
    </row>
    <row r="486" spans="2:25" s="90" customFormat="1" ht="20" x14ac:dyDescent="0.2">
      <c r="B486" s="150" t="s">
        <v>1274</v>
      </c>
      <c r="C486" s="33" t="s">
        <v>106</v>
      </c>
      <c r="D486" s="33" t="s">
        <v>2876</v>
      </c>
      <c r="E486" s="175">
        <v>1</v>
      </c>
      <c r="F486" s="151" t="s">
        <v>1128</v>
      </c>
      <c r="G486" s="152">
        <v>3.4020077999999998</v>
      </c>
      <c r="H486" s="152">
        <v>2.1000048148148145</v>
      </c>
      <c r="I486" s="175">
        <v>69</v>
      </c>
      <c r="J486" s="266">
        <f>_xlfn.XLOOKUP($I486,Inputs!$C$6:$C$23,Inputs!$D$6:$D$23)*$G486</f>
        <v>1.3073429974285713</v>
      </c>
      <c r="K486" s="255"/>
      <c r="L486" s="186">
        <v>750</v>
      </c>
      <c r="M486" s="186">
        <v>960</v>
      </c>
      <c r="N486" s="99">
        <f t="shared" si="104"/>
        <v>89.633629291689402</v>
      </c>
      <c r="O486" s="99">
        <f t="shared" si="105"/>
        <v>114.73104549336242</v>
      </c>
      <c r="P486" s="131">
        <v>0.9</v>
      </c>
      <c r="Q486" s="186">
        <f t="shared" si="108"/>
        <v>80.670266362520465</v>
      </c>
      <c r="R486" s="186">
        <f t="shared" si="109"/>
        <v>103.25794094402617</v>
      </c>
      <c r="S486" s="151" t="s">
        <v>1816</v>
      </c>
      <c r="T486" s="51" t="s">
        <v>3298</v>
      </c>
      <c r="U486" s="151" t="s">
        <v>1735</v>
      </c>
      <c r="V486" s="51" t="s">
        <v>3270</v>
      </c>
      <c r="W486" s="19"/>
      <c r="X486" s="19"/>
      <c r="Y486" s="99">
        <v>797</v>
      </c>
    </row>
    <row r="487" spans="2:25" s="165" customFormat="1" ht="20" x14ac:dyDescent="0.2">
      <c r="B487" s="151" t="s">
        <v>1104</v>
      </c>
      <c r="C487" s="33" t="s">
        <v>106</v>
      </c>
      <c r="D487" s="33" t="s">
        <v>2876</v>
      </c>
      <c r="E487" s="175">
        <v>1</v>
      </c>
      <c r="F487" s="151" t="s">
        <v>1128</v>
      </c>
      <c r="G487" s="174">
        <v>130</v>
      </c>
      <c r="H487" s="152">
        <v>80.246913580246911</v>
      </c>
      <c r="I487" s="175">
        <v>230</v>
      </c>
      <c r="J487" s="266">
        <f>_xlfn.XLOOKUP($I487,Inputs!$C$6:$C$23,Inputs!$D$6:$D$23)*$G487</f>
        <v>62.4</v>
      </c>
      <c r="K487" s="255"/>
      <c r="L487" s="186">
        <v>1301</v>
      </c>
      <c r="M487" s="3">
        <v>1591</v>
      </c>
      <c r="N487" s="99">
        <f t="shared" si="104"/>
        <v>518.28156314883506</v>
      </c>
      <c r="O487" s="99">
        <f t="shared" si="105"/>
        <v>633.80935201367924</v>
      </c>
      <c r="P487" s="131">
        <v>0.9</v>
      </c>
      <c r="Q487" s="186">
        <f t="shared" si="108"/>
        <v>466.45340683395159</v>
      </c>
      <c r="R487" s="186">
        <f t="shared" si="109"/>
        <v>570.4284168123113</v>
      </c>
      <c r="S487" s="151" t="s">
        <v>1867</v>
      </c>
      <c r="T487" s="51" t="s">
        <v>3196</v>
      </c>
      <c r="U487" s="151" t="s">
        <v>2309</v>
      </c>
      <c r="V487" s="51" t="s">
        <v>3129</v>
      </c>
      <c r="W487" s="19"/>
      <c r="X487" s="19"/>
      <c r="Y487" s="99">
        <v>372</v>
      </c>
    </row>
    <row r="488" spans="2:25" s="165" customFormat="1" ht="20" x14ac:dyDescent="0.2">
      <c r="B488" s="150" t="s">
        <v>1323</v>
      </c>
      <c r="C488" s="33" t="s">
        <v>106</v>
      </c>
      <c r="D488" s="33" t="s">
        <v>2876</v>
      </c>
      <c r="E488" s="175">
        <v>1</v>
      </c>
      <c r="F488" s="151" t="s">
        <v>1128</v>
      </c>
      <c r="G488" s="152">
        <v>11.600171</v>
      </c>
      <c r="H488" s="152">
        <v>7.1605993827160486</v>
      </c>
      <c r="I488" s="175">
        <v>69</v>
      </c>
      <c r="J488" s="266">
        <f>_xlfn.XLOOKUP($I488,Inputs!$C$6:$C$23,Inputs!$D$6:$D$23)*$G488</f>
        <v>4.4577799985714286</v>
      </c>
      <c r="K488" s="255"/>
      <c r="L488" s="186">
        <v>435</v>
      </c>
      <c r="M488" s="186">
        <v>822</v>
      </c>
      <c r="N488" s="99">
        <f t="shared" si="104"/>
        <v>51.987504989179847</v>
      </c>
      <c r="O488" s="99">
        <f t="shared" si="105"/>
        <v>98.238457703691566</v>
      </c>
      <c r="P488" s="131">
        <v>0.9</v>
      </c>
      <c r="Q488" s="186">
        <f t="shared" si="108"/>
        <v>46.788754490261866</v>
      </c>
      <c r="R488" s="186">
        <f t="shared" si="109"/>
        <v>88.414611933322405</v>
      </c>
      <c r="S488" s="151" t="s">
        <v>2567</v>
      </c>
      <c r="T488" s="51" t="s">
        <v>2226</v>
      </c>
      <c r="U488" s="151" t="s">
        <v>1737</v>
      </c>
      <c r="V488" s="51" t="s">
        <v>3271</v>
      </c>
      <c r="W488" s="19"/>
      <c r="X488" s="19"/>
      <c r="Y488" s="99">
        <v>887</v>
      </c>
    </row>
    <row r="489" spans="2:25" s="165" customFormat="1" ht="20" x14ac:dyDescent="0.2">
      <c r="B489" s="150" t="s">
        <v>1325</v>
      </c>
      <c r="C489" s="33" t="s">
        <v>106</v>
      </c>
      <c r="D489" s="33" t="s">
        <v>2876</v>
      </c>
      <c r="E489" s="175">
        <v>1</v>
      </c>
      <c r="F489" s="151" t="s">
        <v>1128</v>
      </c>
      <c r="G489" s="152">
        <v>18.219882300000002</v>
      </c>
      <c r="H489" s="152">
        <v>11.246840925925927</v>
      </c>
      <c r="I489" s="175">
        <v>69</v>
      </c>
      <c r="J489" s="266">
        <f>_xlfn.XLOOKUP($I489,Inputs!$C$6:$C$23,Inputs!$D$6:$D$23)*$G489</f>
        <v>7.0016404838571438</v>
      </c>
      <c r="K489" s="255"/>
      <c r="L489" s="186">
        <v>545</v>
      </c>
      <c r="M489" s="186">
        <v>1041</v>
      </c>
      <c r="N489" s="99">
        <f t="shared" si="104"/>
        <v>65.133770618627622</v>
      </c>
      <c r="O489" s="99">
        <f t="shared" si="105"/>
        <v>124.41147745686489</v>
      </c>
      <c r="P489" s="131">
        <v>0.9</v>
      </c>
      <c r="Q489" s="186">
        <f t="shared" si="108"/>
        <v>58.62039355676486</v>
      </c>
      <c r="R489" s="186">
        <f t="shared" si="109"/>
        <v>111.97032971117839</v>
      </c>
      <c r="S489" s="151" t="s">
        <v>107</v>
      </c>
      <c r="T489" s="51" t="s">
        <v>3232</v>
      </c>
      <c r="U489" s="151" t="s">
        <v>1737</v>
      </c>
      <c r="V489" s="179" t="s">
        <v>3271</v>
      </c>
      <c r="W489" s="19"/>
      <c r="X489" s="19"/>
      <c r="Y489" s="99">
        <v>890</v>
      </c>
    </row>
    <row r="490" spans="2:25" s="165" customFormat="1" ht="20" x14ac:dyDescent="0.2">
      <c r="B490" s="150" t="s">
        <v>443</v>
      </c>
      <c r="C490" s="33" t="s">
        <v>106</v>
      </c>
      <c r="D490" s="33" t="s">
        <v>2876</v>
      </c>
      <c r="E490" s="175">
        <v>1</v>
      </c>
      <c r="F490" s="151" t="s">
        <v>1128</v>
      </c>
      <c r="G490" s="152">
        <v>9.19</v>
      </c>
      <c r="H490" s="152">
        <v>5.6728395061728385</v>
      </c>
      <c r="I490" s="175">
        <v>138</v>
      </c>
      <c r="J490" s="266">
        <f>_xlfn.XLOOKUP($I490,Inputs!$C$6:$C$23,Inputs!$D$6:$D$23)*$G490</f>
        <v>3.9845214285714285</v>
      </c>
      <c r="K490" s="255"/>
      <c r="L490" s="186">
        <v>635</v>
      </c>
      <c r="M490" s="3">
        <v>810</v>
      </c>
      <c r="N490" s="99">
        <f t="shared" si="104"/>
        <v>151.77961226726069</v>
      </c>
      <c r="O490" s="99">
        <f t="shared" si="105"/>
        <v>193.60863927004908</v>
      </c>
      <c r="P490" s="131">
        <v>0.9</v>
      </c>
      <c r="Q490" s="186">
        <f t="shared" si="108"/>
        <v>136.60165104053462</v>
      </c>
      <c r="R490" s="186">
        <f t="shared" si="109"/>
        <v>174.24777534304417</v>
      </c>
      <c r="S490" s="184" t="s">
        <v>2407</v>
      </c>
      <c r="T490" s="51" t="s">
        <v>2055</v>
      </c>
      <c r="U490" s="151" t="s">
        <v>1738</v>
      </c>
      <c r="V490" s="51" t="s">
        <v>3187</v>
      </c>
      <c r="W490" s="19"/>
      <c r="X490" s="19"/>
      <c r="Y490" s="99">
        <v>99</v>
      </c>
    </row>
    <row r="491" spans="2:25" s="165" customFormat="1" ht="20" x14ac:dyDescent="0.2">
      <c r="B491" s="150" t="s">
        <v>444</v>
      </c>
      <c r="C491" s="33" t="s">
        <v>106</v>
      </c>
      <c r="D491" s="33" t="s">
        <v>2876</v>
      </c>
      <c r="E491" s="175">
        <v>1</v>
      </c>
      <c r="F491" s="151" t="s">
        <v>1128</v>
      </c>
      <c r="G491" s="152">
        <v>9.16</v>
      </c>
      <c r="H491" s="152">
        <v>5.6543209876543203</v>
      </c>
      <c r="I491" s="175">
        <v>138</v>
      </c>
      <c r="J491" s="266">
        <f>_xlfn.XLOOKUP($I491,Inputs!$C$6:$C$23,Inputs!$D$6:$D$23)*$G491</f>
        <v>3.971514285714286</v>
      </c>
      <c r="K491" s="255"/>
      <c r="L491" s="186">
        <v>635</v>
      </c>
      <c r="M491" s="186">
        <v>810</v>
      </c>
      <c r="N491" s="99">
        <f t="shared" si="104"/>
        <v>151.77961226726069</v>
      </c>
      <c r="O491" s="99">
        <f t="shared" si="105"/>
        <v>193.60863927004908</v>
      </c>
      <c r="P491" s="131">
        <v>0.9</v>
      </c>
      <c r="Q491" s="186">
        <f t="shared" si="108"/>
        <v>136.60165104053462</v>
      </c>
      <c r="R491" s="186">
        <f t="shared" si="109"/>
        <v>174.24777534304417</v>
      </c>
      <c r="S491" s="184" t="s">
        <v>2407</v>
      </c>
      <c r="T491" s="51" t="s">
        <v>2055</v>
      </c>
      <c r="U491" s="151" t="s">
        <v>1738</v>
      </c>
      <c r="V491" s="51" t="s">
        <v>3187</v>
      </c>
      <c r="W491" s="19"/>
      <c r="X491" s="19"/>
      <c r="Y491" s="99">
        <v>106</v>
      </c>
    </row>
    <row r="492" spans="2:25" s="165" customFormat="1" ht="20" x14ac:dyDescent="0.2">
      <c r="B492" s="150" t="s">
        <v>451</v>
      </c>
      <c r="C492" s="33" t="s">
        <v>106</v>
      </c>
      <c r="D492" s="33" t="s">
        <v>2876</v>
      </c>
      <c r="E492" s="175">
        <v>1</v>
      </c>
      <c r="F492" s="151" t="s">
        <v>1128</v>
      </c>
      <c r="G492" s="152">
        <v>4.91</v>
      </c>
      <c r="H492" s="152">
        <v>3.0308641975308639</v>
      </c>
      <c r="I492" s="175">
        <v>138</v>
      </c>
      <c r="J492" s="266">
        <f>_xlfn.XLOOKUP($I492,Inputs!$C$6:$C$23,Inputs!$D$6:$D$23)*$G492</f>
        <v>2.1288357142857146</v>
      </c>
      <c r="K492" s="255"/>
      <c r="L492" s="186">
        <v>591</v>
      </c>
      <c r="M492" s="186">
        <v>781</v>
      </c>
      <c r="N492" s="99">
        <f t="shared" si="104"/>
        <v>141.2625997637025</v>
      </c>
      <c r="O492" s="99">
        <f t="shared" si="105"/>
        <v>186.67697193815843</v>
      </c>
      <c r="P492" s="131">
        <v>0.9</v>
      </c>
      <c r="Q492" s="186">
        <f t="shared" si="108"/>
        <v>127.13633978733225</v>
      </c>
      <c r="R492" s="186">
        <f t="shared" si="109"/>
        <v>168.0092747443426</v>
      </c>
      <c r="S492" s="151" t="s">
        <v>2403</v>
      </c>
      <c r="T492" s="51" t="s">
        <v>2053</v>
      </c>
      <c r="U492" s="151" t="s">
        <v>1738</v>
      </c>
      <c r="V492" s="51" t="s">
        <v>3187</v>
      </c>
      <c r="W492" s="19"/>
      <c r="X492" s="19"/>
      <c r="Y492" s="99">
        <v>124</v>
      </c>
    </row>
    <row r="493" spans="2:25" s="165" customFormat="1" ht="20" x14ac:dyDescent="0.2">
      <c r="B493" s="150" t="s">
        <v>452</v>
      </c>
      <c r="C493" s="33" t="s">
        <v>106</v>
      </c>
      <c r="D493" s="33" t="s">
        <v>2876</v>
      </c>
      <c r="E493" s="175">
        <v>1</v>
      </c>
      <c r="F493" s="151" t="s">
        <v>1128</v>
      </c>
      <c r="G493" s="152">
        <v>7.9147840999999994</v>
      </c>
      <c r="H493" s="152">
        <v>4.8856691975308637</v>
      </c>
      <c r="I493" s="175">
        <v>138</v>
      </c>
      <c r="J493" s="266">
        <f>_xlfn.XLOOKUP($I493,Inputs!$C$6:$C$23,Inputs!$D$6:$D$23)*$G493</f>
        <v>3.4316242490714286</v>
      </c>
      <c r="K493" s="255"/>
      <c r="L493" s="186">
        <v>520</v>
      </c>
      <c r="M493" s="186">
        <v>735</v>
      </c>
      <c r="N493" s="99">
        <f t="shared" si="104"/>
        <v>124.29196595114263</v>
      </c>
      <c r="O493" s="99">
        <f t="shared" si="105"/>
        <v>175.68191341171124</v>
      </c>
      <c r="P493" s="131">
        <v>0.9</v>
      </c>
      <c r="Q493" s="186">
        <f t="shared" si="108"/>
        <v>111.86276935602837</v>
      </c>
      <c r="R493" s="186">
        <f t="shared" si="109"/>
        <v>158.11372207054012</v>
      </c>
      <c r="S493" s="151" t="s">
        <v>1726</v>
      </c>
      <c r="T493" s="51" t="s">
        <v>3269</v>
      </c>
      <c r="U493" s="151" t="s">
        <v>1738</v>
      </c>
      <c r="V493" s="51" t="s">
        <v>3187</v>
      </c>
      <c r="W493" s="19"/>
      <c r="X493" s="19"/>
      <c r="Y493" s="99">
        <v>125</v>
      </c>
    </row>
    <row r="494" spans="2:25" s="165" customFormat="1" ht="20" x14ac:dyDescent="0.2">
      <c r="B494" s="150" t="s">
        <v>455</v>
      </c>
      <c r="C494" s="33" t="s">
        <v>106</v>
      </c>
      <c r="D494" s="33" t="s">
        <v>2876</v>
      </c>
      <c r="E494" s="175">
        <v>1</v>
      </c>
      <c r="F494" s="151" t="s">
        <v>1128</v>
      </c>
      <c r="G494" s="152">
        <v>7.8919641</v>
      </c>
      <c r="H494" s="152">
        <v>4.8715827777777774</v>
      </c>
      <c r="I494" s="175">
        <v>138</v>
      </c>
      <c r="J494" s="266">
        <f>_xlfn.XLOOKUP($I494,Inputs!$C$6:$C$23,Inputs!$D$6:$D$23)*$G494</f>
        <v>3.4217301490714287</v>
      </c>
      <c r="K494" s="255"/>
      <c r="L494" s="186">
        <v>520</v>
      </c>
      <c r="M494" s="186">
        <v>735</v>
      </c>
      <c r="N494" s="99">
        <f t="shared" si="104"/>
        <v>124.29196595114263</v>
      </c>
      <c r="O494" s="99">
        <f t="shared" si="105"/>
        <v>175.68191341171124</v>
      </c>
      <c r="P494" s="131">
        <v>0.9</v>
      </c>
      <c r="Q494" s="186">
        <f t="shared" si="108"/>
        <v>111.86276935602837</v>
      </c>
      <c r="R494" s="186">
        <f t="shared" si="109"/>
        <v>158.11372207054012</v>
      </c>
      <c r="S494" s="151" t="s">
        <v>1726</v>
      </c>
      <c r="T494" s="51" t="s">
        <v>3269</v>
      </c>
      <c r="U494" s="151" t="s">
        <v>1738</v>
      </c>
      <c r="V494" s="51" t="s">
        <v>3187</v>
      </c>
      <c r="W494" s="19"/>
      <c r="X494" s="19"/>
      <c r="Y494" s="99">
        <v>130</v>
      </c>
    </row>
    <row r="495" spans="2:25" s="165" customFormat="1" ht="20" x14ac:dyDescent="0.2">
      <c r="B495" s="230" t="s">
        <v>2648</v>
      </c>
      <c r="C495" s="51" t="s">
        <v>173</v>
      </c>
      <c r="D495" s="33" t="s">
        <v>2876</v>
      </c>
      <c r="E495" s="231">
        <v>1</v>
      </c>
      <c r="F495" s="230" t="s">
        <v>1128</v>
      </c>
      <c r="G495" s="232">
        <v>4</v>
      </c>
      <c r="H495" s="232">
        <v>2.4691358024691357</v>
      </c>
      <c r="I495" s="231">
        <v>138</v>
      </c>
      <c r="J495" s="266">
        <f>_xlfn.XLOOKUP($I495,Inputs!$C$6:$C$23,Inputs!$D$6:$D$23)*$G495</f>
        <v>1.7342857142857144</v>
      </c>
      <c r="K495" s="267">
        <f>IF((42.4*(H495)^(-0.6595))&gt;=3,3,(IF(42.4*(H495)^(-0.6595)&lt;=0.5,0.5,(42.4*(H495)^(-0.6595)))))</f>
        <v>3</v>
      </c>
      <c r="L495" s="99"/>
      <c r="M495" s="99"/>
      <c r="N495" s="99"/>
      <c r="O495" s="99"/>
      <c r="P495" s="69"/>
      <c r="Q495" s="305">
        <f>_xlfn.XLOOKUP($I495,Inputs!$G$6:$G$23,Inputs!J$6:J$23)*$K495</f>
        <v>141</v>
      </c>
      <c r="R495" s="305">
        <f>_xlfn.XLOOKUP($I495,Inputs!$G$6:$G$23,Inputs!K$6:K$23)*$K495</f>
        <v>156</v>
      </c>
      <c r="S495" s="230" t="s">
        <v>2641</v>
      </c>
      <c r="T495" s="51" t="s">
        <v>3222</v>
      </c>
      <c r="U495" s="230" t="s">
        <v>2649</v>
      </c>
      <c r="V495" s="51" t="s">
        <v>3713</v>
      </c>
      <c r="W495" s="19"/>
      <c r="X495" s="19" t="s">
        <v>3705</v>
      </c>
      <c r="Y495" s="99">
        <v>1122</v>
      </c>
    </row>
    <row r="496" spans="2:25" s="165" customFormat="1" ht="20" x14ac:dyDescent="0.2">
      <c r="B496" s="150" t="s">
        <v>1228</v>
      </c>
      <c r="C496" s="33" t="s">
        <v>106</v>
      </c>
      <c r="D496" s="33" t="s">
        <v>2876</v>
      </c>
      <c r="E496" s="175">
        <v>1</v>
      </c>
      <c r="F496" s="151" t="s">
        <v>1128</v>
      </c>
      <c r="G496" s="152">
        <v>0.418076</v>
      </c>
      <c r="H496" s="152">
        <v>0.25807160493827158</v>
      </c>
      <c r="I496" s="175">
        <v>69</v>
      </c>
      <c r="J496" s="266">
        <f>_xlfn.XLOOKUP($I496,Inputs!$C$6:$C$23,Inputs!$D$6:$D$23)*$G496</f>
        <v>0.16066063428571428</v>
      </c>
      <c r="K496" s="255"/>
      <c r="L496" s="186">
        <v>500</v>
      </c>
      <c r="M496" s="186">
        <v>590</v>
      </c>
      <c r="N496" s="99">
        <f t="shared" ref="N496:O500" si="110">(SQRT(3)*L496*$I496)/1000</f>
        <v>59.755752861126261</v>
      </c>
      <c r="O496" s="99">
        <f t="shared" si="110"/>
        <v>70.51178837612899</v>
      </c>
      <c r="P496" s="131">
        <v>0.9</v>
      </c>
      <c r="Q496" s="186">
        <f t="shared" ref="Q496:R500" si="111">N496*$P496</f>
        <v>53.780177575013639</v>
      </c>
      <c r="R496" s="186">
        <f t="shared" si="111"/>
        <v>63.460609538516096</v>
      </c>
      <c r="S496" s="151" t="s">
        <v>2515</v>
      </c>
      <c r="T496" s="51" t="s">
        <v>2174</v>
      </c>
      <c r="U496" s="151" t="s">
        <v>1739</v>
      </c>
      <c r="V496" s="51" t="s">
        <v>3458</v>
      </c>
      <c r="W496" s="19"/>
      <c r="X496" s="19"/>
      <c r="Y496" s="99">
        <v>715</v>
      </c>
    </row>
    <row r="497" spans="2:25" s="185" customFormat="1" ht="20" x14ac:dyDescent="0.2">
      <c r="B497" s="150" t="s">
        <v>1227</v>
      </c>
      <c r="C497" s="33" t="s">
        <v>106</v>
      </c>
      <c r="D497" s="33" t="s">
        <v>2876</v>
      </c>
      <c r="E497" s="175">
        <v>1</v>
      </c>
      <c r="F497" s="151" t="s">
        <v>1128</v>
      </c>
      <c r="G497" s="152">
        <v>1</v>
      </c>
      <c r="H497" s="152">
        <v>0.61728395061728392</v>
      </c>
      <c r="I497" s="175">
        <v>69</v>
      </c>
      <c r="J497" s="266">
        <f>_xlfn.XLOOKUP($I497,Inputs!$C$6:$C$23,Inputs!$D$6:$D$23)*$G497</f>
        <v>0.38428571428571429</v>
      </c>
      <c r="K497" s="255"/>
      <c r="L497" s="186">
        <v>870</v>
      </c>
      <c r="M497" s="186">
        <v>1050</v>
      </c>
      <c r="N497" s="99">
        <f t="shared" si="110"/>
        <v>103.97500997835969</v>
      </c>
      <c r="O497" s="99">
        <f t="shared" si="110"/>
        <v>125.48708100836515</v>
      </c>
      <c r="P497" s="131">
        <v>0.9</v>
      </c>
      <c r="Q497" s="186">
        <f t="shared" si="111"/>
        <v>93.577508980523731</v>
      </c>
      <c r="R497" s="186">
        <f t="shared" si="111"/>
        <v>112.93837290752865</v>
      </c>
      <c r="S497" s="151" t="s">
        <v>1820</v>
      </c>
      <c r="T497" s="51" t="s">
        <v>3300</v>
      </c>
      <c r="U497" s="151" t="s">
        <v>2515</v>
      </c>
      <c r="V497" s="51" t="s">
        <v>2174</v>
      </c>
      <c r="W497" s="19"/>
      <c r="X497" s="19"/>
      <c r="Y497" s="99">
        <v>714</v>
      </c>
    </row>
    <row r="498" spans="2:25" s="185" customFormat="1" ht="20" x14ac:dyDescent="0.2">
      <c r="B498" s="150" t="s">
        <v>456</v>
      </c>
      <c r="C498" s="33" t="s">
        <v>106</v>
      </c>
      <c r="D498" s="33" t="s">
        <v>2876</v>
      </c>
      <c r="E498" s="175">
        <v>1</v>
      </c>
      <c r="F498" s="151" t="s">
        <v>1128</v>
      </c>
      <c r="G498" s="152">
        <v>14.06</v>
      </c>
      <c r="H498" s="152">
        <v>8.6790123456790127</v>
      </c>
      <c r="I498" s="175">
        <v>138</v>
      </c>
      <c r="J498" s="266">
        <f>_xlfn.XLOOKUP($I498,Inputs!$C$6:$C$23,Inputs!$D$6:$D$23)*$G498</f>
        <v>6.0960142857142863</v>
      </c>
      <c r="K498" s="255"/>
      <c r="L498" s="186">
        <v>349</v>
      </c>
      <c r="M498" s="186">
        <v>580</v>
      </c>
      <c r="N498" s="99">
        <f t="shared" si="110"/>
        <v>83.419030994132257</v>
      </c>
      <c r="O498" s="99">
        <f t="shared" si="110"/>
        <v>138.63334663781293</v>
      </c>
      <c r="P498" s="131">
        <v>0.9</v>
      </c>
      <c r="Q498" s="186">
        <f t="shared" si="111"/>
        <v>75.077127894719027</v>
      </c>
      <c r="R498" s="186">
        <f t="shared" si="111"/>
        <v>124.77001197403165</v>
      </c>
      <c r="S498" s="151" t="s">
        <v>2410</v>
      </c>
      <c r="T498" s="51" t="s">
        <v>2061</v>
      </c>
      <c r="U498" s="151" t="s">
        <v>1740</v>
      </c>
      <c r="V498" s="51" t="s">
        <v>3201</v>
      </c>
      <c r="W498" s="19"/>
      <c r="X498" s="19"/>
      <c r="Y498" s="99">
        <v>133</v>
      </c>
    </row>
    <row r="499" spans="2:25" s="165" customFormat="1" ht="20" x14ac:dyDescent="0.2">
      <c r="B499" s="150" t="s">
        <v>1382</v>
      </c>
      <c r="C499" s="33" t="s">
        <v>106</v>
      </c>
      <c r="D499" s="33" t="s">
        <v>2876</v>
      </c>
      <c r="E499" s="175">
        <v>1</v>
      </c>
      <c r="F499" s="151" t="s">
        <v>1128</v>
      </c>
      <c r="G499" s="152">
        <v>4</v>
      </c>
      <c r="H499" s="152">
        <v>2.4691358024691357</v>
      </c>
      <c r="I499" s="175">
        <v>69</v>
      </c>
      <c r="J499" s="266">
        <f>_xlfn.XLOOKUP($I499,Inputs!$C$6:$C$23,Inputs!$D$6:$D$23)*$G499</f>
        <v>1.5371428571428571</v>
      </c>
      <c r="K499" s="255"/>
      <c r="L499" s="186">
        <v>280</v>
      </c>
      <c r="M499" s="186">
        <v>450</v>
      </c>
      <c r="N499" s="99">
        <f t="shared" si="110"/>
        <v>33.463221602230711</v>
      </c>
      <c r="O499" s="99">
        <f t="shared" si="110"/>
        <v>53.780177575013639</v>
      </c>
      <c r="P499" s="131">
        <v>0.9</v>
      </c>
      <c r="Q499" s="186">
        <f t="shared" si="111"/>
        <v>30.116899442007639</v>
      </c>
      <c r="R499" s="186">
        <f t="shared" si="111"/>
        <v>48.402159817512278</v>
      </c>
      <c r="S499" s="151" t="s">
        <v>2602</v>
      </c>
      <c r="T499" s="51" t="s">
        <v>2261</v>
      </c>
      <c r="U499" s="151" t="s">
        <v>1741</v>
      </c>
      <c r="V499" s="51" t="s">
        <v>3520</v>
      </c>
      <c r="W499" s="19"/>
      <c r="X499" s="19"/>
      <c r="Y499" s="99">
        <v>992</v>
      </c>
    </row>
    <row r="500" spans="2:25" s="165" customFormat="1" ht="20" x14ac:dyDescent="0.2">
      <c r="B500" s="150" t="s">
        <v>1393</v>
      </c>
      <c r="C500" s="33" t="s">
        <v>106</v>
      </c>
      <c r="D500" s="33" t="s">
        <v>2876</v>
      </c>
      <c r="E500" s="175">
        <v>1</v>
      </c>
      <c r="F500" s="151" t="s">
        <v>1128</v>
      </c>
      <c r="G500" s="152">
        <v>10.725740200000001</v>
      </c>
      <c r="H500" s="152">
        <v>6.620827283950617</v>
      </c>
      <c r="I500" s="175">
        <v>69</v>
      </c>
      <c r="J500" s="266">
        <f>_xlfn.XLOOKUP($I500,Inputs!$C$6:$C$23,Inputs!$D$6:$D$23)*$G500</f>
        <v>4.1217487340000005</v>
      </c>
      <c r="K500" s="255"/>
      <c r="L500" s="186">
        <v>390</v>
      </c>
      <c r="M500" s="186">
        <v>650</v>
      </c>
      <c r="N500" s="99">
        <f t="shared" si="110"/>
        <v>46.609487231678479</v>
      </c>
      <c r="O500" s="99">
        <f t="shared" si="110"/>
        <v>77.682478719464143</v>
      </c>
      <c r="P500" s="131">
        <v>0.9</v>
      </c>
      <c r="Q500" s="186">
        <f t="shared" si="111"/>
        <v>41.94853850851063</v>
      </c>
      <c r="R500" s="186">
        <f t="shared" si="111"/>
        <v>69.914230847517729</v>
      </c>
      <c r="S500" s="151" t="s">
        <v>1884</v>
      </c>
      <c r="T500" s="51" t="s">
        <v>3328</v>
      </c>
      <c r="U500" s="151" t="s">
        <v>1741</v>
      </c>
      <c r="V500" s="51" t="s">
        <v>3520</v>
      </c>
      <c r="W500" s="19"/>
      <c r="X500" s="19"/>
      <c r="Y500" s="99">
        <v>1012</v>
      </c>
    </row>
    <row r="501" spans="2:25" s="165" customFormat="1" ht="20" x14ac:dyDescent="0.2">
      <c r="B501" s="230" t="s">
        <v>2670</v>
      </c>
      <c r="C501" s="51" t="s">
        <v>173</v>
      </c>
      <c r="D501" s="33" t="s">
        <v>2876</v>
      </c>
      <c r="E501" s="231">
        <v>1</v>
      </c>
      <c r="F501" s="230" t="s">
        <v>1128</v>
      </c>
      <c r="G501" s="232">
        <v>7</v>
      </c>
      <c r="H501" s="232">
        <v>4.3209876543209873</v>
      </c>
      <c r="I501" s="231">
        <v>63</v>
      </c>
      <c r="J501" s="266">
        <f>_xlfn.XLOOKUP($I501,Inputs!$C$6:$C$23,Inputs!$D$6:$D$23)*$G501</f>
        <v>2.66</v>
      </c>
      <c r="K501" s="267">
        <f>IF((42.4*(H501)^(-0.6595))&gt;=3,3,(IF(42.4*(H501)^(-0.6595)&lt;=0.5,0.5,(42.4*(H501)^(-0.6595)))))</f>
        <v>3</v>
      </c>
      <c r="L501" s="99"/>
      <c r="M501" s="99"/>
      <c r="N501" s="99"/>
      <c r="O501" s="99"/>
      <c r="P501" s="69"/>
      <c r="Q501" s="305">
        <f>_xlfn.XLOOKUP($I501,Inputs!$G$6:$G$23,Inputs!J$6:J$23)*$K501</f>
        <v>29.767499999999998</v>
      </c>
      <c r="R501" s="305">
        <f>_xlfn.XLOOKUP($I501,Inputs!$G$6:$G$23,Inputs!K$6:K$23)*$K501</f>
        <v>32.532786885245905</v>
      </c>
      <c r="S501" s="230" t="s">
        <v>2671</v>
      </c>
      <c r="T501" s="51" t="s">
        <v>3302</v>
      </c>
      <c r="U501" s="230" t="s">
        <v>2672</v>
      </c>
      <c r="V501" s="51" t="s">
        <v>3272</v>
      </c>
      <c r="W501" s="19"/>
      <c r="X501" s="19" t="s">
        <v>3704</v>
      </c>
      <c r="Y501" s="99">
        <v>1092</v>
      </c>
    </row>
    <row r="502" spans="2:25" s="165" customFormat="1" ht="20" x14ac:dyDescent="0.2">
      <c r="B502" s="230" t="s">
        <v>2731</v>
      </c>
      <c r="C502" s="51" t="s">
        <v>173</v>
      </c>
      <c r="D502" s="33" t="s">
        <v>2876</v>
      </c>
      <c r="E502" s="231">
        <v>1</v>
      </c>
      <c r="F502" s="230" t="s">
        <v>1128</v>
      </c>
      <c r="G502" s="232">
        <v>22.5</v>
      </c>
      <c r="H502" s="232">
        <v>13.888888888888888</v>
      </c>
      <c r="I502" s="231">
        <v>63</v>
      </c>
      <c r="J502" s="266">
        <f>_xlfn.XLOOKUP($I502,Inputs!$C$6:$C$23,Inputs!$D$6:$D$23)*$G502</f>
        <v>8.5500000000000007</v>
      </c>
      <c r="K502" s="267">
        <f>IF((42.4*(H502)^(-0.6595))&gt;=3,3,(IF(42.4*(H502)^(-0.6595)&lt;=0.5,0.5,(42.4*(H502)^(-0.6595)))))</f>
        <v>3</v>
      </c>
      <c r="L502" s="99"/>
      <c r="M502" s="99"/>
      <c r="N502" s="99"/>
      <c r="O502" s="99"/>
      <c r="P502" s="69"/>
      <c r="Q502" s="305">
        <f>_xlfn.XLOOKUP($I502,Inputs!$G$6:$G$23,Inputs!J$6:J$23)*$K502</f>
        <v>29.767499999999998</v>
      </c>
      <c r="R502" s="305">
        <f>_xlfn.XLOOKUP($I502,Inputs!$G$6:$G$23,Inputs!K$6:K$23)*$K502</f>
        <v>32.532786885245905</v>
      </c>
      <c r="S502" s="230" t="s">
        <v>2729</v>
      </c>
      <c r="T502" s="51" t="s">
        <v>3234</v>
      </c>
      <c r="U502" s="230" t="s">
        <v>2732</v>
      </c>
      <c r="V502" s="51" t="s">
        <v>3396</v>
      </c>
      <c r="W502" s="19"/>
      <c r="X502" s="19"/>
      <c r="Y502" s="99">
        <v>1088</v>
      </c>
    </row>
    <row r="503" spans="2:25" s="165" customFormat="1" ht="20" x14ac:dyDescent="0.2">
      <c r="B503" s="150" t="s">
        <v>1310</v>
      </c>
      <c r="C503" s="33" t="s">
        <v>106</v>
      </c>
      <c r="D503" s="33" t="s">
        <v>2876</v>
      </c>
      <c r="E503" s="175">
        <v>1</v>
      </c>
      <c r="F503" s="151" t="s">
        <v>1128</v>
      </c>
      <c r="G503" s="152">
        <v>2</v>
      </c>
      <c r="H503" s="152">
        <v>1.2345679012345678</v>
      </c>
      <c r="I503" s="175">
        <v>69</v>
      </c>
      <c r="J503" s="266">
        <f>_xlfn.XLOOKUP($I503,Inputs!$C$6:$C$23,Inputs!$D$6:$D$23)*$G503</f>
        <v>0.76857142857142857</v>
      </c>
      <c r="K503" s="255"/>
      <c r="L503" s="186">
        <v>435</v>
      </c>
      <c r="M503" s="186">
        <v>822</v>
      </c>
      <c r="N503" s="99">
        <f t="shared" ref="N503:O506" si="112">(SQRT(3)*L503*$I503)/1000</f>
        <v>51.987504989179847</v>
      </c>
      <c r="O503" s="99">
        <f t="shared" si="112"/>
        <v>98.238457703691566</v>
      </c>
      <c r="P503" s="131">
        <v>0.9</v>
      </c>
      <c r="Q503" s="186">
        <f>N503*$P503</f>
        <v>46.788754490261866</v>
      </c>
      <c r="R503" s="186">
        <f>O503*$P503</f>
        <v>88.414611933322405</v>
      </c>
      <c r="S503" s="151" t="s">
        <v>2560</v>
      </c>
      <c r="T503" s="51" t="s">
        <v>2217</v>
      </c>
      <c r="U503" s="151" t="s">
        <v>326</v>
      </c>
      <c r="V503" s="51" t="s">
        <v>3273</v>
      </c>
      <c r="W503" s="19"/>
      <c r="X503" s="19"/>
      <c r="Y503" s="99">
        <v>866</v>
      </c>
    </row>
    <row r="504" spans="2:25" s="165" customFormat="1" ht="20" x14ac:dyDescent="0.2">
      <c r="B504" s="150" t="s">
        <v>1324</v>
      </c>
      <c r="C504" s="33" t="s">
        <v>106</v>
      </c>
      <c r="D504" s="33" t="s">
        <v>2876</v>
      </c>
      <c r="E504" s="175">
        <v>1</v>
      </c>
      <c r="F504" s="151" t="s">
        <v>1128</v>
      </c>
      <c r="G504" s="152">
        <v>21.7664121</v>
      </c>
      <c r="H504" s="152">
        <v>13.436056851851852</v>
      </c>
      <c r="I504" s="175">
        <v>69</v>
      </c>
      <c r="J504" s="266">
        <f>_xlfn.XLOOKUP($I504,Inputs!$C$6:$C$23,Inputs!$D$6:$D$23)*$G504</f>
        <v>8.364521221285715</v>
      </c>
      <c r="K504" s="255"/>
      <c r="L504" s="186">
        <v>435</v>
      </c>
      <c r="M504" s="186">
        <v>822</v>
      </c>
      <c r="N504" s="99">
        <f t="shared" si="112"/>
        <v>51.987504989179847</v>
      </c>
      <c r="O504" s="99">
        <f t="shared" si="112"/>
        <v>98.238457703691566</v>
      </c>
      <c r="P504" s="131">
        <v>0.9</v>
      </c>
      <c r="Q504" s="186">
        <f>N504*$P504</f>
        <v>46.788754490261866</v>
      </c>
      <c r="R504" s="186">
        <f>O504*$P504</f>
        <v>88.414611933322405</v>
      </c>
      <c r="S504" s="151" t="s">
        <v>1737</v>
      </c>
      <c r="T504" s="51" t="s">
        <v>3271</v>
      </c>
      <c r="U504" s="151" t="s">
        <v>326</v>
      </c>
      <c r="V504" s="51" t="s">
        <v>3273</v>
      </c>
      <c r="W504" s="19"/>
      <c r="X504" s="19"/>
      <c r="Y504" s="99">
        <v>889</v>
      </c>
    </row>
    <row r="505" spans="2:25" s="165" customFormat="1" ht="20" x14ac:dyDescent="0.2">
      <c r="B505" s="150" t="s">
        <v>432</v>
      </c>
      <c r="C505" s="33" t="s">
        <v>106</v>
      </c>
      <c r="D505" s="33" t="s">
        <v>2876</v>
      </c>
      <c r="E505" s="175">
        <v>1</v>
      </c>
      <c r="F505" s="151" t="s">
        <v>1128</v>
      </c>
      <c r="G505" s="152">
        <v>72.240888499999997</v>
      </c>
      <c r="H505" s="152">
        <v>44.593141049382709</v>
      </c>
      <c r="I505" s="175">
        <v>138</v>
      </c>
      <c r="J505" s="266">
        <f>_xlfn.XLOOKUP($I505,Inputs!$C$6:$C$23,Inputs!$D$6:$D$23)*$G505</f>
        <v>31.321585228214285</v>
      </c>
      <c r="K505" s="267">
        <f>IF((42.4*(H505)^(-0.6595))&gt;=3,3,(IF(42.4*(H505)^(-0.6595)&lt;=0.5,0.5,(42.4*(H505)^(-0.6595)))))</f>
        <v>3</v>
      </c>
      <c r="L505" s="99"/>
      <c r="M505" s="99"/>
      <c r="N505" s="99">
        <f t="shared" si="112"/>
        <v>0</v>
      </c>
      <c r="O505" s="99">
        <f t="shared" si="112"/>
        <v>0</v>
      </c>
      <c r="P505" s="131">
        <v>0.9</v>
      </c>
      <c r="Q505" s="305">
        <f>_xlfn.XLOOKUP($I505,Inputs!$G$6:$G$23,Inputs!J$6:J$23)*$K505</f>
        <v>141</v>
      </c>
      <c r="R505" s="305">
        <f>_xlfn.XLOOKUP($I505,Inputs!$G$6:$G$23,Inputs!K$6:K$23)*$K505</f>
        <v>156</v>
      </c>
      <c r="S505" s="151" t="s">
        <v>1712</v>
      </c>
      <c r="T505" s="51" t="s">
        <v>3261</v>
      </c>
      <c r="U505" s="151" t="s">
        <v>2311</v>
      </c>
      <c r="V505" s="51" t="s">
        <v>3131</v>
      </c>
      <c r="W505" s="19"/>
      <c r="X505" s="19" t="s">
        <v>3734</v>
      </c>
      <c r="Y505" s="99">
        <v>62</v>
      </c>
    </row>
    <row r="506" spans="2:25" s="165" customFormat="1" ht="20" x14ac:dyDescent="0.2">
      <c r="B506" s="150" t="s">
        <v>654</v>
      </c>
      <c r="C506" s="33" t="s">
        <v>106</v>
      </c>
      <c r="D506" s="33" t="s">
        <v>2876</v>
      </c>
      <c r="E506" s="175">
        <v>1</v>
      </c>
      <c r="F506" s="151" t="s">
        <v>1128</v>
      </c>
      <c r="G506" s="152">
        <v>141.63345630000001</v>
      </c>
      <c r="H506" s="152">
        <v>87.428059444444443</v>
      </c>
      <c r="I506" s="175">
        <v>500</v>
      </c>
      <c r="J506" s="266">
        <f>_xlfn.XLOOKUP($I506,Inputs!$C$6:$C$23,Inputs!$D$6:$D$23)*$G506</f>
        <v>55.945215238500005</v>
      </c>
      <c r="K506" s="255"/>
      <c r="L506" s="186">
        <v>2500</v>
      </c>
      <c r="M506" s="186">
        <v>3320</v>
      </c>
      <c r="N506" s="99">
        <f t="shared" si="112"/>
        <v>2165.0635094610966</v>
      </c>
      <c r="O506" s="99">
        <f t="shared" si="112"/>
        <v>2875.2043405643362</v>
      </c>
      <c r="P506" s="131">
        <v>0.9</v>
      </c>
      <c r="Q506" s="186">
        <f>N506*$P506</f>
        <v>1948.5571585149869</v>
      </c>
      <c r="R506" s="186">
        <f>O506*$P506</f>
        <v>2587.6839065079025</v>
      </c>
      <c r="S506" s="151" t="s">
        <v>1753</v>
      </c>
      <c r="T506" s="51" t="s">
        <v>3282</v>
      </c>
      <c r="U506" s="151" t="s">
        <v>2311</v>
      </c>
      <c r="V506" s="51" t="s">
        <v>3131</v>
      </c>
      <c r="W506" s="19"/>
      <c r="X506" s="19"/>
      <c r="Y506" s="99">
        <v>529</v>
      </c>
    </row>
    <row r="507" spans="2:25" s="165" customFormat="1" ht="20" x14ac:dyDescent="0.2">
      <c r="B507" s="230" t="s">
        <v>1122</v>
      </c>
      <c r="C507" s="51" t="s">
        <v>173</v>
      </c>
      <c r="D507" s="33" t="s">
        <v>2876</v>
      </c>
      <c r="E507" s="231">
        <v>1</v>
      </c>
      <c r="F507" s="230" t="s">
        <v>1128</v>
      </c>
      <c r="G507" s="174">
        <v>15</v>
      </c>
      <c r="H507" s="174">
        <v>9.2592592592592595</v>
      </c>
      <c r="I507" s="231">
        <v>230</v>
      </c>
      <c r="J507" s="266">
        <f>_xlfn.XLOOKUP($I507,Inputs!$C$6:$C$23,Inputs!$D$6:$D$23)*$G507</f>
        <v>7.1999999999999993</v>
      </c>
      <c r="K507" s="267">
        <f>IF((42.4*(H507)^(-0.6595))&gt;=3,3,(IF(42.4*(H507)^(-0.6595)&lt;=0.5,0.5,(42.4*(H507)^(-0.6595)))))</f>
        <v>3</v>
      </c>
      <c r="L507" s="99"/>
      <c r="M507" s="99"/>
      <c r="N507" s="99"/>
      <c r="O507" s="99"/>
      <c r="P507" s="69"/>
      <c r="Q507" s="305">
        <f>_xlfn.XLOOKUP($I507,Inputs!$G$6:$G$23,Inputs!J$6:J$23)*$K507</f>
        <v>402</v>
      </c>
      <c r="R507" s="305">
        <f>_xlfn.XLOOKUP($I507,Inputs!$G$6:$G$23,Inputs!K$6:K$23)*$K507</f>
        <v>435</v>
      </c>
      <c r="S507" s="230" t="s">
        <v>3694</v>
      </c>
      <c r="T507" s="51" t="s">
        <v>3695</v>
      </c>
      <c r="U507" s="230" t="s">
        <v>1742</v>
      </c>
      <c r="V507" s="51" t="s">
        <v>3132</v>
      </c>
      <c r="W507" s="19"/>
      <c r="X507" s="19"/>
      <c r="Y507" s="99">
        <v>1140</v>
      </c>
    </row>
    <row r="508" spans="2:25" s="165" customFormat="1" ht="20" x14ac:dyDescent="0.2">
      <c r="B508" s="150" t="s">
        <v>501</v>
      </c>
      <c r="C508" s="33" t="s">
        <v>106</v>
      </c>
      <c r="D508" s="33" t="s">
        <v>2876</v>
      </c>
      <c r="E508" s="175">
        <v>1</v>
      </c>
      <c r="F508" s="151" t="s">
        <v>1128</v>
      </c>
      <c r="G508" s="152">
        <v>65</v>
      </c>
      <c r="H508" s="152">
        <v>40.123456790123456</v>
      </c>
      <c r="I508" s="175">
        <v>138</v>
      </c>
      <c r="J508" s="266">
        <f>_xlfn.XLOOKUP($I508,Inputs!$C$6:$C$23,Inputs!$D$6:$D$23)*$G508</f>
        <v>28.18214285714286</v>
      </c>
      <c r="K508" s="255"/>
      <c r="L508" s="186">
        <v>280</v>
      </c>
      <c r="M508" s="186">
        <v>450</v>
      </c>
      <c r="N508" s="99">
        <f t="shared" ref="N508:O512" si="113">(SQRT(3)*L508*$I508)/1000</f>
        <v>66.926443204461421</v>
      </c>
      <c r="O508" s="99">
        <f t="shared" si="113"/>
        <v>107.56035515002728</v>
      </c>
      <c r="P508" s="131">
        <v>0.9</v>
      </c>
      <c r="Q508" s="186">
        <f t="shared" ref="Q508:R512" si="114">N508*$P508</f>
        <v>60.233798884015279</v>
      </c>
      <c r="R508" s="186">
        <f t="shared" si="114"/>
        <v>96.804319635024555</v>
      </c>
      <c r="S508" s="151" t="s">
        <v>2456</v>
      </c>
      <c r="T508" s="51" t="s">
        <v>2108</v>
      </c>
      <c r="U508" s="151" t="s">
        <v>1743</v>
      </c>
      <c r="V508" s="51" t="s">
        <v>3274</v>
      </c>
      <c r="W508" s="19"/>
      <c r="X508" s="19"/>
      <c r="Y508" s="99">
        <v>289</v>
      </c>
    </row>
    <row r="509" spans="2:25" s="165" customFormat="1" ht="20" x14ac:dyDescent="0.2">
      <c r="B509" s="150" t="s">
        <v>641</v>
      </c>
      <c r="C509" s="33" t="s">
        <v>106</v>
      </c>
      <c r="D509" s="33" t="s">
        <v>2876</v>
      </c>
      <c r="E509" s="175">
        <v>1</v>
      </c>
      <c r="F509" s="151" t="s">
        <v>1128</v>
      </c>
      <c r="G509" s="152">
        <v>138.4138265</v>
      </c>
      <c r="H509" s="152">
        <v>85.440633641975296</v>
      </c>
      <c r="I509" s="175">
        <v>500</v>
      </c>
      <c r="J509" s="266">
        <f>_xlfn.XLOOKUP($I509,Inputs!$C$6:$C$23,Inputs!$D$6:$D$23)*$G509</f>
        <v>54.673461467500005</v>
      </c>
      <c r="K509" s="255"/>
      <c r="L509" s="186">
        <v>2150</v>
      </c>
      <c r="M509" s="186">
        <v>3130</v>
      </c>
      <c r="N509" s="99">
        <f t="shared" si="113"/>
        <v>1861.9546181365429</v>
      </c>
      <c r="O509" s="99">
        <f t="shared" si="113"/>
        <v>2710.6595138452931</v>
      </c>
      <c r="P509" s="131">
        <v>0.9</v>
      </c>
      <c r="Q509" s="186">
        <f t="shared" si="114"/>
        <v>1675.7591563228887</v>
      </c>
      <c r="R509" s="186">
        <f t="shared" si="114"/>
        <v>2439.5935624607637</v>
      </c>
      <c r="S509" s="151" t="s">
        <v>1828</v>
      </c>
      <c r="T509" s="51" t="s">
        <v>3149</v>
      </c>
      <c r="U509" s="151" t="s">
        <v>1744</v>
      </c>
      <c r="V509" s="51" t="s">
        <v>3275</v>
      </c>
      <c r="W509" s="19"/>
      <c r="X509" s="19"/>
      <c r="Y509" s="99">
        <v>516</v>
      </c>
    </row>
    <row r="510" spans="2:25" s="165" customFormat="1" ht="20" x14ac:dyDescent="0.2">
      <c r="B510" s="150" t="s">
        <v>1145</v>
      </c>
      <c r="C510" s="33" t="s">
        <v>106</v>
      </c>
      <c r="D510" s="33" t="s">
        <v>2876</v>
      </c>
      <c r="E510" s="175">
        <v>1</v>
      </c>
      <c r="F510" s="151" t="s">
        <v>1128</v>
      </c>
      <c r="G510" s="152">
        <v>13.889510399999999</v>
      </c>
      <c r="H510" s="152">
        <v>8.5737718518518502</v>
      </c>
      <c r="I510" s="175">
        <v>69</v>
      </c>
      <c r="J510" s="266">
        <f>_xlfn.XLOOKUP($I510,Inputs!$C$6:$C$23,Inputs!$D$6:$D$23)*$G510</f>
        <v>5.3375404251428566</v>
      </c>
      <c r="K510" s="255"/>
      <c r="L510" s="186">
        <v>440</v>
      </c>
      <c r="M510" s="186">
        <v>555</v>
      </c>
      <c r="N510" s="99">
        <f t="shared" si="113"/>
        <v>52.585062517791116</v>
      </c>
      <c r="O510" s="99">
        <f t="shared" si="113"/>
        <v>66.328885675850145</v>
      </c>
      <c r="P510" s="131">
        <v>0.9</v>
      </c>
      <c r="Q510" s="186">
        <f t="shared" si="114"/>
        <v>47.326556266012005</v>
      </c>
      <c r="R510" s="186">
        <f t="shared" si="114"/>
        <v>59.695997108265132</v>
      </c>
      <c r="S510" s="151" t="s">
        <v>2485</v>
      </c>
      <c r="T510" s="51" t="s">
        <v>2343</v>
      </c>
      <c r="U510" s="151" t="s">
        <v>1745</v>
      </c>
      <c r="V510" s="51" t="s">
        <v>3461</v>
      </c>
      <c r="W510" s="19"/>
      <c r="X510" s="19"/>
      <c r="Y510" s="99">
        <v>580</v>
      </c>
    </row>
    <row r="511" spans="2:25" s="165" customFormat="1" ht="20" x14ac:dyDescent="0.2">
      <c r="B511" s="150" t="s">
        <v>1268</v>
      </c>
      <c r="C511" s="33" t="s">
        <v>106</v>
      </c>
      <c r="D511" s="33" t="s">
        <v>2876</v>
      </c>
      <c r="E511" s="175">
        <v>1</v>
      </c>
      <c r="F511" s="151" t="s">
        <v>1128</v>
      </c>
      <c r="G511" s="152">
        <v>10.7122662</v>
      </c>
      <c r="H511" s="152">
        <v>6.6125099999999994</v>
      </c>
      <c r="I511" s="175">
        <v>69</v>
      </c>
      <c r="J511" s="266">
        <f>_xlfn.XLOOKUP($I511,Inputs!$C$6:$C$23,Inputs!$D$6:$D$23)*$G511</f>
        <v>4.1165708682857147</v>
      </c>
      <c r="K511" s="255"/>
      <c r="L511" s="186">
        <v>440</v>
      </c>
      <c r="M511" s="186">
        <v>555</v>
      </c>
      <c r="N511" s="99">
        <f t="shared" si="113"/>
        <v>52.585062517791116</v>
      </c>
      <c r="O511" s="99">
        <f t="shared" si="113"/>
        <v>66.328885675850145</v>
      </c>
      <c r="P511" s="131">
        <v>0.9</v>
      </c>
      <c r="Q511" s="186">
        <f t="shared" si="114"/>
        <v>47.326556266012005</v>
      </c>
      <c r="R511" s="186">
        <f t="shared" si="114"/>
        <v>59.695997108265132</v>
      </c>
      <c r="S511" s="151" t="s">
        <v>2536</v>
      </c>
      <c r="T511" s="51" t="s">
        <v>2142</v>
      </c>
      <c r="U511" s="151" t="s">
        <v>1745</v>
      </c>
      <c r="V511" s="51" t="s">
        <v>3461</v>
      </c>
      <c r="W511" s="19"/>
      <c r="X511" s="19"/>
      <c r="Y511" s="99">
        <v>790</v>
      </c>
    </row>
    <row r="512" spans="2:25" s="193" customFormat="1" ht="20" x14ac:dyDescent="0.2">
      <c r="B512" s="150" t="s">
        <v>1267</v>
      </c>
      <c r="C512" s="33" t="s">
        <v>106</v>
      </c>
      <c r="D512" s="33" t="s">
        <v>2876</v>
      </c>
      <c r="E512" s="175">
        <v>1</v>
      </c>
      <c r="F512" s="151" t="s">
        <v>1128</v>
      </c>
      <c r="G512" s="152">
        <v>5</v>
      </c>
      <c r="H512" s="152">
        <v>3.0864197530864197</v>
      </c>
      <c r="I512" s="175">
        <v>69</v>
      </c>
      <c r="J512" s="266">
        <f>_xlfn.XLOOKUP($I512,Inputs!$C$6:$C$23,Inputs!$D$6:$D$23)*$G512</f>
        <v>1.9214285714285715</v>
      </c>
      <c r="K512" s="255"/>
      <c r="L512" s="186">
        <v>610</v>
      </c>
      <c r="M512" s="186">
        <v>780</v>
      </c>
      <c r="N512" s="99">
        <f t="shared" si="113"/>
        <v>72.902018490574036</v>
      </c>
      <c r="O512" s="99">
        <f t="shared" si="113"/>
        <v>93.218974463356957</v>
      </c>
      <c r="P512" s="131">
        <v>0.9</v>
      </c>
      <c r="Q512" s="186">
        <f t="shared" si="114"/>
        <v>65.61181664151664</v>
      </c>
      <c r="R512" s="186">
        <f t="shared" si="114"/>
        <v>83.89707701702126</v>
      </c>
      <c r="S512" s="151" t="s">
        <v>2535</v>
      </c>
      <c r="T512" s="51" t="s">
        <v>2194</v>
      </c>
      <c r="U512" s="151" t="s">
        <v>2536</v>
      </c>
      <c r="V512" s="51" t="s">
        <v>2142</v>
      </c>
      <c r="W512" s="19"/>
      <c r="X512" s="19"/>
      <c r="Y512" s="99">
        <v>789</v>
      </c>
    </row>
    <row r="513" spans="2:25" s="165" customFormat="1" ht="20" x14ac:dyDescent="0.2">
      <c r="B513" s="230" t="s">
        <v>1112</v>
      </c>
      <c r="C513" s="51" t="s">
        <v>173</v>
      </c>
      <c r="D513" s="33" t="s">
        <v>2876</v>
      </c>
      <c r="E513" s="231">
        <v>1</v>
      </c>
      <c r="F513" s="230" t="s">
        <v>1128</v>
      </c>
      <c r="G513" s="232">
        <v>27.5</v>
      </c>
      <c r="H513" s="232">
        <v>16.975308641975307</v>
      </c>
      <c r="I513" s="231">
        <v>138</v>
      </c>
      <c r="J513" s="266">
        <f>_xlfn.XLOOKUP($I513,Inputs!$C$6:$C$23,Inputs!$D$6:$D$23)*$G513</f>
        <v>11.923214285714288</v>
      </c>
      <c r="K513" s="267">
        <f>IF((42.4*(H513)^(-0.6595))&gt;=3,3,(IF(42.4*(H513)^(-0.6595)&lt;=0.5,0.5,(42.4*(H513)^(-0.6595)))))</f>
        <v>3</v>
      </c>
      <c r="L513" s="99"/>
      <c r="M513" s="99"/>
      <c r="N513" s="99"/>
      <c r="O513" s="99"/>
      <c r="P513" s="69"/>
      <c r="Q513" s="305">
        <f>_xlfn.XLOOKUP($I513,Inputs!$G$6:$G$23,Inputs!J$6:J$23)*$K513</f>
        <v>141</v>
      </c>
      <c r="R513" s="305">
        <f>_xlfn.XLOOKUP($I513,Inputs!$G$6:$G$23,Inputs!K$6:K$23)*$K513</f>
        <v>156</v>
      </c>
      <c r="S513" s="230" t="s">
        <v>2656</v>
      </c>
      <c r="T513" s="51" t="s">
        <v>3259</v>
      </c>
      <c r="U513" s="230" t="s">
        <v>2657</v>
      </c>
      <c r="V513" s="51" t="s">
        <v>3276</v>
      </c>
      <c r="W513" s="19"/>
      <c r="X513" s="19"/>
      <c r="Y513" s="99">
        <v>1096</v>
      </c>
    </row>
    <row r="514" spans="2:25" s="165" customFormat="1" ht="20" x14ac:dyDescent="0.2">
      <c r="B514" s="150" t="s">
        <v>453</v>
      </c>
      <c r="C514" s="33" t="s">
        <v>106</v>
      </c>
      <c r="D514" s="33" t="s">
        <v>2876</v>
      </c>
      <c r="E514" s="175">
        <v>1</v>
      </c>
      <c r="F514" s="151" t="s">
        <v>1128</v>
      </c>
      <c r="G514" s="152">
        <v>15</v>
      </c>
      <c r="H514" s="152">
        <v>9.2592592592592595</v>
      </c>
      <c r="I514" s="175">
        <v>138</v>
      </c>
      <c r="J514" s="266">
        <f>_xlfn.XLOOKUP($I514,Inputs!$C$6:$C$23,Inputs!$D$6:$D$23)*$G514</f>
        <v>6.503571428571429</v>
      </c>
      <c r="K514" s="255"/>
      <c r="L514" s="186">
        <v>540</v>
      </c>
      <c r="M514" s="186">
        <v>1050</v>
      </c>
      <c r="N514" s="99">
        <f t="shared" ref="N514:N534" si="115">(SQRT(3)*L514*$I514)/1000</f>
        <v>129.07242618003272</v>
      </c>
      <c r="O514" s="99">
        <f t="shared" ref="O514:O534" si="116">(SQRT(3)*M514*$I514)/1000</f>
        <v>250.9741620167303</v>
      </c>
      <c r="P514" s="131">
        <v>0.9</v>
      </c>
      <c r="Q514" s="186">
        <f>N514*$P514</f>
        <v>116.16518356202945</v>
      </c>
      <c r="R514" s="186">
        <f>O514*$P514</f>
        <v>225.87674581505729</v>
      </c>
      <c r="S514" s="151" t="s">
        <v>2409</v>
      </c>
      <c r="T514" s="51" t="s">
        <v>2060</v>
      </c>
      <c r="U514" s="151" t="s">
        <v>1746</v>
      </c>
      <c r="V514" s="51" t="s">
        <v>3278</v>
      </c>
      <c r="W514" s="19"/>
      <c r="X514" s="19"/>
      <c r="Y514" s="99">
        <v>128</v>
      </c>
    </row>
    <row r="515" spans="2:25" s="165" customFormat="1" ht="20" x14ac:dyDescent="0.2">
      <c r="B515" s="150" t="s">
        <v>1492</v>
      </c>
      <c r="C515" s="33" t="s">
        <v>106</v>
      </c>
      <c r="D515" s="33" t="s">
        <v>2876</v>
      </c>
      <c r="E515" s="175">
        <v>1</v>
      </c>
      <c r="F515" s="151" t="s">
        <v>1128</v>
      </c>
      <c r="G515" s="152">
        <v>1.45022E-2</v>
      </c>
      <c r="H515" s="152">
        <v>8.951975308641974E-3</v>
      </c>
      <c r="I515" s="175">
        <v>230</v>
      </c>
      <c r="J515" s="266">
        <f>_xlfn.XLOOKUP($I515,Inputs!$C$6:$C$23,Inputs!$D$6:$D$23)*$G515</f>
        <v>6.9610559999999993E-3</v>
      </c>
      <c r="K515" s="267">
        <f>IF((42.4*(H515)^(-0.6595))&gt;=3,3,(IF(42.4*(H515)^(-0.6595)&lt;=0.5,0.5,(42.4*(H515)^(-0.6595)))))</f>
        <v>3</v>
      </c>
      <c r="L515" s="99"/>
      <c r="M515" s="99"/>
      <c r="N515" s="99">
        <f t="shared" si="115"/>
        <v>0</v>
      </c>
      <c r="O515" s="99">
        <f t="shared" si="116"/>
        <v>0</v>
      </c>
      <c r="P515" s="131">
        <v>0.9</v>
      </c>
      <c r="Q515" s="305">
        <f>_xlfn.XLOOKUP($I515,Inputs!$G$6:$G$23,Inputs!J$6:J$23)*$K515</f>
        <v>402</v>
      </c>
      <c r="R515" s="305">
        <f>_xlfn.XLOOKUP($I515,Inputs!$G$6:$G$23,Inputs!K$6:K$23)*$K515</f>
        <v>435</v>
      </c>
      <c r="S515" s="151" t="s">
        <v>2476</v>
      </c>
      <c r="T515" s="51" t="s">
        <v>2131</v>
      </c>
      <c r="U515" s="151" t="s">
        <v>1747</v>
      </c>
      <c r="V515" s="51" t="s">
        <v>3462</v>
      </c>
      <c r="W515" s="19"/>
      <c r="X515" s="19"/>
      <c r="Y515" s="99">
        <v>475</v>
      </c>
    </row>
    <row r="516" spans="2:25" s="165" customFormat="1" ht="20" x14ac:dyDescent="0.2">
      <c r="B516" s="150" t="s">
        <v>616</v>
      </c>
      <c r="C516" s="33" t="s">
        <v>106</v>
      </c>
      <c r="D516" s="33" t="s">
        <v>2876</v>
      </c>
      <c r="E516" s="175">
        <v>1</v>
      </c>
      <c r="F516" s="151" t="s">
        <v>1128</v>
      </c>
      <c r="G516" s="152">
        <v>0.74</v>
      </c>
      <c r="H516" s="152">
        <v>0.4567901234567901</v>
      </c>
      <c r="I516" s="175">
        <v>230</v>
      </c>
      <c r="J516" s="266">
        <f>_xlfn.XLOOKUP($I516,Inputs!$C$6:$C$23,Inputs!$D$6:$D$23)*$G516</f>
        <v>0.35519999999999996</v>
      </c>
      <c r="K516" s="255"/>
      <c r="L516" s="186">
        <v>1055</v>
      </c>
      <c r="M516" s="186">
        <v>1280</v>
      </c>
      <c r="N516" s="99">
        <f t="shared" si="115"/>
        <v>420.282128456588</v>
      </c>
      <c r="O516" s="99">
        <f t="shared" si="116"/>
        <v>509.91575774827737</v>
      </c>
      <c r="P516" s="131">
        <v>0.9</v>
      </c>
      <c r="Q516" s="186">
        <f t="shared" ref="Q516:Q524" si="117">N516*$P516</f>
        <v>378.2539156109292</v>
      </c>
      <c r="R516" s="186">
        <f t="shared" ref="R516:R524" si="118">O516*$P516</f>
        <v>458.92418197344966</v>
      </c>
      <c r="S516" s="151" t="s">
        <v>1891</v>
      </c>
      <c r="T516" s="51" t="s">
        <v>3331</v>
      </c>
      <c r="U516" s="151" t="s">
        <v>2476</v>
      </c>
      <c r="V516" s="51" t="s">
        <v>2131</v>
      </c>
      <c r="W516" s="19"/>
      <c r="X516" s="19"/>
      <c r="Y516" s="99">
        <v>474</v>
      </c>
    </row>
    <row r="517" spans="2:25" s="165" customFormat="1" ht="20" x14ac:dyDescent="0.2">
      <c r="B517" s="150" t="s">
        <v>607</v>
      </c>
      <c r="C517" s="33" t="s">
        <v>106</v>
      </c>
      <c r="D517" s="33" t="s">
        <v>2876</v>
      </c>
      <c r="E517" s="175">
        <v>1</v>
      </c>
      <c r="F517" s="151" t="s">
        <v>1128</v>
      </c>
      <c r="G517" s="152">
        <v>111.6767174</v>
      </c>
      <c r="H517" s="152">
        <v>68.936245308641972</v>
      </c>
      <c r="I517" s="175">
        <v>230</v>
      </c>
      <c r="J517" s="266">
        <f>_xlfn.XLOOKUP($I517,Inputs!$C$6:$C$23,Inputs!$D$6:$D$23)*$G517</f>
        <v>53.604824352000001</v>
      </c>
      <c r="K517" s="255"/>
      <c r="L517" s="186">
        <v>1070</v>
      </c>
      <c r="M517" s="186">
        <v>1280</v>
      </c>
      <c r="N517" s="99">
        <f t="shared" si="115"/>
        <v>426.2577037427007</v>
      </c>
      <c r="O517" s="99">
        <f t="shared" si="116"/>
        <v>509.91575774827737</v>
      </c>
      <c r="P517" s="131">
        <v>0.9</v>
      </c>
      <c r="Q517" s="186">
        <f t="shared" si="117"/>
        <v>383.63193336843062</v>
      </c>
      <c r="R517" s="186">
        <f t="shared" si="118"/>
        <v>458.92418197344966</v>
      </c>
      <c r="S517" s="151" t="s">
        <v>1731</v>
      </c>
      <c r="T517" s="51" t="s">
        <v>3208</v>
      </c>
      <c r="U517" s="151" t="s">
        <v>1748</v>
      </c>
      <c r="V517" s="51" t="s">
        <v>3191</v>
      </c>
      <c r="W517" s="19"/>
      <c r="X517" s="19"/>
      <c r="Y517" s="99">
        <v>463</v>
      </c>
    </row>
    <row r="518" spans="2:25" s="165" customFormat="1" ht="20" x14ac:dyDescent="0.2">
      <c r="B518" s="150" t="s">
        <v>1188</v>
      </c>
      <c r="C518" s="33" t="s">
        <v>106</v>
      </c>
      <c r="D518" s="33" t="s">
        <v>2876</v>
      </c>
      <c r="E518" s="175">
        <v>1</v>
      </c>
      <c r="F518" s="151" t="s">
        <v>1128</v>
      </c>
      <c r="G518" s="152">
        <v>0.72303110000000004</v>
      </c>
      <c r="H518" s="152">
        <v>0.44631549382716051</v>
      </c>
      <c r="I518" s="175">
        <v>69</v>
      </c>
      <c r="J518" s="266">
        <f>_xlfn.XLOOKUP($I518,Inputs!$C$6:$C$23,Inputs!$D$6:$D$23)*$G518</f>
        <v>0.27785052271428573</v>
      </c>
      <c r="K518" s="255"/>
      <c r="L518" s="186">
        <v>870</v>
      </c>
      <c r="M518" s="186">
        <v>1050</v>
      </c>
      <c r="N518" s="99">
        <f t="shared" si="115"/>
        <v>103.97500997835969</v>
      </c>
      <c r="O518" s="99">
        <f t="shared" si="116"/>
        <v>125.48708100836515</v>
      </c>
      <c r="P518" s="131">
        <v>0.9</v>
      </c>
      <c r="Q518" s="186">
        <f t="shared" si="117"/>
        <v>93.577508980523731</v>
      </c>
      <c r="R518" s="186">
        <f t="shared" si="118"/>
        <v>112.93837290752865</v>
      </c>
      <c r="S518" s="151" t="s">
        <v>1750</v>
      </c>
      <c r="T518" s="51" t="s">
        <v>3280</v>
      </c>
      <c r="U518" s="151" t="s">
        <v>1749</v>
      </c>
      <c r="V518" s="51" t="s">
        <v>3279</v>
      </c>
      <c r="W518" s="19"/>
      <c r="X518" s="19"/>
      <c r="Y518" s="99">
        <v>652</v>
      </c>
    </row>
    <row r="519" spans="2:25" s="165" customFormat="1" ht="20" x14ac:dyDescent="0.2">
      <c r="B519" s="150" t="s">
        <v>1200</v>
      </c>
      <c r="C519" s="33" t="s">
        <v>106</v>
      </c>
      <c r="D519" s="33" t="s">
        <v>2876</v>
      </c>
      <c r="E519" s="175">
        <v>1</v>
      </c>
      <c r="F519" s="151" t="s">
        <v>1128</v>
      </c>
      <c r="G519" s="152">
        <v>0.72947830000000002</v>
      </c>
      <c r="H519" s="152">
        <v>0.45029524691358025</v>
      </c>
      <c r="I519" s="175">
        <v>69</v>
      </c>
      <c r="J519" s="266">
        <f>_xlfn.XLOOKUP($I519,Inputs!$C$6:$C$23,Inputs!$D$6:$D$23)*$G519</f>
        <v>0.28032808957142857</v>
      </c>
      <c r="K519" s="255"/>
      <c r="L519" s="186">
        <v>870</v>
      </c>
      <c r="M519" s="186">
        <v>1050</v>
      </c>
      <c r="N519" s="99">
        <f t="shared" si="115"/>
        <v>103.97500997835969</v>
      </c>
      <c r="O519" s="99">
        <f t="shared" si="116"/>
        <v>125.48708100836515</v>
      </c>
      <c r="P519" s="131">
        <v>0.9</v>
      </c>
      <c r="Q519" s="186">
        <f t="shared" si="117"/>
        <v>93.577508980523731</v>
      </c>
      <c r="R519" s="186">
        <f t="shared" si="118"/>
        <v>112.93837290752865</v>
      </c>
      <c r="S519" s="151" t="s">
        <v>1750</v>
      </c>
      <c r="T519" s="51" t="s">
        <v>3280</v>
      </c>
      <c r="U519" s="151" t="s">
        <v>1749</v>
      </c>
      <c r="V519" s="51" t="s">
        <v>3279</v>
      </c>
      <c r="W519" s="19"/>
      <c r="X519" s="19"/>
      <c r="Y519" s="99">
        <v>669</v>
      </c>
    </row>
    <row r="520" spans="2:25" s="165" customFormat="1" ht="20" x14ac:dyDescent="0.2">
      <c r="B520" s="150" t="s">
        <v>1201</v>
      </c>
      <c r="C520" s="33" t="s">
        <v>106</v>
      </c>
      <c r="D520" s="33" t="s">
        <v>2876</v>
      </c>
      <c r="E520" s="175">
        <v>1</v>
      </c>
      <c r="F520" s="151" t="s">
        <v>1128</v>
      </c>
      <c r="G520" s="152">
        <v>0.71861869999999994</v>
      </c>
      <c r="H520" s="152">
        <v>0.44359179012345673</v>
      </c>
      <c r="I520" s="175">
        <v>69</v>
      </c>
      <c r="J520" s="266">
        <f>_xlfn.XLOOKUP($I520,Inputs!$C$6:$C$23,Inputs!$D$6:$D$23)*$G520</f>
        <v>0.27615490042857138</v>
      </c>
      <c r="K520" s="255"/>
      <c r="L520" s="186">
        <v>870</v>
      </c>
      <c r="M520" s="186">
        <v>1050</v>
      </c>
      <c r="N520" s="99">
        <f t="shared" si="115"/>
        <v>103.97500997835969</v>
      </c>
      <c r="O520" s="99">
        <f t="shared" si="116"/>
        <v>125.48708100836515</v>
      </c>
      <c r="P520" s="131">
        <v>0.9</v>
      </c>
      <c r="Q520" s="186">
        <f t="shared" si="117"/>
        <v>93.577508980523731</v>
      </c>
      <c r="R520" s="186">
        <f t="shared" si="118"/>
        <v>112.93837290752865</v>
      </c>
      <c r="S520" s="151" t="s">
        <v>1750</v>
      </c>
      <c r="T520" s="51" t="s">
        <v>3280</v>
      </c>
      <c r="U520" s="151" t="s">
        <v>1749</v>
      </c>
      <c r="V520" s="51" t="s">
        <v>3279</v>
      </c>
      <c r="W520" s="19"/>
      <c r="X520" s="19"/>
      <c r="Y520" s="99">
        <v>670</v>
      </c>
    </row>
    <row r="521" spans="2:25" s="165" customFormat="1" ht="20" x14ac:dyDescent="0.2">
      <c r="B521" s="150" t="s">
        <v>524</v>
      </c>
      <c r="C521" s="33" t="s">
        <v>106</v>
      </c>
      <c r="D521" s="33" t="s">
        <v>2876</v>
      </c>
      <c r="E521" s="175">
        <v>1</v>
      </c>
      <c r="F521" s="151" t="s">
        <v>1128</v>
      </c>
      <c r="G521" s="152">
        <v>4.5999999999999996</v>
      </c>
      <c r="H521" s="152">
        <v>2.8395061728395059</v>
      </c>
      <c r="I521" s="175">
        <v>230</v>
      </c>
      <c r="J521" s="266">
        <f>_xlfn.XLOOKUP($I521,Inputs!$C$6:$C$23,Inputs!$D$6:$D$23)*$G521</f>
        <v>2.2079999999999997</v>
      </c>
      <c r="K521" s="255"/>
      <c r="L521" s="186">
        <v>990</v>
      </c>
      <c r="M521" s="186">
        <v>1220</v>
      </c>
      <c r="N521" s="99">
        <f t="shared" si="115"/>
        <v>394.3879688834333</v>
      </c>
      <c r="O521" s="99">
        <f t="shared" si="116"/>
        <v>486.01345660382691</v>
      </c>
      <c r="P521" s="131">
        <v>0.9</v>
      </c>
      <c r="Q521" s="186">
        <f t="shared" si="117"/>
        <v>354.94917199508996</v>
      </c>
      <c r="R521" s="186">
        <f t="shared" si="118"/>
        <v>437.41211094344425</v>
      </c>
      <c r="S521" s="151" t="s">
        <v>2472</v>
      </c>
      <c r="T521" s="51" t="s">
        <v>2124</v>
      </c>
      <c r="U521" s="151" t="s">
        <v>1750</v>
      </c>
      <c r="V521" s="51" t="s">
        <v>3280</v>
      </c>
      <c r="W521" s="19"/>
      <c r="X521" s="19"/>
      <c r="Y521" s="99">
        <v>354</v>
      </c>
    </row>
    <row r="522" spans="2:25" s="165" customFormat="1" ht="20" x14ac:dyDescent="0.2">
      <c r="B522" s="150" t="s">
        <v>558</v>
      </c>
      <c r="C522" s="33" t="s">
        <v>106</v>
      </c>
      <c r="D522" s="33" t="s">
        <v>2876</v>
      </c>
      <c r="E522" s="175">
        <v>1</v>
      </c>
      <c r="F522" s="151" t="s">
        <v>1128</v>
      </c>
      <c r="G522" s="152">
        <v>16.723092000000001</v>
      </c>
      <c r="H522" s="152">
        <v>10.322896296296296</v>
      </c>
      <c r="I522" s="175">
        <v>230</v>
      </c>
      <c r="J522" s="266">
        <f>_xlfn.XLOOKUP($I522,Inputs!$C$6:$C$23,Inputs!$D$6:$D$23)*$G522</f>
        <v>8.0270841600000011</v>
      </c>
      <c r="K522" s="255"/>
      <c r="L522" s="186">
        <v>830</v>
      </c>
      <c r="M522" s="3">
        <v>1090</v>
      </c>
      <c r="N522" s="99">
        <f t="shared" si="115"/>
        <v>330.64849916489862</v>
      </c>
      <c r="O522" s="99">
        <f t="shared" si="116"/>
        <v>434.22513745751752</v>
      </c>
      <c r="P522" s="131">
        <v>0.9</v>
      </c>
      <c r="Q522" s="186">
        <f t="shared" si="117"/>
        <v>297.58364924840879</v>
      </c>
      <c r="R522" s="186">
        <f t="shared" si="118"/>
        <v>390.80262371176576</v>
      </c>
      <c r="S522" s="151" t="s">
        <v>1902</v>
      </c>
      <c r="T522" s="51" t="s">
        <v>3335</v>
      </c>
      <c r="U522" s="151" t="s">
        <v>1750</v>
      </c>
      <c r="V522" s="51" t="s">
        <v>3280</v>
      </c>
      <c r="W522" s="19"/>
      <c r="X522" s="19"/>
      <c r="Y522" s="99">
        <v>405</v>
      </c>
    </row>
    <row r="523" spans="2:25" s="165" customFormat="1" ht="20" x14ac:dyDescent="0.2">
      <c r="B523" s="150" t="s">
        <v>1187</v>
      </c>
      <c r="C523" s="33" t="s">
        <v>106</v>
      </c>
      <c r="D523" s="33" t="s">
        <v>2876</v>
      </c>
      <c r="E523" s="175">
        <v>1</v>
      </c>
      <c r="F523" s="151" t="s">
        <v>1128</v>
      </c>
      <c r="G523" s="152">
        <v>0.728105</v>
      </c>
      <c r="H523" s="152">
        <v>0.44944753086419748</v>
      </c>
      <c r="I523" s="175">
        <v>69</v>
      </c>
      <c r="J523" s="266">
        <f>_xlfn.XLOOKUP($I523,Inputs!$C$6:$C$23,Inputs!$D$6:$D$23)*$G523</f>
        <v>0.27980034999999998</v>
      </c>
      <c r="K523" s="255"/>
      <c r="L523" s="186">
        <v>870</v>
      </c>
      <c r="M523" s="186">
        <v>1050</v>
      </c>
      <c r="N523" s="99">
        <f t="shared" si="115"/>
        <v>103.97500997835969</v>
      </c>
      <c r="O523" s="99">
        <f t="shared" si="116"/>
        <v>125.48708100836515</v>
      </c>
      <c r="P523" s="131">
        <v>0.9</v>
      </c>
      <c r="Q523" s="186">
        <f t="shared" si="117"/>
        <v>93.577508980523731</v>
      </c>
      <c r="R523" s="186">
        <f t="shared" si="118"/>
        <v>112.93837290752865</v>
      </c>
      <c r="S523" s="151" t="s">
        <v>1750</v>
      </c>
      <c r="T523" s="51" t="s">
        <v>3280</v>
      </c>
      <c r="U523" s="151" t="s">
        <v>1749</v>
      </c>
      <c r="V523" s="51" t="s">
        <v>3280</v>
      </c>
      <c r="W523" s="19"/>
      <c r="X523" s="19"/>
      <c r="Y523" s="99">
        <v>651</v>
      </c>
    </row>
    <row r="524" spans="2:25" s="165" customFormat="1" ht="20" x14ac:dyDescent="0.2">
      <c r="B524" s="150" t="s">
        <v>496</v>
      </c>
      <c r="C524" s="33" t="s">
        <v>106</v>
      </c>
      <c r="D524" s="33" t="s">
        <v>2876</v>
      </c>
      <c r="E524" s="175">
        <v>1</v>
      </c>
      <c r="F524" s="151" t="s">
        <v>1128</v>
      </c>
      <c r="G524" s="152">
        <v>2.36</v>
      </c>
      <c r="H524" s="152">
        <v>1.4567901234567899</v>
      </c>
      <c r="I524" s="175">
        <v>138</v>
      </c>
      <c r="J524" s="266">
        <f>_xlfn.XLOOKUP($I524,Inputs!$C$6:$C$23,Inputs!$D$6:$D$23)*$G524</f>
        <v>1.0232285714285714</v>
      </c>
      <c r="K524" s="255"/>
      <c r="L524" s="186">
        <v>559</v>
      </c>
      <c r="M524" s="186">
        <v>674</v>
      </c>
      <c r="N524" s="99">
        <f t="shared" si="115"/>
        <v>133.61386339747833</v>
      </c>
      <c r="O524" s="99">
        <f t="shared" si="116"/>
        <v>161.10150971359641</v>
      </c>
      <c r="P524" s="131">
        <v>0.9</v>
      </c>
      <c r="Q524" s="186">
        <f t="shared" si="117"/>
        <v>120.2524770577305</v>
      </c>
      <c r="R524" s="186">
        <f t="shared" si="118"/>
        <v>144.99135874223677</v>
      </c>
      <c r="S524" s="151" t="s">
        <v>2450</v>
      </c>
      <c r="T524" s="51" t="s">
        <v>2101</v>
      </c>
      <c r="U524" s="151" t="s">
        <v>1751</v>
      </c>
      <c r="V524" s="51" t="s">
        <v>3636</v>
      </c>
      <c r="W524" s="19"/>
      <c r="X524" s="19"/>
      <c r="Y524" s="99">
        <v>272</v>
      </c>
    </row>
    <row r="525" spans="2:25" s="165" customFormat="1" ht="20" x14ac:dyDescent="0.2">
      <c r="B525" s="151" t="s">
        <v>1539</v>
      </c>
      <c r="C525" s="33" t="s">
        <v>106</v>
      </c>
      <c r="D525" s="33" t="s">
        <v>2876</v>
      </c>
      <c r="E525" s="175">
        <v>1</v>
      </c>
      <c r="F525" s="151" t="s">
        <v>1128</v>
      </c>
      <c r="G525" s="174">
        <v>1</v>
      </c>
      <c r="H525" s="152">
        <v>0.61728395061728392</v>
      </c>
      <c r="I525" s="175">
        <v>138</v>
      </c>
      <c r="J525" s="266">
        <f>_xlfn.XLOOKUP($I525,Inputs!$C$6:$C$23,Inputs!$D$6:$D$23)*$G525</f>
        <v>0.43357142857142861</v>
      </c>
      <c r="K525" s="267">
        <f>IF((42.4*(H525)^(-0.6595))&gt;=3,3,(IF(42.4*(H525)^(-0.6595)&lt;=0.5,0.5,(42.4*(H525)^(-0.6595)))))</f>
        <v>3</v>
      </c>
      <c r="L525" s="99"/>
      <c r="M525" s="99"/>
      <c r="N525" s="99">
        <f t="shared" si="115"/>
        <v>0</v>
      </c>
      <c r="O525" s="99">
        <f t="shared" si="116"/>
        <v>0</v>
      </c>
      <c r="P525" s="131">
        <v>0.9</v>
      </c>
      <c r="Q525" s="305">
        <f>_xlfn.XLOOKUP($I525,Inputs!$G$6:$G$23,Inputs!J$6:J$23)*$K525</f>
        <v>141</v>
      </c>
      <c r="R525" s="305">
        <f>_xlfn.XLOOKUP($I525,Inputs!$G$6:$G$23,Inputs!K$6:K$23)*$K525</f>
        <v>156</v>
      </c>
      <c r="S525" s="151" t="s">
        <v>3572</v>
      </c>
      <c r="T525" s="51" t="s">
        <v>3573</v>
      </c>
      <c r="U525" s="151" t="s">
        <v>2312</v>
      </c>
      <c r="V525" s="51" t="s">
        <v>3133</v>
      </c>
      <c r="W525" s="19"/>
      <c r="X525" s="19"/>
      <c r="Y525" s="99">
        <v>162</v>
      </c>
    </row>
    <row r="526" spans="2:25" s="165" customFormat="1" ht="20" x14ac:dyDescent="0.2">
      <c r="B526" s="151" t="s">
        <v>1515</v>
      </c>
      <c r="C526" s="33" t="s">
        <v>106</v>
      </c>
      <c r="D526" s="33" t="s">
        <v>3716</v>
      </c>
      <c r="E526" s="175">
        <v>1</v>
      </c>
      <c r="F526" s="151" t="s">
        <v>1128</v>
      </c>
      <c r="G526" s="174">
        <v>2</v>
      </c>
      <c r="H526" s="152">
        <v>1.2345679012345678</v>
      </c>
      <c r="I526" s="175">
        <v>138</v>
      </c>
      <c r="J526" s="266">
        <f>_xlfn.XLOOKUP($I526,Inputs!$C$6:$C$23,Inputs!$D$6:$D$23)*$G526</f>
        <v>0.86714285714285722</v>
      </c>
      <c r="K526" s="267">
        <f>IF((42.4*(H526)^(-0.6595))&gt;=3,3,(IF(42.4*(H526)^(-0.6595)&lt;=0.5,0.5,(42.4*(H526)^(-0.6595)))))</f>
        <v>3</v>
      </c>
      <c r="L526" s="99"/>
      <c r="M526" s="99"/>
      <c r="N526" s="99">
        <f t="shared" si="115"/>
        <v>0</v>
      </c>
      <c r="O526" s="99">
        <f t="shared" si="116"/>
        <v>0</v>
      </c>
      <c r="P526" s="131">
        <v>0.9</v>
      </c>
      <c r="Q526" s="305">
        <f>_xlfn.XLOOKUP($I526,Inputs!$G$6:$G$23,Inputs!J$6:J$23)*$K526</f>
        <v>141</v>
      </c>
      <c r="R526" s="305">
        <f>_xlfn.XLOOKUP($I526,Inputs!$G$6:$G$23,Inputs!K$6:K$23)*$K526</f>
        <v>156</v>
      </c>
      <c r="S526" s="151" t="s">
        <v>2451</v>
      </c>
      <c r="T526" s="51" t="s">
        <v>2104</v>
      </c>
      <c r="U526" s="151" t="s">
        <v>1752</v>
      </c>
      <c r="V526" s="51" t="s">
        <v>3464</v>
      </c>
      <c r="W526" s="19"/>
      <c r="X526" s="19"/>
      <c r="Y526" s="99">
        <v>274</v>
      </c>
    </row>
    <row r="527" spans="2:25" s="165" customFormat="1" ht="20" x14ac:dyDescent="0.2">
      <c r="B527" s="150" t="s">
        <v>497</v>
      </c>
      <c r="C527" s="33" t="s">
        <v>106</v>
      </c>
      <c r="D527" s="33" t="s">
        <v>3716</v>
      </c>
      <c r="E527" s="175">
        <v>1</v>
      </c>
      <c r="F527" s="151" t="s">
        <v>1128</v>
      </c>
      <c r="G527" s="152">
        <v>25</v>
      </c>
      <c r="H527" s="152">
        <v>15.432098765432098</v>
      </c>
      <c r="I527" s="175">
        <v>138</v>
      </c>
      <c r="J527" s="266">
        <f>_xlfn.XLOOKUP($I527,Inputs!$C$6:$C$23,Inputs!$D$6:$D$23)*$G527</f>
        <v>10.839285714285715</v>
      </c>
      <c r="K527" s="255"/>
      <c r="L527" s="186">
        <v>770</v>
      </c>
      <c r="M527" s="186">
        <v>970</v>
      </c>
      <c r="N527" s="99">
        <f t="shared" si="115"/>
        <v>184.0477188122689</v>
      </c>
      <c r="O527" s="99">
        <f t="shared" si="116"/>
        <v>231.85232110116988</v>
      </c>
      <c r="P527" s="131">
        <v>0.9</v>
      </c>
      <c r="Q527" s="186">
        <f t="shared" ref="Q527:R534" si="119">N527*$P527</f>
        <v>165.64294693104202</v>
      </c>
      <c r="R527" s="186">
        <f t="shared" si="119"/>
        <v>208.66708899105291</v>
      </c>
      <c r="S527" s="151" t="s">
        <v>1682</v>
      </c>
      <c r="T527" s="51" t="s">
        <v>3123</v>
      </c>
      <c r="U527" s="151" t="s">
        <v>2451</v>
      </c>
      <c r="V527" s="51" t="s">
        <v>2104</v>
      </c>
      <c r="W527" s="19"/>
      <c r="X527" s="19"/>
      <c r="Y527" s="99">
        <v>273</v>
      </c>
    </row>
    <row r="528" spans="2:25" s="165" customFormat="1" ht="20" x14ac:dyDescent="0.2">
      <c r="B528" s="150" t="s">
        <v>570</v>
      </c>
      <c r="C528" s="33" t="s">
        <v>106</v>
      </c>
      <c r="D528" s="33" t="s">
        <v>2876</v>
      </c>
      <c r="E528" s="175">
        <v>1</v>
      </c>
      <c r="F528" s="151" t="s">
        <v>1128</v>
      </c>
      <c r="G528" s="152">
        <v>77.0042416</v>
      </c>
      <c r="H528" s="152">
        <v>47.533482469135798</v>
      </c>
      <c r="I528" s="175">
        <v>230</v>
      </c>
      <c r="J528" s="266">
        <f>_xlfn.XLOOKUP($I528,Inputs!$C$6:$C$23,Inputs!$D$6:$D$23)*$G528</f>
        <v>36.962035968000002</v>
      </c>
      <c r="K528" s="255"/>
      <c r="L528" s="186">
        <v>510</v>
      </c>
      <c r="M528" s="186">
        <v>890</v>
      </c>
      <c r="N528" s="99">
        <f t="shared" si="115"/>
        <v>203.1695597278293</v>
      </c>
      <c r="O528" s="99">
        <f t="shared" si="116"/>
        <v>354.5508003093492</v>
      </c>
      <c r="P528" s="131">
        <v>0.9</v>
      </c>
      <c r="Q528" s="186">
        <f t="shared" si="119"/>
        <v>182.85260375504637</v>
      </c>
      <c r="R528" s="186">
        <f t="shared" si="119"/>
        <v>319.09572027841426</v>
      </c>
      <c r="S528" s="151" t="s">
        <v>3569</v>
      </c>
      <c r="T528" s="51" t="s">
        <v>3568</v>
      </c>
      <c r="U528" s="151" t="s">
        <v>1753</v>
      </c>
      <c r="V528" s="51" t="s">
        <v>3282</v>
      </c>
      <c r="W528" s="19"/>
      <c r="X528" s="19"/>
      <c r="Y528" s="99">
        <v>419</v>
      </c>
    </row>
    <row r="529" spans="2:25" s="165" customFormat="1" ht="20" x14ac:dyDescent="0.2">
      <c r="B529" s="150" t="s">
        <v>571</v>
      </c>
      <c r="C529" s="33" t="s">
        <v>106</v>
      </c>
      <c r="D529" s="33" t="s">
        <v>2876</v>
      </c>
      <c r="E529" s="175">
        <v>1</v>
      </c>
      <c r="F529" s="151" t="s">
        <v>1128</v>
      </c>
      <c r="G529" s="152">
        <v>75.716438199999999</v>
      </c>
      <c r="H529" s="152">
        <v>46.738542098765429</v>
      </c>
      <c r="I529" s="175">
        <v>230</v>
      </c>
      <c r="J529" s="266">
        <f>_xlfn.XLOOKUP($I529,Inputs!$C$6:$C$23,Inputs!$D$6:$D$23)*$G529</f>
        <v>36.343890336000001</v>
      </c>
      <c r="K529" s="255"/>
      <c r="L529" s="186">
        <v>510</v>
      </c>
      <c r="M529" s="186">
        <v>890</v>
      </c>
      <c r="N529" s="99">
        <f t="shared" si="115"/>
        <v>203.1695597278293</v>
      </c>
      <c r="O529" s="99">
        <f t="shared" si="116"/>
        <v>354.5508003093492</v>
      </c>
      <c r="P529" s="131">
        <v>0.9</v>
      </c>
      <c r="Q529" s="186">
        <f t="shared" si="119"/>
        <v>182.85260375504637</v>
      </c>
      <c r="R529" s="186">
        <f t="shared" si="119"/>
        <v>319.09572027841426</v>
      </c>
      <c r="S529" s="151" t="s">
        <v>3569</v>
      </c>
      <c r="T529" s="51" t="s">
        <v>3568</v>
      </c>
      <c r="U529" s="151" t="s">
        <v>1753</v>
      </c>
      <c r="V529" s="51" t="s">
        <v>3282</v>
      </c>
      <c r="W529" s="19"/>
      <c r="X529" s="19"/>
      <c r="Y529" s="99">
        <v>420</v>
      </c>
    </row>
    <row r="530" spans="2:25" s="165" customFormat="1" ht="20" x14ac:dyDescent="0.2">
      <c r="B530" s="150" t="s">
        <v>646</v>
      </c>
      <c r="C530" s="33" t="s">
        <v>106</v>
      </c>
      <c r="D530" s="33" t="s">
        <v>2876</v>
      </c>
      <c r="E530" s="175">
        <v>1</v>
      </c>
      <c r="F530" s="151" t="s">
        <v>1128</v>
      </c>
      <c r="G530" s="152">
        <v>330.0780623</v>
      </c>
      <c r="H530" s="152">
        <v>203.75189030864198</v>
      </c>
      <c r="I530" s="175">
        <v>500</v>
      </c>
      <c r="J530" s="266">
        <f>_xlfn.XLOOKUP($I530,Inputs!$C$6:$C$23,Inputs!$D$6:$D$23)*$G530</f>
        <v>130.38083460850001</v>
      </c>
      <c r="K530" s="255"/>
      <c r="L530" s="186">
        <v>2500</v>
      </c>
      <c r="M530" s="186">
        <v>3320</v>
      </c>
      <c r="N530" s="99">
        <f t="shared" si="115"/>
        <v>2165.0635094610966</v>
      </c>
      <c r="O530" s="99">
        <f t="shared" si="116"/>
        <v>2875.2043405643362</v>
      </c>
      <c r="P530" s="131">
        <v>0.9</v>
      </c>
      <c r="Q530" s="186">
        <f t="shared" si="119"/>
        <v>1948.5571585149869</v>
      </c>
      <c r="R530" s="186">
        <f t="shared" si="119"/>
        <v>2587.6839065079025</v>
      </c>
      <c r="S530" s="151" t="s">
        <v>365</v>
      </c>
      <c r="T530" s="51" t="s">
        <v>3355</v>
      </c>
      <c r="U530" s="151" t="s">
        <v>1753</v>
      </c>
      <c r="V530" s="51" t="s">
        <v>3282</v>
      </c>
      <c r="W530" s="19"/>
      <c r="X530" s="19"/>
      <c r="Y530" s="99">
        <v>521</v>
      </c>
    </row>
    <row r="531" spans="2:25" s="165" customFormat="1" ht="20" x14ac:dyDescent="0.2">
      <c r="B531" s="150" t="s">
        <v>647</v>
      </c>
      <c r="C531" s="33" t="s">
        <v>106</v>
      </c>
      <c r="D531" s="33" t="s">
        <v>2876</v>
      </c>
      <c r="E531" s="175">
        <v>1</v>
      </c>
      <c r="F531" s="151" t="s">
        <v>1128</v>
      </c>
      <c r="G531" s="152">
        <v>330.07504729999999</v>
      </c>
      <c r="H531" s="152">
        <v>203.75002919753084</v>
      </c>
      <c r="I531" s="175">
        <v>500</v>
      </c>
      <c r="J531" s="266">
        <f>_xlfn.XLOOKUP($I531,Inputs!$C$6:$C$23,Inputs!$D$6:$D$23)*$G531</f>
        <v>130.37964368350001</v>
      </c>
      <c r="K531" s="255"/>
      <c r="L531" s="186">
        <v>2500</v>
      </c>
      <c r="M531" s="186">
        <v>3450</v>
      </c>
      <c r="N531" s="99">
        <f t="shared" si="115"/>
        <v>2165.0635094610966</v>
      </c>
      <c r="O531" s="99">
        <f t="shared" si="116"/>
        <v>2987.7876430563133</v>
      </c>
      <c r="P531" s="131">
        <v>0.9</v>
      </c>
      <c r="Q531" s="186">
        <f t="shared" si="119"/>
        <v>1948.5571585149869</v>
      </c>
      <c r="R531" s="186">
        <f t="shared" si="119"/>
        <v>2689.008878750682</v>
      </c>
      <c r="S531" s="151" t="s">
        <v>365</v>
      </c>
      <c r="T531" s="51" t="s">
        <v>3355</v>
      </c>
      <c r="U531" s="151" t="s">
        <v>1753</v>
      </c>
      <c r="V531" s="51" t="s">
        <v>3282</v>
      </c>
      <c r="W531" s="19"/>
      <c r="X531" s="19"/>
      <c r="Y531" s="99">
        <v>522</v>
      </c>
    </row>
    <row r="532" spans="2:25" s="165" customFormat="1" ht="20" x14ac:dyDescent="0.2">
      <c r="B532" s="150" t="s">
        <v>648</v>
      </c>
      <c r="C532" s="33" t="s">
        <v>106</v>
      </c>
      <c r="D532" s="33" t="s">
        <v>2876</v>
      </c>
      <c r="E532" s="175">
        <v>1</v>
      </c>
      <c r="F532" s="151" t="s">
        <v>1128</v>
      </c>
      <c r="G532" s="152">
        <v>330.13891820000003</v>
      </c>
      <c r="H532" s="152">
        <v>203.78945567901235</v>
      </c>
      <c r="I532" s="175">
        <v>500</v>
      </c>
      <c r="J532" s="266">
        <f>_xlfn.XLOOKUP($I532,Inputs!$C$6:$C$23,Inputs!$D$6:$D$23)*$G532</f>
        <v>130.40487268900003</v>
      </c>
      <c r="K532" s="255"/>
      <c r="L532" s="186">
        <v>3385</v>
      </c>
      <c r="M532" s="186">
        <v>4568</v>
      </c>
      <c r="N532" s="99">
        <f t="shared" si="115"/>
        <v>2931.4959918103245</v>
      </c>
      <c r="O532" s="99">
        <f t="shared" si="116"/>
        <v>3956.0040444873157</v>
      </c>
      <c r="P532" s="131">
        <v>0.9</v>
      </c>
      <c r="Q532" s="186">
        <f t="shared" si="119"/>
        <v>2638.346392629292</v>
      </c>
      <c r="R532" s="186">
        <f t="shared" si="119"/>
        <v>3560.4036400385844</v>
      </c>
      <c r="S532" s="151" t="s">
        <v>365</v>
      </c>
      <c r="T532" s="51" t="s">
        <v>3355</v>
      </c>
      <c r="U532" s="151" t="s">
        <v>1753</v>
      </c>
      <c r="V532" s="51" t="s">
        <v>3282</v>
      </c>
      <c r="W532" s="19"/>
      <c r="X532" s="19"/>
      <c r="Y532" s="99">
        <v>523</v>
      </c>
    </row>
    <row r="533" spans="2:25" s="165" customFormat="1" ht="20" x14ac:dyDescent="0.2">
      <c r="B533" s="150" t="s">
        <v>617</v>
      </c>
      <c r="C533" s="33" t="s">
        <v>106</v>
      </c>
      <c r="D533" s="33" t="s">
        <v>2876</v>
      </c>
      <c r="E533" s="175">
        <v>1</v>
      </c>
      <c r="F533" s="151" t="s">
        <v>1128</v>
      </c>
      <c r="G533" s="152">
        <v>0.6481614</v>
      </c>
      <c r="H533" s="152">
        <v>0.40009962962962958</v>
      </c>
      <c r="I533" s="175">
        <v>230</v>
      </c>
      <c r="J533" s="266">
        <f>_xlfn.XLOOKUP($I533,Inputs!$C$6:$C$23,Inputs!$D$6:$D$23)*$G533</f>
        <v>0.31111747200000001</v>
      </c>
      <c r="K533" s="255"/>
      <c r="L533" s="186">
        <v>729</v>
      </c>
      <c r="M533" s="186">
        <v>980</v>
      </c>
      <c r="N533" s="99">
        <f t="shared" si="115"/>
        <v>290.41295890507365</v>
      </c>
      <c r="O533" s="99">
        <f t="shared" si="116"/>
        <v>390.40425202602489</v>
      </c>
      <c r="P533" s="131">
        <v>0.9</v>
      </c>
      <c r="Q533" s="186">
        <f t="shared" si="119"/>
        <v>261.37166301456631</v>
      </c>
      <c r="R533" s="186">
        <f t="shared" si="119"/>
        <v>351.36382682342241</v>
      </c>
      <c r="S533" s="151" t="s">
        <v>1743</v>
      </c>
      <c r="T533" s="51" t="s">
        <v>3274</v>
      </c>
      <c r="U533" s="151" t="s">
        <v>1754</v>
      </c>
      <c r="V533" s="51" t="s">
        <v>3460</v>
      </c>
      <c r="W533" s="19"/>
      <c r="X533" s="19"/>
      <c r="Y533" s="99">
        <v>483</v>
      </c>
    </row>
    <row r="534" spans="2:25" s="165" customFormat="1" ht="20" x14ac:dyDescent="0.2">
      <c r="B534" s="150" t="s">
        <v>579</v>
      </c>
      <c r="C534" s="33" t="s">
        <v>106</v>
      </c>
      <c r="D534" s="33" t="s">
        <v>2876</v>
      </c>
      <c r="E534" s="175">
        <v>1</v>
      </c>
      <c r="F534" s="151" t="s">
        <v>1128</v>
      </c>
      <c r="G534" s="152">
        <v>75</v>
      </c>
      <c r="H534" s="152">
        <v>46.296296296296291</v>
      </c>
      <c r="I534" s="175">
        <v>287</v>
      </c>
      <c r="J534" s="266">
        <f>_xlfn.XLOOKUP($I534,Inputs!$C$6:$C$23,Inputs!$D$6:$D$23)*$G534</f>
        <v>34.654166666666669</v>
      </c>
      <c r="K534" s="255"/>
      <c r="L534" s="186">
        <v>1325</v>
      </c>
      <c r="M534" s="186">
        <v>1620</v>
      </c>
      <c r="N534" s="99">
        <f t="shared" si="115"/>
        <v>658.65562084825478</v>
      </c>
      <c r="O534" s="99">
        <f t="shared" si="116"/>
        <v>805.29970247107372</v>
      </c>
      <c r="P534" s="131">
        <v>0.9</v>
      </c>
      <c r="Q534" s="186">
        <f t="shared" si="119"/>
        <v>592.79005876342933</v>
      </c>
      <c r="R534" s="186">
        <f t="shared" si="119"/>
        <v>724.76973222396634</v>
      </c>
      <c r="S534" s="151" t="s">
        <v>1784</v>
      </c>
      <c r="T534" s="51" t="s">
        <v>3665</v>
      </c>
      <c r="U534" s="151" t="s">
        <v>2348</v>
      </c>
      <c r="V534" s="51" t="s">
        <v>3134</v>
      </c>
      <c r="W534" s="19"/>
      <c r="X534" s="19" t="s">
        <v>1964</v>
      </c>
      <c r="Y534" s="99">
        <v>429</v>
      </c>
    </row>
    <row r="535" spans="2:25" s="165" customFormat="1" ht="20" x14ac:dyDescent="0.2">
      <c r="B535" s="230" t="s">
        <v>2747</v>
      </c>
      <c r="C535" s="51" t="s">
        <v>173</v>
      </c>
      <c r="D535" s="33" t="s">
        <v>2876</v>
      </c>
      <c r="E535" s="231">
        <v>1</v>
      </c>
      <c r="F535" s="230" t="s">
        <v>1128</v>
      </c>
      <c r="G535" s="232">
        <v>5.5</v>
      </c>
      <c r="H535" s="232">
        <v>3.3950617283950617</v>
      </c>
      <c r="I535" s="231">
        <v>63</v>
      </c>
      <c r="J535" s="266">
        <f>_xlfn.XLOOKUP($I535,Inputs!$C$6:$C$23,Inputs!$D$6:$D$23)*$G535</f>
        <v>2.09</v>
      </c>
      <c r="K535" s="267">
        <f>IF((42.4*(H535)^(-0.6595))&gt;=3,3,(IF(42.4*(H535)^(-0.6595)&lt;=0.5,0.5,(42.4*(H535)^(-0.6595)))))</f>
        <v>3</v>
      </c>
      <c r="L535" s="99"/>
      <c r="M535" s="99"/>
      <c r="N535" s="99"/>
      <c r="O535" s="99"/>
      <c r="P535" s="69"/>
      <c r="Q535" s="305">
        <f>_xlfn.XLOOKUP($I535,Inputs!$G$6:$G$23,Inputs!J$6:J$23)*$K535</f>
        <v>29.767499999999998</v>
      </c>
      <c r="R535" s="305">
        <f>_xlfn.XLOOKUP($I535,Inputs!$G$6:$G$23,Inputs!K$6:K$23)*$K535</f>
        <v>32.532786885245905</v>
      </c>
      <c r="S535" s="230" t="s">
        <v>144</v>
      </c>
      <c r="T535" s="51" t="s">
        <v>3231</v>
      </c>
      <c r="U535" s="230" t="s">
        <v>2751</v>
      </c>
      <c r="V535" s="51" t="s">
        <v>3106</v>
      </c>
      <c r="W535" s="19"/>
      <c r="X535" s="19" t="s">
        <v>2754</v>
      </c>
      <c r="Y535" s="99">
        <v>1019</v>
      </c>
    </row>
    <row r="536" spans="2:25" s="165" customFormat="1" ht="20" x14ac:dyDescent="0.2">
      <c r="B536" s="230" t="s">
        <v>2753</v>
      </c>
      <c r="C536" s="51" t="s">
        <v>173</v>
      </c>
      <c r="D536" s="33" t="s">
        <v>2876</v>
      </c>
      <c r="E536" s="231">
        <v>1</v>
      </c>
      <c r="F536" s="230" t="s">
        <v>1128</v>
      </c>
      <c r="G536" s="232">
        <v>5.5</v>
      </c>
      <c r="H536" s="232">
        <v>3.3950617283950617</v>
      </c>
      <c r="I536" s="231">
        <v>63</v>
      </c>
      <c r="J536" s="266">
        <f>_xlfn.XLOOKUP($I536,Inputs!$C$6:$C$23,Inputs!$D$6:$D$23)*$G536</f>
        <v>2.09</v>
      </c>
      <c r="K536" s="267">
        <f>IF((42.4*(H536)^(-0.6595))&gt;=3,3,(IF(42.4*(H536)^(-0.6595)&lt;=0.5,0.5,(42.4*(H536)^(-0.6595)))))</f>
        <v>3</v>
      </c>
      <c r="L536" s="99"/>
      <c r="M536" s="99"/>
      <c r="N536" s="99"/>
      <c r="O536" s="99"/>
      <c r="P536" s="69"/>
      <c r="Q536" s="305">
        <f>_xlfn.XLOOKUP($I536,Inputs!$G$6:$G$23,Inputs!J$6:J$23)*$K536</f>
        <v>29.767499999999998</v>
      </c>
      <c r="R536" s="305">
        <f>_xlfn.XLOOKUP($I536,Inputs!$G$6:$G$23,Inputs!K$6:K$23)*$K536</f>
        <v>32.532786885245905</v>
      </c>
      <c r="S536" s="230" t="s">
        <v>144</v>
      </c>
      <c r="T536" s="51" t="s">
        <v>3231</v>
      </c>
      <c r="U536" s="230" t="s">
        <v>2751</v>
      </c>
      <c r="V536" s="51" t="s">
        <v>3106</v>
      </c>
      <c r="W536" s="19"/>
      <c r="X536" s="19" t="s">
        <v>2754</v>
      </c>
      <c r="Y536" s="99">
        <v>1074</v>
      </c>
    </row>
    <row r="537" spans="2:25" s="165" customFormat="1" ht="20" x14ac:dyDescent="0.2">
      <c r="B537" s="150" t="s">
        <v>1405</v>
      </c>
      <c r="C537" s="33" t="s">
        <v>106</v>
      </c>
      <c r="D537" s="33" t="s">
        <v>2876</v>
      </c>
      <c r="E537" s="175">
        <v>1</v>
      </c>
      <c r="F537" s="151" t="s">
        <v>1128</v>
      </c>
      <c r="G537" s="152">
        <v>3.1888117</v>
      </c>
      <c r="H537" s="152">
        <v>1.9684022839506172</v>
      </c>
      <c r="I537" s="175">
        <v>138</v>
      </c>
      <c r="J537" s="266">
        <f>_xlfn.XLOOKUP($I537,Inputs!$C$6:$C$23,Inputs!$D$6:$D$23)*$G537</f>
        <v>1.3825776442142859</v>
      </c>
      <c r="K537" s="255"/>
      <c r="L537" s="186">
        <v>648</v>
      </c>
      <c r="M537" s="186">
        <v>780</v>
      </c>
      <c r="N537" s="99">
        <f t="shared" ref="N537:N549" si="120">(SQRT(3)*L537*$I537)/1000</f>
        <v>154.88691141603928</v>
      </c>
      <c r="O537" s="99">
        <f t="shared" ref="O537:O549" si="121">(SQRT(3)*M537*$I537)/1000</f>
        <v>186.43794892671391</v>
      </c>
      <c r="P537" s="131">
        <v>0.9</v>
      </c>
      <c r="Q537" s="186">
        <f t="shared" ref="Q537:R544" si="122">N537*$P537</f>
        <v>139.39822027443535</v>
      </c>
      <c r="R537" s="186">
        <f t="shared" si="122"/>
        <v>167.79415403404252</v>
      </c>
      <c r="S537" s="151" t="s">
        <v>2387</v>
      </c>
      <c r="T537" s="51" t="s">
        <v>2036</v>
      </c>
      <c r="U537" s="151" t="s">
        <v>1755</v>
      </c>
      <c r="V537" s="51" t="s">
        <v>3466</v>
      </c>
      <c r="W537" s="19"/>
      <c r="X537" s="19"/>
      <c r="Y537" s="99">
        <v>17</v>
      </c>
    </row>
    <row r="538" spans="2:25" s="185" customFormat="1" ht="20" x14ac:dyDescent="0.2">
      <c r="B538" s="150" t="s">
        <v>1406</v>
      </c>
      <c r="C538" s="33" t="s">
        <v>106</v>
      </c>
      <c r="D538" s="33" t="s">
        <v>2876</v>
      </c>
      <c r="E538" s="175">
        <v>1</v>
      </c>
      <c r="F538" s="151" t="s">
        <v>1128</v>
      </c>
      <c r="G538" s="152">
        <v>3.2230693000000001</v>
      </c>
      <c r="H538" s="152">
        <v>1.9895489506172839</v>
      </c>
      <c r="I538" s="175">
        <v>138</v>
      </c>
      <c r="J538" s="266">
        <f>_xlfn.XLOOKUP($I538,Inputs!$C$6:$C$23,Inputs!$D$6:$D$23)*$G538</f>
        <v>1.3974307607857144</v>
      </c>
      <c r="K538" s="255"/>
      <c r="L538" s="186">
        <v>725</v>
      </c>
      <c r="M538" s="186">
        <v>925</v>
      </c>
      <c r="N538" s="99">
        <f t="shared" si="120"/>
        <v>173.29168329726616</v>
      </c>
      <c r="O538" s="99">
        <f t="shared" si="121"/>
        <v>221.0962855861672</v>
      </c>
      <c r="P538" s="131">
        <v>0.9</v>
      </c>
      <c r="Q538" s="186">
        <f t="shared" si="122"/>
        <v>155.96251496753956</v>
      </c>
      <c r="R538" s="186">
        <f t="shared" si="122"/>
        <v>198.98665702755048</v>
      </c>
      <c r="S538" s="151" t="s">
        <v>2387</v>
      </c>
      <c r="T538" s="51" t="s">
        <v>2036</v>
      </c>
      <c r="U538" s="151" t="s">
        <v>1755</v>
      </c>
      <c r="V538" s="179" t="s">
        <v>3466</v>
      </c>
      <c r="W538" s="19"/>
      <c r="X538" s="19"/>
      <c r="Y538" s="99">
        <v>21</v>
      </c>
    </row>
    <row r="539" spans="2:25" s="165" customFormat="1" ht="20" x14ac:dyDescent="0.2">
      <c r="B539" s="150" t="s">
        <v>419</v>
      </c>
      <c r="C539" s="33" t="s">
        <v>106</v>
      </c>
      <c r="D539" s="33" t="s">
        <v>2876</v>
      </c>
      <c r="E539" s="175">
        <v>1</v>
      </c>
      <c r="F539" s="151" t="s">
        <v>1128</v>
      </c>
      <c r="G539" s="152">
        <v>15</v>
      </c>
      <c r="H539" s="152">
        <v>9.2592592592592595</v>
      </c>
      <c r="I539" s="175">
        <v>138</v>
      </c>
      <c r="J539" s="266">
        <f>_xlfn.XLOOKUP($I539,Inputs!$C$6:$C$23,Inputs!$D$6:$D$23)*$G539</f>
        <v>6.503571428571429</v>
      </c>
      <c r="K539" s="255"/>
      <c r="L539" s="186">
        <v>648</v>
      </c>
      <c r="M539" s="186">
        <v>780</v>
      </c>
      <c r="N539" s="99">
        <f t="shared" si="120"/>
        <v>154.88691141603928</v>
      </c>
      <c r="O539" s="99">
        <f t="shared" si="121"/>
        <v>186.43794892671391</v>
      </c>
      <c r="P539" s="131">
        <v>0.9</v>
      </c>
      <c r="Q539" s="186">
        <f t="shared" si="122"/>
        <v>139.39822027443535</v>
      </c>
      <c r="R539" s="186">
        <f t="shared" si="122"/>
        <v>167.79415403404252</v>
      </c>
      <c r="S539" s="151" t="s">
        <v>3576</v>
      </c>
      <c r="T539" s="51" t="s">
        <v>3577</v>
      </c>
      <c r="U539" s="151" t="s">
        <v>2387</v>
      </c>
      <c r="V539" s="51" t="s">
        <v>2036</v>
      </c>
      <c r="W539" s="19"/>
      <c r="X539" s="19"/>
      <c r="Y539" s="99">
        <v>16</v>
      </c>
    </row>
    <row r="540" spans="2:25" s="165" customFormat="1" ht="20" x14ac:dyDescent="0.2">
      <c r="B540" s="150" t="s">
        <v>421</v>
      </c>
      <c r="C540" s="33" t="s">
        <v>106</v>
      </c>
      <c r="D540" s="33" t="s">
        <v>2876</v>
      </c>
      <c r="E540" s="175">
        <v>1</v>
      </c>
      <c r="F540" s="151" t="s">
        <v>1128</v>
      </c>
      <c r="G540" s="152">
        <v>15</v>
      </c>
      <c r="H540" s="152">
        <v>9.2592592592592595</v>
      </c>
      <c r="I540" s="175">
        <v>138</v>
      </c>
      <c r="J540" s="266">
        <f>_xlfn.XLOOKUP($I540,Inputs!$C$6:$C$23,Inputs!$D$6:$D$23)*$G540</f>
        <v>6.503571428571429</v>
      </c>
      <c r="K540" s="255"/>
      <c r="L540" s="186">
        <v>725</v>
      </c>
      <c r="M540" s="186">
        <v>925</v>
      </c>
      <c r="N540" s="99">
        <f t="shared" si="120"/>
        <v>173.29168329726616</v>
      </c>
      <c r="O540" s="99">
        <f t="shared" si="121"/>
        <v>221.0962855861672</v>
      </c>
      <c r="P540" s="131">
        <v>0.9</v>
      </c>
      <c r="Q540" s="186">
        <f t="shared" si="122"/>
        <v>155.96251496753956</v>
      </c>
      <c r="R540" s="186">
        <f t="shared" si="122"/>
        <v>198.98665702755048</v>
      </c>
      <c r="S540" s="151" t="s">
        <v>3576</v>
      </c>
      <c r="T540" s="51" t="s">
        <v>3577</v>
      </c>
      <c r="U540" s="151" t="s">
        <v>2387</v>
      </c>
      <c r="V540" s="51" t="s">
        <v>2036</v>
      </c>
      <c r="W540" s="19"/>
      <c r="X540" s="19"/>
      <c r="Y540" s="99">
        <v>20</v>
      </c>
    </row>
    <row r="541" spans="2:25" s="165" customFormat="1" ht="20" x14ac:dyDescent="0.2">
      <c r="B541" s="150" t="s">
        <v>591</v>
      </c>
      <c r="C541" s="33" t="s">
        <v>106</v>
      </c>
      <c r="D541" s="33" t="s">
        <v>2876</v>
      </c>
      <c r="E541" s="175">
        <v>1</v>
      </c>
      <c r="F541" s="151" t="s">
        <v>1128</v>
      </c>
      <c r="G541" s="152">
        <v>12.396577600000001</v>
      </c>
      <c r="H541" s="152">
        <v>7.6522083950617281</v>
      </c>
      <c r="I541" s="175">
        <v>230</v>
      </c>
      <c r="J541" s="266">
        <f>_xlfn.XLOOKUP($I541,Inputs!$C$6:$C$23,Inputs!$D$6:$D$23)*$G541</f>
        <v>5.9503572480000004</v>
      </c>
      <c r="K541" s="255"/>
      <c r="L541" s="186">
        <v>972</v>
      </c>
      <c r="M541" s="186">
        <v>1301</v>
      </c>
      <c r="N541" s="99">
        <f t="shared" si="120"/>
        <v>387.21727854009816</v>
      </c>
      <c r="O541" s="99">
        <f t="shared" si="121"/>
        <v>518.28156314883506</v>
      </c>
      <c r="P541" s="131">
        <v>0.9</v>
      </c>
      <c r="Q541" s="186">
        <f t="shared" si="122"/>
        <v>348.49555068608834</v>
      </c>
      <c r="R541" s="186">
        <f t="shared" si="122"/>
        <v>466.45340683395159</v>
      </c>
      <c r="S541" s="151" t="s">
        <v>1831</v>
      </c>
      <c r="T541" s="51" t="s">
        <v>3308</v>
      </c>
      <c r="U541" s="151" t="s">
        <v>1756</v>
      </c>
      <c r="V541" s="51" t="s">
        <v>3283</v>
      </c>
      <c r="W541" s="19"/>
      <c r="X541" s="19"/>
      <c r="Y541" s="99">
        <v>446</v>
      </c>
    </row>
    <row r="542" spans="2:25" s="165" customFormat="1" ht="20" x14ac:dyDescent="0.2">
      <c r="B542" s="150" t="s">
        <v>592</v>
      </c>
      <c r="C542" s="33" t="s">
        <v>106</v>
      </c>
      <c r="D542" s="33" t="s">
        <v>2876</v>
      </c>
      <c r="E542" s="175">
        <v>1</v>
      </c>
      <c r="F542" s="151" t="s">
        <v>1128</v>
      </c>
      <c r="G542" s="152">
        <v>12.410275100000002</v>
      </c>
      <c r="H542" s="152">
        <v>7.6606636419753089</v>
      </c>
      <c r="I542" s="175">
        <v>230</v>
      </c>
      <c r="J542" s="266">
        <f>_xlfn.XLOOKUP($I542,Inputs!$C$6:$C$23,Inputs!$D$6:$D$23)*$G542</f>
        <v>5.9569320480000005</v>
      </c>
      <c r="K542" s="255"/>
      <c r="L542" s="186">
        <v>972</v>
      </c>
      <c r="M542" s="186">
        <v>1301</v>
      </c>
      <c r="N542" s="99">
        <f t="shared" si="120"/>
        <v>387.21727854009816</v>
      </c>
      <c r="O542" s="99">
        <f t="shared" si="121"/>
        <v>518.28156314883506</v>
      </c>
      <c r="P542" s="131">
        <v>0.9</v>
      </c>
      <c r="Q542" s="186">
        <f t="shared" si="122"/>
        <v>348.49555068608834</v>
      </c>
      <c r="R542" s="186">
        <f t="shared" si="122"/>
        <v>466.45340683395159</v>
      </c>
      <c r="S542" s="151" t="s">
        <v>1831</v>
      </c>
      <c r="T542" s="51" t="s">
        <v>3308</v>
      </c>
      <c r="U542" s="151" t="s">
        <v>1756</v>
      </c>
      <c r="V542" s="51" t="s">
        <v>3283</v>
      </c>
      <c r="W542" s="19"/>
      <c r="X542" s="19"/>
      <c r="Y542" s="99">
        <v>447</v>
      </c>
    </row>
    <row r="543" spans="2:25" s="165" customFormat="1" ht="20" x14ac:dyDescent="0.2">
      <c r="B543" s="150" t="s">
        <v>467</v>
      </c>
      <c r="C543" s="33" t="s">
        <v>106</v>
      </c>
      <c r="D543" s="33" t="s">
        <v>2876</v>
      </c>
      <c r="E543" s="175">
        <v>1</v>
      </c>
      <c r="F543" s="151" t="s">
        <v>1128</v>
      </c>
      <c r="G543" s="152">
        <v>3</v>
      </c>
      <c r="H543" s="152">
        <v>1.8518518518518516</v>
      </c>
      <c r="I543" s="175">
        <v>138</v>
      </c>
      <c r="J543" s="266">
        <f>_xlfn.XLOOKUP($I543,Inputs!$C$6:$C$23,Inputs!$D$6:$D$23)*$G543</f>
        <v>1.3007142857142857</v>
      </c>
      <c r="K543" s="255"/>
      <c r="L543" s="186">
        <v>540</v>
      </c>
      <c r="M543" s="186">
        <v>1050</v>
      </c>
      <c r="N543" s="99">
        <f t="shared" si="120"/>
        <v>129.07242618003272</v>
      </c>
      <c r="O543" s="99">
        <f t="shared" si="121"/>
        <v>250.9741620167303</v>
      </c>
      <c r="P543" s="131">
        <v>0.9</v>
      </c>
      <c r="Q543" s="186">
        <f t="shared" si="122"/>
        <v>116.16518356202945</v>
      </c>
      <c r="R543" s="186">
        <f t="shared" si="122"/>
        <v>225.87674581505729</v>
      </c>
      <c r="S543" s="151" t="s">
        <v>2415</v>
      </c>
      <c r="T543" s="51" t="s">
        <v>2065</v>
      </c>
      <c r="U543" s="151" t="s">
        <v>3572</v>
      </c>
      <c r="V543" s="51" t="s">
        <v>3573</v>
      </c>
      <c r="W543" s="19"/>
      <c r="X543" s="19"/>
      <c r="Y543" s="99">
        <v>161</v>
      </c>
    </row>
    <row r="544" spans="2:25" s="165" customFormat="1" ht="20" x14ac:dyDescent="0.2">
      <c r="B544" s="150" t="s">
        <v>480</v>
      </c>
      <c r="C544" s="33" t="s">
        <v>106</v>
      </c>
      <c r="D544" s="33" t="s">
        <v>2876</v>
      </c>
      <c r="E544" s="175">
        <v>1</v>
      </c>
      <c r="F544" s="151" t="s">
        <v>1128</v>
      </c>
      <c r="G544" s="152">
        <v>7.61</v>
      </c>
      <c r="H544" s="152">
        <v>4.6975308641975309</v>
      </c>
      <c r="I544" s="175">
        <v>138</v>
      </c>
      <c r="J544" s="266">
        <f>_xlfn.XLOOKUP($I544,Inputs!$C$6:$C$23,Inputs!$D$6:$D$23)*$G544</f>
        <v>3.2994785714285717</v>
      </c>
      <c r="K544" s="255"/>
      <c r="L544" s="186">
        <v>710</v>
      </c>
      <c r="M544" s="186">
        <v>830</v>
      </c>
      <c r="N544" s="99">
        <f t="shared" si="120"/>
        <v>169.70633812559859</v>
      </c>
      <c r="O544" s="99">
        <f t="shared" si="121"/>
        <v>198.3890994989392</v>
      </c>
      <c r="P544" s="131">
        <v>0.9</v>
      </c>
      <c r="Q544" s="186">
        <f t="shared" si="122"/>
        <v>152.73570431303872</v>
      </c>
      <c r="R544" s="186">
        <f t="shared" si="122"/>
        <v>178.55018954904529</v>
      </c>
      <c r="S544" s="151" t="s">
        <v>1654</v>
      </c>
      <c r="T544" s="51" t="s">
        <v>3246</v>
      </c>
      <c r="U544" s="151" t="s">
        <v>1757</v>
      </c>
      <c r="V544" s="51" t="s">
        <v>3284</v>
      </c>
      <c r="W544" s="19"/>
      <c r="X544" s="19"/>
      <c r="Y544" s="99">
        <v>224</v>
      </c>
    </row>
    <row r="545" spans="2:25" s="165" customFormat="1" ht="20" x14ac:dyDescent="0.2">
      <c r="B545" s="151" t="s">
        <v>1108</v>
      </c>
      <c r="C545" s="33" t="s">
        <v>106</v>
      </c>
      <c r="D545" s="33" t="s">
        <v>2876</v>
      </c>
      <c r="E545" s="175">
        <v>1</v>
      </c>
      <c r="F545" s="151" t="s">
        <v>1128</v>
      </c>
      <c r="G545" s="174">
        <v>2</v>
      </c>
      <c r="H545" s="152">
        <v>1.2345679012345678</v>
      </c>
      <c r="I545" s="175">
        <v>138</v>
      </c>
      <c r="J545" s="266">
        <f>_xlfn.XLOOKUP($I545,Inputs!$C$6:$C$23,Inputs!$D$6:$D$23)*$G545</f>
        <v>0.86714285714285722</v>
      </c>
      <c r="K545" s="267">
        <f>IF((42.4*(H545)^(-0.6595))&gt;=3,3,(IF(42.4*(H545)^(-0.6595)&lt;=0.5,0.5,(42.4*(H545)^(-0.6595)))))</f>
        <v>3</v>
      </c>
      <c r="L545" s="99"/>
      <c r="M545" s="99"/>
      <c r="N545" s="99">
        <f t="shared" si="120"/>
        <v>0</v>
      </c>
      <c r="O545" s="99">
        <f t="shared" si="121"/>
        <v>0</v>
      </c>
      <c r="P545" s="131">
        <v>0.9</v>
      </c>
      <c r="Q545" s="305">
        <f>_xlfn.XLOOKUP($I545,Inputs!$G$6:$G$23,Inputs!J$6:J$23)*$K545</f>
        <v>141</v>
      </c>
      <c r="R545" s="305">
        <f>_xlfn.XLOOKUP($I545,Inputs!$G$6:$G$23,Inputs!K$6:K$23)*$K545</f>
        <v>156</v>
      </c>
      <c r="S545" s="151" t="s">
        <v>2328</v>
      </c>
      <c r="T545" s="51" t="s">
        <v>3166</v>
      </c>
      <c r="U545" s="151" t="s">
        <v>2313</v>
      </c>
      <c r="V545" s="51" t="s">
        <v>3589</v>
      </c>
      <c r="W545" s="19"/>
      <c r="X545" s="19"/>
      <c r="Y545" s="99">
        <v>4</v>
      </c>
    </row>
    <row r="546" spans="2:25" s="165" customFormat="1" ht="20" x14ac:dyDescent="0.2">
      <c r="B546" s="150" t="s">
        <v>1214</v>
      </c>
      <c r="C546" s="33" t="s">
        <v>106</v>
      </c>
      <c r="D546" s="33" t="s">
        <v>2876</v>
      </c>
      <c r="E546" s="175">
        <v>1</v>
      </c>
      <c r="F546" s="151" t="s">
        <v>1128</v>
      </c>
      <c r="G546" s="152">
        <v>18.704791499999999</v>
      </c>
      <c r="H546" s="152">
        <v>11.546167592592591</v>
      </c>
      <c r="I546" s="175">
        <v>69</v>
      </c>
      <c r="J546" s="266">
        <f>_xlfn.XLOOKUP($I546,Inputs!$C$6:$C$23,Inputs!$D$6:$D$23)*$G546</f>
        <v>7.1879841621428566</v>
      </c>
      <c r="K546" s="255"/>
      <c r="L546" s="186">
        <v>519</v>
      </c>
      <c r="M546" s="3">
        <v>592</v>
      </c>
      <c r="N546" s="99">
        <f t="shared" si="120"/>
        <v>62.026471469849056</v>
      </c>
      <c r="O546" s="99">
        <f t="shared" si="121"/>
        <v>70.750811387573492</v>
      </c>
      <c r="P546" s="131">
        <v>0.9</v>
      </c>
      <c r="Q546" s="186">
        <f t="shared" ref="Q546:R549" si="123">N546*$P546</f>
        <v>55.823824322864155</v>
      </c>
      <c r="R546" s="186">
        <f t="shared" si="123"/>
        <v>63.675730248816144</v>
      </c>
      <c r="S546" s="151" t="s">
        <v>1736</v>
      </c>
      <c r="T546" s="51" t="s">
        <v>3130</v>
      </c>
      <c r="U546" s="151" t="s">
        <v>1758</v>
      </c>
      <c r="V546" s="51" t="s">
        <v>3728</v>
      </c>
      <c r="W546" s="19"/>
      <c r="X546" s="19"/>
      <c r="Y546" s="99">
        <v>688</v>
      </c>
    </row>
    <row r="547" spans="2:25" s="165" customFormat="1" ht="20" x14ac:dyDescent="0.2">
      <c r="B547" s="150" t="s">
        <v>622</v>
      </c>
      <c r="C547" s="33" t="s">
        <v>106</v>
      </c>
      <c r="D547" s="33" t="s">
        <v>2876</v>
      </c>
      <c r="E547" s="175">
        <v>1</v>
      </c>
      <c r="F547" s="151" t="s">
        <v>1128</v>
      </c>
      <c r="G547" s="152">
        <v>4.6693145000000005</v>
      </c>
      <c r="H547" s="152">
        <v>2.8822929012345679</v>
      </c>
      <c r="I547" s="175">
        <v>230</v>
      </c>
      <c r="J547" s="266">
        <f>_xlfn.XLOOKUP($I547,Inputs!$C$6:$C$23,Inputs!$D$6:$D$23)*$G547</f>
        <v>2.24127096</v>
      </c>
      <c r="K547" s="255"/>
      <c r="L547" s="186">
        <v>1055</v>
      </c>
      <c r="M547" s="186">
        <v>1280</v>
      </c>
      <c r="N547" s="99">
        <f t="shared" si="120"/>
        <v>420.282128456588</v>
      </c>
      <c r="O547" s="99">
        <f t="shared" si="121"/>
        <v>509.91575774827737</v>
      </c>
      <c r="P547" s="131">
        <v>0.9</v>
      </c>
      <c r="Q547" s="186">
        <f t="shared" si="123"/>
        <v>378.2539156109292</v>
      </c>
      <c r="R547" s="186">
        <f t="shared" si="123"/>
        <v>458.92418197344966</v>
      </c>
      <c r="S547" s="151" t="s">
        <v>1888</v>
      </c>
      <c r="T547" s="51" t="s">
        <v>3330</v>
      </c>
      <c r="U547" s="151" t="s">
        <v>2314</v>
      </c>
      <c r="V547" s="51" t="s">
        <v>3600</v>
      </c>
      <c r="W547" s="19"/>
      <c r="X547" s="19"/>
      <c r="Y547" s="99">
        <v>490</v>
      </c>
    </row>
    <row r="548" spans="2:25" s="165" customFormat="1" ht="20" x14ac:dyDescent="0.2">
      <c r="B548" s="151" t="s">
        <v>1522</v>
      </c>
      <c r="C548" s="33" t="s">
        <v>106</v>
      </c>
      <c r="D548" s="33" t="s">
        <v>2876</v>
      </c>
      <c r="E548" s="175">
        <v>1</v>
      </c>
      <c r="F548" s="151" t="s">
        <v>1128</v>
      </c>
      <c r="G548" s="174">
        <v>1</v>
      </c>
      <c r="H548" s="152">
        <v>0.61728395061728392</v>
      </c>
      <c r="I548" s="175">
        <v>69</v>
      </c>
      <c r="J548" s="266">
        <f>_xlfn.XLOOKUP($I548,Inputs!$C$6:$C$23,Inputs!$D$6:$D$23)*$G548</f>
        <v>0.38428571428571429</v>
      </c>
      <c r="K548" s="255"/>
      <c r="L548" s="186">
        <v>400</v>
      </c>
      <c r="M548" s="186">
        <v>510</v>
      </c>
      <c r="N548" s="99">
        <f t="shared" si="120"/>
        <v>47.804602288901016</v>
      </c>
      <c r="O548" s="99">
        <f t="shared" si="121"/>
        <v>60.950867918348784</v>
      </c>
      <c r="P548" s="131">
        <v>0.9</v>
      </c>
      <c r="Q548" s="186">
        <f t="shared" si="123"/>
        <v>43.024142060010917</v>
      </c>
      <c r="R548" s="186">
        <f t="shared" si="123"/>
        <v>54.855781126513904</v>
      </c>
      <c r="S548" s="151" t="s">
        <v>2929</v>
      </c>
      <c r="T548" s="51" t="s">
        <v>3723</v>
      </c>
      <c r="U548" s="151" t="s">
        <v>2931</v>
      </c>
      <c r="V548" s="51" t="s">
        <v>3617</v>
      </c>
      <c r="W548" s="19"/>
      <c r="X548" s="19"/>
      <c r="Y548" s="99">
        <v>598</v>
      </c>
    </row>
    <row r="549" spans="2:25" s="165" customFormat="1" ht="20" x14ac:dyDescent="0.2">
      <c r="B549" s="150" t="s">
        <v>1280</v>
      </c>
      <c r="C549" s="33" t="s">
        <v>106</v>
      </c>
      <c r="D549" s="33" t="s">
        <v>2876</v>
      </c>
      <c r="E549" s="175">
        <v>1</v>
      </c>
      <c r="F549" s="151" t="s">
        <v>1128</v>
      </c>
      <c r="G549" s="152">
        <v>29.38</v>
      </c>
      <c r="H549" s="152">
        <v>18.1358024691358</v>
      </c>
      <c r="I549" s="175">
        <v>69</v>
      </c>
      <c r="J549" s="266">
        <f>_xlfn.XLOOKUP($I549,Inputs!$C$6:$C$23,Inputs!$D$6:$D$23)*$G549</f>
        <v>11.290314285714285</v>
      </c>
      <c r="K549" s="255"/>
      <c r="L549" s="186">
        <v>505</v>
      </c>
      <c r="M549" s="186">
        <v>601</v>
      </c>
      <c r="N549" s="99">
        <f t="shared" si="120"/>
        <v>60.353310389737523</v>
      </c>
      <c r="O549" s="99">
        <f t="shared" si="121"/>
        <v>71.826414939073771</v>
      </c>
      <c r="P549" s="131">
        <v>0.9</v>
      </c>
      <c r="Q549" s="186">
        <f t="shared" si="123"/>
        <v>54.317979350763771</v>
      </c>
      <c r="R549" s="186">
        <f t="shared" si="123"/>
        <v>64.643773445166403</v>
      </c>
      <c r="S549" s="151" t="s">
        <v>2543</v>
      </c>
      <c r="T549" s="51" t="s">
        <v>2196</v>
      </c>
      <c r="U549" s="151" t="s">
        <v>1759</v>
      </c>
      <c r="V549" s="51" t="s">
        <v>3394</v>
      </c>
      <c r="W549" s="19"/>
      <c r="X549" s="19"/>
      <c r="Y549" s="99">
        <v>818</v>
      </c>
    </row>
    <row r="550" spans="2:25" s="165" customFormat="1" ht="20" x14ac:dyDescent="0.2">
      <c r="B550" s="230" t="s">
        <v>2737</v>
      </c>
      <c r="C550" s="51" t="s">
        <v>173</v>
      </c>
      <c r="D550" s="33" t="s">
        <v>2876</v>
      </c>
      <c r="E550" s="231">
        <v>1</v>
      </c>
      <c r="F550" s="230" t="s">
        <v>1128</v>
      </c>
      <c r="G550" s="232">
        <v>1.5</v>
      </c>
      <c r="H550" s="232">
        <v>0.92592592592592582</v>
      </c>
      <c r="I550" s="231">
        <v>63</v>
      </c>
      <c r="J550" s="266">
        <f>_xlfn.XLOOKUP($I550,Inputs!$C$6:$C$23,Inputs!$D$6:$D$23)*$G550</f>
        <v>0.57000000000000006</v>
      </c>
      <c r="K550" s="267">
        <f>IF((42.4*(H550)^(-0.6595))&gt;=3,3,(IF(42.4*(H550)^(-0.6595)&lt;=0.5,0.5,(42.4*(H550)^(-0.6595)))))</f>
        <v>3</v>
      </c>
      <c r="L550" s="99"/>
      <c r="M550" s="99"/>
      <c r="N550" s="99"/>
      <c r="O550" s="99"/>
      <c r="P550" s="69"/>
      <c r="Q550" s="305">
        <f>_xlfn.XLOOKUP($I550,Inputs!$G$6:$G$23,Inputs!J$6:J$23)*$K550</f>
        <v>29.767499999999998</v>
      </c>
      <c r="R550" s="305">
        <f>_xlfn.XLOOKUP($I550,Inputs!$G$6:$G$23,Inputs!K$6:K$23)*$K550</f>
        <v>32.532786885245905</v>
      </c>
      <c r="S550" s="230" t="s">
        <v>2326</v>
      </c>
      <c r="T550" s="51" t="s">
        <v>3162</v>
      </c>
      <c r="U550" s="230" t="s">
        <v>2735</v>
      </c>
      <c r="V550" s="51" t="s">
        <v>3137</v>
      </c>
      <c r="W550" s="19"/>
      <c r="X550" s="19"/>
      <c r="Y550" s="99">
        <v>1061</v>
      </c>
    </row>
    <row r="551" spans="2:25" s="165" customFormat="1" ht="20" x14ac:dyDescent="0.2">
      <c r="B551" s="230" t="s">
        <v>2734</v>
      </c>
      <c r="C551" s="51" t="s">
        <v>173</v>
      </c>
      <c r="D551" s="33" t="s">
        <v>2876</v>
      </c>
      <c r="E551" s="231">
        <v>1</v>
      </c>
      <c r="F551" s="230" t="s">
        <v>1128</v>
      </c>
      <c r="G551" s="232">
        <v>1.5</v>
      </c>
      <c r="H551" s="232">
        <v>0.92592592592592582</v>
      </c>
      <c r="I551" s="231">
        <v>63</v>
      </c>
      <c r="J551" s="266">
        <f>_xlfn.XLOOKUP($I551,Inputs!$C$6:$C$23,Inputs!$D$6:$D$23)*$G551</f>
        <v>0.57000000000000006</v>
      </c>
      <c r="K551" s="267">
        <f>IF((42.4*(H551)^(-0.6595))&gt;=3,3,(IF(42.4*(H551)^(-0.6595)&lt;=0.5,0.5,(42.4*(H551)^(-0.6595)))))</f>
        <v>3</v>
      </c>
      <c r="L551" s="99"/>
      <c r="M551" s="99"/>
      <c r="N551" s="99"/>
      <c r="O551" s="99"/>
      <c r="P551" s="69"/>
      <c r="Q551" s="305">
        <f>_xlfn.XLOOKUP($I551,Inputs!$G$6:$G$23,Inputs!J$6:J$23)*$K551</f>
        <v>29.767499999999998</v>
      </c>
      <c r="R551" s="305">
        <f>_xlfn.XLOOKUP($I551,Inputs!$G$6:$G$23,Inputs!K$6:K$23)*$K551</f>
        <v>32.532786885245905</v>
      </c>
      <c r="S551" s="230" t="s">
        <v>2326</v>
      </c>
      <c r="T551" s="51" t="s">
        <v>3162</v>
      </c>
      <c r="U551" s="230" t="s">
        <v>2735</v>
      </c>
      <c r="V551" s="51" t="s">
        <v>3137</v>
      </c>
      <c r="W551" s="19"/>
      <c r="X551" s="19"/>
      <c r="Y551" s="99">
        <v>1063</v>
      </c>
    </row>
    <row r="552" spans="2:25" s="165" customFormat="1" ht="20" x14ac:dyDescent="0.2">
      <c r="B552" s="150" t="s">
        <v>1240</v>
      </c>
      <c r="C552" s="33" t="s">
        <v>106</v>
      </c>
      <c r="D552" s="33" t="s">
        <v>2876</v>
      </c>
      <c r="E552" s="175">
        <v>1</v>
      </c>
      <c r="F552" s="151" t="s">
        <v>1128</v>
      </c>
      <c r="G552" s="152">
        <v>2.5678200000000002E-2</v>
      </c>
      <c r="H552" s="152">
        <v>1.5850740740740742E-2</v>
      </c>
      <c r="I552" s="175">
        <v>69</v>
      </c>
      <c r="J552" s="266">
        <f>_xlfn.XLOOKUP($I552,Inputs!$C$6:$C$23,Inputs!$D$6:$D$23)*$G552</f>
        <v>9.8677654285714289E-3</v>
      </c>
      <c r="K552" s="267">
        <f>IF((42.4*(H552)^(-0.6595))&gt;=3,3,(IF(42.4*(H552)^(-0.6595)&lt;=0.5,0.5,(42.4*(H552)^(-0.6595)))))</f>
        <v>3</v>
      </c>
      <c r="L552" s="99"/>
      <c r="M552" s="99"/>
      <c r="N552" s="99">
        <f t="shared" ref="N552:N565" si="124">(SQRT(3)*L552*$I552)/1000</f>
        <v>0</v>
      </c>
      <c r="O552" s="99">
        <f t="shared" ref="O552:O565" si="125">(SQRT(3)*M552*$I552)/1000</f>
        <v>0</v>
      </c>
      <c r="P552" s="131">
        <v>0.9</v>
      </c>
      <c r="Q552" s="305">
        <f>_xlfn.XLOOKUP($I552,Inputs!$G$6:$G$23,Inputs!J$6:J$23)*$K552</f>
        <v>36</v>
      </c>
      <c r="R552" s="305">
        <f>_xlfn.XLOOKUP($I552,Inputs!$G$6:$G$23,Inputs!K$6:K$23)*$K552</f>
        <v>39</v>
      </c>
      <c r="S552" s="151" t="s">
        <v>2527</v>
      </c>
      <c r="T552" s="51" t="s">
        <v>2185</v>
      </c>
      <c r="U552" s="151" t="s">
        <v>215</v>
      </c>
      <c r="V552" s="51" t="s">
        <v>3468</v>
      </c>
      <c r="W552" s="19"/>
      <c r="X552" s="19"/>
      <c r="Y552" s="99">
        <v>743</v>
      </c>
    </row>
    <row r="553" spans="2:25" s="165" customFormat="1" ht="20" x14ac:dyDescent="0.2">
      <c r="B553" s="150" t="s">
        <v>1237</v>
      </c>
      <c r="C553" s="33" t="s">
        <v>106</v>
      </c>
      <c r="D553" s="33" t="s">
        <v>2876</v>
      </c>
      <c r="E553" s="175">
        <v>1</v>
      </c>
      <c r="F553" s="151" t="s">
        <v>1128</v>
      </c>
      <c r="G553" s="152">
        <v>7</v>
      </c>
      <c r="H553" s="152">
        <v>4.3209876543209873</v>
      </c>
      <c r="I553" s="175">
        <v>69</v>
      </c>
      <c r="J553" s="266">
        <f>_xlfn.XLOOKUP($I553,Inputs!$C$6:$C$23,Inputs!$D$6:$D$23)*$G553</f>
        <v>2.69</v>
      </c>
      <c r="K553" s="255"/>
      <c r="L553" s="186">
        <v>500</v>
      </c>
      <c r="M553" s="186">
        <v>600</v>
      </c>
      <c r="N553" s="99">
        <f t="shared" si="124"/>
        <v>59.755752861126261</v>
      </c>
      <c r="O553" s="99">
        <f t="shared" si="125"/>
        <v>71.706903433351513</v>
      </c>
      <c r="P553" s="131">
        <v>0.9</v>
      </c>
      <c r="Q553" s="186">
        <f t="shared" ref="Q553:Q565" si="126">N553*$P553</f>
        <v>53.780177575013639</v>
      </c>
      <c r="R553" s="186">
        <f t="shared" ref="R553:R565" si="127">O553*$P553</f>
        <v>64.536213090016361</v>
      </c>
      <c r="S553" s="151" t="s">
        <v>2526</v>
      </c>
      <c r="T553" s="51" t="s">
        <v>2186</v>
      </c>
      <c r="U553" s="151" t="s">
        <v>2527</v>
      </c>
      <c r="V553" s="51" t="s">
        <v>2185</v>
      </c>
      <c r="W553" s="19"/>
      <c r="X553" s="19"/>
      <c r="Y553" s="99">
        <v>742</v>
      </c>
    </row>
    <row r="554" spans="2:25" s="165" customFormat="1" ht="20" x14ac:dyDescent="0.2">
      <c r="B554" s="150" t="s">
        <v>1481</v>
      </c>
      <c r="C554" s="33" t="s">
        <v>106</v>
      </c>
      <c r="D554" s="33" t="s">
        <v>2876</v>
      </c>
      <c r="E554" s="175">
        <v>1</v>
      </c>
      <c r="F554" s="151" t="s">
        <v>1128</v>
      </c>
      <c r="G554" s="152">
        <v>3.0614436</v>
      </c>
      <c r="H554" s="152">
        <v>1.8897799999999998</v>
      </c>
      <c r="I554" s="175">
        <v>138</v>
      </c>
      <c r="J554" s="266">
        <f>_xlfn.XLOOKUP($I554,Inputs!$C$6:$C$23,Inputs!$D$6:$D$23)*$G554</f>
        <v>1.3273544751428572</v>
      </c>
      <c r="K554" s="255"/>
      <c r="L554" s="186">
        <v>493</v>
      </c>
      <c r="M554" s="186">
        <v>590</v>
      </c>
      <c r="N554" s="99">
        <f t="shared" si="124"/>
        <v>117.838344642141</v>
      </c>
      <c r="O554" s="99">
        <f t="shared" si="125"/>
        <v>141.02357675225798</v>
      </c>
      <c r="P554" s="131">
        <v>0.9</v>
      </c>
      <c r="Q554" s="186">
        <f t="shared" si="126"/>
        <v>106.0545101779269</v>
      </c>
      <c r="R554" s="186">
        <f t="shared" si="127"/>
        <v>126.92121907703219</v>
      </c>
      <c r="S554" s="151" t="s">
        <v>2443</v>
      </c>
      <c r="T554" s="51" t="s">
        <v>2098</v>
      </c>
      <c r="U554" s="151" t="s">
        <v>1760</v>
      </c>
      <c r="V554" s="51" t="s">
        <v>3658</v>
      </c>
      <c r="W554" s="19"/>
      <c r="X554" s="19"/>
      <c r="Y554" s="99">
        <v>249</v>
      </c>
    </row>
    <row r="555" spans="2:25" s="165" customFormat="1" ht="20" x14ac:dyDescent="0.2">
      <c r="B555" s="150" t="s">
        <v>489</v>
      </c>
      <c r="C555" s="33" t="s">
        <v>106</v>
      </c>
      <c r="D555" s="33" t="s">
        <v>2876</v>
      </c>
      <c r="E555" s="175">
        <v>1</v>
      </c>
      <c r="F555" s="151" t="s">
        <v>1128</v>
      </c>
      <c r="G555" s="152">
        <v>15</v>
      </c>
      <c r="H555" s="152">
        <v>9.2592592592592595</v>
      </c>
      <c r="I555" s="175">
        <v>138</v>
      </c>
      <c r="J555" s="266">
        <f>_xlfn.XLOOKUP($I555,Inputs!$C$6:$C$23,Inputs!$D$6:$D$23)*$G555</f>
        <v>6.503571428571429</v>
      </c>
      <c r="K555" s="255"/>
      <c r="L555" s="186">
        <v>265</v>
      </c>
      <c r="M555" s="186">
        <v>442</v>
      </c>
      <c r="N555" s="99">
        <f t="shared" si="124"/>
        <v>63.341098032793838</v>
      </c>
      <c r="O555" s="99">
        <f t="shared" si="125"/>
        <v>105.64817105847125</v>
      </c>
      <c r="P555" s="131">
        <v>0.9</v>
      </c>
      <c r="Q555" s="186">
        <f t="shared" si="126"/>
        <v>57.006988229514455</v>
      </c>
      <c r="R555" s="186">
        <f t="shared" si="127"/>
        <v>95.083353952624122</v>
      </c>
      <c r="S555" s="151" t="s">
        <v>1819</v>
      </c>
      <c r="T555" s="51" t="s">
        <v>3299</v>
      </c>
      <c r="U555" s="151" t="s">
        <v>2443</v>
      </c>
      <c r="V555" s="51" t="s">
        <v>2098</v>
      </c>
      <c r="W555" s="19"/>
      <c r="X555" s="19"/>
      <c r="Y555" s="99">
        <v>248</v>
      </c>
    </row>
    <row r="556" spans="2:25" s="165" customFormat="1" ht="20" x14ac:dyDescent="0.2">
      <c r="B556" s="150" t="s">
        <v>429</v>
      </c>
      <c r="C556" s="33" t="s">
        <v>106</v>
      </c>
      <c r="D556" s="33" t="s">
        <v>2876</v>
      </c>
      <c r="E556" s="175">
        <v>1</v>
      </c>
      <c r="F556" s="151" t="s">
        <v>1128</v>
      </c>
      <c r="G556" s="152">
        <v>8</v>
      </c>
      <c r="H556" s="152">
        <v>4.9382716049382713</v>
      </c>
      <c r="I556" s="175">
        <v>138</v>
      </c>
      <c r="J556" s="266">
        <f>_xlfn.XLOOKUP($I556,Inputs!$C$6:$C$23,Inputs!$D$6:$D$23)*$G556</f>
        <v>3.4685714285714289</v>
      </c>
      <c r="K556" s="255"/>
      <c r="L556" s="186">
        <v>490</v>
      </c>
      <c r="M556" s="186">
        <v>590</v>
      </c>
      <c r="N556" s="99">
        <f t="shared" si="124"/>
        <v>117.12127560780748</v>
      </c>
      <c r="O556" s="99">
        <f t="shared" si="125"/>
        <v>141.02357675225798</v>
      </c>
      <c r="P556" s="131">
        <v>0.9</v>
      </c>
      <c r="Q556" s="186">
        <f t="shared" si="126"/>
        <v>105.40914804702673</v>
      </c>
      <c r="R556" s="186">
        <f t="shared" si="127"/>
        <v>126.92121907703219</v>
      </c>
      <c r="S556" s="151" t="s">
        <v>2295</v>
      </c>
      <c r="T556" s="51" t="s">
        <v>3581</v>
      </c>
      <c r="U556" s="151" t="s">
        <v>3699</v>
      </c>
      <c r="V556" s="51" t="s">
        <v>3138</v>
      </c>
      <c r="W556" s="19"/>
      <c r="X556" s="19" t="s">
        <v>1964</v>
      </c>
      <c r="Y556" s="99">
        <v>53</v>
      </c>
    </row>
    <row r="557" spans="2:25" s="165" customFormat="1" ht="20" x14ac:dyDescent="0.2">
      <c r="B557" s="150" t="s">
        <v>1225</v>
      </c>
      <c r="C557" s="33" t="s">
        <v>106</v>
      </c>
      <c r="D557" s="33" t="s">
        <v>2876</v>
      </c>
      <c r="E557" s="175">
        <v>1</v>
      </c>
      <c r="F557" s="151" t="s">
        <v>1128</v>
      </c>
      <c r="G557" s="152">
        <v>0.12094769999999999</v>
      </c>
      <c r="H557" s="152">
        <v>7.4659074074074058E-2</v>
      </c>
      <c r="I557" s="175">
        <v>69</v>
      </c>
      <c r="J557" s="266">
        <f>_xlfn.XLOOKUP($I557,Inputs!$C$6:$C$23,Inputs!$D$6:$D$23)*$G557</f>
        <v>4.6478473285714285E-2</v>
      </c>
      <c r="K557" s="255"/>
      <c r="L557" s="186">
        <v>492</v>
      </c>
      <c r="M557" s="186">
        <v>601</v>
      </c>
      <c r="N557" s="99">
        <f t="shared" si="124"/>
        <v>58.79966081534824</v>
      </c>
      <c r="O557" s="99">
        <f t="shared" si="125"/>
        <v>71.826414939073771</v>
      </c>
      <c r="P557" s="131">
        <v>0.9</v>
      </c>
      <c r="Q557" s="186">
        <f t="shared" si="126"/>
        <v>52.919694733813415</v>
      </c>
      <c r="R557" s="186">
        <f t="shared" si="127"/>
        <v>64.643773445166403</v>
      </c>
      <c r="S557" s="151" t="s">
        <v>2513</v>
      </c>
      <c r="T557" s="51" t="s">
        <v>2172</v>
      </c>
      <c r="U557" s="151" t="s">
        <v>1761</v>
      </c>
      <c r="V557" s="51" t="s">
        <v>3718</v>
      </c>
      <c r="W557" s="19"/>
      <c r="X557" s="19"/>
      <c r="Y557" s="99">
        <v>710</v>
      </c>
    </row>
    <row r="558" spans="2:25" s="165" customFormat="1" ht="20" x14ac:dyDescent="0.2">
      <c r="B558" s="150" t="s">
        <v>1224</v>
      </c>
      <c r="C558" s="33" t="s">
        <v>106</v>
      </c>
      <c r="D558" s="33" t="s">
        <v>2876</v>
      </c>
      <c r="E558" s="175">
        <v>1</v>
      </c>
      <c r="F558" s="151" t="s">
        <v>1128</v>
      </c>
      <c r="G558" s="152">
        <v>2.39</v>
      </c>
      <c r="H558" s="152">
        <v>1.4753086419753085</v>
      </c>
      <c r="I558" s="175">
        <v>69</v>
      </c>
      <c r="J558" s="266">
        <f>_xlfn.XLOOKUP($I558,Inputs!$C$6:$C$23,Inputs!$D$6:$D$23)*$G558</f>
        <v>0.91844285714285723</v>
      </c>
      <c r="K558" s="255"/>
      <c r="L558" s="186">
        <v>847</v>
      </c>
      <c r="M558" s="186">
        <v>1020</v>
      </c>
      <c r="N558" s="99">
        <f t="shared" si="124"/>
        <v>101.22624534674789</v>
      </c>
      <c r="O558" s="99">
        <f t="shared" si="125"/>
        <v>121.90173583669757</v>
      </c>
      <c r="P558" s="131">
        <v>0.9</v>
      </c>
      <c r="Q558" s="186">
        <f t="shared" si="126"/>
        <v>91.103620812073103</v>
      </c>
      <c r="R558" s="186">
        <f t="shared" si="127"/>
        <v>109.71156225302781</v>
      </c>
      <c r="S558" s="151" t="s">
        <v>1944</v>
      </c>
      <c r="T558" s="51" t="s">
        <v>3354</v>
      </c>
      <c r="U558" s="151" t="s">
        <v>2513</v>
      </c>
      <c r="V558" s="51" t="s">
        <v>2172</v>
      </c>
      <c r="W558" s="19"/>
      <c r="X558" s="19"/>
      <c r="Y558" s="99">
        <v>709</v>
      </c>
    </row>
    <row r="559" spans="2:25" s="165" customFormat="1" ht="20" x14ac:dyDescent="0.2">
      <c r="B559" s="150" t="s">
        <v>1279</v>
      </c>
      <c r="C559" s="33" t="s">
        <v>106</v>
      </c>
      <c r="D559" s="33" t="s">
        <v>2876</v>
      </c>
      <c r="E559" s="175">
        <v>1</v>
      </c>
      <c r="F559" s="151" t="s">
        <v>1128</v>
      </c>
      <c r="G559" s="152">
        <v>30.012612499999999</v>
      </c>
      <c r="H559" s="152">
        <v>18.526304012345676</v>
      </c>
      <c r="I559" s="175">
        <v>69</v>
      </c>
      <c r="J559" s="266">
        <f>_xlfn.XLOOKUP($I559,Inputs!$C$6:$C$23,Inputs!$D$6:$D$23)*$G559</f>
        <v>11.533418232142857</v>
      </c>
      <c r="K559" s="255"/>
      <c r="L559" s="186">
        <v>331</v>
      </c>
      <c r="M559" s="186">
        <v>383</v>
      </c>
      <c r="N559" s="99">
        <f t="shared" si="124"/>
        <v>39.558308394065584</v>
      </c>
      <c r="O559" s="99">
        <f t="shared" si="125"/>
        <v>45.772906691622715</v>
      </c>
      <c r="P559" s="131">
        <v>0.9</v>
      </c>
      <c r="Q559" s="186">
        <f t="shared" si="126"/>
        <v>35.602477554659025</v>
      </c>
      <c r="R559" s="186">
        <f t="shared" si="127"/>
        <v>41.195616022460442</v>
      </c>
      <c r="S559" s="151" t="s">
        <v>1846</v>
      </c>
      <c r="T559" s="51" t="s">
        <v>3313</v>
      </c>
      <c r="U559" s="151" t="s">
        <v>1957</v>
      </c>
      <c r="V559" s="51" t="s">
        <v>3508</v>
      </c>
      <c r="W559" s="19"/>
      <c r="X559" s="19"/>
      <c r="Y559" s="99">
        <v>805</v>
      </c>
    </row>
    <row r="560" spans="2:25" s="165" customFormat="1" ht="20" x14ac:dyDescent="0.2">
      <c r="B560" s="150" t="s">
        <v>445</v>
      </c>
      <c r="C560" s="33" t="s">
        <v>106</v>
      </c>
      <c r="D560" s="33" t="s">
        <v>2876</v>
      </c>
      <c r="E560" s="175">
        <v>1</v>
      </c>
      <c r="F560" s="151" t="s">
        <v>1128</v>
      </c>
      <c r="G560" s="152">
        <v>6.4938319</v>
      </c>
      <c r="H560" s="152">
        <v>4.0085382098765425</v>
      </c>
      <c r="I560" s="175">
        <v>138</v>
      </c>
      <c r="J560" s="266">
        <f>_xlfn.XLOOKUP($I560,Inputs!$C$6:$C$23,Inputs!$D$6:$D$23)*$G560</f>
        <v>2.8155399737857145</v>
      </c>
      <c r="K560" s="255"/>
      <c r="L560" s="186">
        <v>925</v>
      </c>
      <c r="M560" s="186">
        <v>1185</v>
      </c>
      <c r="N560" s="99">
        <f t="shared" si="124"/>
        <v>221.0962855861672</v>
      </c>
      <c r="O560" s="99">
        <f t="shared" si="125"/>
        <v>283.24226856173851</v>
      </c>
      <c r="P560" s="131">
        <v>0.9</v>
      </c>
      <c r="Q560" s="186">
        <f t="shared" si="126"/>
        <v>198.98665702755048</v>
      </c>
      <c r="R560" s="186">
        <f t="shared" si="127"/>
        <v>254.91804170556466</v>
      </c>
      <c r="S560" s="151" t="s">
        <v>1734</v>
      </c>
      <c r="T560" s="51" t="s">
        <v>3128</v>
      </c>
      <c r="U560" s="151" t="s">
        <v>1762</v>
      </c>
      <c r="V560" s="51" t="s">
        <v>3139</v>
      </c>
      <c r="W560" s="19"/>
      <c r="X560" s="19"/>
      <c r="Y560" s="99">
        <v>107</v>
      </c>
    </row>
    <row r="561" spans="2:25" s="165" customFormat="1" ht="20" x14ac:dyDescent="0.2">
      <c r="B561" s="150" t="s">
        <v>446</v>
      </c>
      <c r="C561" s="33" t="s">
        <v>106</v>
      </c>
      <c r="D561" s="33" t="s">
        <v>2876</v>
      </c>
      <c r="E561" s="175">
        <v>1</v>
      </c>
      <c r="F561" s="151" t="s">
        <v>1128</v>
      </c>
      <c r="G561" s="152">
        <v>6.5068605999999996</v>
      </c>
      <c r="H561" s="152">
        <v>4.0165806172839504</v>
      </c>
      <c r="I561" s="175">
        <v>138</v>
      </c>
      <c r="J561" s="266">
        <f>_xlfn.XLOOKUP($I561,Inputs!$C$6:$C$23,Inputs!$D$6:$D$23)*$G561</f>
        <v>2.8211888458571428</v>
      </c>
      <c r="K561" s="255"/>
      <c r="L561" s="186">
        <v>925</v>
      </c>
      <c r="M561" s="186">
        <v>1185</v>
      </c>
      <c r="N561" s="99">
        <f t="shared" si="124"/>
        <v>221.0962855861672</v>
      </c>
      <c r="O561" s="99">
        <f t="shared" si="125"/>
        <v>283.24226856173851</v>
      </c>
      <c r="P561" s="131">
        <v>0.9</v>
      </c>
      <c r="Q561" s="186">
        <f t="shared" si="126"/>
        <v>198.98665702755048</v>
      </c>
      <c r="R561" s="186">
        <f t="shared" si="127"/>
        <v>254.91804170556466</v>
      </c>
      <c r="S561" s="151" t="s">
        <v>1734</v>
      </c>
      <c r="T561" s="51" t="s">
        <v>3128</v>
      </c>
      <c r="U561" s="151" t="s">
        <v>1762</v>
      </c>
      <c r="V561" s="51" t="s">
        <v>3139</v>
      </c>
      <c r="W561" s="19"/>
      <c r="X561" s="19"/>
      <c r="Y561" s="99">
        <v>108</v>
      </c>
    </row>
    <row r="562" spans="2:25" s="165" customFormat="1" ht="20" x14ac:dyDescent="0.2">
      <c r="B562" s="150" t="s">
        <v>1416</v>
      </c>
      <c r="C562" s="33" t="s">
        <v>106</v>
      </c>
      <c r="D562" s="33" t="s">
        <v>2876</v>
      </c>
      <c r="E562" s="175">
        <v>1</v>
      </c>
      <c r="F562" s="151" t="s">
        <v>1128</v>
      </c>
      <c r="G562" s="152">
        <v>0.92667480000000002</v>
      </c>
      <c r="H562" s="152">
        <v>0.57202148148148146</v>
      </c>
      <c r="I562" s="175">
        <v>138</v>
      </c>
      <c r="J562" s="266">
        <f>_xlfn.XLOOKUP($I562,Inputs!$C$6:$C$23,Inputs!$D$6:$D$23)*$G562</f>
        <v>0.40177971685714292</v>
      </c>
      <c r="K562" s="255"/>
      <c r="L562" s="186">
        <v>625</v>
      </c>
      <c r="M562" s="3">
        <v>805</v>
      </c>
      <c r="N562" s="99">
        <f t="shared" si="124"/>
        <v>149.38938215281567</v>
      </c>
      <c r="O562" s="99">
        <f t="shared" si="125"/>
        <v>192.41352421282656</v>
      </c>
      <c r="P562" s="131">
        <v>0.9</v>
      </c>
      <c r="Q562" s="186">
        <f t="shared" si="126"/>
        <v>134.45044393753412</v>
      </c>
      <c r="R562" s="186">
        <f t="shared" si="127"/>
        <v>173.17217179154392</v>
      </c>
      <c r="S562" s="151" t="s">
        <v>2408</v>
      </c>
      <c r="T562" s="51" t="s">
        <v>2059</v>
      </c>
      <c r="U562" s="151" t="s">
        <v>1763</v>
      </c>
      <c r="V562" s="51" t="s">
        <v>3469</v>
      </c>
      <c r="W562" s="19"/>
      <c r="X562" s="19"/>
      <c r="Y562" s="99">
        <v>119</v>
      </c>
    </row>
    <row r="563" spans="2:25" s="165" customFormat="1" ht="20" x14ac:dyDescent="0.2">
      <c r="B563" s="150" t="s">
        <v>1421</v>
      </c>
      <c r="C563" s="33" t="s">
        <v>106</v>
      </c>
      <c r="D563" s="33" t="s">
        <v>2876</v>
      </c>
      <c r="E563" s="175">
        <v>1</v>
      </c>
      <c r="F563" s="151" t="s">
        <v>1128</v>
      </c>
      <c r="G563" s="152">
        <v>0.92874319999999999</v>
      </c>
      <c r="H563" s="152">
        <v>0.57329827160493818</v>
      </c>
      <c r="I563" s="175">
        <v>138</v>
      </c>
      <c r="J563" s="266">
        <f>_xlfn.XLOOKUP($I563,Inputs!$C$6:$C$23,Inputs!$D$6:$D$23)*$G563</f>
        <v>0.40267651600000004</v>
      </c>
      <c r="K563" s="255"/>
      <c r="L563" s="186">
        <v>625</v>
      </c>
      <c r="M563" s="186">
        <v>805</v>
      </c>
      <c r="N563" s="99">
        <f t="shared" si="124"/>
        <v>149.38938215281567</v>
      </c>
      <c r="O563" s="99">
        <f t="shared" si="125"/>
        <v>192.41352421282656</v>
      </c>
      <c r="P563" s="131">
        <v>0.9</v>
      </c>
      <c r="Q563" s="186">
        <f t="shared" si="126"/>
        <v>134.45044393753412</v>
      </c>
      <c r="R563" s="186">
        <f t="shared" si="127"/>
        <v>173.17217179154392</v>
      </c>
      <c r="S563" s="151" t="s">
        <v>2408</v>
      </c>
      <c r="T563" s="51" t="s">
        <v>2059</v>
      </c>
      <c r="U563" s="151" t="s">
        <v>1763</v>
      </c>
      <c r="V563" s="51" t="s">
        <v>3469</v>
      </c>
      <c r="W563" s="19"/>
      <c r="X563" s="19"/>
      <c r="Y563" s="99">
        <v>146</v>
      </c>
    </row>
    <row r="564" spans="2:25" s="165" customFormat="1" ht="20" x14ac:dyDescent="0.2">
      <c r="B564" s="150" t="s">
        <v>450</v>
      </c>
      <c r="C564" s="33" t="s">
        <v>106</v>
      </c>
      <c r="D564" s="33" t="s">
        <v>2876</v>
      </c>
      <c r="E564" s="175">
        <v>1</v>
      </c>
      <c r="F564" s="151" t="s">
        <v>1128</v>
      </c>
      <c r="G564" s="152">
        <v>19</v>
      </c>
      <c r="H564" s="152">
        <v>11.728395061728394</v>
      </c>
      <c r="I564" s="175">
        <v>138</v>
      </c>
      <c r="J564" s="266">
        <f>_xlfn.XLOOKUP($I564,Inputs!$C$6:$C$23,Inputs!$D$6:$D$23)*$G564</f>
        <v>8.237857142857143</v>
      </c>
      <c r="K564" s="255"/>
      <c r="L564" s="186">
        <v>520</v>
      </c>
      <c r="M564" s="186">
        <v>735</v>
      </c>
      <c r="N564" s="99">
        <f t="shared" si="124"/>
        <v>124.29196595114263</v>
      </c>
      <c r="O564" s="99">
        <f t="shared" si="125"/>
        <v>175.68191341171124</v>
      </c>
      <c r="P564" s="131">
        <v>0.9</v>
      </c>
      <c r="Q564" s="186">
        <f t="shared" si="126"/>
        <v>111.86276935602837</v>
      </c>
      <c r="R564" s="186">
        <f t="shared" si="127"/>
        <v>158.11372207054012</v>
      </c>
      <c r="S564" s="151" t="s">
        <v>1726</v>
      </c>
      <c r="T564" s="51" t="s">
        <v>3269</v>
      </c>
      <c r="U564" s="151" t="s">
        <v>2408</v>
      </c>
      <c r="V564" s="51" t="s">
        <v>2059</v>
      </c>
      <c r="W564" s="19"/>
      <c r="X564" s="19"/>
      <c r="Y564" s="99">
        <v>118</v>
      </c>
    </row>
    <row r="565" spans="2:25" s="165" customFormat="1" ht="20" x14ac:dyDescent="0.2">
      <c r="B565" s="150" t="s">
        <v>460</v>
      </c>
      <c r="C565" s="33" t="s">
        <v>106</v>
      </c>
      <c r="D565" s="33" t="s">
        <v>2876</v>
      </c>
      <c r="E565" s="175">
        <v>1</v>
      </c>
      <c r="F565" s="151" t="s">
        <v>1128</v>
      </c>
      <c r="G565" s="152">
        <v>8</v>
      </c>
      <c r="H565" s="152">
        <v>4.9382716049382713</v>
      </c>
      <c r="I565" s="175">
        <v>138</v>
      </c>
      <c r="J565" s="266">
        <f>_xlfn.XLOOKUP($I565,Inputs!$C$6:$C$23,Inputs!$D$6:$D$23)*$G565</f>
        <v>3.4685714285714289</v>
      </c>
      <c r="K565" s="255"/>
      <c r="L565" s="186">
        <v>591</v>
      </c>
      <c r="M565" s="186">
        <v>781</v>
      </c>
      <c r="N565" s="99">
        <f t="shared" si="124"/>
        <v>141.2625997637025</v>
      </c>
      <c r="O565" s="99">
        <f t="shared" si="125"/>
        <v>186.67697193815843</v>
      </c>
      <c r="P565" s="131">
        <v>0.9</v>
      </c>
      <c r="Q565" s="186">
        <f t="shared" si="126"/>
        <v>127.13633978733225</v>
      </c>
      <c r="R565" s="186">
        <f t="shared" si="127"/>
        <v>168.0092747443426</v>
      </c>
      <c r="S565" s="151" t="s">
        <v>3711</v>
      </c>
      <c r="T565" s="51" t="s">
        <v>2063</v>
      </c>
      <c r="U565" s="151" t="s">
        <v>2408</v>
      </c>
      <c r="V565" s="51" t="s">
        <v>2059</v>
      </c>
      <c r="W565" s="19"/>
      <c r="X565" s="19"/>
      <c r="Y565" s="99">
        <v>145</v>
      </c>
    </row>
    <row r="566" spans="2:25" s="165" customFormat="1" ht="20" x14ac:dyDescent="0.2">
      <c r="B566" s="230" t="s">
        <v>2639</v>
      </c>
      <c r="C566" s="51" t="s">
        <v>173</v>
      </c>
      <c r="D566" s="33" t="s">
        <v>2876</v>
      </c>
      <c r="E566" s="231">
        <v>1</v>
      </c>
      <c r="F566" s="230" t="s">
        <v>1128</v>
      </c>
      <c r="G566" s="232">
        <v>6</v>
      </c>
      <c r="H566" s="232">
        <v>3.7037037037037033</v>
      </c>
      <c r="I566" s="231">
        <v>138</v>
      </c>
      <c r="J566" s="266">
        <f>_xlfn.XLOOKUP($I566,Inputs!$C$6:$C$23,Inputs!$D$6:$D$23)*$G566</f>
        <v>2.6014285714285714</v>
      </c>
      <c r="K566" s="267">
        <f>IF((42.4*(H566)^(-0.6595))&gt;=3,3,(IF(42.4*(H566)^(-0.6595)&lt;=0.5,0.5,(42.4*(H566)^(-0.6595)))))</f>
        <v>3</v>
      </c>
      <c r="L566" s="99"/>
      <c r="M566" s="99"/>
      <c r="N566" s="99"/>
      <c r="O566" s="99"/>
      <c r="P566" s="69"/>
      <c r="Q566" s="305">
        <f>_xlfn.XLOOKUP($I566,Inputs!$G$6:$G$23,Inputs!J$6:J$23)*$K566</f>
        <v>141</v>
      </c>
      <c r="R566" s="305">
        <f>_xlfn.XLOOKUP($I566,Inputs!$G$6:$G$23,Inputs!K$6:K$23)*$K566</f>
        <v>156</v>
      </c>
      <c r="S566" s="230" t="s">
        <v>2634</v>
      </c>
      <c r="T566" s="51" t="s">
        <v>3264</v>
      </c>
      <c r="U566" s="230" t="s">
        <v>3574</v>
      </c>
      <c r="V566" s="51" t="s">
        <v>3575</v>
      </c>
      <c r="W566" s="19"/>
      <c r="X566" s="19"/>
      <c r="Y566" s="99">
        <v>1120</v>
      </c>
    </row>
    <row r="567" spans="2:25" s="165" customFormat="1" ht="20" x14ac:dyDescent="0.2">
      <c r="B567" s="150" t="s">
        <v>1195</v>
      </c>
      <c r="C567" s="33" t="s">
        <v>106</v>
      </c>
      <c r="D567" s="33" t="s">
        <v>2876</v>
      </c>
      <c r="E567" s="175">
        <v>1</v>
      </c>
      <c r="F567" s="151" t="s">
        <v>1128</v>
      </c>
      <c r="G567" s="152">
        <v>12.807176299999998</v>
      </c>
      <c r="H567" s="152">
        <v>7.905664382716048</v>
      </c>
      <c r="I567" s="175">
        <v>69</v>
      </c>
      <c r="J567" s="266">
        <f>_xlfn.XLOOKUP($I567,Inputs!$C$6:$C$23,Inputs!$D$6:$D$23)*$G567</f>
        <v>4.921614892428571</v>
      </c>
      <c r="K567" s="255"/>
      <c r="L567" s="186">
        <v>440</v>
      </c>
      <c r="M567" s="186">
        <v>555</v>
      </c>
      <c r="N567" s="99">
        <f t="shared" ref="N567:N594" si="128">(SQRT(3)*L567*$I567)/1000</f>
        <v>52.585062517791116</v>
      </c>
      <c r="O567" s="99">
        <f t="shared" ref="O567:O594" si="129">(SQRT(3)*M567*$I567)/1000</f>
        <v>66.328885675850145</v>
      </c>
      <c r="P567" s="131">
        <v>0.9</v>
      </c>
      <c r="Q567" s="186">
        <f t="shared" ref="Q567:R569" si="130">N567*$P567</f>
        <v>47.326556266012005</v>
      </c>
      <c r="R567" s="186">
        <f t="shared" si="130"/>
        <v>59.695997108265132</v>
      </c>
      <c r="S567" s="151" t="s">
        <v>1750</v>
      </c>
      <c r="T567" s="51" t="s">
        <v>3280</v>
      </c>
      <c r="U567" s="151" t="s">
        <v>1764</v>
      </c>
      <c r="V567" s="51" t="s">
        <v>3654</v>
      </c>
      <c r="W567" s="19"/>
      <c r="X567" s="19"/>
      <c r="Y567" s="99">
        <v>662</v>
      </c>
    </row>
    <row r="568" spans="2:25" s="165" customFormat="1" ht="20" x14ac:dyDescent="0.2">
      <c r="B568" s="150" t="s">
        <v>1429</v>
      </c>
      <c r="C568" s="33" t="s">
        <v>106</v>
      </c>
      <c r="D568" s="33" t="s">
        <v>2876</v>
      </c>
      <c r="E568" s="175">
        <v>1</v>
      </c>
      <c r="F568" s="151" t="s">
        <v>1128</v>
      </c>
      <c r="G568" s="152">
        <v>0.2546194</v>
      </c>
      <c r="H568" s="152">
        <v>0.15717246913580246</v>
      </c>
      <c r="I568" s="175">
        <v>138</v>
      </c>
      <c r="J568" s="266">
        <f>_xlfn.XLOOKUP($I568,Inputs!$C$6:$C$23,Inputs!$D$6:$D$23)*$G568</f>
        <v>0.110395697</v>
      </c>
      <c r="K568" s="255"/>
      <c r="L568" s="186">
        <v>292</v>
      </c>
      <c r="M568" s="186">
        <v>566</v>
      </c>
      <c r="N568" s="99">
        <f t="shared" si="128"/>
        <v>69.794719341795471</v>
      </c>
      <c r="O568" s="99">
        <f t="shared" si="129"/>
        <v>135.28702447758988</v>
      </c>
      <c r="P568" s="131">
        <v>0.9</v>
      </c>
      <c r="Q568" s="186">
        <f t="shared" si="130"/>
        <v>62.815247407615928</v>
      </c>
      <c r="R568" s="186">
        <f t="shared" si="130"/>
        <v>121.75832202983089</v>
      </c>
      <c r="S568" s="151" t="s">
        <v>2420</v>
      </c>
      <c r="T568" s="51" t="s">
        <v>2072</v>
      </c>
      <c r="U568" s="151" t="s">
        <v>1765</v>
      </c>
      <c r="V568" s="51" t="s">
        <v>3655</v>
      </c>
      <c r="W568" s="19"/>
      <c r="X568" s="19"/>
      <c r="Y568" s="99">
        <v>180</v>
      </c>
    </row>
    <row r="569" spans="2:25" s="165" customFormat="1" ht="20" x14ac:dyDescent="0.2">
      <c r="B569" s="150" t="s">
        <v>474</v>
      </c>
      <c r="C569" s="33" t="s">
        <v>106</v>
      </c>
      <c r="D569" s="33" t="s">
        <v>2876</v>
      </c>
      <c r="E569" s="175">
        <v>1</v>
      </c>
      <c r="F569" s="151" t="s">
        <v>1128</v>
      </c>
      <c r="G569" s="152">
        <v>8</v>
      </c>
      <c r="H569" s="152">
        <v>4.9382716049382713</v>
      </c>
      <c r="I569" s="175">
        <v>138</v>
      </c>
      <c r="J569" s="266">
        <f>_xlfn.XLOOKUP($I569,Inputs!$C$6:$C$23,Inputs!$D$6:$D$23)*$G569</f>
        <v>3.4685714285714289</v>
      </c>
      <c r="K569" s="255"/>
      <c r="L569" s="186">
        <v>472</v>
      </c>
      <c r="M569" s="186">
        <v>658</v>
      </c>
      <c r="N569" s="99">
        <f t="shared" si="128"/>
        <v>112.8188614018064</v>
      </c>
      <c r="O569" s="99">
        <f t="shared" si="129"/>
        <v>157.2771415304843</v>
      </c>
      <c r="P569" s="131">
        <v>0.9</v>
      </c>
      <c r="Q569" s="186">
        <f t="shared" si="130"/>
        <v>101.53697526162577</v>
      </c>
      <c r="R569" s="186">
        <f t="shared" si="130"/>
        <v>141.54942737743588</v>
      </c>
      <c r="S569" s="151" t="s">
        <v>1934</v>
      </c>
      <c r="T569" s="51" t="s">
        <v>3350</v>
      </c>
      <c r="U569" s="151" t="s">
        <v>2420</v>
      </c>
      <c r="V569" s="51" t="s">
        <v>2072</v>
      </c>
      <c r="W569" s="19"/>
      <c r="X569" s="19"/>
      <c r="Y569" s="99">
        <v>179</v>
      </c>
    </row>
    <row r="570" spans="2:25" s="165" customFormat="1" ht="20" x14ac:dyDescent="0.2">
      <c r="B570" s="150" t="s">
        <v>1335</v>
      </c>
      <c r="C570" s="33" t="s">
        <v>106</v>
      </c>
      <c r="D570" s="33" t="s">
        <v>2876</v>
      </c>
      <c r="E570" s="175">
        <v>1</v>
      </c>
      <c r="F570" s="151" t="s">
        <v>1128</v>
      </c>
      <c r="G570" s="152">
        <v>1.6579514999999998</v>
      </c>
      <c r="H570" s="152">
        <v>1.0234268518518517</v>
      </c>
      <c r="I570" s="175">
        <v>69</v>
      </c>
      <c r="J570" s="266">
        <f>_xlfn.XLOOKUP($I570,Inputs!$C$6:$C$23,Inputs!$D$6:$D$23)*$G570</f>
        <v>0.63712707642857136</v>
      </c>
      <c r="K570" s="267">
        <f>IF((42.4*(H570)^(-0.6595))&gt;=3,3,(IF(42.4*(H570)^(-0.6595)&lt;=0.5,0.5,(42.4*(H570)^(-0.6595)))))</f>
        <v>3</v>
      </c>
      <c r="L570" s="99"/>
      <c r="M570" s="99"/>
      <c r="N570" s="99">
        <f t="shared" si="128"/>
        <v>0</v>
      </c>
      <c r="O570" s="99">
        <f t="shared" si="129"/>
        <v>0</v>
      </c>
      <c r="P570" s="131">
        <v>0.9</v>
      </c>
      <c r="Q570" s="305">
        <f>_xlfn.XLOOKUP($I570,Inputs!$G$6:$G$23,Inputs!J$6:J$23)*$K570</f>
        <v>36</v>
      </c>
      <c r="R570" s="305">
        <f>_xlfn.XLOOKUP($I570,Inputs!$G$6:$G$23,Inputs!K$6:K$23)*$K570</f>
        <v>39</v>
      </c>
      <c r="S570" s="151" t="s">
        <v>2577</v>
      </c>
      <c r="T570" s="51" t="s">
        <v>2234</v>
      </c>
      <c r="U570" s="151" t="s">
        <v>2275</v>
      </c>
      <c r="V570" s="51" t="s">
        <v>3470</v>
      </c>
      <c r="W570" s="19"/>
      <c r="X570" s="19"/>
      <c r="Y570" s="99">
        <v>914</v>
      </c>
    </row>
    <row r="571" spans="2:25" s="165" customFormat="1" ht="20" x14ac:dyDescent="0.2">
      <c r="B571" s="150" t="s">
        <v>1334</v>
      </c>
      <c r="C571" s="33" t="s">
        <v>106</v>
      </c>
      <c r="D571" s="33" t="s">
        <v>2876</v>
      </c>
      <c r="E571" s="175">
        <v>1</v>
      </c>
      <c r="F571" s="151" t="s">
        <v>1128</v>
      </c>
      <c r="G571" s="152">
        <v>1.73</v>
      </c>
      <c r="H571" s="152">
        <v>1.0679012345679011</v>
      </c>
      <c r="I571" s="175">
        <v>69</v>
      </c>
      <c r="J571" s="266">
        <f>_xlfn.XLOOKUP($I571,Inputs!$C$6:$C$23,Inputs!$D$6:$D$23)*$G571</f>
        <v>0.66481428571428569</v>
      </c>
      <c r="K571" s="255"/>
      <c r="L571" s="186">
        <v>450</v>
      </c>
      <c r="M571" s="186">
        <v>760</v>
      </c>
      <c r="N571" s="99">
        <f t="shared" si="128"/>
        <v>53.780177575013639</v>
      </c>
      <c r="O571" s="99">
        <f t="shared" si="129"/>
        <v>90.828744348911911</v>
      </c>
      <c r="P571" s="131">
        <v>0.9</v>
      </c>
      <c r="Q571" s="186">
        <f t="shared" ref="Q571:R575" si="131">N571*$P571</f>
        <v>48.402159817512278</v>
      </c>
      <c r="R571" s="186">
        <f t="shared" si="131"/>
        <v>81.745869914020716</v>
      </c>
      <c r="S571" s="151" t="s">
        <v>2576</v>
      </c>
      <c r="T571" s="51" t="s">
        <v>2236</v>
      </c>
      <c r="U571" s="151" t="s">
        <v>2577</v>
      </c>
      <c r="V571" s="51" t="s">
        <v>2234</v>
      </c>
      <c r="W571" s="19"/>
      <c r="X571" s="19"/>
      <c r="Y571" s="99">
        <v>913</v>
      </c>
    </row>
    <row r="572" spans="2:25" s="165" customFormat="1" ht="20" x14ac:dyDescent="0.2">
      <c r="B572" s="150" t="s">
        <v>431</v>
      </c>
      <c r="C572" s="33" t="s">
        <v>106</v>
      </c>
      <c r="D572" s="33" t="s">
        <v>2876</v>
      </c>
      <c r="E572" s="175">
        <v>1</v>
      </c>
      <c r="F572" s="151" t="s">
        <v>1128</v>
      </c>
      <c r="G572" s="152">
        <v>15</v>
      </c>
      <c r="H572" s="152">
        <v>9.2592592592592595</v>
      </c>
      <c r="I572" s="175">
        <v>138</v>
      </c>
      <c r="J572" s="266">
        <f>_xlfn.XLOOKUP($I572,Inputs!$C$6:$C$23,Inputs!$D$6:$D$23)*$G572</f>
        <v>6.503571428571429</v>
      </c>
      <c r="K572" s="255"/>
      <c r="L572" s="186">
        <v>254</v>
      </c>
      <c r="M572" s="186">
        <v>488</v>
      </c>
      <c r="N572" s="99">
        <f t="shared" si="128"/>
        <v>60.711844906904282</v>
      </c>
      <c r="O572" s="99">
        <f t="shared" si="129"/>
        <v>116.64322958491846</v>
      </c>
      <c r="P572" s="131">
        <v>0.9</v>
      </c>
      <c r="Q572" s="186">
        <f t="shared" si="131"/>
        <v>54.640660416213855</v>
      </c>
      <c r="R572" s="186">
        <f t="shared" si="131"/>
        <v>104.97890662642662</v>
      </c>
      <c r="S572" s="151" t="s">
        <v>2396</v>
      </c>
      <c r="T572" s="51" t="s">
        <v>2045</v>
      </c>
      <c r="U572" s="151" t="s">
        <v>1766</v>
      </c>
      <c r="V572" s="51" t="s">
        <v>3660</v>
      </c>
      <c r="W572" s="19"/>
      <c r="X572" s="19"/>
      <c r="Y572" s="99">
        <v>60</v>
      </c>
    </row>
    <row r="573" spans="2:25" s="165" customFormat="1" ht="20" x14ac:dyDescent="0.2">
      <c r="B573" s="150" t="s">
        <v>1221</v>
      </c>
      <c r="C573" s="33" t="s">
        <v>106</v>
      </c>
      <c r="D573" s="33" t="s">
        <v>2876</v>
      </c>
      <c r="E573" s="175">
        <v>1</v>
      </c>
      <c r="F573" s="151" t="s">
        <v>1128</v>
      </c>
      <c r="G573" s="152">
        <v>0.4</v>
      </c>
      <c r="H573" s="152">
        <v>0.24691358024691357</v>
      </c>
      <c r="I573" s="175">
        <v>69</v>
      </c>
      <c r="J573" s="266">
        <f>_xlfn.XLOOKUP($I573,Inputs!$C$6:$C$23,Inputs!$D$6:$D$23)*$G573</f>
        <v>0.15371428571428572</v>
      </c>
      <c r="K573" s="255"/>
      <c r="L573" s="186">
        <v>440</v>
      </c>
      <c r="M573" s="186">
        <v>555</v>
      </c>
      <c r="N573" s="99">
        <f t="shared" si="128"/>
        <v>52.585062517791116</v>
      </c>
      <c r="O573" s="99">
        <f t="shared" si="129"/>
        <v>66.328885675850145</v>
      </c>
      <c r="P573" s="131">
        <v>0.9</v>
      </c>
      <c r="Q573" s="186">
        <f t="shared" si="131"/>
        <v>47.326556266012005</v>
      </c>
      <c r="R573" s="186">
        <f t="shared" si="131"/>
        <v>59.695997108265132</v>
      </c>
      <c r="S573" s="151" t="s">
        <v>1770</v>
      </c>
      <c r="T573" s="51" t="s">
        <v>3656</v>
      </c>
      <c r="U573" s="151" t="s">
        <v>1767</v>
      </c>
      <c r="V573" s="51" t="s">
        <v>3657</v>
      </c>
      <c r="W573" s="19"/>
      <c r="X573" s="19"/>
      <c r="Y573" s="99">
        <v>701</v>
      </c>
    </row>
    <row r="574" spans="2:25" s="165" customFormat="1" ht="20" x14ac:dyDescent="0.2">
      <c r="B574" s="150" t="s">
        <v>2362</v>
      </c>
      <c r="C574" s="33" t="s">
        <v>106</v>
      </c>
      <c r="D574" s="33" t="s">
        <v>2876</v>
      </c>
      <c r="E574" s="175">
        <v>1</v>
      </c>
      <c r="F574" s="151" t="s">
        <v>1128</v>
      </c>
      <c r="G574" s="152">
        <v>8</v>
      </c>
      <c r="H574" s="152">
        <v>4.9382716049382713</v>
      </c>
      <c r="I574" s="175">
        <v>138</v>
      </c>
      <c r="J574" s="266">
        <f>_xlfn.XLOOKUP($I574,Inputs!$C$6:$C$23,Inputs!$D$6:$D$23)*$G574</f>
        <v>3.4685714285714289</v>
      </c>
      <c r="K574" s="255"/>
      <c r="L574" s="186">
        <v>430</v>
      </c>
      <c r="M574" s="186">
        <v>545</v>
      </c>
      <c r="N574" s="99">
        <f t="shared" si="128"/>
        <v>102.77989492113718</v>
      </c>
      <c r="O574" s="99">
        <f t="shared" si="129"/>
        <v>130.26754123725524</v>
      </c>
      <c r="P574" s="131">
        <v>0.9</v>
      </c>
      <c r="Q574" s="186">
        <f t="shared" si="131"/>
        <v>92.501905429023466</v>
      </c>
      <c r="R574" s="186">
        <f t="shared" si="131"/>
        <v>117.24078711352972</v>
      </c>
      <c r="S574" s="151" t="s">
        <v>3564</v>
      </c>
      <c r="T574" s="51" t="s">
        <v>3567</v>
      </c>
      <c r="U574" s="151" t="s">
        <v>2363</v>
      </c>
      <c r="V574" s="51" t="s">
        <v>3140</v>
      </c>
      <c r="W574" s="19"/>
      <c r="X574" s="19"/>
      <c r="Y574" s="99">
        <v>339</v>
      </c>
    </row>
    <row r="575" spans="2:25" s="165" customFormat="1" ht="20" x14ac:dyDescent="0.2">
      <c r="B575" s="150" t="s">
        <v>510</v>
      </c>
      <c r="C575" s="33" t="s">
        <v>106</v>
      </c>
      <c r="D575" s="33" t="s">
        <v>2876</v>
      </c>
      <c r="E575" s="175">
        <v>1</v>
      </c>
      <c r="F575" s="151" t="s">
        <v>1128</v>
      </c>
      <c r="G575" s="152">
        <v>37.33</v>
      </c>
      <c r="H575" s="152">
        <v>23.043209876543209</v>
      </c>
      <c r="I575" s="175">
        <v>138</v>
      </c>
      <c r="J575" s="266">
        <f>_xlfn.XLOOKUP($I575,Inputs!$C$6:$C$23,Inputs!$D$6:$D$23)*$G575</f>
        <v>16.185221428571428</v>
      </c>
      <c r="K575" s="255"/>
      <c r="L575" s="186">
        <v>430</v>
      </c>
      <c r="M575" s="186">
        <v>545</v>
      </c>
      <c r="N575" s="99">
        <f t="shared" si="128"/>
        <v>102.77989492113718</v>
      </c>
      <c r="O575" s="99">
        <f t="shared" si="129"/>
        <v>130.26754123725524</v>
      </c>
      <c r="P575" s="131">
        <v>0.9</v>
      </c>
      <c r="Q575" s="186">
        <f t="shared" si="131"/>
        <v>92.501905429023466</v>
      </c>
      <c r="R575" s="186">
        <f t="shared" si="131"/>
        <v>117.24078711352972</v>
      </c>
      <c r="S575" s="151" t="s">
        <v>2465</v>
      </c>
      <c r="T575" s="51" t="s">
        <v>2117</v>
      </c>
      <c r="U575" s="151" t="s">
        <v>1768</v>
      </c>
      <c r="V575" s="51" t="s">
        <v>3285</v>
      </c>
      <c r="W575" s="19"/>
      <c r="X575" s="19"/>
      <c r="Y575" s="99">
        <v>319</v>
      </c>
    </row>
    <row r="576" spans="2:25" s="165" customFormat="1" ht="20" x14ac:dyDescent="0.2">
      <c r="B576" s="150" t="s">
        <v>1191</v>
      </c>
      <c r="C576" s="33" t="s">
        <v>106</v>
      </c>
      <c r="D576" s="33" t="s">
        <v>2876</v>
      </c>
      <c r="E576" s="175">
        <v>1</v>
      </c>
      <c r="F576" s="151" t="s">
        <v>1128</v>
      </c>
      <c r="G576" s="152">
        <v>4.0091399999999999E-2</v>
      </c>
      <c r="H576" s="152">
        <v>2.4747777777777775E-2</v>
      </c>
      <c r="I576" s="175">
        <v>69</v>
      </c>
      <c r="J576" s="266">
        <f>_xlfn.XLOOKUP($I576,Inputs!$C$6:$C$23,Inputs!$D$6:$D$23)*$G576</f>
        <v>1.5406552285714286E-2</v>
      </c>
      <c r="K576" s="267">
        <f>IF((42.4*(H576)^(-0.6595))&gt;=3,3,(IF(42.4*(H576)^(-0.6595)&lt;=0.5,0.5,(42.4*(H576)^(-0.6595)))))</f>
        <v>3</v>
      </c>
      <c r="L576" s="99"/>
      <c r="M576" s="99"/>
      <c r="N576" s="99">
        <f t="shared" si="128"/>
        <v>0</v>
      </c>
      <c r="O576" s="99">
        <f t="shared" si="129"/>
        <v>0</v>
      </c>
      <c r="P576" s="131">
        <v>0.9</v>
      </c>
      <c r="Q576" s="305">
        <f>_xlfn.XLOOKUP($I576,Inputs!$G$6:$G$23,Inputs!J$6:J$23)*$K576</f>
        <v>36</v>
      </c>
      <c r="R576" s="305">
        <f>_xlfn.XLOOKUP($I576,Inputs!$G$6:$G$23,Inputs!K$6:K$23)*$K576</f>
        <v>39</v>
      </c>
      <c r="S576" s="151" t="s">
        <v>2504</v>
      </c>
      <c r="T576" s="51" t="s">
        <v>2164</v>
      </c>
      <c r="U576" s="151" t="s">
        <v>1769</v>
      </c>
      <c r="V576" s="51" t="s">
        <v>3473</v>
      </c>
      <c r="W576" s="19"/>
      <c r="X576" s="19"/>
      <c r="Y576" s="99">
        <v>654</v>
      </c>
    </row>
    <row r="577" spans="2:25" s="165" customFormat="1" ht="20" x14ac:dyDescent="0.2">
      <c r="B577" s="150" t="s">
        <v>1193</v>
      </c>
      <c r="C577" s="33" t="s">
        <v>106</v>
      </c>
      <c r="D577" s="33" t="s">
        <v>2876</v>
      </c>
      <c r="E577" s="175">
        <v>1</v>
      </c>
      <c r="F577" s="151" t="s">
        <v>1128</v>
      </c>
      <c r="G577" s="152">
        <v>9.9246000000000004E-3</v>
      </c>
      <c r="H577" s="152">
        <v>6.1262962962962964E-3</v>
      </c>
      <c r="I577" s="175">
        <v>69</v>
      </c>
      <c r="J577" s="266">
        <f>_xlfn.XLOOKUP($I577,Inputs!$C$6:$C$23,Inputs!$D$6:$D$23)*$G577</f>
        <v>3.8138820000000002E-3</v>
      </c>
      <c r="K577" s="267">
        <f>IF((42.4*(H577)^(-0.6595))&gt;=3,3,(IF(42.4*(H577)^(-0.6595)&lt;=0.5,0.5,(42.4*(H577)^(-0.6595)))))</f>
        <v>3</v>
      </c>
      <c r="L577" s="99"/>
      <c r="M577" s="99"/>
      <c r="N577" s="99">
        <f t="shared" si="128"/>
        <v>0</v>
      </c>
      <c r="O577" s="99">
        <f t="shared" si="129"/>
        <v>0</v>
      </c>
      <c r="P577" s="131">
        <v>0.9</v>
      </c>
      <c r="Q577" s="305">
        <f>_xlfn.XLOOKUP($I577,Inputs!$G$6:$G$23,Inputs!J$6:J$23)*$K577</f>
        <v>36</v>
      </c>
      <c r="R577" s="305">
        <f>_xlfn.XLOOKUP($I577,Inputs!$G$6:$G$23,Inputs!K$6:K$23)*$K577</f>
        <v>39</v>
      </c>
      <c r="S577" s="151" t="s">
        <v>2504</v>
      </c>
      <c r="T577" s="51" t="s">
        <v>2164</v>
      </c>
      <c r="U577" s="151" t="s">
        <v>1769</v>
      </c>
      <c r="V577" s="51" t="s">
        <v>3473</v>
      </c>
      <c r="W577" s="19"/>
      <c r="X577" s="19"/>
      <c r="Y577" s="99">
        <v>659</v>
      </c>
    </row>
    <row r="578" spans="2:25" s="165" customFormat="1" ht="20" x14ac:dyDescent="0.2">
      <c r="B578" s="150" t="s">
        <v>1189</v>
      </c>
      <c r="C578" s="33" t="s">
        <v>106</v>
      </c>
      <c r="D578" s="33" t="s">
        <v>2876</v>
      </c>
      <c r="E578" s="175">
        <v>1</v>
      </c>
      <c r="F578" s="151" t="s">
        <v>1128</v>
      </c>
      <c r="G578" s="152">
        <v>4.04</v>
      </c>
      <c r="H578" s="152">
        <v>2.4938271604938271</v>
      </c>
      <c r="I578" s="175">
        <v>69</v>
      </c>
      <c r="J578" s="266">
        <f>_xlfn.XLOOKUP($I578,Inputs!$C$6:$C$23,Inputs!$D$6:$D$23)*$G578</f>
        <v>1.5525142857142857</v>
      </c>
      <c r="K578" s="255"/>
      <c r="L578" s="186">
        <v>750</v>
      </c>
      <c r="M578" s="186">
        <v>965</v>
      </c>
      <c r="N578" s="99">
        <f t="shared" si="128"/>
        <v>89.633629291689402</v>
      </c>
      <c r="O578" s="99">
        <f t="shared" si="129"/>
        <v>115.32860302197369</v>
      </c>
      <c r="P578" s="131">
        <v>0.9</v>
      </c>
      <c r="Q578" s="186">
        <f t="shared" ref="Q578:R580" si="132">N578*$P578</f>
        <v>80.670266362520465</v>
      </c>
      <c r="R578" s="186">
        <f t="shared" si="132"/>
        <v>103.79574271977633</v>
      </c>
      <c r="S578" s="151" t="s">
        <v>1717</v>
      </c>
      <c r="T578" s="51" t="s">
        <v>3265</v>
      </c>
      <c r="U578" s="151" t="s">
        <v>2504</v>
      </c>
      <c r="V578" s="51" t="s">
        <v>2164</v>
      </c>
      <c r="W578" s="19"/>
      <c r="X578" s="19"/>
      <c r="Y578" s="99">
        <v>653</v>
      </c>
    </row>
    <row r="579" spans="2:25" s="165" customFormat="1" ht="20" x14ac:dyDescent="0.2">
      <c r="B579" s="150" t="s">
        <v>1192</v>
      </c>
      <c r="C579" s="33" t="s">
        <v>106</v>
      </c>
      <c r="D579" s="33" t="s">
        <v>2876</v>
      </c>
      <c r="E579" s="175">
        <v>1</v>
      </c>
      <c r="F579" s="151" t="s">
        <v>1128</v>
      </c>
      <c r="G579" s="152">
        <v>4.01</v>
      </c>
      <c r="H579" s="152">
        <v>2.4753086419753085</v>
      </c>
      <c r="I579" s="175">
        <v>69</v>
      </c>
      <c r="J579" s="266">
        <f>_xlfn.XLOOKUP($I579,Inputs!$C$6:$C$23,Inputs!$D$6:$D$23)*$G579</f>
        <v>1.5409857142857142</v>
      </c>
      <c r="K579" s="255"/>
      <c r="L579" s="186">
        <v>750</v>
      </c>
      <c r="M579" s="186">
        <v>965</v>
      </c>
      <c r="N579" s="99">
        <f t="shared" si="128"/>
        <v>89.633629291689402</v>
      </c>
      <c r="O579" s="99">
        <f t="shared" si="129"/>
        <v>115.32860302197369</v>
      </c>
      <c r="P579" s="131">
        <v>0.9</v>
      </c>
      <c r="Q579" s="186">
        <f t="shared" si="132"/>
        <v>80.670266362520465</v>
      </c>
      <c r="R579" s="186">
        <f t="shared" si="132"/>
        <v>103.79574271977633</v>
      </c>
      <c r="S579" s="151" t="s">
        <v>1717</v>
      </c>
      <c r="T579" s="51" t="s">
        <v>3265</v>
      </c>
      <c r="U579" s="151" t="s">
        <v>2504</v>
      </c>
      <c r="V579" s="51" t="s">
        <v>2164</v>
      </c>
      <c r="W579" s="19"/>
      <c r="X579" s="19"/>
      <c r="Y579" s="99">
        <v>658</v>
      </c>
    </row>
    <row r="580" spans="2:25" s="165" customFormat="1" ht="20" x14ac:dyDescent="0.2">
      <c r="B580" s="150" t="s">
        <v>1221</v>
      </c>
      <c r="C580" s="33" t="s">
        <v>106</v>
      </c>
      <c r="D580" s="33" t="s">
        <v>2876</v>
      </c>
      <c r="E580" s="175">
        <v>1</v>
      </c>
      <c r="F580" s="151" t="s">
        <v>1128</v>
      </c>
      <c r="G580" s="152">
        <v>0.4</v>
      </c>
      <c r="H580" s="152">
        <v>0.24691358024691357</v>
      </c>
      <c r="I580" s="175">
        <v>69</v>
      </c>
      <c r="J580" s="266">
        <f>_xlfn.XLOOKUP($I580,Inputs!$C$6:$C$23,Inputs!$D$6:$D$23)*$G580</f>
        <v>0.15371428571428572</v>
      </c>
      <c r="K580" s="255"/>
      <c r="L580" s="186">
        <v>440</v>
      </c>
      <c r="M580" s="186">
        <v>555</v>
      </c>
      <c r="N580" s="99">
        <f t="shared" si="128"/>
        <v>52.585062517791116</v>
      </c>
      <c r="O580" s="99">
        <f t="shared" si="129"/>
        <v>66.328885675850145</v>
      </c>
      <c r="P580" s="131">
        <v>0.9</v>
      </c>
      <c r="Q580" s="186">
        <f t="shared" si="132"/>
        <v>47.326556266012005</v>
      </c>
      <c r="R580" s="186">
        <f t="shared" si="132"/>
        <v>59.695997108265132</v>
      </c>
      <c r="S580" s="151" t="s">
        <v>1583</v>
      </c>
      <c r="T580" s="51" t="s">
        <v>3217</v>
      </c>
      <c r="U580" s="151" t="s">
        <v>1770</v>
      </c>
      <c r="V580" s="51" t="s">
        <v>3656</v>
      </c>
      <c r="W580" s="19"/>
      <c r="X580" s="19"/>
      <c r="Y580" s="99">
        <v>700</v>
      </c>
    </row>
    <row r="581" spans="2:25" s="165" customFormat="1" ht="20" x14ac:dyDescent="0.2">
      <c r="B581" s="151" t="s">
        <v>1493</v>
      </c>
      <c r="C581" s="33" t="s">
        <v>106</v>
      </c>
      <c r="D581" s="33" t="s">
        <v>2876</v>
      </c>
      <c r="E581" s="175">
        <v>1</v>
      </c>
      <c r="F581" s="151" t="s">
        <v>1128</v>
      </c>
      <c r="G581" s="174">
        <v>5.67181E-2</v>
      </c>
      <c r="H581" s="152">
        <v>3.5011172839506173E-2</v>
      </c>
      <c r="I581" s="175">
        <v>138</v>
      </c>
      <c r="J581" s="266">
        <f>_xlfn.XLOOKUP($I581,Inputs!$C$6:$C$23,Inputs!$D$6:$D$23)*$G581</f>
        <v>2.4591347642857146E-2</v>
      </c>
      <c r="K581" s="267">
        <f>IF((42.4*(H581)^(-0.6595))&gt;=3,3,(IF(42.4*(H581)^(-0.6595)&lt;=0.5,0.5,(42.4*(H581)^(-0.6595)))))</f>
        <v>3</v>
      </c>
      <c r="L581" s="99"/>
      <c r="M581" s="99"/>
      <c r="N581" s="99">
        <f t="shared" si="128"/>
        <v>0</v>
      </c>
      <c r="O581" s="99">
        <f t="shared" si="129"/>
        <v>0</v>
      </c>
      <c r="P581" s="131">
        <v>0.9</v>
      </c>
      <c r="Q581" s="305">
        <f>_xlfn.XLOOKUP($I581,Inputs!$G$6:$G$23,Inputs!J$6:J$23)*$K581</f>
        <v>141</v>
      </c>
      <c r="R581" s="305">
        <f>_xlfn.XLOOKUP($I581,Inputs!$G$6:$G$23,Inputs!K$6:K$23)*$K581</f>
        <v>156</v>
      </c>
      <c r="S581" s="184" t="s">
        <v>2407</v>
      </c>
      <c r="T581" s="51" t="s">
        <v>2055</v>
      </c>
      <c r="U581" s="151" t="s">
        <v>1771</v>
      </c>
      <c r="V581" s="51" t="s">
        <v>3474</v>
      </c>
      <c r="W581" s="19"/>
      <c r="X581" s="19"/>
      <c r="Y581" s="99">
        <v>98</v>
      </c>
    </row>
    <row r="582" spans="2:25" s="165" customFormat="1" ht="20" x14ac:dyDescent="0.2">
      <c r="B582" s="151" t="s">
        <v>1494</v>
      </c>
      <c r="C582" s="33" t="s">
        <v>106</v>
      </c>
      <c r="D582" s="33" t="s">
        <v>2876</v>
      </c>
      <c r="E582" s="175">
        <v>1</v>
      </c>
      <c r="F582" s="151" t="s">
        <v>1128</v>
      </c>
      <c r="G582" s="174">
        <v>5.67181E-2</v>
      </c>
      <c r="H582" s="152">
        <v>3.5011172839506173E-2</v>
      </c>
      <c r="I582" s="175">
        <v>138</v>
      </c>
      <c r="J582" s="266">
        <f>_xlfn.XLOOKUP($I582,Inputs!$C$6:$C$23,Inputs!$D$6:$D$23)*$G582</f>
        <v>2.4591347642857146E-2</v>
      </c>
      <c r="K582" s="267">
        <f>IF((42.4*(H582)^(-0.6595))&gt;=3,3,(IF(42.4*(H582)^(-0.6595)&lt;=0.5,0.5,(42.4*(H582)^(-0.6595)))))</f>
        <v>3</v>
      </c>
      <c r="L582" s="99"/>
      <c r="M582" s="99"/>
      <c r="N582" s="99">
        <f t="shared" si="128"/>
        <v>0</v>
      </c>
      <c r="O582" s="99">
        <f t="shared" si="129"/>
        <v>0</v>
      </c>
      <c r="P582" s="131">
        <v>0.9</v>
      </c>
      <c r="Q582" s="305">
        <f>_xlfn.XLOOKUP($I582,Inputs!$G$6:$G$23,Inputs!J$6:J$23)*$K582</f>
        <v>141</v>
      </c>
      <c r="R582" s="305">
        <f>_xlfn.XLOOKUP($I582,Inputs!$G$6:$G$23,Inputs!K$6:K$23)*$K582</f>
        <v>156</v>
      </c>
      <c r="S582" s="184" t="s">
        <v>2407</v>
      </c>
      <c r="T582" s="51" t="s">
        <v>2055</v>
      </c>
      <c r="U582" s="151" t="s">
        <v>1771</v>
      </c>
      <c r="V582" s="51" t="s">
        <v>3474</v>
      </c>
      <c r="W582" s="19"/>
      <c r="X582" s="19"/>
      <c r="Y582" s="99">
        <v>105</v>
      </c>
    </row>
    <row r="583" spans="2:25" s="165" customFormat="1" ht="20" x14ac:dyDescent="0.2">
      <c r="B583" s="150" t="s">
        <v>443</v>
      </c>
      <c r="C583" s="33" t="s">
        <v>106</v>
      </c>
      <c r="D583" s="33" t="s">
        <v>2876</v>
      </c>
      <c r="E583" s="175">
        <v>1</v>
      </c>
      <c r="F583" s="151" t="s">
        <v>1128</v>
      </c>
      <c r="G583" s="152">
        <v>20</v>
      </c>
      <c r="H583" s="152">
        <v>12.345679012345679</v>
      </c>
      <c r="I583" s="175">
        <v>138</v>
      </c>
      <c r="J583" s="266">
        <f>_xlfn.XLOOKUP($I583,Inputs!$C$6:$C$23,Inputs!$D$6:$D$23)*$G583</f>
        <v>8.6714285714285726</v>
      </c>
      <c r="K583" s="255"/>
      <c r="L583" s="186">
        <v>635</v>
      </c>
      <c r="M583" s="186">
        <v>810</v>
      </c>
      <c r="N583" s="99">
        <f t="shared" si="128"/>
        <v>151.77961226726069</v>
      </c>
      <c r="O583" s="99">
        <f t="shared" si="129"/>
        <v>193.60863927004908</v>
      </c>
      <c r="P583" s="131">
        <v>0.9</v>
      </c>
      <c r="Q583" s="186">
        <f t="shared" ref="Q583:Q594" si="133">N583*$P583</f>
        <v>136.60165104053462</v>
      </c>
      <c r="R583" s="186">
        <f t="shared" ref="R583:R594" si="134">O583*$P583</f>
        <v>174.24777534304417</v>
      </c>
      <c r="S583" s="184" t="s">
        <v>2406</v>
      </c>
      <c r="T583" s="51" t="s">
        <v>2056</v>
      </c>
      <c r="U583" s="184" t="s">
        <v>2407</v>
      </c>
      <c r="V583" s="51" t="s">
        <v>2055</v>
      </c>
      <c r="W583" s="19"/>
      <c r="X583" s="19"/>
      <c r="Y583" s="99">
        <v>97</v>
      </c>
    </row>
    <row r="584" spans="2:25" s="165" customFormat="1" ht="20" x14ac:dyDescent="0.2">
      <c r="B584" s="150" t="s">
        <v>444</v>
      </c>
      <c r="C584" s="33" t="s">
        <v>106</v>
      </c>
      <c r="D584" s="33" t="s">
        <v>2876</v>
      </c>
      <c r="E584" s="175">
        <v>1</v>
      </c>
      <c r="F584" s="151" t="s">
        <v>1128</v>
      </c>
      <c r="G584" s="152">
        <v>20</v>
      </c>
      <c r="H584" s="152">
        <v>12.345679012345679</v>
      </c>
      <c r="I584" s="175">
        <v>138</v>
      </c>
      <c r="J584" s="266">
        <f>_xlfn.XLOOKUP($I584,Inputs!$C$6:$C$23,Inputs!$D$6:$D$23)*$G584</f>
        <v>8.6714285714285726</v>
      </c>
      <c r="K584" s="255"/>
      <c r="L584" s="186">
        <v>635</v>
      </c>
      <c r="M584" s="186">
        <v>810</v>
      </c>
      <c r="N584" s="99">
        <f t="shared" si="128"/>
        <v>151.77961226726069</v>
      </c>
      <c r="O584" s="99">
        <f t="shared" si="129"/>
        <v>193.60863927004908</v>
      </c>
      <c r="P584" s="131">
        <v>0.9</v>
      </c>
      <c r="Q584" s="186">
        <f t="shared" si="133"/>
        <v>136.60165104053462</v>
      </c>
      <c r="R584" s="186">
        <f t="shared" si="134"/>
        <v>174.24777534304417</v>
      </c>
      <c r="S584" s="184" t="s">
        <v>2406</v>
      </c>
      <c r="T584" s="51" t="s">
        <v>2056</v>
      </c>
      <c r="U584" s="184" t="s">
        <v>2407</v>
      </c>
      <c r="V584" s="51" t="s">
        <v>2055</v>
      </c>
      <c r="W584" s="19"/>
      <c r="X584" s="19"/>
      <c r="Y584" s="99">
        <v>104</v>
      </c>
    </row>
    <row r="585" spans="2:25" s="165" customFormat="1" ht="20" x14ac:dyDescent="0.2">
      <c r="B585" s="150" t="s">
        <v>1425</v>
      </c>
      <c r="C585" s="33" t="s">
        <v>106</v>
      </c>
      <c r="D585" s="33" t="s">
        <v>2876</v>
      </c>
      <c r="E585" s="175">
        <v>1</v>
      </c>
      <c r="F585" s="151" t="s">
        <v>1128</v>
      </c>
      <c r="G585" s="152">
        <v>3.2005499999999999E-2</v>
      </c>
      <c r="H585" s="152">
        <v>1.9756481481481479E-2</v>
      </c>
      <c r="I585" s="175">
        <v>138</v>
      </c>
      <c r="J585" s="266">
        <f>_xlfn.XLOOKUP($I585,Inputs!$C$6:$C$23,Inputs!$D$6:$D$23)*$G585</f>
        <v>1.3876670357142858E-2</v>
      </c>
      <c r="K585" s="255"/>
      <c r="L585" s="186">
        <v>411</v>
      </c>
      <c r="M585" s="186">
        <v>625</v>
      </c>
      <c r="N585" s="99">
        <f t="shared" si="128"/>
        <v>98.238457703691566</v>
      </c>
      <c r="O585" s="99">
        <f t="shared" si="129"/>
        <v>149.38938215281567</v>
      </c>
      <c r="P585" s="131">
        <v>0.9</v>
      </c>
      <c r="Q585" s="186">
        <f t="shared" si="133"/>
        <v>88.414611933322405</v>
      </c>
      <c r="R585" s="186">
        <f t="shared" si="134"/>
        <v>134.45044393753412</v>
      </c>
      <c r="S585" s="151" t="s">
        <v>2416</v>
      </c>
      <c r="T585" s="51" t="s">
        <v>2067</v>
      </c>
      <c r="U585" s="151" t="s">
        <v>1772</v>
      </c>
      <c r="V585" s="51" t="s">
        <v>3661</v>
      </c>
      <c r="W585" s="19"/>
      <c r="X585" s="19"/>
      <c r="Y585" s="99">
        <v>164</v>
      </c>
    </row>
    <row r="586" spans="2:25" s="165" customFormat="1" ht="20" x14ac:dyDescent="0.2">
      <c r="B586" s="150" t="s">
        <v>1427</v>
      </c>
      <c r="C586" s="33" t="s">
        <v>106</v>
      </c>
      <c r="D586" s="33" t="s">
        <v>2876</v>
      </c>
      <c r="E586" s="175">
        <v>1</v>
      </c>
      <c r="F586" s="151" t="s">
        <v>1128</v>
      </c>
      <c r="G586" s="152">
        <v>4.5247900000000001E-2</v>
      </c>
      <c r="H586" s="152">
        <v>2.7930802469135801E-2</v>
      </c>
      <c r="I586" s="175">
        <v>138</v>
      </c>
      <c r="J586" s="266">
        <f>_xlfn.XLOOKUP($I586,Inputs!$C$6:$C$23,Inputs!$D$6:$D$23)*$G586</f>
        <v>1.9618196642857143E-2</v>
      </c>
      <c r="K586" s="255"/>
      <c r="L586" s="186">
        <v>411</v>
      </c>
      <c r="M586" s="186">
        <v>625</v>
      </c>
      <c r="N586" s="99">
        <f t="shared" si="128"/>
        <v>98.238457703691566</v>
      </c>
      <c r="O586" s="99">
        <f t="shared" si="129"/>
        <v>149.38938215281567</v>
      </c>
      <c r="P586" s="131">
        <v>0.9</v>
      </c>
      <c r="Q586" s="186">
        <f t="shared" si="133"/>
        <v>88.414611933322405</v>
      </c>
      <c r="R586" s="186">
        <f t="shared" si="134"/>
        <v>134.45044393753412</v>
      </c>
      <c r="S586" s="151" t="s">
        <v>2416</v>
      </c>
      <c r="T586" s="51" t="s">
        <v>2067</v>
      </c>
      <c r="U586" s="151" t="s">
        <v>1772</v>
      </c>
      <c r="V586" s="51" t="s">
        <v>3661</v>
      </c>
      <c r="W586" s="19"/>
      <c r="X586" s="19"/>
      <c r="Y586" s="99">
        <v>169</v>
      </c>
    </row>
    <row r="587" spans="2:25" s="165" customFormat="1" ht="20" x14ac:dyDescent="0.2">
      <c r="B587" s="150" t="s">
        <v>468</v>
      </c>
      <c r="C587" s="33" t="s">
        <v>106</v>
      </c>
      <c r="D587" s="33" t="s">
        <v>2876</v>
      </c>
      <c r="E587" s="175">
        <v>1</v>
      </c>
      <c r="F587" s="151" t="s">
        <v>1128</v>
      </c>
      <c r="G587" s="152">
        <v>85</v>
      </c>
      <c r="H587" s="152">
        <v>52.469135802469133</v>
      </c>
      <c r="I587" s="175">
        <v>138</v>
      </c>
      <c r="J587" s="266">
        <f>_xlfn.XLOOKUP($I587,Inputs!$C$6:$C$23,Inputs!$D$6:$D$23)*$G587</f>
        <v>36.853571428571435</v>
      </c>
      <c r="K587" s="255"/>
      <c r="L587" s="186">
        <v>411</v>
      </c>
      <c r="M587" s="186">
        <v>625</v>
      </c>
      <c r="N587" s="99">
        <f t="shared" si="128"/>
        <v>98.238457703691566</v>
      </c>
      <c r="O587" s="99">
        <f t="shared" si="129"/>
        <v>149.38938215281567</v>
      </c>
      <c r="P587" s="131">
        <v>0.9</v>
      </c>
      <c r="Q587" s="186">
        <f t="shared" si="133"/>
        <v>88.414611933322405</v>
      </c>
      <c r="R587" s="186">
        <f t="shared" si="134"/>
        <v>134.45044393753412</v>
      </c>
      <c r="S587" s="151" t="s">
        <v>1791</v>
      </c>
      <c r="T587" s="51" t="s">
        <v>3293</v>
      </c>
      <c r="U587" s="151" t="s">
        <v>2416</v>
      </c>
      <c r="V587" s="51" t="s">
        <v>2067</v>
      </c>
      <c r="W587" s="19"/>
      <c r="X587" s="19"/>
      <c r="Y587" s="99">
        <v>163</v>
      </c>
    </row>
    <row r="588" spans="2:25" s="165" customFormat="1" ht="20" x14ac:dyDescent="0.2">
      <c r="B588" s="150" t="s">
        <v>469</v>
      </c>
      <c r="C588" s="33" t="s">
        <v>106</v>
      </c>
      <c r="D588" s="33" t="s">
        <v>2876</v>
      </c>
      <c r="E588" s="175">
        <v>1</v>
      </c>
      <c r="F588" s="151" t="s">
        <v>1128</v>
      </c>
      <c r="G588" s="152">
        <v>85</v>
      </c>
      <c r="H588" s="152">
        <v>52.469135802469133</v>
      </c>
      <c r="I588" s="175">
        <v>138</v>
      </c>
      <c r="J588" s="266">
        <f>_xlfn.XLOOKUP($I588,Inputs!$C$6:$C$23,Inputs!$D$6:$D$23)*$G588</f>
        <v>36.853571428571435</v>
      </c>
      <c r="K588" s="255"/>
      <c r="L588" s="186">
        <v>411</v>
      </c>
      <c r="M588" s="186">
        <v>625</v>
      </c>
      <c r="N588" s="99">
        <f t="shared" si="128"/>
        <v>98.238457703691566</v>
      </c>
      <c r="O588" s="99">
        <f t="shared" si="129"/>
        <v>149.38938215281567</v>
      </c>
      <c r="P588" s="131">
        <v>0.9</v>
      </c>
      <c r="Q588" s="186">
        <f t="shared" si="133"/>
        <v>88.414611933322405</v>
      </c>
      <c r="R588" s="186">
        <f t="shared" si="134"/>
        <v>134.45044393753412</v>
      </c>
      <c r="S588" s="151" t="s">
        <v>1791</v>
      </c>
      <c r="T588" s="51" t="s">
        <v>3293</v>
      </c>
      <c r="U588" s="151" t="s">
        <v>2416</v>
      </c>
      <c r="V588" s="51" t="s">
        <v>2067</v>
      </c>
      <c r="W588" s="19"/>
      <c r="X588" s="19"/>
      <c r="Y588" s="99">
        <v>168</v>
      </c>
    </row>
    <row r="589" spans="2:25" s="165" customFormat="1" ht="20" x14ac:dyDescent="0.2">
      <c r="B589" s="150" t="s">
        <v>527</v>
      </c>
      <c r="C589" s="33" t="s">
        <v>106</v>
      </c>
      <c r="D589" s="33" t="s">
        <v>2876</v>
      </c>
      <c r="E589" s="175">
        <v>1</v>
      </c>
      <c r="F589" s="151" t="s">
        <v>1128</v>
      </c>
      <c r="G589" s="152">
        <v>60.365746800000004</v>
      </c>
      <c r="H589" s="152">
        <v>37.26280666666667</v>
      </c>
      <c r="I589" s="175">
        <v>230</v>
      </c>
      <c r="J589" s="266">
        <f>_xlfn.XLOOKUP($I589,Inputs!$C$6:$C$23,Inputs!$D$6:$D$23)*$G589</f>
        <v>28.975558464000002</v>
      </c>
      <c r="K589" s="255"/>
      <c r="L589" s="186">
        <v>980</v>
      </c>
      <c r="M589" s="186">
        <v>1193</v>
      </c>
      <c r="N589" s="99">
        <f t="shared" si="128"/>
        <v>390.40425202602489</v>
      </c>
      <c r="O589" s="99">
        <f t="shared" si="129"/>
        <v>475.25742108882429</v>
      </c>
      <c r="P589" s="131">
        <v>0.9</v>
      </c>
      <c r="Q589" s="186">
        <f t="shared" si="133"/>
        <v>351.36382682342241</v>
      </c>
      <c r="R589" s="186">
        <f t="shared" si="134"/>
        <v>427.73167897994188</v>
      </c>
      <c r="S589" s="151" t="s">
        <v>1617</v>
      </c>
      <c r="T589" s="51" t="s">
        <v>3189</v>
      </c>
      <c r="U589" s="151" t="s">
        <v>1773</v>
      </c>
      <c r="V589" s="51" t="s">
        <v>3286</v>
      </c>
      <c r="W589" s="19"/>
      <c r="X589" s="19"/>
      <c r="Y589" s="99">
        <v>359</v>
      </c>
    </row>
    <row r="590" spans="2:25" s="165" customFormat="1" ht="20" x14ac:dyDescent="0.2">
      <c r="B590" s="151" t="s">
        <v>1524</v>
      </c>
      <c r="C590" s="33" t="s">
        <v>106</v>
      </c>
      <c r="D590" s="33" t="s">
        <v>2876</v>
      </c>
      <c r="E590" s="175">
        <v>1</v>
      </c>
      <c r="F590" s="151" t="s">
        <v>1128</v>
      </c>
      <c r="G590" s="174">
        <v>1</v>
      </c>
      <c r="H590" s="152">
        <v>0.61728395061728392</v>
      </c>
      <c r="I590" s="175">
        <v>69</v>
      </c>
      <c r="J590" s="266">
        <f>_xlfn.XLOOKUP($I590,Inputs!$C$6:$C$23,Inputs!$D$6:$D$23)*$G590</f>
        <v>0.38428571428571429</v>
      </c>
      <c r="K590" s="255"/>
      <c r="L590" s="186">
        <v>433</v>
      </c>
      <c r="M590" s="186">
        <v>744</v>
      </c>
      <c r="N590" s="99">
        <f t="shared" si="128"/>
        <v>51.748481977735345</v>
      </c>
      <c r="O590" s="99">
        <f t="shared" si="129"/>
        <v>88.916560257355883</v>
      </c>
      <c r="P590" s="131">
        <v>0.9</v>
      </c>
      <c r="Q590" s="186">
        <f t="shared" si="133"/>
        <v>46.57363377996181</v>
      </c>
      <c r="R590" s="186">
        <f t="shared" si="134"/>
        <v>80.024904231620297</v>
      </c>
      <c r="S590" s="151" t="s">
        <v>2521</v>
      </c>
      <c r="T590" s="51" t="s">
        <v>2180</v>
      </c>
      <c r="U590" s="151" t="s">
        <v>1775</v>
      </c>
      <c r="V590" s="51" t="s">
        <v>3142</v>
      </c>
      <c r="W590" s="19"/>
      <c r="X590" s="19"/>
      <c r="Y590" s="99">
        <v>753</v>
      </c>
    </row>
    <row r="591" spans="2:25" s="165" customFormat="1" ht="20" x14ac:dyDescent="0.2">
      <c r="B591" s="150" t="s">
        <v>1236</v>
      </c>
      <c r="C591" s="33" t="s">
        <v>106</v>
      </c>
      <c r="D591" s="33" t="s">
        <v>2876</v>
      </c>
      <c r="E591" s="175">
        <v>1</v>
      </c>
      <c r="F591" s="151" t="s">
        <v>1128</v>
      </c>
      <c r="G591" s="152">
        <v>6.49</v>
      </c>
      <c r="H591" s="152">
        <v>4.0061728395061724</v>
      </c>
      <c r="I591" s="175">
        <v>69</v>
      </c>
      <c r="J591" s="266">
        <f>_xlfn.XLOOKUP($I591,Inputs!$C$6:$C$23,Inputs!$D$6:$D$23)*$G591</f>
        <v>2.494014285714286</v>
      </c>
      <c r="K591" s="255"/>
      <c r="L591" s="186">
        <v>845</v>
      </c>
      <c r="M591" s="186">
        <v>1021</v>
      </c>
      <c r="N591" s="99">
        <f t="shared" si="128"/>
        <v>100.98722233530337</v>
      </c>
      <c r="O591" s="99">
        <f t="shared" si="129"/>
        <v>122.02124734241984</v>
      </c>
      <c r="P591" s="131">
        <v>0.9</v>
      </c>
      <c r="Q591" s="186">
        <f t="shared" si="133"/>
        <v>90.888500101773033</v>
      </c>
      <c r="R591" s="186">
        <f t="shared" si="134"/>
        <v>109.81912260817786</v>
      </c>
      <c r="S591" s="151" t="s">
        <v>1617</v>
      </c>
      <c r="T591" s="51" t="s">
        <v>3189</v>
      </c>
      <c r="U591" s="151" t="s">
        <v>2521</v>
      </c>
      <c r="V591" s="51" t="s">
        <v>2180</v>
      </c>
      <c r="W591" s="19"/>
      <c r="X591" s="19"/>
      <c r="Y591" s="99">
        <v>731</v>
      </c>
    </row>
    <row r="592" spans="2:25" s="165" customFormat="1" ht="20" x14ac:dyDescent="0.2">
      <c r="B592" s="150" t="s">
        <v>1242</v>
      </c>
      <c r="C592" s="33" t="s">
        <v>106</v>
      </c>
      <c r="D592" s="33" t="s">
        <v>2876</v>
      </c>
      <c r="E592" s="175">
        <v>1</v>
      </c>
      <c r="F592" s="151" t="s">
        <v>1128</v>
      </c>
      <c r="G592" s="152">
        <v>7.02</v>
      </c>
      <c r="H592" s="152">
        <v>4.333333333333333</v>
      </c>
      <c r="I592" s="175">
        <v>69</v>
      </c>
      <c r="J592" s="266">
        <f>_xlfn.XLOOKUP($I592,Inputs!$C$6:$C$23,Inputs!$D$6:$D$23)*$G592</f>
        <v>2.697685714285714</v>
      </c>
      <c r="K592" s="255"/>
      <c r="L592" s="186">
        <v>730</v>
      </c>
      <c r="M592" s="186">
        <v>940</v>
      </c>
      <c r="N592" s="99">
        <f t="shared" si="128"/>
        <v>87.243399177244342</v>
      </c>
      <c r="O592" s="99">
        <f t="shared" si="129"/>
        <v>112.34081537891738</v>
      </c>
      <c r="P592" s="131">
        <v>0.9</v>
      </c>
      <c r="Q592" s="186">
        <f t="shared" si="133"/>
        <v>78.519059259519906</v>
      </c>
      <c r="R592" s="186">
        <f t="shared" si="134"/>
        <v>101.10673384102564</v>
      </c>
      <c r="S592" s="151" t="s">
        <v>1617</v>
      </c>
      <c r="T592" s="51" t="s">
        <v>3189</v>
      </c>
      <c r="U592" s="151" t="s">
        <v>2521</v>
      </c>
      <c r="V592" s="51" t="s">
        <v>2180</v>
      </c>
      <c r="W592" s="19"/>
      <c r="X592" s="19"/>
      <c r="Y592" s="99">
        <v>745</v>
      </c>
    </row>
    <row r="593" spans="2:25" s="165" customFormat="1" ht="20" x14ac:dyDescent="0.2">
      <c r="B593" s="150" t="s">
        <v>553</v>
      </c>
      <c r="C593" s="33" t="s">
        <v>106</v>
      </c>
      <c r="D593" s="33" t="s">
        <v>2876</v>
      </c>
      <c r="E593" s="175">
        <v>1</v>
      </c>
      <c r="F593" s="151" t="s">
        <v>1128</v>
      </c>
      <c r="G593" s="152">
        <v>7.1095658000000004</v>
      </c>
      <c r="H593" s="152">
        <v>4.3886208641975308</v>
      </c>
      <c r="I593" s="175">
        <v>230</v>
      </c>
      <c r="J593" s="266">
        <f>_xlfn.XLOOKUP($I593,Inputs!$C$6:$C$23,Inputs!$D$6:$D$23)*$G593</f>
        <v>3.4125915839999998</v>
      </c>
      <c r="K593" s="255"/>
      <c r="L593" s="186">
        <v>580</v>
      </c>
      <c r="M593" s="186">
        <v>705</v>
      </c>
      <c r="N593" s="99">
        <f t="shared" si="128"/>
        <v>231.05557772968822</v>
      </c>
      <c r="O593" s="99">
        <f t="shared" si="129"/>
        <v>280.85203844729347</v>
      </c>
      <c r="P593" s="131">
        <v>0.9</v>
      </c>
      <c r="Q593" s="186">
        <f t="shared" si="133"/>
        <v>207.95001995671942</v>
      </c>
      <c r="R593" s="186">
        <f t="shared" si="134"/>
        <v>252.76683460256413</v>
      </c>
      <c r="S593" s="151" t="s">
        <v>1798</v>
      </c>
      <c r="T593" s="51" t="s">
        <v>3294</v>
      </c>
      <c r="U593" s="151" t="s">
        <v>1776</v>
      </c>
      <c r="V593" s="51" t="s">
        <v>3287</v>
      </c>
      <c r="W593" s="19"/>
      <c r="X593" s="19"/>
      <c r="Y593" s="99">
        <v>396</v>
      </c>
    </row>
    <row r="594" spans="2:25" s="165" customFormat="1" ht="20" x14ac:dyDescent="0.2">
      <c r="B594" s="150" t="s">
        <v>556</v>
      </c>
      <c r="C594" s="33" t="s">
        <v>106</v>
      </c>
      <c r="D594" s="33" t="s">
        <v>2876</v>
      </c>
      <c r="E594" s="175">
        <v>1</v>
      </c>
      <c r="F594" s="151" t="s">
        <v>1128</v>
      </c>
      <c r="G594" s="152">
        <v>5.3</v>
      </c>
      <c r="H594" s="152">
        <v>3.2716049382716048</v>
      </c>
      <c r="I594" s="175">
        <v>230</v>
      </c>
      <c r="J594" s="266">
        <f>_xlfn.XLOOKUP($I594,Inputs!$C$6:$C$23,Inputs!$D$6:$D$23)*$G594</f>
        <v>2.544</v>
      </c>
      <c r="K594" s="255"/>
      <c r="L594" s="186">
        <v>665</v>
      </c>
      <c r="M594" s="186">
        <v>825</v>
      </c>
      <c r="N594" s="99">
        <f t="shared" si="128"/>
        <v>264.91717101765977</v>
      </c>
      <c r="O594" s="99">
        <f t="shared" si="129"/>
        <v>328.65664073619445</v>
      </c>
      <c r="P594" s="131">
        <v>0.9</v>
      </c>
      <c r="Q594" s="186">
        <f t="shared" si="133"/>
        <v>238.4254539158938</v>
      </c>
      <c r="R594" s="186">
        <f t="shared" si="134"/>
        <v>295.79097666257502</v>
      </c>
      <c r="S594" s="151" t="s">
        <v>2472</v>
      </c>
      <c r="T594" s="51" t="s">
        <v>2124</v>
      </c>
      <c r="U594" s="151" t="s">
        <v>1776</v>
      </c>
      <c r="V594" s="51" t="s">
        <v>3287</v>
      </c>
      <c r="W594" s="19"/>
      <c r="X594" s="19"/>
      <c r="Y594" s="99">
        <v>401</v>
      </c>
    </row>
    <row r="595" spans="2:25" s="165" customFormat="1" ht="20" x14ac:dyDescent="0.2">
      <c r="B595" s="230" t="s">
        <v>2658</v>
      </c>
      <c r="C595" s="51" t="s">
        <v>173</v>
      </c>
      <c r="D595" s="33" t="s">
        <v>2876</v>
      </c>
      <c r="E595" s="231">
        <v>1</v>
      </c>
      <c r="F595" s="230" t="s">
        <v>1128</v>
      </c>
      <c r="G595" s="232">
        <v>4</v>
      </c>
      <c r="H595" s="232">
        <v>2.4691358024691357</v>
      </c>
      <c r="I595" s="231">
        <v>138</v>
      </c>
      <c r="J595" s="266">
        <f>_xlfn.XLOOKUP($I595,Inputs!$C$6:$C$23,Inputs!$D$6:$D$23)*$G595</f>
        <v>1.7342857142857144</v>
      </c>
      <c r="K595" s="267">
        <f>IF((42.4*(H595)^(-0.6595))&gt;=3,3,(IF(42.4*(H595)^(-0.6595)&lt;=0.5,0.5,(42.4*(H595)^(-0.6595)))))</f>
        <v>3</v>
      </c>
      <c r="L595" s="99"/>
      <c r="M595" s="99"/>
      <c r="N595" s="99"/>
      <c r="O595" s="99"/>
      <c r="P595" s="69"/>
      <c r="Q595" s="305">
        <f>_xlfn.XLOOKUP($I595,Inputs!$G$6:$G$23,Inputs!J$6:J$23)*$K595</f>
        <v>141</v>
      </c>
      <c r="R595" s="305">
        <f>_xlfn.XLOOKUP($I595,Inputs!$G$6:$G$23,Inputs!K$6:K$23)*$K595</f>
        <v>156</v>
      </c>
      <c r="S595" s="230" t="s">
        <v>2656</v>
      </c>
      <c r="T595" s="51" t="s">
        <v>3259</v>
      </c>
      <c r="U595" s="230" t="s">
        <v>2659</v>
      </c>
      <c r="V595" s="51" t="s">
        <v>3663</v>
      </c>
      <c r="W595" s="19"/>
      <c r="X595" s="19"/>
      <c r="Y595" s="99">
        <v>1097</v>
      </c>
    </row>
    <row r="596" spans="2:25" s="165" customFormat="1" ht="20" x14ac:dyDescent="0.2">
      <c r="B596" s="151" t="s">
        <v>1397</v>
      </c>
      <c r="C596" s="33" t="s">
        <v>106</v>
      </c>
      <c r="D596" s="33" t="s">
        <v>2876</v>
      </c>
      <c r="E596" s="175">
        <v>1</v>
      </c>
      <c r="F596" s="151" t="s">
        <v>1128</v>
      </c>
      <c r="G596" s="174">
        <v>1</v>
      </c>
      <c r="H596" s="152">
        <v>0.61728395061728392</v>
      </c>
      <c r="I596" s="175">
        <v>69</v>
      </c>
      <c r="J596" s="266">
        <f>_xlfn.XLOOKUP($I596,Inputs!$C$6:$C$23,Inputs!$D$6:$D$23)*$G596</f>
        <v>0.38428571428571429</v>
      </c>
      <c r="K596" s="267">
        <f>IF((42.4*(H596)^(-0.6595))&gt;=3,3,(IF(42.4*(H596)^(-0.6595)&lt;=0.5,0.5,(42.4*(H596)^(-0.6595)))))</f>
        <v>3</v>
      </c>
      <c r="L596" s="99"/>
      <c r="M596" s="99"/>
      <c r="N596" s="99">
        <f t="shared" ref="N596:N627" si="135">(SQRT(3)*L596*$I596)/1000</f>
        <v>0</v>
      </c>
      <c r="O596" s="99">
        <f t="shared" ref="O596:O627" si="136">(SQRT(3)*M596*$I596)/1000</f>
        <v>0</v>
      </c>
      <c r="P596" s="131">
        <v>0.9</v>
      </c>
      <c r="Q596" s="305">
        <f>_xlfn.XLOOKUP($I596,Inputs!$G$6:$G$23,Inputs!J$6:J$23)*$K596</f>
        <v>36</v>
      </c>
      <c r="R596" s="305">
        <f>_xlfn.XLOOKUP($I596,Inputs!$G$6:$G$23,Inputs!K$6:K$23)*$K596</f>
        <v>39</v>
      </c>
      <c r="S596" s="151" t="s">
        <v>2549</v>
      </c>
      <c r="T596" s="51" t="s">
        <v>2206</v>
      </c>
      <c r="U596" s="151" t="s">
        <v>1778</v>
      </c>
      <c r="V596" s="51" t="s">
        <v>3475</v>
      </c>
      <c r="W596" s="19"/>
      <c r="X596" s="19"/>
      <c r="Y596" s="99">
        <v>835</v>
      </c>
    </row>
    <row r="597" spans="2:25" s="165" customFormat="1" ht="20" x14ac:dyDescent="0.2">
      <c r="B597" s="150" t="s">
        <v>1294</v>
      </c>
      <c r="C597" s="33" t="s">
        <v>106</v>
      </c>
      <c r="D597" s="33" t="s">
        <v>2876</v>
      </c>
      <c r="E597" s="175">
        <v>1</v>
      </c>
      <c r="F597" s="151" t="s">
        <v>1128</v>
      </c>
      <c r="G597" s="152">
        <v>10</v>
      </c>
      <c r="H597" s="152">
        <v>6.1728395061728394</v>
      </c>
      <c r="I597" s="175">
        <v>69</v>
      </c>
      <c r="J597" s="266">
        <f>_xlfn.XLOOKUP($I597,Inputs!$C$6:$C$23,Inputs!$D$6:$D$23)*$G597</f>
        <v>3.842857142857143</v>
      </c>
      <c r="K597" s="255"/>
      <c r="L597" s="186">
        <v>490</v>
      </c>
      <c r="M597" s="186">
        <v>627</v>
      </c>
      <c r="N597" s="99">
        <f t="shared" si="135"/>
        <v>58.560637803903738</v>
      </c>
      <c r="O597" s="99">
        <f t="shared" si="136"/>
        <v>74.933714087852337</v>
      </c>
      <c r="P597" s="131">
        <v>0.9</v>
      </c>
      <c r="Q597" s="186">
        <f t="shared" ref="Q597:R604" si="137">N597*$P597</f>
        <v>52.704574023513366</v>
      </c>
      <c r="R597" s="186">
        <f t="shared" si="137"/>
        <v>67.440342679067101</v>
      </c>
      <c r="S597" s="151" t="s">
        <v>2548</v>
      </c>
      <c r="T597" s="51" t="s">
        <v>2205</v>
      </c>
      <c r="U597" s="151" t="s">
        <v>2549</v>
      </c>
      <c r="V597" s="51" t="s">
        <v>2206</v>
      </c>
      <c r="W597" s="19"/>
      <c r="X597" s="19"/>
      <c r="Y597" s="99">
        <v>834</v>
      </c>
    </row>
    <row r="598" spans="2:25" s="165" customFormat="1" ht="20" x14ac:dyDescent="0.2">
      <c r="B598" s="150" t="s">
        <v>1483</v>
      </c>
      <c r="C598" s="33" t="s">
        <v>106</v>
      </c>
      <c r="D598" s="33" t="s">
        <v>2876</v>
      </c>
      <c r="E598" s="175">
        <v>1</v>
      </c>
      <c r="F598" s="151" t="s">
        <v>1128</v>
      </c>
      <c r="G598" s="152">
        <v>2.1088309000000001</v>
      </c>
      <c r="H598" s="152">
        <v>1.3017474691358024</v>
      </c>
      <c r="I598" s="175">
        <v>138</v>
      </c>
      <c r="J598" s="266">
        <f>_xlfn.XLOOKUP($I598,Inputs!$C$6:$C$23,Inputs!$D$6:$D$23)*$G598</f>
        <v>0.91432882592857156</v>
      </c>
      <c r="K598" s="255"/>
      <c r="L598" s="186">
        <v>560</v>
      </c>
      <c r="M598" s="186">
        <v>674</v>
      </c>
      <c r="N598" s="99">
        <f t="shared" si="135"/>
        <v>133.85288640892284</v>
      </c>
      <c r="O598" s="99">
        <f t="shared" si="136"/>
        <v>161.10150971359641</v>
      </c>
      <c r="P598" s="131">
        <v>0.9</v>
      </c>
      <c r="Q598" s="186">
        <f t="shared" si="137"/>
        <v>120.46759776803056</v>
      </c>
      <c r="R598" s="186">
        <f t="shared" si="137"/>
        <v>144.99135874223677</v>
      </c>
      <c r="S598" s="151" t="s">
        <v>2459</v>
      </c>
      <c r="T598" s="51" t="s">
        <v>2112</v>
      </c>
      <c r="U598" s="151" t="s">
        <v>2315</v>
      </c>
      <c r="V598" s="51" t="s">
        <v>3144</v>
      </c>
      <c r="W598" s="19"/>
      <c r="X598" s="19"/>
      <c r="Y598" s="99">
        <v>303</v>
      </c>
    </row>
    <row r="599" spans="2:25" s="165" customFormat="1" ht="20" x14ac:dyDescent="0.2">
      <c r="B599" s="150" t="s">
        <v>508</v>
      </c>
      <c r="C599" s="33" t="s">
        <v>106</v>
      </c>
      <c r="D599" s="33" t="s">
        <v>2876</v>
      </c>
      <c r="E599" s="175">
        <v>1</v>
      </c>
      <c r="F599" s="151" t="s">
        <v>1128</v>
      </c>
      <c r="G599" s="152">
        <v>1</v>
      </c>
      <c r="H599" s="152">
        <v>0.61728395061728392</v>
      </c>
      <c r="I599" s="175">
        <v>138</v>
      </c>
      <c r="J599" s="266">
        <f>_xlfn.XLOOKUP($I599,Inputs!$C$6:$C$23,Inputs!$D$6:$D$23)*$G599</f>
        <v>0.43357142857142861</v>
      </c>
      <c r="K599" s="255"/>
      <c r="L599" s="186">
        <v>560</v>
      </c>
      <c r="M599" s="186">
        <v>674</v>
      </c>
      <c r="N599" s="99">
        <f t="shared" si="135"/>
        <v>133.85288640892284</v>
      </c>
      <c r="O599" s="99">
        <f t="shared" si="136"/>
        <v>161.10150971359641</v>
      </c>
      <c r="P599" s="131">
        <v>0.9</v>
      </c>
      <c r="Q599" s="186">
        <f t="shared" si="137"/>
        <v>120.46759776803056</v>
      </c>
      <c r="R599" s="186">
        <f t="shared" si="137"/>
        <v>144.99135874223677</v>
      </c>
      <c r="S599" s="151" t="s">
        <v>270</v>
      </c>
      <c r="T599" s="51" t="s">
        <v>3340</v>
      </c>
      <c r="U599" s="151" t="s">
        <v>2459</v>
      </c>
      <c r="V599" s="51" t="s">
        <v>2112</v>
      </c>
      <c r="W599" s="19"/>
      <c r="X599" s="19"/>
      <c r="Y599" s="99">
        <v>302</v>
      </c>
    </row>
    <row r="600" spans="2:25" s="165" customFormat="1" ht="20" x14ac:dyDescent="0.2">
      <c r="B600" s="150" t="s">
        <v>554</v>
      </c>
      <c r="C600" s="33" t="s">
        <v>106</v>
      </c>
      <c r="D600" s="33" t="s">
        <v>2876</v>
      </c>
      <c r="E600" s="175">
        <v>1</v>
      </c>
      <c r="F600" s="151" t="s">
        <v>1128</v>
      </c>
      <c r="G600" s="152">
        <v>8.0044426000000009</v>
      </c>
      <c r="H600" s="152">
        <v>4.9410139506172843</v>
      </c>
      <c r="I600" s="175">
        <v>230</v>
      </c>
      <c r="J600" s="266">
        <f>_xlfn.XLOOKUP($I600,Inputs!$C$6:$C$23,Inputs!$D$6:$D$23)*$G600</f>
        <v>3.8421324480000001</v>
      </c>
      <c r="K600" s="255"/>
      <c r="L600" s="186">
        <v>2050</v>
      </c>
      <c r="M600" s="186">
        <v>2560</v>
      </c>
      <c r="N600" s="99">
        <f t="shared" si="135"/>
        <v>816.66195576872565</v>
      </c>
      <c r="O600" s="99">
        <f t="shared" si="136"/>
        <v>1019.8315154965547</v>
      </c>
      <c r="P600" s="131">
        <v>0.9</v>
      </c>
      <c r="Q600" s="186">
        <f t="shared" si="137"/>
        <v>734.99576019185315</v>
      </c>
      <c r="R600" s="186">
        <f t="shared" si="137"/>
        <v>917.84836394689933</v>
      </c>
      <c r="S600" s="151" t="s">
        <v>1605</v>
      </c>
      <c r="T600" s="51" t="s">
        <v>3588</v>
      </c>
      <c r="U600" s="151" t="s">
        <v>1779</v>
      </c>
      <c r="V600" s="51" t="s">
        <v>3288</v>
      </c>
      <c r="W600" s="19"/>
      <c r="X600" s="19"/>
      <c r="Y600" s="99">
        <v>397</v>
      </c>
    </row>
    <row r="601" spans="2:25" s="165" customFormat="1" ht="20" x14ac:dyDescent="0.2">
      <c r="B601" s="150" t="s">
        <v>559</v>
      </c>
      <c r="C601" s="33" t="s">
        <v>106</v>
      </c>
      <c r="D601" s="33" t="s">
        <v>2876</v>
      </c>
      <c r="E601" s="175">
        <v>1</v>
      </c>
      <c r="F601" s="151" t="s">
        <v>1128</v>
      </c>
      <c r="G601" s="152">
        <v>8.0103667999999999</v>
      </c>
      <c r="H601" s="152">
        <v>4.9446708641975308</v>
      </c>
      <c r="I601" s="175">
        <v>230</v>
      </c>
      <c r="J601" s="266">
        <f>_xlfn.XLOOKUP($I601,Inputs!$C$6:$C$23,Inputs!$D$6:$D$23)*$G601</f>
        <v>3.8449760639999999</v>
      </c>
      <c r="K601" s="255"/>
      <c r="L601" s="186">
        <v>2050</v>
      </c>
      <c r="M601" s="186">
        <v>2560</v>
      </c>
      <c r="N601" s="99">
        <f t="shared" si="135"/>
        <v>816.66195576872565</v>
      </c>
      <c r="O601" s="99">
        <f t="shared" si="136"/>
        <v>1019.8315154965547</v>
      </c>
      <c r="P601" s="131">
        <v>0.9</v>
      </c>
      <c r="Q601" s="186">
        <f t="shared" si="137"/>
        <v>734.99576019185315</v>
      </c>
      <c r="R601" s="186">
        <f t="shared" si="137"/>
        <v>917.84836394689933</v>
      </c>
      <c r="S601" s="151" t="s">
        <v>1605</v>
      </c>
      <c r="T601" s="51" t="s">
        <v>3588</v>
      </c>
      <c r="U601" s="151" t="s">
        <v>1779</v>
      </c>
      <c r="V601" s="51" t="s">
        <v>3288</v>
      </c>
      <c r="W601" s="19"/>
      <c r="X601" s="19"/>
      <c r="Y601" s="99">
        <v>406</v>
      </c>
    </row>
    <row r="602" spans="2:25" s="165" customFormat="1" ht="20" x14ac:dyDescent="0.2">
      <c r="B602" s="150" t="s">
        <v>657</v>
      </c>
      <c r="C602" s="33" t="s">
        <v>106</v>
      </c>
      <c r="D602" s="33" t="s">
        <v>2876</v>
      </c>
      <c r="E602" s="175">
        <v>1</v>
      </c>
      <c r="F602" s="151" t="s">
        <v>1128</v>
      </c>
      <c r="G602" s="152">
        <v>66.723164699999998</v>
      </c>
      <c r="H602" s="152">
        <v>41.187138703703702</v>
      </c>
      <c r="I602" s="175">
        <v>500</v>
      </c>
      <c r="J602" s="266">
        <f>_xlfn.XLOOKUP($I602,Inputs!$C$6:$C$23,Inputs!$D$6:$D$23)*$G602</f>
        <v>26.3556500565</v>
      </c>
      <c r="K602" s="255"/>
      <c r="L602" s="186">
        <v>2150</v>
      </c>
      <c r="M602" s="186">
        <v>3130</v>
      </c>
      <c r="N602" s="99">
        <f t="shared" si="135"/>
        <v>1861.9546181365429</v>
      </c>
      <c r="O602" s="99">
        <f t="shared" si="136"/>
        <v>2710.6595138452931</v>
      </c>
      <c r="P602" s="131">
        <v>0.9</v>
      </c>
      <c r="Q602" s="186">
        <f t="shared" si="137"/>
        <v>1675.7591563228887</v>
      </c>
      <c r="R602" s="186">
        <f t="shared" si="137"/>
        <v>2439.5935624607637</v>
      </c>
      <c r="S602" s="151" t="s">
        <v>1617</v>
      </c>
      <c r="T602" s="51" t="s">
        <v>3189</v>
      </c>
      <c r="U602" s="151" t="s">
        <v>1779</v>
      </c>
      <c r="V602" s="51" t="s">
        <v>3288</v>
      </c>
      <c r="W602" s="19"/>
      <c r="X602" s="19"/>
      <c r="Y602" s="99">
        <v>533</v>
      </c>
    </row>
    <row r="603" spans="2:25" s="165" customFormat="1" ht="20" x14ac:dyDescent="0.2">
      <c r="B603" s="150" t="s">
        <v>670</v>
      </c>
      <c r="C603" s="33" t="s">
        <v>106</v>
      </c>
      <c r="D603" s="33" t="s">
        <v>2876</v>
      </c>
      <c r="E603" s="175">
        <v>1</v>
      </c>
      <c r="F603" s="151" t="s">
        <v>1128</v>
      </c>
      <c r="G603" s="152">
        <v>248.18944490000001</v>
      </c>
      <c r="H603" s="152">
        <v>153.20336104938272</v>
      </c>
      <c r="I603" s="175">
        <v>500</v>
      </c>
      <c r="J603" s="266">
        <f>_xlfn.XLOOKUP($I603,Inputs!$C$6:$C$23,Inputs!$D$6:$D$23)*$G603</f>
        <v>98.034830735500009</v>
      </c>
      <c r="K603" s="255"/>
      <c r="L603" s="186">
        <v>2265</v>
      </c>
      <c r="M603" s="186">
        <v>3302</v>
      </c>
      <c r="N603" s="99">
        <f t="shared" si="135"/>
        <v>1961.5475395717535</v>
      </c>
      <c r="O603" s="99">
        <f t="shared" si="136"/>
        <v>2859.6158832962165</v>
      </c>
      <c r="P603" s="131">
        <v>0.9</v>
      </c>
      <c r="Q603" s="186">
        <f t="shared" si="137"/>
        <v>1765.3927856145783</v>
      </c>
      <c r="R603" s="186">
        <f t="shared" si="137"/>
        <v>2573.654294966595</v>
      </c>
      <c r="S603" s="151" t="s">
        <v>1809</v>
      </c>
      <c r="T603" s="51" t="s">
        <v>3296</v>
      </c>
      <c r="U603" s="151" t="s">
        <v>1779</v>
      </c>
      <c r="V603" s="51" t="s">
        <v>3288</v>
      </c>
      <c r="W603" s="19"/>
      <c r="X603" s="19"/>
      <c r="Y603" s="99">
        <v>546</v>
      </c>
    </row>
    <row r="604" spans="2:25" s="165" customFormat="1" ht="20" x14ac:dyDescent="0.2">
      <c r="B604" s="150" t="s">
        <v>671</v>
      </c>
      <c r="C604" s="33" t="s">
        <v>106</v>
      </c>
      <c r="D604" s="33" t="s">
        <v>2876</v>
      </c>
      <c r="E604" s="175">
        <v>1</v>
      </c>
      <c r="F604" s="151" t="s">
        <v>1128</v>
      </c>
      <c r="G604" s="152">
        <v>248.2205008</v>
      </c>
      <c r="H604" s="152">
        <v>153.22253135802467</v>
      </c>
      <c r="I604" s="175">
        <v>500</v>
      </c>
      <c r="J604" s="266">
        <f>_xlfn.XLOOKUP($I604,Inputs!$C$6:$C$23,Inputs!$D$6:$D$23)*$G604</f>
        <v>98.047097816000004</v>
      </c>
      <c r="K604" s="255"/>
      <c r="L604" s="186">
        <v>3721</v>
      </c>
      <c r="M604" s="186">
        <v>4497</v>
      </c>
      <c r="N604" s="99">
        <f t="shared" si="135"/>
        <v>3222.4805274818959</v>
      </c>
      <c r="O604" s="99">
        <f t="shared" si="136"/>
        <v>3894.5162408186202</v>
      </c>
      <c r="P604" s="131">
        <v>0.9</v>
      </c>
      <c r="Q604" s="186">
        <f t="shared" si="137"/>
        <v>2900.2324747337066</v>
      </c>
      <c r="R604" s="186">
        <f t="shared" si="137"/>
        <v>3505.0646167367581</v>
      </c>
      <c r="S604" s="151" t="s">
        <v>1809</v>
      </c>
      <c r="T604" s="51" t="s">
        <v>3296</v>
      </c>
      <c r="U604" s="151" t="s">
        <v>1779</v>
      </c>
      <c r="V604" s="51" t="s">
        <v>3288</v>
      </c>
      <c r="W604" s="19"/>
      <c r="X604" s="19"/>
      <c r="Y604" s="99">
        <v>547</v>
      </c>
    </row>
    <row r="605" spans="2:25" s="165" customFormat="1" ht="20" x14ac:dyDescent="0.2">
      <c r="B605" s="150" t="s">
        <v>1486</v>
      </c>
      <c r="C605" s="33" t="s">
        <v>106</v>
      </c>
      <c r="D605" s="33" t="s">
        <v>2876</v>
      </c>
      <c r="E605" s="175">
        <v>1</v>
      </c>
      <c r="F605" s="151" t="s">
        <v>1128</v>
      </c>
      <c r="G605" s="152">
        <v>0.10400230000000001</v>
      </c>
      <c r="H605" s="152">
        <v>6.4198950617283951E-2</v>
      </c>
      <c r="I605" s="175">
        <v>138</v>
      </c>
      <c r="J605" s="266">
        <f>_xlfn.XLOOKUP($I605,Inputs!$C$6:$C$23,Inputs!$D$6:$D$23)*$G605</f>
        <v>4.5092425785714291E-2</v>
      </c>
      <c r="K605" s="267">
        <f>IF((42.4*(H605)^(-0.6595))&gt;=3,3,(IF(42.4*(H605)^(-0.6595)&lt;=0.5,0.5,(42.4*(H605)^(-0.6595)))))</f>
        <v>3</v>
      </c>
      <c r="L605" s="99"/>
      <c r="M605" s="99"/>
      <c r="N605" s="99">
        <f t="shared" si="135"/>
        <v>0</v>
      </c>
      <c r="O605" s="99">
        <f t="shared" si="136"/>
        <v>0</v>
      </c>
      <c r="P605" s="131">
        <v>0.9</v>
      </c>
      <c r="Q605" s="305">
        <f>_xlfn.XLOOKUP($I605,Inputs!$G$6:$G$23,Inputs!J$6:J$23)*$K605</f>
        <v>141</v>
      </c>
      <c r="R605" s="305">
        <f>_xlfn.XLOOKUP($I605,Inputs!$G$6:$G$23,Inputs!K$6:K$23)*$K605</f>
        <v>156</v>
      </c>
      <c r="S605" s="151" t="s">
        <v>2465</v>
      </c>
      <c r="T605" s="51" t="s">
        <v>2117</v>
      </c>
      <c r="U605" s="151" t="s">
        <v>1780</v>
      </c>
      <c r="V605" s="51" t="s">
        <v>3476</v>
      </c>
      <c r="W605" s="19"/>
      <c r="X605" s="19"/>
      <c r="Y605" s="99">
        <v>318</v>
      </c>
    </row>
    <row r="606" spans="2:25" s="165" customFormat="1" ht="20" x14ac:dyDescent="0.2">
      <c r="B606" s="150" t="s">
        <v>510</v>
      </c>
      <c r="C606" s="33" t="s">
        <v>106</v>
      </c>
      <c r="D606" s="33" t="s">
        <v>2876</v>
      </c>
      <c r="E606" s="175">
        <v>1</v>
      </c>
      <c r="F606" s="151" t="s">
        <v>1128</v>
      </c>
      <c r="G606" s="152">
        <v>20</v>
      </c>
      <c r="H606" s="152">
        <v>12.345679012345679</v>
      </c>
      <c r="I606" s="175">
        <v>138</v>
      </c>
      <c r="J606" s="266">
        <f>_xlfn.XLOOKUP($I606,Inputs!$C$6:$C$23,Inputs!$D$6:$D$23)*$G606</f>
        <v>8.6714285714285726</v>
      </c>
      <c r="K606" s="255"/>
      <c r="L606" s="186">
        <v>430</v>
      </c>
      <c r="M606" s="186">
        <v>545</v>
      </c>
      <c r="N606" s="99">
        <f t="shared" si="135"/>
        <v>102.77989492113718</v>
      </c>
      <c r="O606" s="99">
        <f t="shared" si="136"/>
        <v>130.26754123725524</v>
      </c>
      <c r="P606" s="131">
        <v>0.9</v>
      </c>
      <c r="Q606" s="186">
        <f>N606*$P606</f>
        <v>92.501905429023466</v>
      </c>
      <c r="R606" s="186">
        <f>O606*$P606</f>
        <v>117.24078711352972</v>
      </c>
      <c r="S606" s="151" t="s">
        <v>2464</v>
      </c>
      <c r="T606" s="51" t="s">
        <v>2116</v>
      </c>
      <c r="U606" s="151" t="s">
        <v>2465</v>
      </c>
      <c r="V606" s="51" t="s">
        <v>2117</v>
      </c>
      <c r="W606" s="19"/>
      <c r="X606" s="19"/>
      <c r="Y606" s="99">
        <v>317</v>
      </c>
    </row>
    <row r="607" spans="2:25" s="165" customFormat="1" ht="20" x14ac:dyDescent="0.2">
      <c r="B607" s="150" t="s">
        <v>506</v>
      </c>
      <c r="C607" s="33" t="s">
        <v>106</v>
      </c>
      <c r="D607" s="33" t="s">
        <v>2876</v>
      </c>
      <c r="E607" s="175">
        <v>1</v>
      </c>
      <c r="F607" s="151" t="s">
        <v>1128</v>
      </c>
      <c r="G607" s="152">
        <v>42.994433100000002</v>
      </c>
      <c r="H607" s="152">
        <v>26.539773518518519</v>
      </c>
      <c r="I607" s="175">
        <v>138</v>
      </c>
      <c r="J607" s="266">
        <f>_xlfn.XLOOKUP($I607,Inputs!$C$6:$C$23,Inputs!$D$6:$D$23)*$G607</f>
        <v>18.641157779785718</v>
      </c>
      <c r="K607" s="255"/>
      <c r="L607" s="186">
        <v>510</v>
      </c>
      <c r="M607" s="3">
        <v>610</v>
      </c>
      <c r="N607" s="99">
        <f t="shared" si="135"/>
        <v>121.90173583669757</v>
      </c>
      <c r="O607" s="99">
        <f t="shared" si="136"/>
        <v>145.80403698114807</v>
      </c>
      <c r="P607" s="131">
        <v>0.9</v>
      </c>
      <c r="Q607" s="186">
        <f>N607*$P607</f>
        <v>109.71156225302781</v>
      </c>
      <c r="R607" s="186">
        <f>O607*$P607</f>
        <v>131.22363328303328</v>
      </c>
      <c r="S607" s="151" t="s">
        <v>1744</v>
      </c>
      <c r="T607" s="51" t="s">
        <v>3275</v>
      </c>
      <c r="U607" s="151" t="s">
        <v>1781</v>
      </c>
      <c r="V607" s="51" t="s">
        <v>3289</v>
      </c>
      <c r="W607" s="19"/>
      <c r="X607" s="19"/>
      <c r="Y607" s="99">
        <v>298</v>
      </c>
    </row>
    <row r="608" spans="2:25" s="165" customFormat="1" ht="20" x14ac:dyDescent="0.2">
      <c r="B608" s="150" t="s">
        <v>1484</v>
      </c>
      <c r="C608" s="33" t="s">
        <v>106</v>
      </c>
      <c r="D608" s="33" t="s">
        <v>2876</v>
      </c>
      <c r="E608" s="175">
        <v>1</v>
      </c>
      <c r="F608" s="151" t="s">
        <v>1128</v>
      </c>
      <c r="G608" s="152">
        <v>0.30359160000000002</v>
      </c>
      <c r="H608" s="152">
        <v>0.18740222222222222</v>
      </c>
      <c r="I608" s="175">
        <v>138</v>
      </c>
      <c r="J608" s="266">
        <f>_xlfn.XLOOKUP($I608,Inputs!$C$6:$C$23,Inputs!$D$6:$D$23)*$G608</f>
        <v>0.13162864371428573</v>
      </c>
      <c r="K608" s="267">
        <f>IF((42.4*(H608)^(-0.6595))&gt;=3,3,(IF(42.4*(H608)^(-0.6595)&lt;=0.5,0.5,(42.4*(H608)^(-0.6595)))))</f>
        <v>3</v>
      </c>
      <c r="L608" s="99"/>
      <c r="M608" s="99"/>
      <c r="N608" s="99">
        <f t="shared" si="135"/>
        <v>0</v>
      </c>
      <c r="O608" s="99">
        <f t="shared" si="136"/>
        <v>0</v>
      </c>
      <c r="P608" s="131">
        <v>0.9</v>
      </c>
      <c r="Q608" s="305">
        <f>_xlfn.XLOOKUP($I608,Inputs!$G$6:$G$23,Inputs!J$6:J$23)*$K608</f>
        <v>141</v>
      </c>
      <c r="R608" s="305">
        <f>_xlfn.XLOOKUP($I608,Inputs!$G$6:$G$23,Inputs!K$6:K$23)*$K608</f>
        <v>156</v>
      </c>
      <c r="S608" s="151" t="s">
        <v>2315</v>
      </c>
      <c r="T608" s="51" t="s">
        <v>3144</v>
      </c>
      <c r="U608" s="151" t="s">
        <v>1782</v>
      </c>
      <c r="V608" s="51" t="s">
        <v>3664</v>
      </c>
      <c r="W608" s="19"/>
      <c r="X608" s="19"/>
      <c r="Y608" s="99">
        <v>304</v>
      </c>
    </row>
    <row r="609" spans="2:25" s="165" customFormat="1" ht="20" x14ac:dyDescent="0.2">
      <c r="B609" s="150" t="s">
        <v>1328</v>
      </c>
      <c r="C609" s="33" t="s">
        <v>106</v>
      </c>
      <c r="D609" s="33" t="s">
        <v>2876</v>
      </c>
      <c r="E609" s="175">
        <v>1</v>
      </c>
      <c r="F609" s="151" t="s">
        <v>1128</v>
      </c>
      <c r="G609" s="152">
        <v>0.2592119</v>
      </c>
      <c r="H609" s="152">
        <v>0.16000734567901234</v>
      </c>
      <c r="I609" s="175">
        <v>69</v>
      </c>
      <c r="J609" s="266">
        <f>_xlfn.XLOOKUP($I609,Inputs!$C$6:$C$23,Inputs!$D$6:$D$23)*$G609</f>
        <v>9.9611430142857144E-2</v>
      </c>
      <c r="K609" s="255"/>
      <c r="L609" s="186">
        <v>230</v>
      </c>
      <c r="M609" s="186">
        <v>380</v>
      </c>
      <c r="N609" s="99">
        <f t="shared" si="135"/>
        <v>27.487646316118084</v>
      </c>
      <c r="O609" s="99">
        <f t="shared" si="136"/>
        <v>45.414372174455956</v>
      </c>
      <c r="P609" s="131">
        <v>0.9</v>
      </c>
      <c r="Q609" s="186">
        <f t="shared" ref="Q609:Q620" si="138">N609*$P609</f>
        <v>24.738881684506275</v>
      </c>
      <c r="R609" s="186">
        <f t="shared" ref="R609:R620" si="139">O609*$P609</f>
        <v>40.872934957010358</v>
      </c>
      <c r="S609" s="151" t="s">
        <v>2569</v>
      </c>
      <c r="T609" s="51" t="s">
        <v>2228</v>
      </c>
      <c r="U609" s="151" t="s">
        <v>1783</v>
      </c>
      <c r="V609" s="51" t="s">
        <v>3477</v>
      </c>
      <c r="W609" s="19"/>
      <c r="X609" s="19"/>
      <c r="Y609" s="99">
        <v>896</v>
      </c>
    </row>
    <row r="610" spans="2:25" s="165" customFormat="1" ht="20" x14ac:dyDescent="0.2">
      <c r="B610" s="150" t="s">
        <v>1326</v>
      </c>
      <c r="C610" s="33" t="s">
        <v>106</v>
      </c>
      <c r="D610" s="33" t="s">
        <v>2876</v>
      </c>
      <c r="E610" s="175">
        <v>1</v>
      </c>
      <c r="F610" s="151" t="s">
        <v>1128</v>
      </c>
      <c r="G610" s="152">
        <v>5</v>
      </c>
      <c r="H610" s="152">
        <v>3.0864197530864197</v>
      </c>
      <c r="I610" s="175">
        <v>69</v>
      </c>
      <c r="J610" s="266">
        <f>_xlfn.XLOOKUP($I610,Inputs!$C$6:$C$23,Inputs!$D$6:$D$23)*$G610</f>
        <v>1.9214285714285715</v>
      </c>
      <c r="K610" s="255"/>
      <c r="L610" s="186">
        <v>848</v>
      </c>
      <c r="M610" s="186">
        <v>1016</v>
      </c>
      <c r="N610" s="99">
        <f t="shared" si="135"/>
        <v>101.34575685247015</v>
      </c>
      <c r="O610" s="99">
        <f t="shared" si="136"/>
        <v>121.42368981380856</v>
      </c>
      <c r="P610" s="131">
        <v>0.9</v>
      </c>
      <c r="Q610" s="186">
        <f t="shared" si="138"/>
        <v>91.211181167223131</v>
      </c>
      <c r="R610" s="186">
        <f t="shared" si="139"/>
        <v>109.28132083242771</v>
      </c>
      <c r="S610" s="151" t="s">
        <v>2568</v>
      </c>
      <c r="T610" s="51" t="s">
        <v>2229</v>
      </c>
      <c r="U610" s="151" t="s">
        <v>2569</v>
      </c>
      <c r="V610" s="51" t="s">
        <v>2228</v>
      </c>
      <c r="W610" s="19"/>
      <c r="X610" s="19"/>
      <c r="Y610" s="99">
        <v>895</v>
      </c>
    </row>
    <row r="611" spans="2:25" s="165" customFormat="1" ht="20" x14ac:dyDescent="0.2">
      <c r="B611" s="150" t="s">
        <v>579</v>
      </c>
      <c r="C611" s="33" t="s">
        <v>106</v>
      </c>
      <c r="D611" s="33" t="s">
        <v>2876</v>
      </c>
      <c r="E611" s="175">
        <v>1</v>
      </c>
      <c r="F611" s="151" t="s">
        <v>1128</v>
      </c>
      <c r="G611" s="152">
        <v>1.7510072000000001</v>
      </c>
      <c r="H611" s="152">
        <v>1.0808686419753086</v>
      </c>
      <c r="I611" s="175">
        <v>287</v>
      </c>
      <c r="J611" s="266">
        <f>_xlfn.XLOOKUP($I611,Inputs!$C$6:$C$23,Inputs!$D$6:$D$23)*$G611</f>
        <v>0.80906260457777779</v>
      </c>
      <c r="K611" s="255"/>
      <c r="L611" s="186">
        <v>1325</v>
      </c>
      <c r="M611" s="186">
        <v>1620</v>
      </c>
      <c r="N611" s="99">
        <f t="shared" si="135"/>
        <v>658.65562084825478</v>
      </c>
      <c r="O611" s="99">
        <f t="shared" si="136"/>
        <v>805.29970247107372</v>
      </c>
      <c r="P611" s="131">
        <v>0.9</v>
      </c>
      <c r="Q611" s="186">
        <f t="shared" si="138"/>
        <v>592.79005876342933</v>
      </c>
      <c r="R611" s="186">
        <f t="shared" si="139"/>
        <v>724.76973222396634</v>
      </c>
      <c r="S611" s="151" t="s">
        <v>1786</v>
      </c>
      <c r="T611" s="51" t="s">
        <v>3290</v>
      </c>
      <c r="U611" s="151" t="s">
        <v>1784</v>
      </c>
      <c r="V611" s="51" t="s">
        <v>3665</v>
      </c>
      <c r="W611" s="19"/>
      <c r="X611" s="19"/>
      <c r="Y611" s="99">
        <v>428</v>
      </c>
    </row>
    <row r="612" spans="2:25" s="165" customFormat="1" ht="20" x14ac:dyDescent="0.2">
      <c r="B612" s="151" t="s">
        <v>1495</v>
      </c>
      <c r="C612" s="33" t="s">
        <v>106</v>
      </c>
      <c r="D612" s="33" t="s">
        <v>2876</v>
      </c>
      <c r="E612" s="175">
        <v>1</v>
      </c>
      <c r="F612" s="151" t="s">
        <v>1128</v>
      </c>
      <c r="G612" s="174">
        <v>0.2</v>
      </c>
      <c r="H612" s="152">
        <v>0.12345679012345678</v>
      </c>
      <c r="I612" s="175">
        <v>138</v>
      </c>
      <c r="J612" s="266">
        <f>_xlfn.XLOOKUP($I612,Inputs!$C$6:$C$23,Inputs!$D$6:$D$23)*$G612</f>
        <v>8.671428571428573E-2</v>
      </c>
      <c r="K612" s="255"/>
      <c r="L612" s="186">
        <v>880</v>
      </c>
      <c r="M612" s="186">
        <v>1090</v>
      </c>
      <c r="N612" s="99">
        <f t="shared" si="135"/>
        <v>210.34025007116446</v>
      </c>
      <c r="O612" s="99">
        <f t="shared" si="136"/>
        <v>260.53508247451049</v>
      </c>
      <c r="P612" s="131">
        <v>0.9</v>
      </c>
      <c r="Q612" s="186">
        <f t="shared" si="138"/>
        <v>189.30622506404802</v>
      </c>
      <c r="R612" s="186">
        <f t="shared" si="139"/>
        <v>234.48157422705944</v>
      </c>
      <c r="S612" s="151" t="s">
        <v>3711</v>
      </c>
      <c r="T612" s="51" t="s">
        <v>2063</v>
      </c>
      <c r="U612" s="151" t="s">
        <v>3710</v>
      </c>
      <c r="V612" s="51" t="s">
        <v>3478</v>
      </c>
      <c r="W612" s="19"/>
      <c r="X612" s="19"/>
      <c r="Y612" s="99">
        <v>144</v>
      </c>
    </row>
    <row r="613" spans="2:25" s="165" customFormat="1" ht="20" x14ac:dyDescent="0.2">
      <c r="B613" s="150" t="s">
        <v>460</v>
      </c>
      <c r="C613" s="33" t="s">
        <v>106</v>
      </c>
      <c r="D613" s="33" t="s">
        <v>2876</v>
      </c>
      <c r="E613" s="175">
        <v>1</v>
      </c>
      <c r="F613" s="151" t="s">
        <v>1128</v>
      </c>
      <c r="G613" s="152">
        <v>4</v>
      </c>
      <c r="H613" s="152">
        <v>2.4691358024691357</v>
      </c>
      <c r="I613" s="175">
        <v>138</v>
      </c>
      <c r="J613" s="266">
        <f>_xlfn.XLOOKUP($I613,Inputs!$C$6:$C$23,Inputs!$D$6:$D$23)*$G613</f>
        <v>1.7342857142857144</v>
      </c>
      <c r="K613" s="255"/>
      <c r="L613" s="186">
        <v>591</v>
      </c>
      <c r="M613" s="3">
        <v>781</v>
      </c>
      <c r="N613" s="99">
        <f t="shared" si="135"/>
        <v>141.2625997637025</v>
      </c>
      <c r="O613" s="99">
        <f t="shared" si="136"/>
        <v>186.67697193815843</v>
      </c>
      <c r="P613" s="131">
        <v>0.9</v>
      </c>
      <c r="Q613" s="186">
        <f t="shared" si="138"/>
        <v>127.13633978733225</v>
      </c>
      <c r="R613" s="186">
        <f t="shared" si="139"/>
        <v>168.0092747443426</v>
      </c>
      <c r="S613" s="151" t="s">
        <v>2402</v>
      </c>
      <c r="T613" s="51" t="s">
        <v>2052</v>
      </c>
      <c r="U613" s="151" t="s">
        <v>3711</v>
      </c>
      <c r="V613" s="51" t="s">
        <v>2063</v>
      </c>
      <c r="W613" s="19"/>
      <c r="X613" s="19"/>
      <c r="Y613" s="99">
        <v>143</v>
      </c>
    </row>
    <row r="614" spans="2:25" s="165" customFormat="1" ht="20" x14ac:dyDescent="0.2">
      <c r="B614" s="150" t="s">
        <v>582</v>
      </c>
      <c r="C614" s="33" t="s">
        <v>106</v>
      </c>
      <c r="D614" s="33" t="s">
        <v>2876</v>
      </c>
      <c r="E614" s="175">
        <v>1</v>
      </c>
      <c r="F614" s="151" t="s">
        <v>1128</v>
      </c>
      <c r="G614" s="152">
        <v>2.5031213999999999</v>
      </c>
      <c r="H614" s="152">
        <v>1.5451366666666666</v>
      </c>
      <c r="I614" s="175">
        <v>287</v>
      </c>
      <c r="J614" s="266">
        <f>_xlfn.XLOOKUP($I614,Inputs!$C$6:$C$23,Inputs!$D$6:$D$23)*$G614</f>
        <v>1.1565811491</v>
      </c>
      <c r="K614" s="255"/>
      <c r="L614" s="186">
        <v>632</v>
      </c>
      <c r="M614" s="186">
        <v>1316</v>
      </c>
      <c r="N614" s="99">
        <f t="shared" si="135"/>
        <v>314.16630368007321</v>
      </c>
      <c r="O614" s="99">
        <f t="shared" si="136"/>
        <v>654.18173361230436</v>
      </c>
      <c r="P614" s="131">
        <v>0.9</v>
      </c>
      <c r="Q614" s="186">
        <f t="shared" si="138"/>
        <v>282.74967331206591</v>
      </c>
      <c r="R614" s="186">
        <f t="shared" si="139"/>
        <v>588.76356025107395</v>
      </c>
      <c r="S614" s="151" t="s">
        <v>244</v>
      </c>
      <c r="T614" s="51" t="s">
        <v>3281</v>
      </c>
      <c r="U614" s="151" t="s">
        <v>1786</v>
      </c>
      <c r="V614" s="51" t="s">
        <v>3290</v>
      </c>
      <c r="W614" s="19"/>
      <c r="X614" s="19"/>
      <c r="Y614" s="99">
        <v>432</v>
      </c>
    </row>
    <row r="615" spans="2:25" s="165" customFormat="1" ht="20" x14ac:dyDescent="0.2">
      <c r="B615" s="150" t="s">
        <v>1149</v>
      </c>
      <c r="C615" s="33" t="s">
        <v>106</v>
      </c>
      <c r="D615" s="33" t="s">
        <v>2876</v>
      </c>
      <c r="E615" s="175">
        <v>1</v>
      </c>
      <c r="F615" s="151" t="s">
        <v>1128</v>
      </c>
      <c r="G615" s="152">
        <v>7.2681799999999991E-2</v>
      </c>
      <c r="H615" s="152">
        <v>4.4865308641975299E-2</v>
      </c>
      <c r="I615" s="175">
        <v>69</v>
      </c>
      <c r="J615" s="266">
        <f>_xlfn.XLOOKUP($I615,Inputs!$C$6:$C$23,Inputs!$D$6:$D$23)*$G615</f>
        <v>2.7930577428571426E-2</v>
      </c>
      <c r="K615" s="255"/>
      <c r="L615" s="186">
        <v>1151</v>
      </c>
      <c r="M615" s="186">
        <v>1393</v>
      </c>
      <c r="N615" s="99">
        <f t="shared" si="135"/>
        <v>137.55774308631266</v>
      </c>
      <c r="O615" s="99">
        <f t="shared" si="136"/>
        <v>166.47952747109778</v>
      </c>
      <c r="P615" s="131">
        <v>0.9</v>
      </c>
      <c r="Q615" s="186">
        <f t="shared" si="138"/>
        <v>123.8019687776814</v>
      </c>
      <c r="R615" s="186">
        <f t="shared" si="139"/>
        <v>149.83157472398801</v>
      </c>
      <c r="S615" s="151" t="s">
        <v>2488</v>
      </c>
      <c r="T615" s="51" t="s">
        <v>2145</v>
      </c>
      <c r="U615" s="151" t="s">
        <v>190</v>
      </c>
      <c r="V615" s="51" t="s">
        <v>3479</v>
      </c>
      <c r="W615" s="19"/>
      <c r="X615" s="19"/>
      <c r="Y615" s="99">
        <v>589</v>
      </c>
    </row>
    <row r="616" spans="2:25" s="165" customFormat="1" ht="20" x14ac:dyDescent="0.2">
      <c r="B616" s="150" t="s">
        <v>1153</v>
      </c>
      <c r="C616" s="33" t="s">
        <v>106</v>
      </c>
      <c r="D616" s="33" t="s">
        <v>2876</v>
      </c>
      <c r="E616" s="175">
        <v>1</v>
      </c>
      <c r="F616" s="151" t="s">
        <v>1128</v>
      </c>
      <c r="G616" s="152">
        <v>0.99263520000000005</v>
      </c>
      <c r="H616" s="152">
        <v>0.61273777777777771</v>
      </c>
      <c r="I616" s="175">
        <v>69</v>
      </c>
      <c r="J616" s="266">
        <f>_xlfn.XLOOKUP($I616,Inputs!$C$6:$C$23,Inputs!$D$6:$D$23)*$G616</f>
        <v>0.3814555268571429</v>
      </c>
      <c r="K616" s="255"/>
      <c r="L616" s="186">
        <v>1151</v>
      </c>
      <c r="M616" s="186">
        <v>1393</v>
      </c>
      <c r="N616" s="99">
        <f t="shared" si="135"/>
        <v>137.55774308631266</v>
      </c>
      <c r="O616" s="99">
        <f t="shared" si="136"/>
        <v>166.47952747109778</v>
      </c>
      <c r="P616" s="131">
        <v>0.9</v>
      </c>
      <c r="Q616" s="186">
        <f t="shared" si="138"/>
        <v>123.8019687776814</v>
      </c>
      <c r="R616" s="186">
        <f t="shared" si="139"/>
        <v>149.83157472398801</v>
      </c>
      <c r="S616" s="151" t="s">
        <v>2488</v>
      </c>
      <c r="T616" s="51" t="s">
        <v>2145</v>
      </c>
      <c r="U616" s="151" t="s">
        <v>190</v>
      </c>
      <c r="V616" s="51" t="s">
        <v>3479</v>
      </c>
      <c r="W616" s="19"/>
      <c r="X616" s="19"/>
      <c r="Y616" s="99">
        <v>595</v>
      </c>
    </row>
    <row r="617" spans="2:25" s="165" customFormat="1" ht="20" x14ac:dyDescent="0.2">
      <c r="B617" s="150" t="s">
        <v>1148</v>
      </c>
      <c r="C617" s="33" t="s">
        <v>106</v>
      </c>
      <c r="D617" s="33" t="s">
        <v>2876</v>
      </c>
      <c r="E617" s="175">
        <v>1</v>
      </c>
      <c r="F617" s="151" t="s">
        <v>1128</v>
      </c>
      <c r="G617" s="152">
        <v>12</v>
      </c>
      <c r="H617" s="152">
        <v>7.4074074074074066</v>
      </c>
      <c r="I617" s="175">
        <v>69</v>
      </c>
      <c r="J617" s="266">
        <f>_xlfn.XLOOKUP($I617,Inputs!$C$6:$C$23,Inputs!$D$6:$D$23)*$G617</f>
        <v>4.6114285714285712</v>
      </c>
      <c r="K617" s="255"/>
      <c r="L617" s="186">
        <v>731</v>
      </c>
      <c r="M617" s="186">
        <v>880</v>
      </c>
      <c r="N617" s="99">
        <f t="shared" si="135"/>
        <v>87.3629106829666</v>
      </c>
      <c r="O617" s="99">
        <f t="shared" si="136"/>
        <v>105.17012503558223</v>
      </c>
      <c r="P617" s="131">
        <v>0.9</v>
      </c>
      <c r="Q617" s="186">
        <f t="shared" si="138"/>
        <v>78.626619614669949</v>
      </c>
      <c r="R617" s="186">
        <f t="shared" si="139"/>
        <v>94.653112532024011</v>
      </c>
      <c r="S617" s="151" t="s">
        <v>1879</v>
      </c>
      <c r="T617" s="51" t="s">
        <v>3159</v>
      </c>
      <c r="U617" s="151" t="s">
        <v>2488</v>
      </c>
      <c r="V617" s="51" t="s">
        <v>2145</v>
      </c>
      <c r="W617" s="19"/>
      <c r="X617" s="19"/>
      <c r="Y617" s="99">
        <v>588</v>
      </c>
    </row>
    <row r="618" spans="2:25" s="165" customFormat="1" ht="20" x14ac:dyDescent="0.2">
      <c r="B618" s="150" t="s">
        <v>1152</v>
      </c>
      <c r="C618" s="33" t="s">
        <v>106</v>
      </c>
      <c r="D618" s="33" t="s">
        <v>2876</v>
      </c>
      <c r="E618" s="175">
        <v>1</v>
      </c>
      <c r="F618" s="151" t="s">
        <v>1128</v>
      </c>
      <c r="G618" s="152">
        <v>3.83</v>
      </c>
      <c r="H618" s="152">
        <v>2.3641975308641974</v>
      </c>
      <c r="I618" s="175">
        <v>69</v>
      </c>
      <c r="J618" s="266">
        <f>_xlfn.XLOOKUP($I618,Inputs!$C$6:$C$23,Inputs!$D$6:$D$23)*$G618</f>
        <v>1.4718142857142857</v>
      </c>
      <c r="K618" s="255"/>
      <c r="L618" s="186">
        <v>1151</v>
      </c>
      <c r="M618" s="186">
        <v>1393</v>
      </c>
      <c r="N618" s="99">
        <f t="shared" si="135"/>
        <v>137.55774308631266</v>
      </c>
      <c r="O618" s="99">
        <f t="shared" si="136"/>
        <v>166.47952747109778</v>
      </c>
      <c r="P618" s="131">
        <v>0.9</v>
      </c>
      <c r="Q618" s="186">
        <f t="shared" si="138"/>
        <v>123.8019687776814</v>
      </c>
      <c r="R618" s="186">
        <f t="shared" si="139"/>
        <v>149.83157472398801</v>
      </c>
      <c r="S618" s="151" t="s">
        <v>1903</v>
      </c>
      <c r="T618" s="51" t="s">
        <v>3336</v>
      </c>
      <c r="U618" s="151" t="s">
        <v>2488</v>
      </c>
      <c r="V618" s="51" t="s">
        <v>2145</v>
      </c>
      <c r="W618" s="19"/>
      <c r="X618" s="19"/>
      <c r="Y618" s="99">
        <v>594</v>
      </c>
    </row>
    <row r="619" spans="2:25" s="165" customFormat="1" ht="20" x14ac:dyDescent="0.2">
      <c r="B619" s="150" t="s">
        <v>616</v>
      </c>
      <c r="C619" s="33" t="s">
        <v>106</v>
      </c>
      <c r="D619" s="33" t="s">
        <v>2876</v>
      </c>
      <c r="E619" s="175">
        <v>1</v>
      </c>
      <c r="F619" s="151" t="s">
        <v>1128</v>
      </c>
      <c r="G619" s="152">
        <v>3</v>
      </c>
      <c r="H619" s="152">
        <v>1.8518518518518516</v>
      </c>
      <c r="I619" s="175">
        <v>230</v>
      </c>
      <c r="J619" s="266">
        <f>_xlfn.XLOOKUP($I619,Inputs!$C$6:$C$23,Inputs!$D$6:$D$23)*$G619</f>
        <v>1.44</v>
      </c>
      <c r="K619" s="255"/>
      <c r="L619" s="186">
        <v>1055</v>
      </c>
      <c r="M619" s="186">
        <v>1280</v>
      </c>
      <c r="N619" s="99">
        <f t="shared" si="135"/>
        <v>420.282128456588</v>
      </c>
      <c r="O619" s="99">
        <f t="shared" si="136"/>
        <v>509.91575774827737</v>
      </c>
      <c r="P619" s="131">
        <v>0.9</v>
      </c>
      <c r="Q619" s="186">
        <f t="shared" si="138"/>
        <v>378.2539156109292</v>
      </c>
      <c r="R619" s="186">
        <f t="shared" si="139"/>
        <v>458.92418197344966</v>
      </c>
      <c r="S619" s="151" t="s">
        <v>3586</v>
      </c>
      <c r="T619" s="51" t="s">
        <v>3587</v>
      </c>
      <c r="U619" s="151" t="s">
        <v>1787</v>
      </c>
      <c r="V619" s="51" t="s">
        <v>3146</v>
      </c>
      <c r="W619" s="19"/>
      <c r="X619" s="19"/>
      <c r="Y619" s="99">
        <v>479</v>
      </c>
    </row>
    <row r="620" spans="2:25" s="165" customFormat="1" ht="20" x14ac:dyDescent="0.2">
      <c r="B620" s="150" t="s">
        <v>616</v>
      </c>
      <c r="C620" s="33" t="s">
        <v>106</v>
      </c>
      <c r="D620" s="33" t="s">
        <v>2876</v>
      </c>
      <c r="E620" s="175">
        <v>1</v>
      </c>
      <c r="F620" s="151" t="s">
        <v>1128</v>
      </c>
      <c r="G620" s="152">
        <v>26.74</v>
      </c>
      <c r="H620" s="152">
        <v>16.506172839506171</v>
      </c>
      <c r="I620" s="175">
        <v>230</v>
      </c>
      <c r="J620" s="266">
        <f>_xlfn.XLOOKUP($I620,Inputs!$C$6:$C$23,Inputs!$D$6:$D$23)*$G620</f>
        <v>12.835199999999999</v>
      </c>
      <c r="K620" s="255"/>
      <c r="L620" s="186">
        <v>1055</v>
      </c>
      <c r="M620" s="186">
        <v>1280</v>
      </c>
      <c r="N620" s="99">
        <f t="shared" si="135"/>
        <v>420.282128456588</v>
      </c>
      <c r="O620" s="99">
        <f t="shared" si="136"/>
        <v>509.91575774827737</v>
      </c>
      <c r="P620" s="131">
        <v>0.9</v>
      </c>
      <c r="Q620" s="186">
        <f t="shared" si="138"/>
        <v>378.2539156109292</v>
      </c>
      <c r="R620" s="186">
        <f t="shared" si="139"/>
        <v>458.92418197344966</v>
      </c>
      <c r="S620" s="151" t="s">
        <v>2477</v>
      </c>
      <c r="T620" s="51" t="s">
        <v>2132</v>
      </c>
      <c r="U620" s="151" t="s">
        <v>3586</v>
      </c>
      <c r="V620" s="51" t="s">
        <v>3587</v>
      </c>
      <c r="W620" s="19"/>
      <c r="X620" s="19"/>
      <c r="Y620" s="99">
        <v>477</v>
      </c>
    </row>
    <row r="621" spans="2:25" s="165" customFormat="1" ht="20" x14ac:dyDescent="0.2">
      <c r="B621" s="150" t="s">
        <v>625</v>
      </c>
      <c r="C621" s="33" t="s">
        <v>106</v>
      </c>
      <c r="D621" s="33" t="s">
        <v>2876</v>
      </c>
      <c r="E621" s="175">
        <v>1</v>
      </c>
      <c r="F621" s="151" t="s">
        <v>1128</v>
      </c>
      <c r="G621" s="152">
        <v>4.2546900999999995</v>
      </c>
      <c r="H621" s="152">
        <v>2.6263519135802462</v>
      </c>
      <c r="I621" s="175">
        <v>230</v>
      </c>
      <c r="J621" s="266">
        <f>_xlfn.XLOOKUP($I621,Inputs!$C$6:$C$23,Inputs!$D$6:$D$23)*$G621</f>
        <v>2.0422512479999995</v>
      </c>
      <c r="K621" s="267">
        <f>IF((42.4*(H621)^(-0.6595))&gt;=3,3,(IF(42.4*(H621)^(-0.6595)&lt;=0.5,0.5,(42.4*(H621)^(-0.6595)))))</f>
        <v>3</v>
      </c>
      <c r="L621" s="99"/>
      <c r="M621" s="99"/>
      <c r="N621" s="99">
        <f t="shared" si="135"/>
        <v>0</v>
      </c>
      <c r="O621" s="99">
        <f t="shared" si="136"/>
        <v>0</v>
      </c>
      <c r="P621" s="131">
        <v>0.9</v>
      </c>
      <c r="Q621" s="305">
        <f>_xlfn.XLOOKUP($I621,Inputs!$G$6:$G$23,Inputs!J$6:J$23)*$K621</f>
        <v>402</v>
      </c>
      <c r="R621" s="305">
        <f>_xlfn.XLOOKUP($I621,Inputs!$G$6:$G$23,Inputs!K$6:K$23)*$K621</f>
        <v>435</v>
      </c>
      <c r="S621" s="151" t="s">
        <v>1787</v>
      </c>
      <c r="T621" s="51" t="s">
        <v>3146</v>
      </c>
      <c r="U621" s="151" t="s">
        <v>3586</v>
      </c>
      <c r="V621" s="51" t="s">
        <v>3587</v>
      </c>
      <c r="W621" s="19"/>
      <c r="X621" s="19"/>
      <c r="Y621" s="99">
        <v>495</v>
      </c>
    </row>
    <row r="622" spans="2:25" s="165" customFormat="1" ht="20" x14ac:dyDescent="0.2">
      <c r="B622" s="150" t="s">
        <v>565</v>
      </c>
      <c r="C622" s="33" t="s">
        <v>106</v>
      </c>
      <c r="D622" s="33" t="s">
        <v>2876</v>
      </c>
      <c r="E622" s="175">
        <v>1</v>
      </c>
      <c r="F622" s="151" t="s">
        <v>1128</v>
      </c>
      <c r="G622" s="152">
        <v>27.5616667</v>
      </c>
      <c r="H622" s="152">
        <v>17.013374506172838</v>
      </c>
      <c r="I622" s="175">
        <v>230</v>
      </c>
      <c r="J622" s="266">
        <f>_xlfn.XLOOKUP($I622,Inputs!$C$6:$C$23,Inputs!$D$6:$D$23)*$G622</f>
        <v>13.229600015999999</v>
      </c>
      <c r="K622" s="255"/>
      <c r="L622" s="186">
        <v>1700</v>
      </c>
      <c r="M622" s="186">
        <v>2204</v>
      </c>
      <c r="N622" s="99">
        <f t="shared" si="135"/>
        <v>677.23186575943089</v>
      </c>
      <c r="O622" s="99">
        <f t="shared" si="136"/>
        <v>878.01119537281522</v>
      </c>
      <c r="P622" s="131">
        <v>0.9</v>
      </c>
      <c r="Q622" s="186">
        <f t="shared" ref="Q622:R627" si="140">N622*$P622</f>
        <v>609.50867918348786</v>
      </c>
      <c r="R622" s="186">
        <f t="shared" si="140"/>
        <v>790.21007583553376</v>
      </c>
      <c r="S622" s="151" t="s">
        <v>1789</v>
      </c>
      <c r="T622" s="51" t="s">
        <v>3292</v>
      </c>
      <c r="U622" s="151" t="s">
        <v>1788</v>
      </c>
      <c r="V622" s="51" t="s">
        <v>3291</v>
      </c>
      <c r="W622" s="19"/>
      <c r="X622" s="19"/>
      <c r="Y622" s="99">
        <v>414</v>
      </c>
    </row>
    <row r="623" spans="2:25" s="165" customFormat="1" ht="20" x14ac:dyDescent="0.2">
      <c r="B623" s="150" t="s">
        <v>564</v>
      </c>
      <c r="C623" s="33" t="s">
        <v>106</v>
      </c>
      <c r="D623" s="33" t="s">
        <v>2876</v>
      </c>
      <c r="E623" s="175">
        <v>1</v>
      </c>
      <c r="F623" s="151" t="s">
        <v>1128</v>
      </c>
      <c r="G623" s="152">
        <v>9.3400105999999994</v>
      </c>
      <c r="H623" s="152">
        <v>5.7654386419753081</v>
      </c>
      <c r="I623" s="175">
        <v>230</v>
      </c>
      <c r="J623" s="266">
        <f>_xlfn.XLOOKUP($I623,Inputs!$C$6:$C$23,Inputs!$D$6:$D$23)*$G623</f>
        <v>4.4832050879999992</v>
      </c>
      <c r="K623" s="255"/>
      <c r="L623" s="186">
        <v>1700</v>
      </c>
      <c r="M623" s="3">
        <v>2204</v>
      </c>
      <c r="N623" s="99">
        <f t="shared" si="135"/>
        <v>677.23186575943089</v>
      </c>
      <c r="O623" s="99">
        <f t="shared" si="136"/>
        <v>878.01119537281522</v>
      </c>
      <c r="P623" s="131">
        <v>0.9</v>
      </c>
      <c r="Q623" s="186">
        <f t="shared" si="140"/>
        <v>609.50867918348786</v>
      </c>
      <c r="R623" s="186">
        <f t="shared" si="140"/>
        <v>790.21007583553376</v>
      </c>
      <c r="S623" s="151" t="s">
        <v>1676</v>
      </c>
      <c r="T623" s="51" t="s">
        <v>3248</v>
      </c>
      <c r="U623" s="151" t="s">
        <v>1789</v>
      </c>
      <c r="V623" s="51" t="s">
        <v>3292</v>
      </c>
      <c r="W623" s="19"/>
      <c r="X623" s="19"/>
      <c r="Y623" s="99">
        <v>413</v>
      </c>
    </row>
    <row r="624" spans="2:25" s="165" customFormat="1" ht="20" x14ac:dyDescent="0.2">
      <c r="B624" s="150" t="s">
        <v>1141</v>
      </c>
      <c r="C624" s="33" t="s">
        <v>106</v>
      </c>
      <c r="D624" s="33" t="s">
        <v>2876</v>
      </c>
      <c r="E624" s="175">
        <v>1</v>
      </c>
      <c r="F624" s="151" t="s">
        <v>1128</v>
      </c>
      <c r="G624" s="152">
        <v>10.72</v>
      </c>
      <c r="H624" s="152">
        <v>6.617283950617284</v>
      </c>
      <c r="I624" s="175">
        <v>69</v>
      </c>
      <c r="J624" s="266">
        <f>_xlfn.XLOOKUP($I624,Inputs!$C$6:$C$23,Inputs!$D$6:$D$23)*$G624</f>
        <v>4.1195428571428572</v>
      </c>
      <c r="K624" s="255"/>
      <c r="L624" s="186">
        <v>1145</v>
      </c>
      <c r="M624" s="3">
        <v>1388</v>
      </c>
      <c r="N624" s="99">
        <f t="shared" si="135"/>
        <v>136.84067405197914</v>
      </c>
      <c r="O624" s="99">
        <f t="shared" si="136"/>
        <v>165.88196994248651</v>
      </c>
      <c r="P624" s="131">
        <v>0.9</v>
      </c>
      <c r="Q624" s="186">
        <f t="shared" si="140"/>
        <v>123.15660664678123</v>
      </c>
      <c r="R624" s="186">
        <f t="shared" si="140"/>
        <v>149.29377294823786</v>
      </c>
      <c r="S624" s="151" t="s">
        <v>2483</v>
      </c>
      <c r="T624" s="51" t="s">
        <v>2138</v>
      </c>
      <c r="U624" s="151" t="s">
        <v>1789</v>
      </c>
      <c r="V624" s="51" t="s">
        <v>3292</v>
      </c>
      <c r="W624" s="19"/>
      <c r="X624" s="19"/>
      <c r="Y624" s="99">
        <v>568</v>
      </c>
    </row>
    <row r="625" spans="2:25" s="165" customFormat="1" ht="20" x14ac:dyDescent="0.2">
      <c r="B625" s="150" t="s">
        <v>1142</v>
      </c>
      <c r="C625" s="33" t="s">
        <v>106</v>
      </c>
      <c r="D625" s="33" t="s">
        <v>2876</v>
      </c>
      <c r="E625" s="175">
        <v>1</v>
      </c>
      <c r="F625" s="151" t="s">
        <v>1128</v>
      </c>
      <c r="G625" s="152">
        <v>10.72</v>
      </c>
      <c r="H625" s="152">
        <v>6.617283950617284</v>
      </c>
      <c r="I625" s="175">
        <v>69</v>
      </c>
      <c r="J625" s="266">
        <f>_xlfn.XLOOKUP($I625,Inputs!$C$6:$C$23,Inputs!$D$6:$D$23)*$G625</f>
        <v>4.1195428571428572</v>
      </c>
      <c r="K625" s="255"/>
      <c r="L625" s="186">
        <v>1145</v>
      </c>
      <c r="M625" s="186">
        <v>1388</v>
      </c>
      <c r="N625" s="99">
        <f t="shared" si="135"/>
        <v>136.84067405197914</v>
      </c>
      <c r="O625" s="99">
        <f t="shared" si="136"/>
        <v>165.88196994248651</v>
      </c>
      <c r="P625" s="131">
        <v>0.9</v>
      </c>
      <c r="Q625" s="186">
        <f t="shared" si="140"/>
        <v>123.15660664678123</v>
      </c>
      <c r="R625" s="186">
        <f t="shared" si="140"/>
        <v>149.29377294823786</v>
      </c>
      <c r="S625" s="151" t="s">
        <v>2483</v>
      </c>
      <c r="T625" s="51" t="s">
        <v>2138</v>
      </c>
      <c r="U625" s="151" t="s">
        <v>1789</v>
      </c>
      <c r="V625" s="51" t="s">
        <v>3292</v>
      </c>
      <c r="W625" s="19"/>
      <c r="X625" s="19"/>
      <c r="Y625" s="99">
        <v>572</v>
      </c>
    </row>
    <row r="626" spans="2:25" s="165" customFormat="1" ht="20" x14ac:dyDescent="0.2">
      <c r="B626" s="150" t="s">
        <v>2379</v>
      </c>
      <c r="C626" s="33" t="s">
        <v>106</v>
      </c>
      <c r="D626" s="33" t="s">
        <v>2876</v>
      </c>
      <c r="E626" s="175">
        <v>1</v>
      </c>
      <c r="F626" s="151" t="s">
        <v>1128</v>
      </c>
      <c r="G626" s="152">
        <v>3</v>
      </c>
      <c r="H626" s="152">
        <v>1.8518518518518516</v>
      </c>
      <c r="I626" s="175">
        <v>230</v>
      </c>
      <c r="J626" s="266">
        <f>_xlfn.XLOOKUP($I626,Inputs!$C$6:$C$23,Inputs!$D$6:$D$23)*$G626</f>
        <v>1.44</v>
      </c>
      <c r="K626" s="255"/>
      <c r="L626" s="186">
        <v>1055</v>
      </c>
      <c r="M626" s="3">
        <v>1280</v>
      </c>
      <c r="N626" s="99">
        <f t="shared" si="135"/>
        <v>420.282128456588</v>
      </c>
      <c r="O626" s="99">
        <f t="shared" si="136"/>
        <v>509.91575774827737</v>
      </c>
      <c r="P626" s="131">
        <v>0.9</v>
      </c>
      <c r="Q626" s="186">
        <f t="shared" si="140"/>
        <v>378.2539156109292</v>
      </c>
      <c r="R626" s="186">
        <f t="shared" si="140"/>
        <v>458.92418197344966</v>
      </c>
      <c r="S626" s="151" t="s">
        <v>2479</v>
      </c>
      <c r="T626" s="51" t="s">
        <v>2134</v>
      </c>
      <c r="U626" s="151" t="s">
        <v>2317</v>
      </c>
      <c r="V626" s="51" t="s">
        <v>3147</v>
      </c>
      <c r="W626" s="19"/>
      <c r="X626" s="19"/>
      <c r="Y626" s="99">
        <v>493</v>
      </c>
    </row>
    <row r="627" spans="2:25" s="165" customFormat="1" ht="20" x14ac:dyDescent="0.2">
      <c r="B627" s="150" t="s">
        <v>624</v>
      </c>
      <c r="C627" s="33" t="s">
        <v>106</v>
      </c>
      <c r="D627" s="33" t="s">
        <v>2876</v>
      </c>
      <c r="E627" s="175">
        <v>1</v>
      </c>
      <c r="F627" s="151" t="s">
        <v>1128</v>
      </c>
      <c r="G627" s="152">
        <v>8</v>
      </c>
      <c r="H627" s="152">
        <v>4.9382716049382713</v>
      </c>
      <c r="I627" s="175">
        <v>230</v>
      </c>
      <c r="J627" s="266">
        <f>_xlfn.XLOOKUP($I627,Inputs!$C$6:$C$23,Inputs!$D$6:$D$23)*$G627</f>
        <v>3.84</v>
      </c>
      <c r="K627" s="255"/>
      <c r="L627" s="186">
        <v>1055</v>
      </c>
      <c r="M627" s="186">
        <v>1280</v>
      </c>
      <c r="N627" s="99">
        <f t="shared" si="135"/>
        <v>420.282128456588</v>
      </c>
      <c r="O627" s="99">
        <f t="shared" si="136"/>
        <v>509.91575774827737</v>
      </c>
      <c r="P627" s="131">
        <v>0.9</v>
      </c>
      <c r="Q627" s="186">
        <f t="shared" si="140"/>
        <v>378.2539156109292</v>
      </c>
      <c r="R627" s="186">
        <f t="shared" si="140"/>
        <v>458.92418197344966</v>
      </c>
      <c r="S627" s="151" t="s">
        <v>3586</v>
      </c>
      <c r="T627" s="51" t="s">
        <v>3587</v>
      </c>
      <c r="U627" s="151" t="s">
        <v>2479</v>
      </c>
      <c r="V627" s="51" t="s">
        <v>2134</v>
      </c>
      <c r="W627" s="19"/>
      <c r="X627" s="19"/>
      <c r="Y627" s="99">
        <v>492</v>
      </c>
    </row>
    <row r="628" spans="2:25" s="165" customFormat="1" ht="20" x14ac:dyDescent="0.2">
      <c r="B628" s="151" t="s">
        <v>1510</v>
      </c>
      <c r="C628" s="33" t="s">
        <v>106</v>
      </c>
      <c r="D628" s="33" t="s">
        <v>2876</v>
      </c>
      <c r="E628" s="175">
        <v>1</v>
      </c>
      <c r="F628" s="151" t="s">
        <v>1128</v>
      </c>
      <c r="G628" s="174">
        <v>90</v>
      </c>
      <c r="H628" s="152">
        <v>55.55555555555555</v>
      </c>
      <c r="I628" s="175">
        <v>230</v>
      </c>
      <c r="J628" s="266">
        <f>_xlfn.XLOOKUP($I628,Inputs!$C$6:$C$23,Inputs!$D$6:$D$23)*$G628</f>
        <v>43.199999999999996</v>
      </c>
      <c r="K628" s="267">
        <f>IF((42.4*(H628)^(-0.6595))&gt;=3,3,(IF(42.4*(H628)^(-0.6595)&lt;=0.5,0.5,(42.4*(H628)^(-0.6595)))))</f>
        <v>2.9972162166153491</v>
      </c>
      <c r="L628" s="99"/>
      <c r="M628" s="99"/>
      <c r="N628" s="99">
        <f t="shared" ref="N628:N659" si="141">(SQRT(3)*L628*$I628)/1000</f>
        <v>0</v>
      </c>
      <c r="O628" s="99">
        <f t="shared" ref="O628:O659" si="142">(SQRT(3)*M628*$I628)/1000</f>
        <v>0</v>
      </c>
      <c r="P628" s="131">
        <v>0.9</v>
      </c>
      <c r="Q628" s="305">
        <f>_xlfn.XLOOKUP($I628,Inputs!$G$6:$G$23,Inputs!J$6:J$23)*$K628</f>
        <v>401.62697302645677</v>
      </c>
      <c r="R628" s="305">
        <f>_xlfn.XLOOKUP($I628,Inputs!$G$6:$G$23,Inputs!K$6:K$23)*$K628</f>
        <v>434.59635140922563</v>
      </c>
      <c r="S628" s="151" t="s">
        <v>1743</v>
      </c>
      <c r="T628" s="51" t="s">
        <v>3274</v>
      </c>
      <c r="U628" s="151" t="s">
        <v>1790</v>
      </c>
      <c r="V628" s="51" t="s">
        <v>3459</v>
      </c>
      <c r="W628" s="19"/>
      <c r="X628" s="19"/>
      <c r="Y628" s="99">
        <v>482</v>
      </c>
    </row>
    <row r="629" spans="2:25" s="165" customFormat="1" ht="20" x14ac:dyDescent="0.2">
      <c r="B629" s="151" t="s">
        <v>1514</v>
      </c>
      <c r="C629" s="33" t="s">
        <v>106</v>
      </c>
      <c r="D629" s="33" t="s">
        <v>2876</v>
      </c>
      <c r="E629" s="175">
        <v>1</v>
      </c>
      <c r="F629" s="151" t="s">
        <v>1128</v>
      </c>
      <c r="G629" s="174">
        <v>0.01</v>
      </c>
      <c r="H629" s="152">
        <v>6.1728395061728392E-3</v>
      </c>
      <c r="I629" s="175">
        <v>230</v>
      </c>
      <c r="J629" s="266">
        <f>_xlfn.XLOOKUP($I629,Inputs!$C$6:$C$23,Inputs!$D$6:$D$23)*$G629</f>
        <v>4.7999999999999996E-3</v>
      </c>
      <c r="K629" s="267">
        <f>IF((42.4*(H629)^(-0.6595))&gt;=3,3,(IF(42.4*(H629)^(-0.6595)&lt;=0.5,0.5,(42.4*(H629)^(-0.6595)))))</f>
        <v>3</v>
      </c>
      <c r="L629" s="99"/>
      <c r="M629" s="99"/>
      <c r="N629" s="99">
        <f t="shared" si="141"/>
        <v>0</v>
      </c>
      <c r="O629" s="99">
        <f t="shared" si="142"/>
        <v>0</v>
      </c>
      <c r="P629" s="131">
        <v>0.9</v>
      </c>
      <c r="Q629" s="305">
        <f>_xlfn.XLOOKUP($I629,Inputs!$G$6:$G$23,Inputs!J$6:J$23)*$K629</f>
        <v>402</v>
      </c>
      <c r="R629" s="305">
        <f>_xlfn.XLOOKUP($I629,Inputs!$G$6:$G$23,Inputs!K$6:K$23)*$K629</f>
        <v>435</v>
      </c>
      <c r="S629" s="151" t="s">
        <v>2477</v>
      </c>
      <c r="T629" s="51" t="s">
        <v>2132</v>
      </c>
      <c r="U629" s="151" t="s">
        <v>2336</v>
      </c>
      <c r="V629" s="51" t="s">
        <v>3628</v>
      </c>
      <c r="W629" s="19"/>
      <c r="X629" s="97"/>
      <c r="Y629" s="99">
        <v>478</v>
      </c>
    </row>
    <row r="630" spans="2:25" s="165" customFormat="1" ht="20" x14ac:dyDescent="0.2">
      <c r="B630" s="150" t="s">
        <v>616</v>
      </c>
      <c r="C630" s="33" t="s">
        <v>106</v>
      </c>
      <c r="D630" s="33" t="s">
        <v>2876</v>
      </c>
      <c r="E630" s="175">
        <v>1</v>
      </c>
      <c r="F630" s="151" t="s">
        <v>1128</v>
      </c>
      <c r="G630" s="152">
        <v>3</v>
      </c>
      <c r="H630" s="152">
        <v>1.8518518518518516</v>
      </c>
      <c r="I630" s="175">
        <v>230</v>
      </c>
      <c r="J630" s="266">
        <f>_xlfn.XLOOKUP($I630,Inputs!$C$6:$C$23,Inputs!$D$6:$D$23)*$G630</f>
        <v>1.44</v>
      </c>
      <c r="K630" s="255"/>
      <c r="L630" s="186">
        <v>1055</v>
      </c>
      <c r="M630" s="186">
        <v>1280</v>
      </c>
      <c r="N630" s="99">
        <f t="shared" si="141"/>
        <v>420.282128456588</v>
      </c>
      <c r="O630" s="99">
        <f t="shared" si="142"/>
        <v>509.91575774827737</v>
      </c>
      <c r="P630" s="131">
        <v>0.9</v>
      </c>
      <c r="Q630" s="186">
        <f t="shared" ref="Q630:R632" si="143">N630*$P630</f>
        <v>378.2539156109292</v>
      </c>
      <c r="R630" s="186">
        <f t="shared" si="143"/>
        <v>458.92418197344966</v>
      </c>
      <c r="S630" s="151" t="s">
        <v>2476</v>
      </c>
      <c r="T630" s="51" t="s">
        <v>2131</v>
      </c>
      <c r="U630" s="151" t="s">
        <v>2477</v>
      </c>
      <c r="V630" s="51" t="s">
        <v>2132</v>
      </c>
      <c r="W630" s="19"/>
      <c r="X630" s="19"/>
      <c r="Y630" s="99">
        <v>476</v>
      </c>
    </row>
    <row r="631" spans="2:25" s="165" customFormat="1" ht="20" x14ac:dyDescent="0.2">
      <c r="B631" s="150" t="s">
        <v>535</v>
      </c>
      <c r="C631" s="33" t="s">
        <v>106</v>
      </c>
      <c r="D631" s="33" t="s">
        <v>2876</v>
      </c>
      <c r="E631" s="175">
        <v>1</v>
      </c>
      <c r="F631" s="151" t="s">
        <v>1128</v>
      </c>
      <c r="G631" s="152">
        <v>3.363963</v>
      </c>
      <c r="H631" s="152">
        <v>2.0765203703703703</v>
      </c>
      <c r="I631" s="175">
        <v>230</v>
      </c>
      <c r="J631" s="266">
        <f>_xlfn.XLOOKUP($I631,Inputs!$C$6:$C$23,Inputs!$D$6:$D$23)*$G631</f>
        <v>1.61470224</v>
      </c>
      <c r="K631" s="255"/>
      <c r="L631" s="186">
        <v>719</v>
      </c>
      <c r="M631" s="186">
        <v>916</v>
      </c>
      <c r="N631" s="99">
        <f t="shared" si="141"/>
        <v>286.42924204766518</v>
      </c>
      <c r="O631" s="99">
        <f t="shared" si="142"/>
        <v>364.90846413861107</v>
      </c>
      <c r="P631" s="131">
        <v>0.9</v>
      </c>
      <c r="Q631" s="186">
        <f t="shared" si="143"/>
        <v>257.78631784289865</v>
      </c>
      <c r="R631" s="186">
        <f t="shared" si="143"/>
        <v>328.41761772474996</v>
      </c>
      <c r="S631" s="151" t="s">
        <v>1639</v>
      </c>
      <c r="T631" s="51" t="s">
        <v>3240</v>
      </c>
      <c r="U631" s="151" t="s">
        <v>1792</v>
      </c>
      <c r="V631" s="51" t="s">
        <v>3404</v>
      </c>
      <c r="W631" s="19"/>
      <c r="X631" s="19"/>
      <c r="Y631" s="99">
        <v>369</v>
      </c>
    </row>
    <row r="632" spans="2:25" s="165" customFormat="1" ht="20" x14ac:dyDescent="0.2">
      <c r="B632" s="150" t="s">
        <v>545</v>
      </c>
      <c r="C632" s="33" t="s">
        <v>106</v>
      </c>
      <c r="D632" s="33" t="s">
        <v>2876</v>
      </c>
      <c r="E632" s="175">
        <v>1</v>
      </c>
      <c r="F632" s="151" t="s">
        <v>1128</v>
      </c>
      <c r="G632" s="152">
        <v>4.6338271999999998</v>
      </c>
      <c r="H632" s="152">
        <v>2.8603871604938269</v>
      </c>
      <c r="I632" s="175">
        <v>230</v>
      </c>
      <c r="J632" s="266">
        <f>_xlfn.XLOOKUP($I632,Inputs!$C$6:$C$23,Inputs!$D$6:$D$23)*$G632</f>
        <v>2.2242370559999998</v>
      </c>
      <c r="K632" s="255"/>
      <c r="L632" s="186">
        <v>1173</v>
      </c>
      <c r="M632" s="186">
        <v>1245</v>
      </c>
      <c r="N632" s="99">
        <f t="shared" si="141"/>
        <v>467.28998737400741</v>
      </c>
      <c r="O632" s="99">
        <f t="shared" si="142"/>
        <v>495.97274874734802</v>
      </c>
      <c r="P632" s="131">
        <v>0.9</v>
      </c>
      <c r="Q632" s="186">
        <f t="shared" si="143"/>
        <v>420.56098863660668</v>
      </c>
      <c r="R632" s="186">
        <f t="shared" si="143"/>
        <v>446.37547387261321</v>
      </c>
      <c r="S632" s="151" t="s">
        <v>1895</v>
      </c>
      <c r="T632" s="51" t="s">
        <v>3332</v>
      </c>
      <c r="U632" s="151" t="s">
        <v>1792</v>
      </c>
      <c r="V632" s="51" t="s">
        <v>3404</v>
      </c>
      <c r="W632" s="19"/>
      <c r="X632" s="19"/>
      <c r="Y632" s="99">
        <v>387</v>
      </c>
    </row>
    <row r="633" spans="2:25" s="165" customFormat="1" ht="20" x14ac:dyDescent="0.2">
      <c r="B633" s="151" t="s">
        <v>1519</v>
      </c>
      <c r="C633" s="33" t="s">
        <v>106</v>
      </c>
      <c r="D633" s="33" t="s">
        <v>2876</v>
      </c>
      <c r="E633" s="175">
        <v>1</v>
      </c>
      <c r="F633" s="151" t="s">
        <v>1128</v>
      </c>
      <c r="G633" s="174">
        <v>1</v>
      </c>
      <c r="H633" s="152">
        <v>0.61728395061728392</v>
      </c>
      <c r="I633" s="175">
        <v>230</v>
      </c>
      <c r="J633" s="266">
        <f>_xlfn.XLOOKUP($I633,Inputs!$C$6:$C$23,Inputs!$D$6:$D$23)*$G633</f>
        <v>0.48</v>
      </c>
      <c r="K633" s="267">
        <f>IF((42.4*(H633)^(-0.6595))&gt;=3,3,(IF(42.4*(H633)^(-0.6595)&lt;=0.5,0.5,(42.4*(H633)^(-0.6595)))))</f>
        <v>3</v>
      </c>
      <c r="L633" s="99"/>
      <c r="M633" s="99"/>
      <c r="N633" s="99">
        <f t="shared" si="141"/>
        <v>0</v>
      </c>
      <c r="O633" s="99">
        <f t="shared" si="142"/>
        <v>0</v>
      </c>
      <c r="P633" s="131">
        <v>0.9</v>
      </c>
      <c r="Q633" s="305">
        <f>_xlfn.XLOOKUP($I633,Inputs!$G$6:$G$23,Inputs!J$6:J$23)*$K633</f>
        <v>402</v>
      </c>
      <c r="R633" s="305">
        <f>_xlfn.XLOOKUP($I633,Inputs!$G$6:$G$23,Inputs!K$6:K$23)*$K633</f>
        <v>435</v>
      </c>
      <c r="S633" s="151" t="s">
        <v>2478</v>
      </c>
      <c r="T633" s="51" t="s">
        <v>2133</v>
      </c>
      <c r="U633" s="151" t="s">
        <v>2024</v>
      </c>
      <c r="V633" s="51" t="s">
        <v>3666</v>
      </c>
      <c r="W633" s="19"/>
      <c r="X633" s="19"/>
      <c r="Y633" s="99">
        <v>487</v>
      </c>
    </row>
    <row r="634" spans="2:25" s="165" customFormat="1" ht="20" x14ac:dyDescent="0.2">
      <c r="B634" s="150" t="s">
        <v>620</v>
      </c>
      <c r="C634" s="33" t="s">
        <v>106</v>
      </c>
      <c r="D634" s="33" t="s">
        <v>2876</v>
      </c>
      <c r="E634" s="175">
        <v>1</v>
      </c>
      <c r="F634" s="151" t="s">
        <v>1128</v>
      </c>
      <c r="G634" s="152">
        <v>18</v>
      </c>
      <c r="H634" s="152">
        <v>11.111111111111111</v>
      </c>
      <c r="I634" s="175">
        <v>230</v>
      </c>
      <c r="J634" s="266">
        <f>_xlfn.XLOOKUP($I634,Inputs!$C$6:$C$23,Inputs!$D$6:$D$23)*$G634</f>
        <v>8.64</v>
      </c>
      <c r="K634" s="255"/>
      <c r="L634" s="186">
        <v>1055</v>
      </c>
      <c r="M634" s="186">
        <v>1280</v>
      </c>
      <c r="N634" s="99">
        <f t="shared" si="141"/>
        <v>420.282128456588</v>
      </c>
      <c r="O634" s="99">
        <f t="shared" si="142"/>
        <v>509.91575774827737</v>
      </c>
      <c r="P634" s="131">
        <v>0.9</v>
      </c>
      <c r="Q634" s="186">
        <f>N634*$P634</f>
        <v>378.2539156109292</v>
      </c>
      <c r="R634" s="186">
        <f>O634*$P634</f>
        <v>458.92418197344966</v>
      </c>
      <c r="S634" s="151" t="s">
        <v>274</v>
      </c>
      <c r="T634" s="51" t="s">
        <v>3343</v>
      </c>
      <c r="U634" s="151" t="s">
        <v>2478</v>
      </c>
      <c r="V634" s="51" t="s">
        <v>2133</v>
      </c>
      <c r="W634" s="19"/>
      <c r="X634" s="19"/>
      <c r="Y634" s="99">
        <v>486</v>
      </c>
    </row>
    <row r="635" spans="2:25" s="165" customFormat="1" ht="20" x14ac:dyDescent="0.2">
      <c r="B635" s="150" t="s">
        <v>1135</v>
      </c>
      <c r="C635" s="33" t="s">
        <v>106</v>
      </c>
      <c r="D635" s="33" t="s">
        <v>2876</v>
      </c>
      <c r="E635" s="175">
        <v>1</v>
      </c>
      <c r="F635" s="151" t="s">
        <v>1128</v>
      </c>
      <c r="G635" s="152">
        <v>4.7723399999999999E-2</v>
      </c>
      <c r="H635" s="152">
        <v>2.9458888888888885E-2</v>
      </c>
      <c r="I635" s="175">
        <v>69</v>
      </c>
      <c r="J635" s="266">
        <f>_xlfn.XLOOKUP($I635,Inputs!$C$6:$C$23,Inputs!$D$6:$D$23)*$G635</f>
        <v>1.8339420857142855E-2</v>
      </c>
      <c r="K635" s="267">
        <f>IF((42.4*(H635)^(-0.6595))&gt;=3,3,(IF(42.4*(H635)^(-0.6595)&lt;=0.5,0.5,(42.4*(H635)^(-0.6595)))))</f>
        <v>3</v>
      </c>
      <c r="L635" s="99"/>
      <c r="M635" s="99"/>
      <c r="N635" s="99">
        <f t="shared" si="141"/>
        <v>0</v>
      </c>
      <c r="O635" s="99">
        <f t="shared" si="142"/>
        <v>0</v>
      </c>
      <c r="P635" s="131">
        <v>0.9</v>
      </c>
      <c r="Q635" s="305">
        <f>_xlfn.XLOOKUP($I635,Inputs!$G$6:$G$23,Inputs!J$6:J$23)*$K635</f>
        <v>36</v>
      </c>
      <c r="R635" s="305">
        <f>_xlfn.XLOOKUP($I635,Inputs!$G$6:$G$23,Inputs!K$6:K$23)*$K635</f>
        <v>39</v>
      </c>
      <c r="S635" s="151" t="s">
        <v>2481</v>
      </c>
      <c r="T635" s="51" t="s">
        <v>2137</v>
      </c>
      <c r="U635" s="151" t="s">
        <v>1793</v>
      </c>
      <c r="V635" s="51" t="s">
        <v>3481</v>
      </c>
      <c r="W635" s="19"/>
      <c r="X635" s="19"/>
      <c r="Y635" s="99">
        <v>556</v>
      </c>
    </row>
    <row r="636" spans="2:25" s="165" customFormat="1" ht="20" x14ac:dyDescent="0.2">
      <c r="B636" s="150" t="s">
        <v>1137</v>
      </c>
      <c r="C636" s="33" t="s">
        <v>106</v>
      </c>
      <c r="D636" s="33" t="s">
        <v>2876</v>
      </c>
      <c r="E636" s="175">
        <v>1</v>
      </c>
      <c r="F636" s="151" t="s">
        <v>1128</v>
      </c>
      <c r="G636" s="152">
        <v>2.23422E-2</v>
      </c>
      <c r="H636" s="152">
        <v>1.3791481481481481E-2</v>
      </c>
      <c r="I636" s="175">
        <v>69</v>
      </c>
      <c r="J636" s="266">
        <f>_xlfn.XLOOKUP($I636,Inputs!$C$6:$C$23,Inputs!$D$6:$D$23)*$G636</f>
        <v>8.585788285714286E-3</v>
      </c>
      <c r="K636" s="267">
        <f>IF((42.4*(H636)^(-0.6595))&gt;=3,3,(IF(42.4*(H636)^(-0.6595)&lt;=0.5,0.5,(42.4*(H636)^(-0.6595)))))</f>
        <v>3</v>
      </c>
      <c r="L636" s="99"/>
      <c r="M636" s="99"/>
      <c r="N636" s="99">
        <f t="shared" si="141"/>
        <v>0</v>
      </c>
      <c r="O636" s="99">
        <f t="shared" si="142"/>
        <v>0</v>
      </c>
      <c r="P636" s="131">
        <v>0.9</v>
      </c>
      <c r="Q636" s="305">
        <f>_xlfn.XLOOKUP($I636,Inputs!$G$6:$G$23,Inputs!J$6:J$23)*$K636</f>
        <v>36</v>
      </c>
      <c r="R636" s="305">
        <f>_xlfn.XLOOKUP($I636,Inputs!$G$6:$G$23,Inputs!K$6:K$23)*$K636</f>
        <v>39</v>
      </c>
      <c r="S636" s="151" t="s">
        <v>2481</v>
      </c>
      <c r="T636" s="51" t="s">
        <v>2137</v>
      </c>
      <c r="U636" s="151" t="s">
        <v>1793</v>
      </c>
      <c r="V636" s="51" t="s">
        <v>3481</v>
      </c>
      <c r="W636" s="19"/>
      <c r="X636" s="19"/>
      <c r="Y636" s="99">
        <v>561</v>
      </c>
    </row>
    <row r="637" spans="2:25" s="165" customFormat="1" ht="20" x14ac:dyDescent="0.2">
      <c r="B637" s="150" t="s">
        <v>1162</v>
      </c>
      <c r="C637" s="33" t="s">
        <v>106</v>
      </c>
      <c r="D637" s="33" t="s">
        <v>2876</v>
      </c>
      <c r="E637" s="175">
        <v>1</v>
      </c>
      <c r="F637" s="151" t="s">
        <v>1128</v>
      </c>
      <c r="G637" s="152">
        <v>6.34657E-2</v>
      </c>
      <c r="H637" s="152">
        <v>3.9176358024691355E-2</v>
      </c>
      <c r="I637" s="175">
        <v>69</v>
      </c>
      <c r="J637" s="266">
        <f>_xlfn.XLOOKUP($I637,Inputs!$C$6:$C$23,Inputs!$D$6:$D$23)*$G637</f>
        <v>2.4388961857142857E-2</v>
      </c>
      <c r="K637" s="267">
        <f>IF((42.4*(H637)^(-0.6595))&gt;=3,3,(IF(42.4*(H637)^(-0.6595)&lt;=0.5,0.5,(42.4*(H637)^(-0.6595)))))</f>
        <v>3</v>
      </c>
      <c r="L637" s="99"/>
      <c r="M637" s="99"/>
      <c r="N637" s="99">
        <f t="shared" si="141"/>
        <v>0</v>
      </c>
      <c r="O637" s="99">
        <f t="shared" si="142"/>
        <v>0</v>
      </c>
      <c r="P637" s="131">
        <v>0.9</v>
      </c>
      <c r="Q637" s="305">
        <f>_xlfn.XLOOKUP($I637,Inputs!$G$6:$G$23,Inputs!J$6:J$23)*$K637</f>
        <v>36</v>
      </c>
      <c r="R637" s="305">
        <f>_xlfn.XLOOKUP($I637,Inputs!$G$6:$G$23,Inputs!K$6:K$23)*$K637</f>
        <v>39</v>
      </c>
      <c r="S637" s="151" t="s">
        <v>2481</v>
      </c>
      <c r="T637" s="51" t="s">
        <v>2137</v>
      </c>
      <c r="U637" s="151" t="s">
        <v>1793</v>
      </c>
      <c r="V637" s="51" t="s">
        <v>3481</v>
      </c>
      <c r="W637" s="19"/>
      <c r="X637" s="19"/>
      <c r="Y637" s="99">
        <v>607</v>
      </c>
    </row>
    <row r="638" spans="2:25" s="165" customFormat="1" ht="20" x14ac:dyDescent="0.2">
      <c r="B638" s="150" t="s">
        <v>1133</v>
      </c>
      <c r="C638" s="33" t="s">
        <v>106</v>
      </c>
      <c r="D638" s="33" t="s">
        <v>2876</v>
      </c>
      <c r="E638" s="175">
        <v>1</v>
      </c>
      <c r="F638" s="151" t="s">
        <v>1128</v>
      </c>
      <c r="G638" s="152">
        <v>19.8</v>
      </c>
      <c r="H638" s="152">
        <v>12.222222222222221</v>
      </c>
      <c r="I638" s="175">
        <v>69</v>
      </c>
      <c r="J638" s="266">
        <f>_xlfn.XLOOKUP($I638,Inputs!$C$6:$C$23,Inputs!$D$6:$D$23)*$G638</f>
        <v>7.6088571428571434</v>
      </c>
      <c r="K638" s="255"/>
      <c r="L638" s="186">
        <v>400</v>
      </c>
      <c r="M638" s="186">
        <v>505</v>
      </c>
      <c r="N638" s="99">
        <f t="shared" si="141"/>
        <v>47.804602288901016</v>
      </c>
      <c r="O638" s="99">
        <f t="shared" si="142"/>
        <v>60.353310389737523</v>
      </c>
      <c r="P638" s="131">
        <v>0.9</v>
      </c>
      <c r="Q638" s="186">
        <f t="shared" ref="Q638:R642" si="144">N638*$P638</f>
        <v>43.024142060010917</v>
      </c>
      <c r="R638" s="186">
        <f t="shared" si="144"/>
        <v>54.317979350763771</v>
      </c>
      <c r="S638" s="151" t="s">
        <v>1879</v>
      </c>
      <c r="T638" s="51" t="s">
        <v>3159</v>
      </c>
      <c r="U638" s="151" t="s">
        <v>2481</v>
      </c>
      <c r="V638" s="51" t="s">
        <v>2137</v>
      </c>
      <c r="W638" s="19"/>
      <c r="X638" s="19"/>
      <c r="Y638" s="99">
        <v>555</v>
      </c>
    </row>
    <row r="639" spans="2:25" s="165" customFormat="1" ht="20" x14ac:dyDescent="0.2">
      <c r="B639" s="150" t="s">
        <v>1136</v>
      </c>
      <c r="C639" s="33" t="s">
        <v>106</v>
      </c>
      <c r="D639" s="33" t="s">
        <v>2876</v>
      </c>
      <c r="E639" s="175">
        <v>1</v>
      </c>
      <c r="F639" s="151" t="s">
        <v>1128</v>
      </c>
      <c r="G639" s="152">
        <v>4</v>
      </c>
      <c r="H639" s="152">
        <v>2.4691358024691357</v>
      </c>
      <c r="I639" s="175">
        <v>69</v>
      </c>
      <c r="J639" s="266">
        <f>_xlfn.XLOOKUP($I639,Inputs!$C$6:$C$23,Inputs!$D$6:$D$23)*$G639</f>
        <v>1.5371428571428571</v>
      </c>
      <c r="K639" s="255"/>
      <c r="L639" s="186">
        <v>580</v>
      </c>
      <c r="M639" s="186">
        <v>740</v>
      </c>
      <c r="N639" s="99">
        <f t="shared" si="141"/>
        <v>69.316673318906467</v>
      </c>
      <c r="O639" s="99">
        <f t="shared" si="142"/>
        <v>88.438514234466865</v>
      </c>
      <c r="P639" s="131">
        <v>0.9</v>
      </c>
      <c r="Q639" s="186">
        <f t="shared" si="144"/>
        <v>62.385005987015823</v>
      </c>
      <c r="R639" s="186">
        <f t="shared" si="144"/>
        <v>79.594662811020186</v>
      </c>
      <c r="S639" s="151" t="s">
        <v>1716</v>
      </c>
      <c r="T639" s="51" t="s">
        <v>3263</v>
      </c>
      <c r="U639" s="151" t="s">
        <v>2481</v>
      </c>
      <c r="V639" s="51" t="s">
        <v>2137</v>
      </c>
      <c r="W639" s="19"/>
      <c r="X639" s="19"/>
      <c r="Y639" s="99">
        <v>560</v>
      </c>
    </row>
    <row r="640" spans="2:25" s="165" customFormat="1" ht="20" x14ac:dyDescent="0.2">
      <c r="B640" s="150" t="s">
        <v>1159</v>
      </c>
      <c r="C640" s="33" t="s">
        <v>106</v>
      </c>
      <c r="D640" s="33" t="s">
        <v>2876</v>
      </c>
      <c r="E640" s="175">
        <v>1</v>
      </c>
      <c r="F640" s="151" t="s">
        <v>1128</v>
      </c>
      <c r="G640" s="152">
        <v>4</v>
      </c>
      <c r="H640" s="152">
        <v>2.4691358024691357</v>
      </c>
      <c r="I640" s="175">
        <v>69</v>
      </c>
      <c r="J640" s="266">
        <f>_xlfn.XLOOKUP($I640,Inputs!$C$6:$C$23,Inputs!$D$6:$D$23)*$G640</f>
        <v>1.5371428571428571</v>
      </c>
      <c r="K640" s="255"/>
      <c r="L640" s="186">
        <v>400</v>
      </c>
      <c r="M640" s="186">
        <v>510</v>
      </c>
      <c r="N640" s="99">
        <f t="shared" si="141"/>
        <v>47.804602288901016</v>
      </c>
      <c r="O640" s="99">
        <f t="shared" si="142"/>
        <v>60.950867918348784</v>
      </c>
      <c r="P640" s="131">
        <v>0.9</v>
      </c>
      <c r="Q640" s="186">
        <f t="shared" si="144"/>
        <v>43.024142060010917</v>
      </c>
      <c r="R640" s="186">
        <f t="shared" si="144"/>
        <v>54.855781126513904</v>
      </c>
      <c r="S640" s="151" t="s">
        <v>1716</v>
      </c>
      <c r="T640" s="51" t="s">
        <v>3263</v>
      </c>
      <c r="U640" s="151" t="s">
        <v>2481</v>
      </c>
      <c r="V640" s="51" t="s">
        <v>2137</v>
      </c>
      <c r="W640" s="19"/>
      <c r="X640" s="19"/>
      <c r="Y640" s="99">
        <v>606</v>
      </c>
    </row>
    <row r="641" spans="2:25" s="165" customFormat="1" ht="20" x14ac:dyDescent="0.2">
      <c r="B641" s="150" t="s">
        <v>1419</v>
      </c>
      <c r="C641" s="33" t="s">
        <v>106</v>
      </c>
      <c r="D641" s="33" t="s">
        <v>2876</v>
      </c>
      <c r="E641" s="175">
        <v>1</v>
      </c>
      <c r="F641" s="151" t="s">
        <v>1128</v>
      </c>
      <c r="G641" s="152">
        <v>1.2425E-2</v>
      </c>
      <c r="H641" s="152">
        <v>7.6697530864197529E-3</v>
      </c>
      <c r="I641" s="175">
        <v>138</v>
      </c>
      <c r="J641" s="266">
        <f>_xlfn.XLOOKUP($I641,Inputs!$C$6:$C$23,Inputs!$D$6:$D$23)*$G641</f>
        <v>5.3871250000000004E-3</v>
      </c>
      <c r="K641" s="255"/>
      <c r="L641" s="186">
        <v>150</v>
      </c>
      <c r="M641" s="186">
        <v>272</v>
      </c>
      <c r="N641" s="99">
        <f t="shared" si="141"/>
        <v>35.853451716675757</v>
      </c>
      <c r="O641" s="99">
        <f t="shared" si="142"/>
        <v>65.014259112905378</v>
      </c>
      <c r="P641" s="131">
        <v>0.9</v>
      </c>
      <c r="Q641" s="186">
        <f t="shared" si="144"/>
        <v>32.26810654500818</v>
      </c>
      <c r="R641" s="186">
        <f t="shared" si="144"/>
        <v>58.512833201614839</v>
      </c>
      <c r="S641" s="151" t="s">
        <v>2410</v>
      </c>
      <c r="T641" s="51" t="s">
        <v>2061</v>
      </c>
      <c r="U641" s="151" t="s">
        <v>1794</v>
      </c>
      <c r="V641" s="51" t="s">
        <v>3662</v>
      </c>
      <c r="W641" s="19"/>
      <c r="X641" s="19"/>
      <c r="Y641" s="99">
        <v>132</v>
      </c>
    </row>
    <row r="642" spans="2:25" s="165" customFormat="1" ht="20" x14ac:dyDescent="0.2">
      <c r="B642" s="150" t="s">
        <v>456</v>
      </c>
      <c r="C642" s="33" t="s">
        <v>106</v>
      </c>
      <c r="D642" s="33" t="s">
        <v>2876</v>
      </c>
      <c r="E642" s="175">
        <v>1</v>
      </c>
      <c r="F642" s="151" t="s">
        <v>1128</v>
      </c>
      <c r="G642" s="152">
        <v>14</v>
      </c>
      <c r="H642" s="152">
        <v>8.6419753086419746</v>
      </c>
      <c r="I642" s="175">
        <v>138</v>
      </c>
      <c r="J642" s="266">
        <f>_xlfn.XLOOKUP($I642,Inputs!$C$6:$C$23,Inputs!$D$6:$D$23)*$G642</f>
        <v>6.07</v>
      </c>
      <c r="K642" s="255"/>
      <c r="L642" s="186">
        <v>349</v>
      </c>
      <c r="M642" s="186">
        <v>580</v>
      </c>
      <c r="N642" s="99">
        <f t="shared" si="141"/>
        <v>83.419030994132257</v>
      </c>
      <c r="O642" s="99">
        <f t="shared" si="142"/>
        <v>138.63334663781293</v>
      </c>
      <c r="P642" s="131">
        <v>0.9</v>
      </c>
      <c r="Q642" s="186">
        <f t="shared" si="144"/>
        <v>75.077127894719027</v>
      </c>
      <c r="R642" s="186">
        <f t="shared" si="144"/>
        <v>124.77001197403165</v>
      </c>
      <c r="S642" s="151" t="s">
        <v>1746</v>
      </c>
      <c r="T642" s="51" t="s">
        <v>3278</v>
      </c>
      <c r="U642" s="151" t="s">
        <v>2410</v>
      </c>
      <c r="V642" s="51" t="s">
        <v>2061</v>
      </c>
      <c r="W642" s="19"/>
      <c r="X642" s="19"/>
      <c r="Y642" s="99">
        <v>131</v>
      </c>
    </row>
    <row r="643" spans="2:25" s="165" customFormat="1" ht="20" x14ac:dyDescent="0.2">
      <c r="B643" s="150" t="s">
        <v>1284</v>
      </c>
      <c r="C643" s="33" t="s">
        <v>106</v>
      </c>
      <c r="D643" s="33" t="s">
        <v>2876</v>
      </c>
      <c r="E643" s="175">
        <v>1</v>
      </c>
      <c r="F643" s="151" t="s">
        <v>1128</v>
      </c>
      <c r="G643" s="152">
        <v>0.16949019999999998</v>
      </c>
      <c r="H643" s="152">
        <v>0.10462358024691357</v>
      </c>
      <c r="I643" s="175">
        <v>69</v>
      </c>
      <c r="J643" s="266">
        <f>_xlfn.XLOOKUP($I643,Inputs!$C$6:$C$23,Inputs!$D$6:$D$23)*$G643</f>
        <v>6.5132662571428565E-2</v>
      </c>
      <c r="K643" s="267">
        <f>IF((42.4*(H643)^(-0.6595))&gt;=3,3,(IF(42.4*(H643)^(-0.6595)&lt;=0.5,0.5,(42.4*(H643)^(-0.6595)))))</f>
        <v>3</v>
      </c>
      <c r="L643" s="99"/>
      <c r="M643" s="99"/>
      <c r="N643" s="99">
        <f t="shared" si="141"/>
        <v>0</v>
      </c>
      <c r="O643" s="99">
        <f t="shared" si="142"/>
        <v>0</v>
      </c>
      <c r="P643" s="131">
        <v>0.9</v>
      </c>
      <c r="Q643" s="305">
        <f>_xlfn.XLOOKUP($I643,Inputs!$G$6:$G$23,Inputs!J$6:J$23)*$K643</f>
        <v>36</v>
      </c>
      <c r="R643" s="305">
        <f>_xlfn.XLOOKUP($I643,Inputs!$G$6:$G$23,Inputs!K$6:K$23)*$K643</f>
        <v>39</v>
      </c>
      <c r="S643" s="151" t="s">
        <v>2542</v>
      </c>
      <c r="T643" s="51" t="s">
        <v>3086</v>
      </c>
      <c r="U643" s="151" t="s">
        <v>1774</v>
      </c>
      <c r="V643" s="51" t="s">
        <v>3141</v>
      </c>
      <c r="W643" s="19"/>
      <c r="X643" s="19"/>
      <c r="Y643" s="99">
        <v>815</v>
      </c>
    </row>
    <row r="644" spans="2:25" s="165" customFormat="1" ht="20" x14ac:dyDescent="0.2">
      <c r="B644" s="150" t="s">
        <v>1280</v>
      </c>
      <c r="C644" s="33" t="s">
        <v>106</v>
      </c>
      <c r="D644" s="33" t="s">
        <v>2876</v>
      </c>
      <c r="E644" s="175">
        <v>1</v>
      </c>
      <c r="F644" s="151" t="s">
        <v>1128</v>
      </c>
      <c r="G644" s="152">
        <v>6</v>
      </c>
      <c r="H644" s="152">
        <v>3.7037037037037033</v>
      </c>
      <c r="I644" s="175">
        <v>69</v>
      </c>
      <c r="J644" s="266">
        <f>_xlfn.XLOOKUP($I644,Inputs!$C$6:$C$23,Inputs!$D$6:$D$23)*$G644</f>
        <v>2.3057142857142856</v>
      </c>
      <c r="K644" s="255"/>
      <c r="L644" s="186">
        <v>505</v>
      </c>
      <c r="M644" s="186">
        <v>601</v>
      </c>
      <c r="N644" s="99">
        <f t="shared" si="141"/>
        <v>60.353310389737523</v>
      </c>
      <c r="O644" s="99">
        <f t="shared" si="142"/>
        <v>71.826414939073771</v>
      </c>
      <c r="P644" s="131">
        <v>0.9</v>
      </c>
      <c r="Q644" s="186">
        <f t="shared" ref="Q644:Q656" si="145">N644*$P644</f>
        <v>54.317979350763771</v>
      </c>
      <c r="R644" s="186">
        <f t="shared" ref="R644:R656" si="146">O644*$P644</f>
        <v>64.643773445166403</v>
      </c>
      <c r="S644" s="151" t="s">
        <v>2541</v>
      </c>
      <c r="T644" s="51" t="s">
        <v>2198</v>
      </c>
      <c r="U644" s="151" t="s">
        <v>2542</v>
      </c>
      <c r="V644" s="51" t="s">
        <v>3086</v>
      </c>
      <c r="W644" s="19"/>
      <c r="X644" s="19"/>
      <c r="Y644" s="99">
        <v>814</v>
      </c>
    </row>
    <row r="645" spans="2:25" s="165" customFormat="1" ht="20" x14ac:dyDescent="0.2">
      <c r="B645" s="151" t="s">
        <v>1129</v>
      </c>
      <c r="C645" s="33" t="s">
        <v>106</v>
      </c>
      <c r="D645" s="33" t="s">
        <v>2876</v>
      </c>
      <c r="E645" s="175">
        <v>1</v>
      </c>
      <c r="F645" s="151" t="s">
        <v>1128</v>
      </c>
      <c r="G645" s="174">
        <v>4</v>
      </c>
      <c r="H645" s="152">
        <v>2.4691358024691357</v>
      </c>
      <c r="I645" s="175">
        <v>138</v>
      </c>
      <c r="J645" s="266">
        <f>_xlfn.XLOOKUP($I645,Inputs!$C$6:$C$23,Inputs!$D$6:$D$23)*$G645</f>
        <v>1.7342857142857144</v>
      </c>
      <c r="K645" s="255"/>
      <c r="L645" s="186">
        <v>740</v>
      </c>
      <c r="M645" s="186">
        <v>924</v>
      </c>
      <c r="N645" s="99">
        <f t="shared" si="141"/>
        <v>176.87702846893373</v>
      </c>
      <c r="O645" s="99">
        <f t="shared" si="142"/>
        <v>220.85726257472268</v>
      </c>
      <c r="P645" s="131">
        <v>0.9</v>
      </c>
      <c r="Q645" s="186">
        <f t="shared" si="145"/>
        <v>159.18932562204037</v>
      </c>
      <c r="R645" s="186">
        <f t="shared" si="146"/>
        <v>198.77153631725042</v>
      </c>
      <c r="S645" s="151" t="s">
        <v>2316</v>
      </c>
      <c r="T645" s="51" t="s">
        <v>3145</v>
      </c>
      <c r="U645" s="151" t="s">
        <v>277</v>
      </c>
      <c r="V645" s="51" t="s">
        <v>3447</v>
      </c>
      <c r="W645" s="19"/>
      <c r="X645" s="19"/>
      <c r="Y645" s="99">
        <v>242</v>
      </c>
    </row>
    <row r="646" spans="2:25" s="165" customFormat="1" ht="20" x14ac:dyDescent="0.2">
      <c r="B646" s="150" t="s">
        <v>488</v>
      </c>
      <c r="C646" s="33" t="s">
        <v>106</v>
      </c>
      <c r="D646" s="33" t="s">
        <v>2876</v>
      </c>
      <c r="E646" s="175">
        <v>1</v>
      </c>
      <c r="F646" s="151" t="s">
        <v>1128</v>
      </c>
      <c r="G646" s="152">
        <v>35.647679799999999</v>
      </c>
      <c r="H646" s="152">
        <v>22.00474061728395</v>
      </c>
      <c r="I646" s="175">
        <v>138</v>
      </c>
      <c r="J646" s="266">
        <f>_xlfn.XLOOKUP($I646,Inputs!$C$6:$C$23,Inputs!$D$6:$D$23)*$G646</f>
        <v>15.455815456142858</v>
      </c>
      <c r="K646" s="255"/>
      <c r="L646" s="186">
        <v>730</v>
      </c>
      <c r="M646" s="186">
        <v>924</v>
      </c>
      <c r="N646" s="99">
        <f t="shared" si="141"/>
        <v>174.48679835448868</v>
      </c>
      <c r="O646" s="99">
        <f t="shared" si="142"/>
        <v>220.85726257472268</v>
      </c>
      <c r="P646" s="131">
        <v>0.9</v>
      </c>
      <c r="Q646" s="186">
        <f t="shared" si="145"/>
        <v>157.03811851903981</v>
      </c>
      <c r="R646" s="186">
        <f t="shared" si="146"/>
        <v>198.77153631725042</v>
      </c>
      <c r="S646" s="151" t="s">
        <v>1712</v>
      </c>
      <c r="T646" s="51" t="s">
        <v>3261</v>
      </c>
      <c r="U646" s="151" t="s">
        <v>277</v>
      </c>
      <c r="V646" s="51" t="s">
        <v>3447</v>
      </c>
      <c r="W646" s="19"/>
      <c r="X646" s="19"/>
      <c r="Y646" s="99">
        <v>247</v>
      </c>
    </row>
    <row r="647" spans="2:25" s="165" customFormat="1" ht="20" x14ac:dyDescent="0.2">
      <c r="B647" s="150" t="s">
        <v>426</v>
      </c>
      <c r="C647" s="33" t="s">
        <v>106</v>
      </c>
      <c r="D647" s="33" t="s">
        <v>2876</v>
      </c>
      <c r="E647" s="175">
        <v>1</v>
      </c>
      <c r="F647" s="151" t="s">
        <v>1128</v>
      </c>
      <c r="G647" s="152">
        <v>5.6</v>
      </c>
      <c r="H647" s="152">
        <v>3.4567901234567895</v>
      </c>
      <c r="I647" s="175">
        <v>138</v>
      </c>
      <c r="J647" s="266">
        <f>_xlfn.XLOOKUP($I647,Inputs!$C$6:$C$23,Inputs!$D$6:$D$23)*$G647</f>
        <v>2.4279999999999999</v>
      </c>
      <c r="K647" s="255"/>
      <c r="L647" s="186">
        <v>490</v>
      </c>
      <c r="M647" s="186">
        <v>590</v>
      </c>
      <c r="N647" s="99">
        <f t="shared" si="141"/>
        <v>117.12127560780748</v>
      </c>
      <c r="O647" s="99">
        <f t="shared" si="142"/>
        <v>141.02357675225798</v>
      </c>
      <c r="P647" s="131">
        <v>0.9</v>
      </c>
      <c r="Q647" s="186">
        <f t="shared" si="145"/>
        <v>105.40914804702673</v>
      </c>
      <c r="R647" s="186">
        <f t="shared" si="146"/>
        <v>126.92121907703219</v>
      </c>
      <c r="S647" s="151" t="s">
        <v>1830</v>
      </c>
      <c r="T647" s="51" t="s">
        <v>3307</v>
      </c>
      <c r="U647" s="151" t="s">
        <v>1795</v>
      </c>
      <c r="V647" s="51" t="s">
        <v>3199</v>
      </c>
      <c r="W647" s="19"/>
      <c r="X647" s="19"/>
      <c r="Y647" s="99">
        <v>42</v>
      </c>
    </row>
    <row r="648" spans="2:25" s="185" customFormat="1" ht="20" x14ac:dyDescent="0.2">
      <c r="B648" s="150" t="s">
        <v>650</v>
      </c>
      <c r="C648" s="33" t="s">
        <v>106</v>
      </c>
      <c r="D648" s="33" t="s">
        <v>2876</v>
      </c>
      <c r="E648" s="175">
        <v>1</v>
      </c>
      <c r="F648" s="151" t="s">
        <v>1128</v>
      </c>
      <c r="G648" s="152">
        <v>80.143070999999992</v>
      </c>
      <c r="H648" s="152">
        <v>49.471031481481475</v>
      </c>
      <c r="I648" s="175">
        <v>500</v>
      </c>
      <c r="J648" s="266">
        <f>_xlfn.XLOOKUP($I648,Inputs!$C$6:$C$23,Inputs!$D$6:$D$23)*$G648</f>
        <v>31.656513044999997</v>
      </c>
      <c r="K648" s="255"/>
      <c r="L648" s="186">
        <v>3238</v>
      </c>
      <c r="M648" s="186">
        <v>3901</v>
      </c>
      <c r="N648" s="99">
        <f t="shared" si="141"/>
        <v>2804.1902574540122</v>
      </c>
      <c r="O648" s="99">
        <f t="shared" si="142"/>
        <v>3378.3651001630951</v>
      </c>
      <c r="P648" s="131">
        <v>0.9</v>
      </c>
      <c r="Q648" s="186">
        <f t="shared" si="145"/>
        <v>2523.7712317086111</v>
      </c>
      <c r="R648" s="186">
        <f t="shared" si="146"/>
        <v>3040.5285901467855</v>
      </c>
      <c r="S648" s="151" t="s">
        <v>1617</v>
      </c>
      <c r="T648" s="51" t="s">
        <v>3189</v>
      </c>
      <c r="U648" s="151" t="s">
        <v>1795</v>
      </c>
      <c r="V648" s="51" t="s">
        <v>3199</v>
      </c>
      <c r="W648" s="19"/>
      <c r="X648" s="19"/>
      <c r="Y648" s="99">
        <v>525</v>
      </c>
    </row>
    <row r="649" spans="2:25" s="165" customFormat="1" ht="20" x14ac:dyDescent="0.2">
      <c r="B649" s="150" t="s">
        <v>652</v>
      </c>
      <c r="C649" s="33" t="s">
        <v>106</v>
      </c>
      <c r="D649" s="33" t="s">
        <v>2876</v>
      </c>
      <c r="E649" s="175">
        <v>1</v>
      </c>
      <c r="F649" s="151" t="s">
        <v>1128</v>
      </c>
      <c r="G649" s="152">
        <v>80.363688500000009</v>
      </c>
      <c r="H649" s="152">
        <v>49.60721512345679</v>
      </c>
      <c r="I649" s="175">
        <v>500</v>
      </c>
      <c r="J649" s="266">
        <f>_xlfn.XLOOKUP($I649,Inputs!$C$6:$C$23,Inputs!$D$6:$D$23)*$G649</f>
        <v>31.743656957500004</v>
      </c>
      <c r="K649" s="255"/>
      <c r="L649" s="186">
        <v>3238</v>
      </c>
      <c r="M649" s="186">
        <v>3901</v>
      </c>
      <c r="N649" s="99">
        <f t="shared" si="141"/>
        <v>2804.1902574540122</v>
      </c>
      <c r="O649" s="99">
        <f t="shared" si="142"/>
        <v>3378.3651001630951</v>
      </c>
      <c r="P649" s="131">
        <v>0.9</v>
      </c>
      <c r="Q649" s="186">
        <f t="shared" si="145"/>
        <v>2523.7712317086111</v>
      </c>
      <c r="R649" s="186">
        <f t="shared" si="146"/>
        <v>3040.5285901467855</v>
      </c>
      <c r="S649" s="151" t="s">
        <v>1617</v>
      </c>
      <c r="T649" s="51" t="s">
        <v>3189</v>
      </c>
      <c r="U649" s="151" t="s">
        <v>1795</v>
      </c>
      <c r="V649" s="51" t="s">
        <v>3199</v>
      </c>
      <c r="W649" s="19"/>
      <c r="X649" s="19"/>
      <c r="Y649" s="99">
        <v>527</v>
      </c>
    </row>
    <row r="650" spans="2:25" s="165" customFormat="1" ht="20" x14ac:dyDescent="0.2">
      <c r="B650" s="151" t="s">
        <v>1966</v>
      </c>
      <c r="C650" s="33" t="s">
        <v>106</v>
      </c>
      <c r="D650" s="33" t="s">
        <v>2876</v>
      </c>
      <c r="E650" s="175">
        <v>1</v>
      </c>
      <c r="F650" s="151" t="s">
        <v>1128</v>
      </c>
      <c r="G650" s="174">
        <v>20</v>
      </c>
      <c r="H650" s="152">
        <v>12.345679012345679</v>
      </c>
      <c r="I650" s="175">
        <v>230</v>
      </c>
      <c r="J650" s="266">
        <f>_xlfn.XLOOKUP($I650,Inputs!$C$6:$C$23,Inputs!$D$6:$D$23)*$G650</f>
        <v>9.6</v>
      </c>
      <c r="K650" s="255"/>
      <c r="L650" s="186">
        <v>1301</v>
      </c>
      <c r="M650" s="186">
        <v>1591</v>
      </c>
      <c r="N650" s="99">
        <f t="shared" si="141"/>
        <v>518.28156314883506</v>
      </c>
      <c r="O650" s="99">
        <f t="shared" si="142"/>
        <v>633.80935201367924</v>
      </c>
      <c r="P650" s="131">
        <v>0.9</v>
      </c>
      <c r="Q650" s="186">
        <f t="shared" si="145"/>
        <v>466.45340683395159</v>
      </c>
      <c r="R650" s="186">
        <f t="shared" si="146"/>
        <v>570.4284168123113</v>
      </c>
      <c r="S650" s="151" t="s">
        <v>2309</v>
      </c>
      <c r="T650" s="51" t="s">
        <v>3129</v>
      </c>
      <c r="U650" s="151" t="s">
        <v>2318</v>
      </c>
      <c r="V650" s="51" t="s">
        <v>3601</v>
      </c>
      <c r="W650" s="19"/>
      <c r="X650" s="19"/>
      <c r="Y650" s="99">
        <v>374</v>
      </c>
    </row>
    <row r="651" spans="2:25" s="165" customFormat="1" ht="20" x14ac:dyDescent="0.2">
      <c r="B651" s="150" t="s">
        <v>1287</v>
      </c>
      <c r="C651" s="33" t="s">
        <v>106</v>
      </c>
      <c r="D651" s="33" t="s">
        <v>2876</v>
      </c>
      <c r="E651" s="175">
        <v>1</v>
      </c>
      <c r="F651" s="151" t="s">
        <v>1128</v>
      </c>
      <c r="G651" s="152">
        <v>8.0399999999999991</v>
      </c>
      <c r="H651" s="152">
        <v>4.9629629629629619</v>
      </c>
      <c r="I651" s="175">
        <v>69</v>
      </c>
      <c r="J651" s="266">
        <f>_xlfn.XLOOKUP($I651,Inputs!$C$6:$C$23,Inputs!$D$6:$D$23)*$G651</f>
        <v>3.0896571428571424</v>
      </c>
      <c r="K651" s="255"/>
      <c r="L651" s="186">
        <v>230</v>
      </c>
      <c r="M651" s="3">
        <v>420</v>
      </c>
      <c r="N651" s="99">
        <f t="shared" si="141"/>
        <v>27.487646316118084</v>
      </c>
      <c r="O651" s="99">
        <f t="shared" si="142"/>
        <v>50.194832403346062</v>
      </c>
      <c r="P651" s="131">
        <v>0.9</v>
      </c>
      <c r="Q651" s="186">
        <f t="shared" si="145"/>
        <v>24.738881684506275</v>
      </c>
      <c r="R651" s="186">
        <f t="shared" si="146"/>
        <v>45.175349163011454</v>
      </c>
      <c r="S651" s="151" t="s">
        <v>2544</v>
      </c>
      <c r="T651" s="51" t="s">
        <v>2201</v>
      </c>
      <c r="U651" s="151" t="s">
        <v>1796</v>
      </c>
      <c r="V651" s="51" t="s">
        <v>3559</v>
      </c>
      <c r="W651" s="19"/>
      <c r="X651" s="19"/>
      <c r="Y651" s="99">
        <v>821</v>
      </c>
    </row>
    <row r="652" spans="2:25" s="165" customFormat="1" ht="20" x14ac:dyDescent="0.2">
      <c r="B652" s="150" t="s">
        <v>1329</v>
      </c>
      <c r="C652" s="33" t="s">
        <v>106</v>
      </c>
      <c r="D652" s="33" t="s">
        <v>2876</v>
      </c>
      <c r="E652" s="175">
        <v>1</v>
      </c>
      <c r="F652" s="151" t="s">
        <v>1128</v>
      </c>
      <c r="G652" s="152">
        <v>8.5</v>
      </c>
      <c r="H652" s="152">
        <v>5.2469135802469129</v>
      </c>
      <c r="I652" s="175">
        <v>69</v>
      </c>
      <c r="J652" s="266">
        <f>_xlfn.XLOOKUP($I652,Inputs!$C$6:$C$23,Inputs!$D$6:$D$23)*$G652</f>
        <v>3.2664285714285715</v>
      </c>
      <c r="K652" s="255"/>
      <c r="L652" s="186">
        <v>850</v>
      </c>
      <c r="M652" s="186">
        <v>1020</v>
      </c>
      <c r="N652" s="99">
        <f t="shared" si="141"/>
        <v>101.58477986391465</v>
      </c>
      <c r="O652" s="99">
        <f t="shared" si="142"/>
        <v>121.90173583669757</v>
      </c>
      <c r="P652" s="131">
        <v>0.9</v>
      </c>
      <c r="Q652" s="186">
        <f t="shared" si="145"/>
        <v>91.426301877523187</v>
      </c>
      <c r="R652" s="186">
        <f t="shared" si="146"/>
        <v>109.71156225302781</v>
      </c>
      <c r="S652" s="151" t="s">
        <v>2612</v>
      </c>
      <c r="T652" s="51" t="s">
        <v>2613</v>
      </c>
      <c r="U652" s="151" t="s">
        <v>1797</v>
      </c>
      <c r="V652" s="51" t="s">
        <v>3443</v>
      </c>
      <c r="W652" s="19"/>
      <c r="X652" s="19"/>
      <c r="Y652" s="99">
        <v>893</v>
      </c>
    </row>
    <row r="653" spans="2:25" s="165" customFormat="1" ht="20" x14ac:dyDescent="0.2">
      <c r="B653" s="150" t="s">
        <v>1326</v>
      </c>
      <c r="C653" s="33" t="s">
        <v>106</v>
      </c>
      <c r="D653" s="33" t="s">
        <v>2876</v>
      </c>
      <c r="E653" s="175">
        <v>1</v>
      </c>
      <c r="F653" s="151" t="s">
        <v>1128</v>
      </c>
      <c r="G653" s="152">
        <v>5</v>
      </c>
      <c r="H653" s="152">
        <v>3.0864197530864197</v>
      </c>
      <c r="I653" s="175">
        <v>69</v>
      </c>
      <c r="J653" s="266">
        <f>_xlfn.XLOOKUP($I653,Inputs!$C$6:$C$23,Inputs!$D$6:$D$23)*$G653</f>
        <v>1.9214285714285715</v>
      </c>
      <c r="K653" s="255"/>
      <c r="L653" s="186">
        <v>850</v>
      </c>
      <c r="M653" s="3">
        <v>970</v>
      </c>
      <c r="N653" s="99">
        <f t="shared" si="141"/>
        <v>101.58477986391465</v>
      </c>
      <c r="O653" s="99">
        <f t="shared" si="142"/>
        <v>115.92616055058494</v>
      </c>
      <c r="P653" s="131">
        <v>0.9</v>
      </c>
      <c r="Q653" s="186">
        <f t="shared" si="145"/>
        <v>91.426301877523187</v>
      </c>
      <c r="R653" s="186">
        <f t="shared" si="146"/>
        <v>104.33354449552645</v>
      </c>
      <c r="S653" s="151" t="s">
        <v>1872</v>
      </c>
      <c r="T653" s="51" t="s">
        <v>3180</v>
      </c>
      <c r="U653" s="151" t="s">
        <v>2568</v>
      </c>
      <c r="V653" s="51" t="s">
        <v>2229</v>
      </c>
      <c r="W653" s="19"/>
      <c r="X653" s="19"/>
      <c r="Y653" s="99">
        <v>891</v>
      </c>
    </row>
    <row r="654" spans="2:25" s="165" customFormat="1" ht="20" x14ac:dyDescent="0.2">
      <c r="B654" s="150" t="s">
        <v>550</v>
      </c>
      <c r="C654" s="33" t="s">
        <v>106</v>
      </c>
      <c r="D654" s="33" t="s">
        <v>2876</v>
      </c>
      <c r="E654" s="175">
        <v>1</v>
      </c>
      <c r="F654" s="151" t="s">
        <v>1128</v>
      </c>
      <c r="G654" s="152">
        <v>16.9687676</v>
      </c>
      <c r="H654" s="152">
        <v>10.474547901234567</v>
      </c>
      <c r="I654" s="175">
        <v>230</v>
      </c>
      <c r="J654" s="266">
        <f>_xlfn.XLOOKUP($I654,Inputs!$C$6:$C$23,Inputs!$D$6:$D$23)*$G654</f>
        <v>8.1450084479999987</v>
      </c>
      <c r="K654" s="255"/>
      <c r="L654" s="186">
        <v>710</v>
      </c>
      <c r="M654" s="186">
        <v>840</v>
      </c>
      <c r="N654" s="99">
        <f t="shared" si="141"/>
        <v>282.84389687599764</v>
      </c>
      <c r="O654" s="99">
        <f t="shared" si="142"/>
        <v>334.63221602230703</v>
      </c>
      <c r="P654" s="131">
        <v>0.9</v>
      </c>
      <c r="Q654" s="186">
        <f t="shared" si="145"/>
        <v>254.55950718839787</v>
      </c>
      <c r="R654" s="186">
        <f t="shared" si="146"/>
        <v>301.16899442007633</v>
      </c>
      <c r="S654" s="151" t="s">
        <v>1605</v>
      </c>
      <c r="T654" s="51" t="s">
        <v>3588</v>
      </c>
      <c r="U654" s="151" t="s">
        <v>1798</v>
      </c>
      <c r="V654" s="179" t="s">
        <v>3294</v>
      </c>
      <c r="W654" s="19"/>
      <c r="X654" s="19"/>
      <c r="Y654" s="99">
        <v>392</v>
      </c>
    </row>
    <row r="655" spans="2:25" s="165" customFormat="1" ht="20" x14ac:dyDescent="0.2">
      <c r="B655" s="150" t="s">
        <v>1312</v>
      </c>
      <c r="C655" s="33" t="s">
        <v>106</v>
      </c>
      <c r="D655" s="33" t="s">
        <v>2876</v>
      </c>
      <c r="E655" s="175">
        <v>1</v>
      </c>
      <c r="F655" s="151" t="s">
        <v>1128</v>
      </c>
      <c r="G655" s="152">
        <v>7.227589999999999E-2</v>
      </c>
      <c r="H655" s="152">
        <v>4.4614753086419746E-2</v>
      </c>
      <c r="I655" s="175">
        <v>69</v>
      </c>
      <c r="J655" s="266">
        <f>_xlfn.XLOOKUP($I655,Inputs!$C$6:$C$23,Inputs!$D$6:$D$23)*$G655</f>
        <v>2.7774595857142852E-2</v>
      </c>
      <c r="K655" s="255"/>
      <c r="L655" s="186">
        <v>435</v>
      </c>
      <c r="M655" s="186">
        <v>822</v>
      </c>
      <c r="N655" s="99">
        <f t="shared" si="141"/>
        <v>51.987504989179847</v>
      </c>
      <c r="O655" s="99">
        <f t="shared" si="142"/>
        <v>98.238457703691566</v>
      </c>
      <c r="P655" s="131">
        <v>0.9</v>
      </c>
      <c r="Q655" s="186">
        <f t="shared" si="145"/>
        <v>46.788754490261866</v>
      </c>
      <c r="R655" s="186">
        <f t="shared" si="146"/>
        <v>88.414611933322405</v>
      </c>
      <c r="S655" s="151" t="s">
        <v>2560</v>
      </c>
      <c r="T655" s="51" t="s">
        <v>2217</v>
      </c>
      <c r="U655" s="151" t="s">
        <v>1799</v>
      </c>
      <c r="V655" s="51" t="s">
        <v>3483</v>
      </c>
      <c r="W655" s="19"/>
      <c r="X655" s="19"/>
      <c r="Y655" s="99">
        <v>865</v>
      </c>
    </row>
    <row r="656" spans="2:25" s="165" customFormat="1" ht="20" x14ac:dyDescent="0.2">
      <c r="B656" s="150" t="s">
        <v>1310</v>
      </c>
      <c r="C656" s="33" t="s">
        <v>106</v>
      </c>
      <c r="D656" s="33" t="s">
        <v>2876</v>
      </c>
      <c r="E656" s="175">
        <v>1</v>
      </c>
      <c r="F656" s="151" t="s">
        <v>1128</v>
      </c>
      <c r="G656" s="152">
        <v>20.56</v>
      </c>
      <c r="H656" s="152">
        <v>12.691358024691356</v>
      </c>
      <c r="I656" s="175">
        <v>69</v>
      </c>
      <c r="J656" s="266">
        <f>_xlfn.XLOOKUP($I656,Inputs!$C$6:$C$23,Inputs!$D$6:$D$23)*$G656</f>
        <v>7.9009142857142853</v>
      </c>
      <c r="K656" s="255"/>
      <c r="L656" s="186">
        <v>435</v>
      </c>
      <c r="M656" s="186">
        <v>822</v>
      </c>
      <c r="N656" s="99">
        <f t="shared" si="141"/>
        <v>51.987504989179847</v>
      </c>
      <c r="O656" s="99">
        <f t="shared" si="142"/>
        <v>98.238457703691566</v>
      </c>
      <c r="P656" s="131">
        <v>0.9</v>
      </c>
      <c r="Q656" s="186">
        <f t="shared" si="145"/>
        <v>46.788754490261866</v>
      </c>
      <c r="R656" s="186">
        <f t="shared" si="146"/>
        <v>88.414611933322405</v>
      </c>
      <c r="S656" s="151" t="s">
        <v>2559</v>
      </c>
      <c r="T656" s="51" t="s">
        <v>2216</v>
      </c>
      <c r="U656" s="151" t="s">
        <v>2560</v>
      </c>
      <c r="V656" s="51" t="s">
        <v>2217</v>
      </c>
      <c r="W656" s="19"/>
      <c r="X656" s="19"/>
      <c r="Y656" s="99">
        <v>864</v>
      </c>
    </row>
    <row r="657" spans="2:25" s="165" customFormat="1" ht="20" x14ac:dyDescent="0.2">
      <c r="B657" s="150" t="s">
        <v>1450</v>
      </c>
      <c r="C657" s="33" t="s">
        <v>106</v>
      </c>
      <c r="D657" s="33" t="s">
        <v>2876</v>
      </c>
      <c r="E657" s="175">
        <v>1</v>
      </c>
      <c r="F657" s="151" t="s">
        <v>1128</v>
      </c>
      <c r="G657" s="152">
        <v>2.6459371000000003</v>
      </c>
      <c r="H657" s="152">
        <v>1.6332945061728397</v>
      </c>
      <c r="I657" s="175">
        <v>138</v>
      </c>
      <c r="J657" s="266">
        <f>_xlfn.XLOOKUP($I657,Inputs!$C$6:$C$23,Inputs!$D$6:$D$23)*$G657</f>
        <v>1.1472027283571431</v>
      </c>
      <c r="K657" s="267">
        <f>IF((42.4*(H657)^(-0.6595))&gt;=3,3,(IF(42.4*(H657)^(-0.6595)&lt;=0.5,0.5,(42.4*(H657)^(-0.6595)))))</f>
        <v>3</v>
      </c>
      <c r="L657" s="99"/>
      <c r="M657" s="99"/>
      <c r="N657" s="99">
        <f t="shared" si="141"/>
        <v>0</v>
      </c>
      <c r="O657" s="99">
        <f t="shared" si="142"/>
        <v>0</v>
      </c>
      <c r="P657" s="131">
        <v>0.9</v>
      </c>
      <c r="Q657" s="305">
        <f>_xlfn.XLOOKUP($I657,Inputs!$G$6:$G$23,Inputs!J$6:J$23)*$K657</f>
        <v>141</v>
      </c>
      <c r="R657" s="305">
        <f>_xlfn.XLOOKUP($I657,Inputs!$G$6:$G$23,Inputs!K$6:K$23)*$K657</f>
        <v>156</v>
      </c>
      <c r="S657" s="151" t="s">
        <v>2456</v>
      </c>
      <c r="T657" s="51" t="s">
        <v>2108</v>
      </c>
      <c r="U657" s="151" t="s">
        <v>1800</v>
      </c>
      <c r="V657" s="51" t="s">
        <v>3484</v>
      </c>
      <c r="W657" s="19"/>
      <c r="X657" s="19"/>
      <c r="Y657" s="99">
        <v>288</v>
      </c>
    </row>
    <row r="658" spans="2:25" s="165" customFormat="1" ht="20" x14ac:dyDescent="0.2">
      <c r="B658" s="150" t="s">
        <v>501</v>
      </c>
      <c r="C658" s="33" t="s">
        <v>106</v>
      </c>
      <c r="D658" s="33" t="s">
        <v>2876</v>
      </c>
      <c r="E658" s="175">
        <v>1</v>
      </c>
      <c r="F658" s="151" t="s">
        <v>1128</v>
      </c>
      <c r="G658" s="152">
        <v>40.909999999999997</v>
      </c>
      <c r="H658" s="152">
        <v>25.253086419753082</v>
      </c>
      <c r="I658" s="175">
        <v>138</v>
      </c>
      <c r="J658" s="266">
        <f>_xlfn.XLOOKUP($I658,Inputs!$C$6:$C$23,Inputs!$D$6:$D$23)*$G658</f>
        <v>17.737407142857144</v>
      </c>
      <c r="K658" s="255"/>
      <c r="L658" s="186">
        <v>280</v>
      </c>
      <c r="M658" s="186">
        <v>450</v>
      </c>
      <c r="N658" s="99">
        <f t="shared" si="141"/>
        <v>66.926443204461421</v>
      </c>
      <c r="O658" s="99">
        <f t="shared" si="142"/>
        <v>107.56035515002728</v>
      </c>
      <c r="P658" s="131">
        <v>0.9</v>
      </c>
      <c r="Q658" s="186">
        <f t="shared" ref="Q658:Q676" si="147">N658*$P658</f>
        <v>60.233798884015279</v>
      </c>
      <c r="R658" s="186">
        <f t="shared" ref="R658:R676" si="148">O658*$P658</f>
        <v>96.804319635024555</v>
      </c>
      <c r="S658" s="151" t="s">
        <v>1904</v>
      </c>
      <c r="T658" s="51" t="s">
        <v>3337</v>
      </c>
      <c r="U658" s="151" t="s">
        <v>2456</v>
      </c>
      <c r="V658" s="51" t="s">
        <v>2108</v>
      </c>
      <c r="W658" s="19"/>
      <c r="X658" s="19"/>
      <c r="Y658" s="99">
        <v>287</v>
      </c>
    </row>
    <row r="659" spans="2:25" s="165" customFormat="1" ht="20" x14ac:dyDescent="0.2">
      <c r="B659" s="150" t="s">
        <v>1314</v>
      </c>
      <c r="C659" s="33" t="s">
        <v>106</v>
      </c>
      <c r="D659" s="33" t="s">
        <v>2876</v>
      </c>
      <c r="E659" s="175">
        <v>1</v>
      </c>
      <c r="F659" s="151" t="s">
        <v>1128</v>
      </c>
      <c r="G659" s="152">
        <v>27.389976699999998</v>
      </c>
      <c r="H659" s="152">
        <v>16.907393024691356</v>
      </c>
      <c r="I659" s="175">
        <v>69</v>
      </c>
      <c r="J659" s="266">
        <f>_xlfn.XLOOKUP($I659,Inputs!$C$6:$C$23,Inputs!$D$6:$D$23)*$G659</f>
        <v>10.525576760428571</v>
      </c>
      <c r="K659" s="255"/>
      <c r="L659" s="186">
        <v>141</v>
      </c>
      <c r="M659" s="186">
        <v>248</v>
      </c>
      <c r="N659" s="99">
        <f t="shared" si="141"/>
        <v>16.851122306837606</v>
      </c>
      <c r="O659" s="99">
        <f t="shared" si="142"/>
        <v>29.638853419118625</v>
      </c>
      <c r="P659" s="131">
        <v>0.9</v>
      </c>
      <c r="Q659" s="186">
        <f t="shared" si="147"/>
        <v>15.166010076153846</v>
      </c>
      <c r="R659" s="186">
        <f t="shared" si="148"/>
        <v>26.674968077206763</v>
      </c>
      <c r="S659" s="151" t="s">
        <v>2561</v>
      </c>
      <c r="T659" s="51" t="s">
        <v>2218</v>
      </c>
      <c r="U659" s="151" t="s">
        <v>1801</v>
      </c>
      <c r="V659" s="51" t="s">
        <v>3485</v>
      </c>
      <c r="W659" s="19"/>
      <c r="X659" s="19"/>
      <c r="Y659" s="99">
        <v>868</v>
      </c>
    </row>
    <row r="660" spans="2:25" s="165" customFormat="1" ht="20" x14ac:dyDescent="0.2">
      <c r="B660" s="150" t="s">
        <v>1313</v>
      </c>
      <c r="C660" s="33" t="s">
        <v>106</v>
      </c>
      <c r="D660" s="33" t="s">
        <v>2876</v>
      </c>
      <c r="E660" s="175">
        <v>1</v>
      </c>
      <c r="F660" s="151" t="s">
        <v>1128</v>
      </c>
      <c r="G660" s="152">
        <v>12</v>
      </c>
      <c r="H660" s="152">
        <v>7.4074074074074066</v>
      </c>
      <c r="I660" s="175">
        <v>69</v>
      </c>
      <c r="J660" s="266">
        <f>_xlfn.XLOOKUP($I660,Inputs!$C$6:$C$23,Inputs!$D$6:$D$23)*$G660</f>
        <v>4.6114285714285712</v>
      </c>
      <c r="K660" s="255"/>
      <c r="L660" s="186">
        <v>545</v>
      </c>
      <c r="M660" s="186">
        <v>1041</v>
      </c>
      <c r="N660" s="99">
        <f t="shared" ref="N660:N682" si="149">(SQRT(3)*L660*$I660)/1000</f>
        <v>65.133770618627622</v>
      </c>
      <c r="O660" s="99">
        <f t="shared" ref="O660:O682" si="150">(SQRT(3)*M660*$I660)/1000</f>
        <v>124.41147745686489</v>
      </c>
      <c r="P660" s="131">
        <v>0.9</v>
      </c>
      <c r="Q660" s="186">
        <f t="shared" si="147"/>
        <v>58.62039355676486</v>
      </c>
      <c r="R660" s="186">
        <f t="shared" si="148"/>
        <v>111.97032971117839</v>
      </c>
      <c r="S660" s="151" t="s">
        <v>107</v>
      </c>
      <c r="T660" s="51" t="s">
        <v>3232</v>
      </c>
      <c r="U660" s="151" t="s">
        <v>2561</v>
      </c>
      <c r="V660" s="179" t="s">
        <v>2218</v>
      </c>
      <c r="W660" s="19"/>
      <c r="X660" s="19"/>
      <c r="Y660" s="99">
        <v>867</v>
      </c>
    </row>
    <row r="661" spans="2:25" s="165" customFormat="1" ht="20" x14ac:dyDescent="0.2">
      <c r="B661" s="150" t="s">
        <v>1531</v>
      </c>
      <c r="C661" s="33" t="s">
        <v>106</v>
      </c>
      <c r="D661" s="33" t="s">
        <v>2876</v>
      </c>
      <c r="E661" s="175">
        <v>1</v>
      </c>
      <c r="F661" s="151" t="s">
        <v>1128</v>
      </c>
      <c r="G661" s="152">
        <v>2.3330340000000001</v>
      </c>
      <c r="H661" s="152">
        <v>1.4401444444444444</v>
      </c>
      <c r="I661" s="175">
        <v>69</v>
      </c>
      <c r="J661" s="266">
        <f>_xlfn.XLOOKUP($I661,Inputs!$C$6:$C$23,Inputs!$D$6:$D$23)*$G661</f>
        <v>0.89655163714285713</v>
      </c>
      <c r="K661" s="255"/>
      <c r="L661" s="186">
        <v>175</v>
      </c>
      <c r="M661" s="186">
        <v>312</v>
      </c>
      <c r="N661" s="99">
        <f t="shared" si="149"/>
        <v>20.91451350139419</v>
      </c>
      <c r="O661" s="99">
        <f t="shared" si="150"/>
        <v>37.287589785342789</v>
      </c>
      <c r="P661" s="131">
        <v>0.9</v>
      </c>
      <c r="Q661" s="186">
        <f t="shared" si="147"/>
        <v>18.823062151254771</v>
      </c>
      <c r="R661" s="186">
        <f t="shared" si="148"/>
        <v>33.558830806808508</v>
      </c>
      <c r="S661" s="151" t="s">
        <v>2546</v>
      </c>
      <c r="T661" s="51" t="s">
        <v>2203</v>
      </c>
      <c r="U661" s="151" t="s">
        <v>1802</v>
      </c>
      <c r="V661" s="51" t="s">
        <v>3486</v>
      </c>
      <c r="W661" s="19"/>
      <c r="X661" s="19"/>
      <c r="Y661" s="99">
        <v>826</v>
      </c>
    </row>
    <row r="662" spans="2:25" s="165" customFormat="1" ht="20" x14ac:dyDescent="0.2">
      <c r="B662" s="150" t="s">
        <v>1291</v>
      </c>
      <c r="C662" s="33" t="s">
        <v>106</v>
      </c>
      <c r="D662" s="33" t="s">
        <v>2876</v>
      </c>
      <c r="E662" s="175">
        <v>1</v>
      </c>
      <c r="F662" s="151" t="s">
        <v>1128</v>
      </c>
      <c r="G662" s="152">
        <v>51.19</v>
      </c>
      <c r="H662" s="152">
        <v>31.598765432098762</v>
      </c>
      <c r="I662" s="175">
        <v>69</v>
      </c>
      <c r="J662" s="266">
        <f>_xlfn.XLOOKUP($I662,Inputs!$C$6:$C$23,Inputs!$D$6:$D$23)*$G662</f>
        <v>19.671585714285712</v>
      </c>
      <c r="K662" s="255"/>
      <c r="L662" s="186">
        <v>175</v>
      </c>
      <c r="M662" s="186">
        <v>312</v>
      </c>
      <c r="N662" s="99">
        <f t="shared" si="149"/>
        <v>20.91451350139419</v>
      </c>
      <c r="O662" s="99">
        <f t="shared" si="150"/>
        <v>37.287589785342789</v>
      </c>
      <c r="P662" s="131">
        <v>0.9</v>
      </c>
      <c r="Q662" s="186">
        <f t="shared" si="147"/>
        <v>18.823062151254771</v>
      </c>
      <c r="R662" s="186">
        <f t="shared" si="148"/>
        <v>33.558830806808508</v>
      </c>
      <c r="S662" s="151" t="s">
        <v>2546</v>
      </c>
      <c r="T662" s="51" t="s">
        <v>2203</v>
      </c>
      <c r="U662" s="151" t="s">
        <v>1803</v>
      </c>
      <c r="V662" s="51" t="s">
        <v>3487</v>
      </c>
      <c r="W662" s="19"/>
      <c r="X662" s="19"/>
      <c r="Y662" s="99">
        <v>827</v>
      </c>
    </row>
    <row r="663" spans="2:25" s="165" customFormat="1" ht="20" x14ac:dyDescent="0.2">
      <c r="B663" s="150" t="s">
        <v>1291</v>
      </c>
      <c r="C663" s="33" t="s">
        <v>106</v>
      </c>
      <c r="D663" s="33" t="s">
        <v>2876</v>
      </c>
      <c r="E663" s="175">
        <v>1</v>
      </c>
      <c r="F663" s="151" t="s">
        <v>1128</v>
      </c>
      <c r="G663" s="152">
        <v>50</v>
      </c>
      <c r="H663" s="152">
        <v>30.864197530864196</v>
      </c>
      <c r="I663" s="175">
        <v>69</v>
      </c>
      <c r="J663" s="266">
        <f>_xlfn.XLOOKUP($I663,Inputs!$C$6:$C$23,Inputs!$D$6:$D$23)*$G663</f>
        <v>19.214285714285715</v>
      </c>
      <c r="K663" s="255"/>
      <c r="L663" s="186">
        <v>175</v>
      </c>
      <c r="M663" s="186">
        <v>312</v>
      </c>
      <c r="N663" s="99">
        <f t="shared" si="149"/>
        <v>20.91451350139419</v>
      </c>
      <c r="O663" s="99">
        <f t="shared" si="150"/>
        <v>37.287589785342789</v>
      </c>
      <c r="P663" s="131">
        <v>0.9</v>
      </c>
      <c r="Q663" s="186">
        <f t="shared" si="147"/>
        <v>18.823062151254771</v>
      </c>
      <c r="R663" s="186">
        <f t="shared" si="148"/>
        <v>33.558830806808508</v>
      </c>
      <c r="S663" s="151" t="s">
        <v>1791</v>
      </c>
      <c r="T663" s="51" t="s">
        <v>3293</v>
      </c>
      <c r="U663" s="151" t="s">
        <v>2546</v>
      </c>
      <c r="V663" s="51" t="s">
        <v>2203</v>
      </c>
      <c r="W663" s="19"/>
      <c r="X663" s="19"/>
      <c r="Y663" s="99">
        <v>825</v>
      </c>
    </row>
    <row r="664" spans="2:25" s="165" customFormat="1" ht="20" x14ac:dyDescent="0.2">
      <c r="B664" s="150" t="s">
        <v>542</v>
      </c>
      <c r="C664" s="33" t="s">
        <v>106</v>
      </c>
      <c r="D664" s="33" t="s">
        <v>2876</v>
      </c>
      <c r="E664" s="175">
        <v>1</v>
      </c>
      <c r="F664" s="151" t="s">
        <v>1128</v>
      </c>
      <c r="G664" s="152">
        <v>15.5063087</v>
      </c>
      <c r="H664" s="152">
        <v>9.5717954938271603</v>
      </c>
      <c r="I664" s="175">
        <v>230</v>
      </c>
      <c r="J664" s="266">
        <f>_xlfn.XLOOKUP($I664,Inputs!$C$6:$C$23,Inputs!$D$6:$D$23)*$G664</f>
        <v>7.4430281759999994</v>
      </c>
      <c r="K664" s="255"/>
      <c r="L664" s="186">
        <v>950</v>
      </c>
      <c r="M664" s="186">
        <v>950</v>
      </c>
      <c r="N664" s="99">
        <f t="shared" si="149"/>
        <v>378.45310145379972</v>
      </c>
      <c r="O664" s="99">
        <f t="shared" si="150"/>
        <v>378.45310145379972</v>
      </c>
      <c r="P664" s="131">
        <v>0.9</v>
      </c>
      <c r="Q664" s="186">
        <f t="shared" si="147"/>
        <v>340.60779130841973</v>
      </c>
      <c r="R664" s="186">
        <f t="shared" si="148"/>
        <v>340.60779130841973</v>
      </c>
      <c r="S664" s="151" t="s">
        <v>1630</v>
      </c>
      <c r="T664" s="51" t="s">
        <v>3235</v>
      </c>
      <c r="U664" s="151" t="s">
        <v>1804</v>
      </c>
      <c r="V664" s="51" t="s">
        <v>3295</v>
      </c>
      <c r="W664" s="19"/>
      <c r="X664" s="19"/>
      <c r="Y664" s="99">
        <v>380</v>
      </c>
    </row>
    <row r="665" spans="2:25" s="165" customFormat="1" ht="20" x14ac:dyDescent="0.2">
      <c r="B665" s="150" t="s">
        <v>1470</v>
      </c>
      <c r="C665" s="33" t="s">
        <v>106</v>
      </c>
      <c r="D665" s="33" t="s">
        <v>2876</v>
      </c>
      <c r="E665" s="175">
        <v>1</v>
      </c>
      <c r="F665" s="151" t="s">
        <v>1128</v>
      </c>
      <c r="G665" s="152">
        <v>0.70679700000000001</v>
      </c>
      <c r="H665" s="152">
        <v>0.43629444444444443</v>
      </c>
      <c r="I665" s="175">
        <v>138</v>
      </c>
      <c r="J665" s="266">
        <f>_xlfn.XLOOKUP($I665,Inputs!$C$6:$C$23,Inputs!$D$6:$D$23)*$G665</f>
        <v>0.30644698500000001</v>
      </c>
      <c r="K665" s="255"/>
      <c r="L665" s="186">
        <v>304</v>
      </c>
      <c r="M665" s="186">
        <v>571</v>
      </c>
      <c r="N665" s="99">
        <f t="shared" si="149"/>
        <v>72.662995479129535</v>
      </c>
      <c r="O665" s="99">
        <f t="shared" si="150"/>
        <v>136.4821395348124</v>
      </c>
      <c r="P665" s="131">
        <v>0.9</v>
      </c>
      <c r="Q665" s="186">
        <f t="shared" si="147"/>
        <v>65.396695931216584</v>
      </c>
      <c r="R665" s="186">
        <f t="shared" si="148"/>
        <v>122.83392558133117</v>
      </c>
      <c r="S665" s="151" t="s">
        <v>2404</v>
      </c>
      <c r="T665" s="51" t="s">
        <v>2054</v>
      </c>
      <c r="U665" s="151" t="s">
        <v>1805</v>
      </c>
      <c r="V665" s="179" t="s">
        <v>3620</v>
      </c>
      <c r="W665" s="19"/>
      <c r="X665" s="19"/>
      <c r="Y665" s="99">
        <v>90</v>
      </c>
    </row>
    <row r="666" spans="2:25" s="165" customFormat="1" ht="20" x14ac:dyDescent="0.2">
      <c r="B666" s="150" t="s">
        <v>441</v>
      </c>
      <c r="C666" s="33" t="s">
        <v>106</v>
      </c>
      <c r="D666" s="33" t="s">
        <v>2876</v>
      </c>
      <c r="E666" s="175">
        <v>1</v>
      </c>
      <c r="F666" s="151" t="s">
        <v>1128</v>
      </c>
      <c r="G666" s="152">
        <v>4</v>
      </c>
      <c r="H666" s="152">
        <v>2.4691358024691357</v>
      </c>
      <c r="I666" s="175">
        <v>138</v>
      </c>
      <c r="J666" s="266">
        <f>_xlfn.XLOOKUP($I666,Inputs!$C$6:$C$23,Inputs!$D$6:$D$23)*$G666</f>
        <v>1.7342857142857144</v>
      </c>
      <c r="K666" s="255"/>
      <c r="L666" s="186">
        <v>570</v>
      </c>
      <c r="M666" s="186">
        <v>730</v>
      </c>
      <c r="N666" s="99">
        <f t="shared" si="149"/>
        <v>136.24311652336789</v>
      </c>
      <c r="O666" s="99">
        <f t="shared" si="150"/>
        <v>174.48679835448868</v>
      </c>
      <c r="P666" s="131">
        <v>0.9</v>
      </c>
      <c r="Q666" s="186">
        <f t="shared" si="147"/>
        <v>122.6188048710311</v>
      </c>
      <c r="R666" s="186">
        <f t="shared" si="148"/>
        <v>157.03811851903981</v>
      </c>
      <c r="S666" s="151" t="s">
        <v>2403</v>
      </c>
      <c r="T666" s="51" t="s">
        <v>2053</v>
      </c>
      <c r="U666" s="151" t="s">
        <v>2404</v>
      </c>
      <c r="V666" s="51" t="s">
        <v>2054</v>
      </c>
      <c r="W666" s="19"/>
      <c r="X666" s="19"/>
      <c r="Y666" s="99">
        <v>89</v>
      </c>
    </row>
    <row r="667" spans="2:25" s="165" customFormat="1" ht="20" x14ac:dyDescent="0.2">
      <c r="B667" s="150" t="s">
        <v>440</v>
      </c>
      <c r="C667" s="33" t="s">
        <v>106</v>
      </c>
      <c r="D667" s="33" t="s">
        <v>2876</v>
      </c>
      <c r="E667" s="175">
        <v>1</v>
      </c>
      <c r="F667" s="151" t="s">
        <v>1128</v>
      </c>
      <c r="G667" s="152">
        <v>3.0462937999999999</v>
      </c>
      <c r="H667" s="152">
        <v>1.8804282716049381</v>
      </c>
      <c r="I667" s="175">
        <v>138</v>
      </c>
      <c r="J667" s="266">
        <f>_xlfn.XLOOKUP($I667,Inputs!$C$6:$C$23,Inputs!$D$6:$D$23)*$G667</f>
        <v>1.3207859547142857</v>
      </c>
      <c r="K667" s="255"/>
      <c r="L667" s="186">
        <v>1069</v>
      </c>
      <c r="M667" s="186">
        <v>1529</v>
      </c>
      <c r="N667" s="99">
        <f t="shared" si="149"/>
        <v>255.51559923417591</v>
      </c>
      <c r="O667" s="99">
        <f t="shared" si="150"/>
        <v>365.4661844986482</v>
      </c>
      <c r="P667" s="131">
        <v>0.9</v>
      </c>
      <c r="Q667" s="186">
        <f t="shared" si="147"/>
        <v>229.96403931075832</v>
      </c>
      <c r="R667" s="186">
        <f t="shared" si="148"/>
        <v>328.91956604878339</v>
      </c>
      <c r="S667" s="151" t="s">
        <v>1738</v>
      </c>
      <c r="T667" s="51" t="s">
        <v>3187</v>
      </c>
      <c r="U667" s="151" t="s">
        <v>1806</v>
      </c>
      <c r="V667" s="51" t="s">
        <v>3457</v>
      </c>
      <c r="W667" s="19"/>
      <c r="X667" s="19"/>
      <c r="Y667" s="99">
        <v>87</v>
      </c>
    </row>
    <row r="668" spans="2:25" s="165" customFormat="1" ht="20" x14ac:dyDescent="0.2">
      <c r="B668" s="150" t="s">
        <v>466</v>
      </c>
      <c r="C668" s="33" t="s">
        <v>106</v>
      </c>
      <c r="D668" s="33" t="s">
        <v>2876</v>
      </c>
      <c r="E668" s="175">
        <v>1</v>
      </c>
      <c r="F668" s="151" t="s">
        <v>1128</v>
      </c>
      <c r="G668" s="152">
        <v>3.0916128999999999</v>
      </c>
      <c r="H668" s="152">
        <v>1.9084030246913579</v>
      </c>
      <c r="I668" s="175">
        <v>138</v>
      </c>
      <c r="J668" s="266">
        <f>_xlfn.XLOOKUP($I668,Inputs!$C$6:$C$23,Inputs!$D$6:$D$23)*$G668</f>
        <v>1.3404350216428571</v>
      </c>
      <c r="K668" s="255"/>
      <c r="L668" s="186">
        <v>1069</v>
      </c>
      <c r="M668" s="186">
        <v>1529</v>
      </c>
      <c r="N668" s="99">
        <f t="shared" si="149"/>
        <v>255.51559923417591</v>
      </c>
      <c r="O668" s="99">
        <f t="shared" si="150"/>
        <v>365.4661844986482</v>
      </c>
      <c r="P668" s="131">
        <v>0.9</v>
      </c>
      <c r="Q668" s="186">
        <f t="shared" si="147"/>
        <v>229.96403931075832</v>
      </c>
      <c r="R668" s="186">
        <f t="shared" si="148"/>
        <v>328.91956604878339</v>
      </c>
      <c r="S668" s="151" t="s">
        <v>1738</v>
      </c>
      <c r="T668" s="51" t="s">
        <v>3187</v>
      </c>
      <c r="U668" s="151" t="s">
        <v>1806</v>
      </c>
      <c r="V668" s="51" t="s">
        <v>3457</v>
      </c>
      <c r="W668" s="19"/>
      <c r="X668" s="19"/>
      <c r="Y668" s="99">
        <v>156</v>
      </c>
    </row>
    <row r="669" spans="2:25" s="165" customFormat="1" ht="20" x14ac:dyDescent="0.2">
      <c r="B669" s="150" t="s">
        <v>508</v>
      </c>
      <c r="C669" s="33" t="s">
        <v>106</v>
      </c>
      <c r="D669" s="33" t="s">
        <v>2876</v>
      </c>
      <c r="E669" s="175">
        <v>1</v>
      </c>
      <c r="F669" s="151" t="s">
        <v>1128</v>
      </c>
      <c r="G669" s="152">
        <v>2</v>
      </c>
      <c r="H669" s="152">
        <v>1.2345679012345678</v>
      </c>
      <c r="I669" s="175">
        <v>138</v>
      </c>
      <c r="J669" s="266">
        <f>_xlfn.XLOOKUP($I669,Inputs!$C$6:$C$23,Inputs!$D$6:$D$23)*$G669</f>
        <v>0.86714285714285722</v>
      </c>
      <c r="K669" s="255"/>
      <c r="L669" s="186">
        <v>560</v>
      </c>
      <c r="M669" s="186">
        <v>674</v>
      </c>
      <c r="N669" s="99">
        <f t="shared" si="149"/>
        <v>133.85288640892284</v>
      </c>
      <c r="O669" s="99">
        <f t="shared" si="150"/>
        <v>161.10150971359641</v>
      </c>
      <c r="P669" s="131">
        <v>0.9</v>
      </c>
      <c r="Q669" s="186">
        <f t="shared" si="147"/>
        <v>120.46759776803056</v>
      </c>
      <c r="R669" s="186">
        <f t="shared" si="148"/>
        <v>144.99135874223677</v>
      </c>
      <c r="S669" s="151" t="s">
        <v>2459</v>
      </c>
      <c r="T669" s="51" t="s">
        <v>2112</v>
      </c>
      <c r="U669" s="151" t="s">
        <v>1807</v>
      </c>
      <c r="V669" s="51" t="s">
        <v>3682</v>
      </c>
      <c r="W669" s="19"/>
      <c r="X669" s="19"/>
      <c r="Y669" s="99">
        <v>305</v>
      </c>
    </row>
    <row r="670" spans="2:25" s="165" customFormat="1" ht="20" x14ac:dyDescent="0.2">
      <c r="B670" s="150" t="s">
        <v>517</v>
      </c>
      <c r="C670" s="33" t="s">
        <v>106</v>
      </c>
      <c r="D670" s="33" t="s">
        <v>2876</v>
      </c>
      <c r="E670" s="175">
        <v>1</v>
      </c>
      <c r="F670" s="151" t="s">
        <v>1128</v>
      </c>
      <c r="G670" s="152">
        <v>4.2328586999999995</v>
      </c>
      <c r="H670" s="152">
        <v>2.6128757407407401</v>
      </c>
      <c r="I670" s="175">
        <v>138</v>
      </c>
      <c r="J670" s="266">
        <f>_xlfn.XLOOKUP($I670,Inputs!$C$6:$C$23,Inputs!$D$6:$D$23)*$G670</f>
        <v>1.8352465935</v>
      </c>
      <c r="K670" s="255"/>
      <c r="L670" s="186">
        <v>255</v>
      </c>
      <c r="M670" s="186">
        <v>440</v>
      </c>
      <c r="N670" s="99">
        <f t="shared" si="149"/>
        <v>60.950867918348784</v>
      </c>
      <c r="O670" s="99">
        <f t="shared" si="150"/>
        <v>105.17012503558223</v>
      </c>
      <c r="P670" s="131">
        <v>0.9</v>
      </c>
      <c r="Q670" s="186">
        <f t="shared" si="147"/>
        <v>54.855781126513904</v>
      </c>
      <c r="R670" s="186">
        <f t="shared" si="148"/>
        <v>94.653112532024011</v>
      </c>
      <c r="S670" s="151" t="s">
        <v>1723</v>
      </c>
      <c r="T670" s="51" t="s">
        <v>3267</v>
      </c>
      <c r="U670" s="151" t="s">
        <v>1808</v>
      </c>
      <c r="V670" s="51" t="s">
        <v>3626</v>
      </c>
      <c r="W670" s="19"/>
      <c r="X670" s="19"/>
      <c r="Y670" s="99">
        <v>330</v>
      </c>
    </row>
    <row r="671" spans="2:25" s="165" customFormat="1" ht="20" x14ac:dyDescent="0.2">
      <c r="B671" s="150" t="s">
        <v>484</v>
      </c>
      <c r="C671" s="33" t="s">
        <v>106</v>
      </c>
      <c r="D671" s="33" t="s">
        <v>2876</v>
      </c>
      <c r="E671" s="175">
        <v>1</v>
      </c>
      <c r="F671" s="151" t="s">
        <v>1128</v>
      </c>
      <c r="G671" s="152">
        <v>42.879600599999996</v>
      </c>
      <c r="H671" s="152">
        <v>26.468889259259257</v>
      </c>
      <c r="I671" s="175">
        <v>138</v>
      </c>
      <c r="J671" s="266">
        <f>_xlfn.XLOOKUP($I671,Inputs!$C$6:$C$23,Inputs!$D$6:$D$23)*$G671</f>
        <v>18.591369688714284</v>
      </c>
      <c r="K671" s="255"/>
      <c r="L671" s="186">
        <v>714</v>
      </c>
      <c r="M671" s="186">
        <v>923</v>
      </c>
      <c r="N671" s="99">
        <f t="shared" si="149"/>
        <v>170.66243017137663</v>
      </c>
      <c r="O671" s="99">
        <f t="shared" si="150"/>
        <v>220.61823956327817</v>
      </c>
      <c r="P671" s="131">
        <v>0.9</v>
      </c>
      <c r="Q671" s="186">
        <f t="shared" si="147"/>
        <v>153.59618715423898</v>
      </c>
      <c r="R671" s="186">
        <f t="shared" si="148"/>
        <v>198.55641560695037</v>
      </c>
      <c r="S671" s="151" t="s">
        <v>1712</v>
      </c>
      <c r="T671" s="51" t="s">
        <v>3261</v>
      </c>
      <c r="U671" s="151" t="s">
        <v>1809</v>
      </c>
      <c r="V671" s="51" t="s">
        <v>3296</v>
      </c>
      <c r="W671" s="19"/>
      <c r="X671" s="19"/>
      <c r="Y671" s="99">
        <v>235</v>
      </c>
    </row>
    <row r="672" spans="2:25" s="165" customFormat="1" ht="20" x14ac:dyDescent="0.2">
      <c r="B672" s="150" t="s">
        <v>663</v>
      </c>
      <c r="C672" s="33" t="s">
        <v>106</v>
      </c>
      <c r="D672" s="33" t="s">
        <v>2876</v>
      </c>
      <c r="E672" s="175">
        <v>1</v>
      </c>
      <c r="F672" s="151" t="s">
        <v>1128</v>
      </c>
      <c r="G672" s="152">
        <v>285.30181920000001</v>
      </c>
      <c r="H672" s="152">
        <v>176.11223407407408</v>
      </c>
      <c r="I672" s="175">
        <v>500</v>
      </c>
      <c r="J672" s="266">
        <f>_xlfn.XLOOKUP($I672,Inputs!$C$6:$C$23,Inputs!$D$6:$D$23)*$G672</f>
        <v>112.69421858400001</v>
      </c>
      <c r="K672" s="255"/>
      <c r="L672" s="186">
        <v>2265</v>
      </c>
      <c r="M672" s="186">
        <v>3302</v>
      </c>
      <c r="N672" s="99">
        <f t="shared" si="149"/>
        <v>1961.5475395717535</v>
      </c>
      <c r="O672" s="99">
        <f t="shared" si="150"/>
        <v>2859.6158832962165</v>
      </c>
      <c r="P672" s="131">
        <v>0.9</v>
      </c>
      <c r="Q672" s="186">
        <f t="shared" si="147"/>
        <v>1765.3927856145783</v>
      </c>
      <c r="R672" s="186">
        <f t="shared" si="148"/>
        <v>2573.654294966595</v>
      </c>
      <c r="S672" s="151" t="s">
        <v>1777</v>
      </c>
      <c r="T672" s="51" t="s">
        <v>3143</v>
      </c>
      <c r="U672" s="151" t="s">
        <v>1809</v>
      </c>
      <c r="V672" s="51" t="s">
        <v>3296</v>
      </c>
      <c r="W672" s="19"/>
      <c r="X672" s="19"/>
      <c r="Y672" s="99">
        <v>539</v>
      </c>
    </row>
    <row r="673" spans="2:25" s="165" customFormat="1" ht="20" x14ac:dyDescent="0.2">
      <c r="B673" s="150" t="s">
        <v>664</v>
      </c>
      <c r="C673" s="33" t="s">
        <v>106</v>
      </c>
      <c r="D673" s="33" t="s">
        <v>2876</v>
      </c>
      <c r="E673" s="175">
        <v>1</v>
      </c>
      <c r="F673" s="151" t="s">
        <v>1128</v>
      </c>
      <c r="G673" s="152">
        <v>285.25542920000004</v>
      </c>
      <c r="H673" s="152">
        <v>176.08359827160496</v>
      </c>
      <c r="I673" s="175">
        <v>500</v>
      </c>
      <c r="J673" s="266">
        <f>_xlfn.XLOOKUP($I673,Inputs!$C$6:$C$23,Inputs!$D$6:$D$23)*$G673</f>
        <v>112.67589453400002</v>
      </c>
      <c r="K673" s="255"/>
      <c r="L673" s="186">
        <v>2265</v>
      </c>
      <c r="M673" s="186">
        <v>3302</v>
      </c>
      <c r="N673" s="99">
        <f t="shared" si="149"/>
        <v>1961.5475395717535</v>
      </c>
      <c r="O673" s="99">
        <f t="shared" si="150"/>
        <v>2859.6158832962165</v>
      </c>
      <c r="P673" s="131">
        <v>0.9</v>
      </c>
      <c r="Q673" s="186">
        <f t="shared" si="147"/>
        <v>1765.3927856145783</v>
      </c>
      <c r="R673" s="186">
        <f t="shared" si="148"/>
        <v>2573.654294966595</v>
      </c>
      <c r="S673" s="151" t="s">
        <v>1777</v>
      </c>
      <c r="T673" s="51" t="s">
        <v>3143</v>
      </c>
      <c r="U673" s="151" t="s">
        <v>1809</v>
      </c>
      <c r="V673" s="51" t="s">
        <v>3296</v>
      </c>
      <c r="W673" s="19"/>
      <c r="X673" s="19"/>
      <c r="Y673" s="99">
        <v>540</v>
      </c>
    </row>
    <row r="674" spans="2:25" s="165" customFormat="1" ht="20" x14ac:dyDescent="0.2">
      <c r="B674" s="150" t="s">
        <v>666</v>
      </c>
      <c r="C674" s="33" t="s">
        <v>106</v>
      </c>
      <c r="D674" s="33" t="s">
        <v>2876</v>
      </c>
      <c r="E674" s="175">
        <v>1</v>
      </c>
      <c r="F674" s="151" t="s">
        <v>1128</v>
      </c>
      <c r="G674" s="152">
        <v>117.77556269999999</v>
      </c>
      <c r="H674" s="152">
        <v>72.700964629629624</v>
      </c>
      <c r="I674" s="175">
        <v>500</v>
      </c>
      <c r="J674" s="266">
        <f>_xlfn.XLOOKUP($I674,Inputs!$C$6:$C$23,Inputs!$D$6:$D$23)*$G674</f>
        <v>46.521347266500001</v>
      </c>
      <c r="K674" s="255"/>
      <c r="L674" s="186">
        <v>2265</v>
      </c>
      <c r="M674" s="186">
        <v>3302</v>
      </c>
      <c r="N674" s="99">
        <f t="shared" si="149"/>
        <v>1961.5475395717535</v>
      </c>
      <c r="O674" s="99">
        <f t="shared" si="150"/>
        <v>2859.6158832962165</v>
      </c>
      <c r="P674" s="131">
        <v>0.9</v>
      </c>
      <c r="Q674" s="186">
        <f t="shared" si="147"/>
        <v>1765.3927856145783</v>
      </c>
      <c r="R674" s="186">
        <f t="shared" si="148"/>
        <v>2573.654294966595</v>
      </c>
      <c r="S674" s="151" t="s">
        <v>1565</v>
      </c>
      <c r="T674" s="51" t="s">
        <v>3206</v>
      </c>
      <c r="U674" s="151" t="s">
        <v>1809</v>
      </c>
      <c r="V674" s="51" t="s">
        <v>3296</v>
      </c>
      <c r="W674" s="19"/>
      <c r="X674" s="19"/>
      <c r="Y674" s="99">
        <v>542</v>
      </c>
    </row>
    <row r="675" spans="2:25" s="165" customFormat="1" ht="20" x14ac:dyDescent="0.2">
      <c r="B675" s="150" t="s">
        <v>668</v>
      </c>
      <c r="C675" s="33" t="s">
        <v>106</v>
      </c>
      <c r="D675" s="33" t="s">
        <v>2876</v>
      </c>
      <c r="E675" s="175">
        <v>1</v>
      </c>
      <c r="F675" s="151" t="s">
        <v>1128</v>
      </c>
      <c r="G675" s="152">
        <v>117.73912829999999</v>
      </c>
      <c r="H675" s="152">
        <v>72.678474259259247</v>
      </c>
      <c r="I675" s="175">
        <v>500</v>
      </c>
      <c r="J675" s="266">
        <f>_xlfn.XLOOKUP($I675,Inputs!$C$6:$C$23,Inputs!$D$6:$D$23)*$G675</f>
        <v>46.506955678499999</v>
      </c>
      <c r="K675" s="255"/>
      <c r="L675" s="186">
        <v>3501</v>
      </c>
      <c r="M675" s="186">
        <v>4238</v>
      </c>
      <c r="N675" s="99">
        <f t="shared" si="149"/>
        <v>3031.9549386493195</v>
      </c>
      <c r="O675" s="99">
        <f t="shared" si="150"/>
        <v>3670.2156612384506</v>
      </c>
      <c r="P675" s="131">
        <v>0.9</v>
      </c>
      <c r="Q675" s="186">
        <f t="shared" si="147"/>
        <v>2728.7594447843876</v>
      </c>
      <c r="R675" s="186">
        <f t="shared" si="148"/>
        <v>3303.1940951146057</v>
      </c>
      <c r="S675" s="151" t="s">
        <v>1565</v>
      </c>
      <c r="T675" s="51" t="s">
        <v>3206</v>
      </c>
      <c r="U675" s="151" t="s">
        <v>1809</v>
      </c>
      <c r="V675" s="51" t="s">
        <v>3296</v>
      </c>
      <c r="W675" s="19"/>
      <c r="X675" s="19"/>
      <c r="Y675" s="99">
        <v>544</v>
      </c>
    </row>
    <row r="676" spans="2:25" s="165" customFormat="1" ht="20" x14ac:dyDescent="0.2">
      <c r="B676" s="150" t="s">
        <v>672</v>
      </c>
      <c r="C676" s="33" t="s">
        <v>106</v>
      </c>
      <c r="D676" s="33" t="s">
        <v>2876</v>
      </c>
      <c r="E676" s="175">
        <v>1</v>
      </c>
      <c r="F676" s="151" t="s">
        <v>1128</v>
      </c>
      <c r="G676" s="152">
        <v>145.96162479999998</v>
      </c>
      <c r="H676" s="152">
        <v>90.099768395061716</v>
      </c>
      <c r="I676" s="175">
        <v>500</v>
      </c>
      <c r="J676" s="266">
        <f>_xlfn.XLOOKUP($I676,Inputs!$C$6:$C$23,Inputs!$D$6:$D$23)*$G676</f>
        <v>57.654841795999992</v>
      </c>
      <c r="K676" s="255"/>
      <c r="L676" s="186">
        <v>3540</v>
      </c>
      <c r="M676" s="186">
        <v>4284</v>
      </c>
      <c r="N676" s="99">
        <f t="shared" si="149"/>
        <v>3065.7299293969127</v>
      </c>
      <c r="O676" s="99">
        <f t="shared" si="150"/>
        <v>3710.052829812535</v>
      </c>
      <c r="P676" s="131">
        <v>0.9</v>
      </c>
      <c r="Q676" s="186">
        <f t="shared" si="147"/>
        <v>2759.1569364572215</v>
      </c>
      <c r="R676" s="186">
        <f t="shared" si="148"/>
        <v>3339.0475468312816</v>
      </c>
      <c r="S676" s="151" t="s">
        <v>1753</v>
      </c>
      <c r="T676" s="51" t="s">
        <v>3282</v>
      </c>
      <c r="U676" s="151" t="s">
        <v>1809</v>
      </c>
      <c r="V676" s="51" t="s">
        <v>3296</v>
      </c>
      <c r="W676" s="19"/>
      <c r="X676" s="19"/>
      <c r="Y676" s="99">
        <v>548</v>
      </c>
    </row>
    <row r="677" spans="2:25" s="165" customFormat="1" ht="20" x14ac:dyDescent="0.2">
      <c r="B677" s="150" t="s">
        <v>1410</v>
      </c>
      <c r="C677" s="33" t="s">
        <v>106</v>
      </c>
      <c r="D677" s="33" t="s">
        <v>2876</v>
      </c>
      <c r="E677" s="175">
        <v>1</v>
      </c>
      <c r="F677" s="151" t="s">
        <v>1128</v>
      </c>
      <c r="G677" s="152">
        <v>11.9368075</v>
      </c>
      <c r="H677" s="152">
        <v>7.3683996913580243</v>
      </c>
      <c r="I677" s="175">
        <v>138</v>
      </c>
      <c r="J677" s="266">
        <f>_xlfn.XLOOKUP($I677,Inputs!$C$6:$C$23,Inputs!$D$6:$D$23)*$G677</f>
        <v>5.1754586803571438</v>
      </c>
      <c r="K677" s="267">
        <f>IF((42.4*(H677)^(-0.6595))&gt;=3,3,(IF(42.4*(H677)^(-0.6595)&lt;=0.5,0.5,(42.4*(H677)^(-0.6595)))))</f>
        <v>3</v>
      </c>
      <c r="L677" s="99"/>
      <c r="M677" s="99"/>
      <c r="N677" s="99">
        <f t="shared" si="149"/>
        <v>0</v>
      </c>
      <c r="O677" s="99">
        <f t="shared" si="150"/>
        <v>0</v>
      </c>
      <c r="P677" s="131">
        <v>0.9</v>
      </c>
      <c r="Q677" s="305">
        <f>_xlfn.XLOOKUP($I677,Inputs!$G$6:$G$23,Inputs!J$6:J$23)*$K677</f>
        <v>141</v>
      </c>
      <c r="R677" s="305">
        <f>_xlfn.XLOOKUP($I677,Inputs!$G$6:$G$23,Inputs!K$6:K$23)*$K677</f>
        <v>156</v>
      </c>
      <c r="S677" s="151" t="s">
        <v>2394</v>
      </c>
      <c r="T677" s="51" t="s">
        <v>2043</v>
      </c>
      <c r="U677" s="151" t="s">
        <v>1810</v>
      </c>
      <c r="V677" s="51" t="s">
        <v>3602</v>
      </c>
      <c r="W677" s="19"/>
      <c r="X677" s="19"/>
      <c r="Y677" s="99">
        <v>44</v>
      </c>
    </row>
    <row r="678" spans="2:25" s="165" customFormat="1" ht="20" x14ac:dyDescent="0.2">
      <c r="B678" s="150" t="s">
        <v>427</v>
      </c>
      <c r="C678" s="33" t="s">
        <v>106</v>
      </c>
      <c r="D678" s="33" t="s">
        <v>2876</v>
      </c>
      <c r="E678" s="175">
        <v>1</v>
      </c>
      <c r="F678" s="151" t="s">
        <v>1128</v>
      </c>
      <c r="G678" s="152">
        <v>3</v>
      </c>
      <c r="H678" s="152">
        <v>1.8518518518518516</v>
      </c>
      <c r="I678" s="175">
        <v>138</v>
      </c>
      <c r="J678" s="266">
        <f>_xlfn.XLOOKUP($I678,Inputs!$C$6:$C$23,Inputs!$D$6:$D$23)*$G678</f>
        <v>1.3007142857142857</v>
      </c>
      <c r="K678" s="255"/>
      <c r="L678" s="186">
        <v>504</v>
      </c>
      <c r="M678" s="186">
        <v>601</v>
      </c>
      <c r="N678" s="99">
        <f t="shared" si="149"/>
        <v>120.46759776803054</v>
      </c>
      <c r="O678" s="99">
        <f t="shared" si="150"/>
        <v>143.65282987814754</v>
      </c>
      <c r="P678" s="131">
        <v>0.9</v>
      </c>
      <c r="Q678" s="186">
        <f t="shared" ref="Q678:R682" si="151">N678*$P678</f>
        <v>108.42083799122749</v>
      </c>
      <c r="R678" s="186">
        <f t="shared" si="151"/>
        <v>129.28754689033281</v>
      </c>
      <c r="S678" s="151" t="s">
        <v>1795</v>
      </c>
      <c r="T678" s="51" t="s">
        <v>3199</v>
      </c>
      <c r="U678" s="151" t="s">
        <v>2394</v>
      </c>
      <c r="V678" s="51" t="s">
        <v>2043</v>
      </c>
      <c r="W678" s="19"/>
      <c r="X678" s="19"/>
      <c r="Y678" s="99">
        <v>43</v>
      </c>
    </row>
    <row r="679" spans="2:25" s="165" customFormat="1" ht="20" x14ac:dyDescent="0.2">
      <c r="B679" s="150" t="s">
        <v>1249</v>
      </c>
      <c r="C679" s="33" t="s">
        <v>106</v>
      </c>
      <c r="D679" s="33" t="s">
        <v>2876</v>
      </c>
      <c r="E679" s="175">
        <v>1</v>
      </c>
      <c r="F679" s="151" t="s">
        <v>1128</v>
      </c>
      <c r="G679" s="152">
        <v>2.5893699999999999E-2</v>
      </c>
      <c r="H679" s="152">
        <v>1.5983765432098763E-2</v>
      </c>
      <c r="I679" s="175">
        <v>69</v>
      </c>
      <c r="J679" s="266">
        <f>_xlfn.XLOOKUP($I679,Inputs!$C$6:$C$23,Inputs!$D$6:$D$23)*$G679</f>
        <v>9.9505789999999993E-3</v>
      </c>
      <c r="K679" s="255"/>
      <c r="L679" s="186">
        <v>800</v>
      </c>
      <c r="M679" s="186">
        <v>1018</v>
      </c>
      <c r="N679" s="99">
        <f t="shared" si="149"/>
        <v>95.609204577802032</v>
      </c>
      <c r="O679" s="99">
        <f t="shared" si="150"/>
        <v>121.66271282525307</v>
      </c>
      <c r="P679" s="131">
        <v>0.9</v>
      </c>
      <c r="Q679" s="186">
        <f t="shared" si="151"/>
        <v>86.048284120021833</v>
      </c>
      <c r="R679" s="186">
        <f t="shared" si="151"/>
        <v>109.49644154272777</v>
      </c>
      <c r="S679" s="151" t="s">
        <v>2529</v>
      </c>
      <c r="T679" s="51" t="s">
        <v>2188</v>
      </c>
      <c r="U679" s="151" t="s">
        <v>1811</v>
      </c>
      <c r="V679" s="51" t="s">
        <v>3488</v>
      </c>
      <c r="W679" s="19"/>
      <c r="X679" s="19"/>
      <c r="Y679" s="99">
        <v>760</v>
      </c>
    </row>
    <row r="680" spans="2:25" s="165" customFormat="1" ht="20" x14ac:dyDescent="0.2">
      <c r="B680" s="150" t="s">
        <v>1278</v>
      </c>
      <c r="C680" s="33" t="s">
        <v>106</v>
      </c>
      <c r="D680" s="33" t="s">
        <v>2876</v>
      </c>
      <c r="E680" s="175">
        <v>1</v>
      </c>
      <c r="F680" s="151" t="s">
        <v>1128</v>
      </c>
      <c r="G680" s="152">
        <v>1</v>
      </c>
      <c r="H680" s="152">
        <v>0.61728395061728392</v>
      </c>
      <c r="I680" s="175">
        <v>69</v>
      </c>
      <c r="J680" s="266">
        <f>_xlfn.XLOOKUP($I680,Inputs!$C$6:$C$23,Inputs!$D$6:$D$23)*$G680</f>
        <v>0.38428571428571429</v>
      </c>
      <c r="K680" s="255"/>
      <c r="L680" s="186">
        <v>910</v>
      </c>
      <c r="M680" s="186">
        <v>960</v>
      </c>
      <c r="N680" s="99">
        <f t="shared" si="149"/>
        <v>108.7554702072498</v>
      </c>
      <c r="O680" s="99">
        <f t="shared" si="150"/>
        <v>114.73104549336242</v>
      </c>
      <c r="P680" s="131">
        <v>0.9</v>
      </c>
      <c r="Q680" s="186">
        <f t="shared" si="151"/>
        <v>97.87992318652482</v>
      </c>
      <c r="R680" s="186">
        <f t="shared" si="151"/>
        <v>103.25794094402617</v>
      </c>
      <c r="S680" s="151" t="s">
        <v>2529</v>
      </c>
      <c r="T680" s="51" t="s">
        <v>2188</v>
      </c>
      <c r="U680" s="151" t="s">
        <v>1811</v>
      </c>
      <c r="V680" s="51" t="s">
        <v>3488</v>
      </c>
      <c r="W680" s="19"/>
      <c r="X680" s="19"/>
      <c r="Y680" s="99">
        <v>803</v>
      </c>
    </row>
    <row r="681" spans="2:25" s="165" customFormat="1" ht="20" x14ac:dyDescent="0.2">
      <c r="B681" s="150" t="s">
        <v>1248</v>
      </c>
      <c r="C681" s="33" t="s">
        <v>106</v>
      </c>
      <c r="D681" s="33" t="s">
        <v>2876</v>
      </c>
      <c r="E681" s="175">
        <v>1</v>
      </c>
      <c r="F681" s="151" t="s">
        <v>1128</v>
      </c>
      <c r="G681" s="152">
        <v>9</v>
      </c>
      <c r="H681" s="152">
        <v>5.5555555555555554</v>
      </c>
      <c r="I681" s="175">
        <v>69</v>
      </c>
      <c r="J681" s="266">
        <f>_xlfn.XLOOKUP($I681,Inputs!$C$6:$C$23,Inputs!$D$6:$D$23)*$G681</f>
        <v>3.4585714285714286</v>
      </c>
      <c r="K681" s="255"/>
      <c r="L681" s="186">
        <v>845</v>
      </c>
      <c r="M681" s="186">
        <v>1020</v>
      </c>
      <c r="N681" s="99">
        <f t="shared" si="149"/>
        <v>100.98722233530337</v>
      </c>
      <c r="O681" s="99">
        <f t="shared" si="150"/>
        <v>121.90173583669757</v>
      </c>
      <c r="P681" s="131">
        <v>0.9</v>
      </c>
      <c r="Q681" s="186">
        <f t="shared" si="151"/>
        <v>90.888500101773033</v>
      </c>
      <c r="R681" s="186">
        <f t="shared" si="151"/>
        <v>109.71156225302781</v>
      </c>
      <c r="S681" s="151" t="s">
        <v>2528</v>
      </c>
      <c r="T681" s="51" t="s">
        <v>2187</v>
      </c>
      <c r="U681" s="151" t="s">
        <v>2529</v>
      </c>
      <c r="V681" s="51" t="s">
        <v>2188</v>
      </c>
      <c r="W681" s="19"/>
      <c r="X681" s="19"/>
      <c r="Y681" s="99">
        <v>759</v>
      </c>
    </row>
    <row r="682" spans="2:25" s="165" customFormat="1" ht="20" x14ac:dyDescent="0.2">
      <c r="B682" s="150" t="s">
        <v>1278</v>
      </c>
      <c r="C682" s="33" t="s">
        <v>106</v>
      </c>
      <c r="D682" s="33" t="s">
        <v>2876</v>
      </c>
      <c r="E682" s="175">
        <v>1</v>
      </c>
      <c r="F682" s="151" t="s">
        <v>1128</v>
      </c>
      <c r="G682" s="152">
        <v>14.601708800000001</v>
      </c>
      <c r="H682" s="152">
        <v>9.0134004938271612</v>
      </c>
      <c r="I682" s="175">
        <v>69</v>
      </c>
      <c r="J682" s="266">
        <f>_xlfn.XLOOKUP($I682,Inputs!$C$6:$C$23,Inputs!$D$6:$D$23)*$G682</f>
        <v>5.6112280960000005</v>
      </c>
      <c r="K682" s="255"/>
      <c r="L682" s="186">
        <v>1153</v>
      </c>
      <c r="M682" s="186">
        <v>1383</v>
      </c>
      <c r="N682" s="99">
        <f t="shared" si="149"/>
        <v>137.79676609775714</v>
      </c>
      <c r="O682" s="99">
        <f t="shared" si="150"/>
        <v>165.28441241387523</v>
      </c>
      <c r="P682" s="131">
        <v>0.9</v>
      </c>
      <c r="Q682" s="186">
        <f t="shared" si="151"/>
        <v>124.01708948798144</v>
      </c>
      <c r="R682" s="186">
        <f t="shared" si="151"/>
        <v>148.7559711724877</v>
      </c>
      <c r="S682" s="151" t="s">
        <v>1789</v>
      </c>
      <c r="T682" s="51" t="s">
        <v>3292</v>
      </c>
      <c r="U682" s="151" t="s">
        <v>2529</v>
      </c>
      <c r="V682" s="51" t="s">
        <v>2188</v>
      </c>
      <c r="W682" s="19"/>
      <c r="X682" s="19"/>
      <c r="Y682" s="99">
        <v>802</v>
      </c>
    </row>
    <row r="683" spans="2:25" s="165" customFormat="1" ht="20" x14ac:dyDescent="0.2">
      <c r="B683" s="230" t="s">
        <v>2662</v>
      </c>
      <c r="C683" s="51" t="s">
        <v>173</v>
      </c>
      <c r="D683" s="33" t="s">
        <v>2876</v>
      </c>
      <c r="E683" s="231">
        <v>1</v>
      </c>
      <c r="F683" s="230" t="s">
        <v>1128</v>
      </c>
      <c r="G683" s="232">
        <v>20</v>
      </c>
      <c r="H683" s="232">
        <v>12.345679012345679</v>
      </c>
      <c r="I683" s="231">
        <v>63</v>
      </c>
      <c r="J683" s="266">
        <f>_xlfn.XLOOKUP($I683,Inputs!$C$6:$C$23,Inputs!$D$6:$D$23)*$G683</f>
        <v>7.6</v>
      </c>
      <c r="K683" s="267">
        <f t="shared" ref="K683:K691" si="152">IF((42.4*(H683)^(-0.6595))&gt;=3,3,(IF(42.4*(H683)^(-0.6595)&lt;=0.5,0.5,(42.4*(H683)^(-0.6595)))))</f>
        <v>3</v>
      </c>
      <c r="L683" s="99"/>
      <c r="M683" s="99"/>
      <c r="N683" s="99"/>
      <c r="O683" s="99"/>
      <c r="P683" s="69"/>
      <c r="Q683" s="305">
        <f>_xlfn.XLOOKUP($I683,Inputs!$G$6:$G$23,Inputs!J$6:J$23)*$K683</f>
        <v>29.767499999999998</v>
      </c>
      <c r="R683" s="305">
        <f>_xlfn.XLOOKUP($I683,Inputs!$G$6:$G$23,Inputs!K$6:K$23)*$K683</f>
        <v>32.532786885245905</v>
      </c>
      <c r="S683" s="230" t="s">
        <v>3562</v>
      </c>
      <c r="T683" s="51" t="s">
        <v>3563</v>
      </c>
      <c r="U683" s="230" t="s">
        <v>2663</v>
      </c>
      <c r="V683" s="51" t="s">
        <v>3371</v>
      </c>
      <c r="W683" s="19"/>
      <c r="X683" s="19"/>
      <c r="Y683" s="99">
        <v>1128</v>
      </c>
    </row>
    <row r="684" spans="2:25" s="165" customFormat="1" ht="20" x14ac:dyDescent="0.2">
      <c r="B684" s="150" t="s">
        <v>494</v>
      </c>
      <c r="C684" s="33" t="s">
        <v>106</v>
      </c>
      <c r="D684" s="33" t="s">
        <v>2876</v>
      </c>
      <c r="E684" s="175">
        <v>1</v>
      </c>
      <c r="F684" s="151" t="s">
        <v>1128</v>
      </c>
      <c r="G684" s="152">
        <v>15</v>
      </c>
      <c r="H684" s="152">
        <v>9.2592592592592595</v>
      </c>
      <c r="I684" s="175">
        <v>138</v>
      </c>
      <c r="J684" s="266">
        <f>_xlfn.XLOOKUP($I684,Inputs!$C$6:$C$23,Inputs!$D$6:$D$23)*$G684</f>
        <v>6.503571428571429</v>
      </c>
      <c r="K684" s="267">
        <f t="shared" si="152"/>
        <v>3</v>
      </c>
      <c r="L684" s="99"/>
      <c r="M684" s="99"/>
      <c r="N684" s="99">
        <f t="shared" ref="N684:O688" si="153">(SQRT(3)*L684*$I684)/1000</f>
        <v>0</v>
      </c>
      <c r="O684" s="99">
        <f t="shared" si="153"/>
        <v>0</v>
      </c>
      <c r="P684" s="131">
        <v>0.9</v>
      </c>
      <c r="Q684" s="305">
        <f>_xlfn.XLOOKUP($I684,Inputs!$G$6:$G$23,Inputs!J$6:J$23)*$K684</f>
        <v>141</v>
      </c>
      <c r="R684" s="305">
        <f>_xlfn.XLOOKUP($I684,Inputs!$G$6:$G$23,Inputs!K$6:K$23)*$K684</f>
        <v>156</v>
      </c>
      <c r="S684" s="151" t="s">
        <v>2448</v>
      </c>
      <c r="T684" s="51" t="s">
        <v>2099</v>
      </c>
      <c r="U684" s="151" t="s">
        <v>1812</v>
      </c>
      <c r="V684" s="51" t="s">
        <v>3614</v>
      </c>
      <c r="W684" s="19"/>
      <c r="X684" s="19" t="s">
        <v>3734</v>
      </c>
      <c r="Y684" s="99">
        <v>266</v>
      </c>
    </row>
    <row r="685" spans="2:25" s="165" customFormat="1" ht="20" x14ac:dyDescent="0.2">
      <c r="B685" s="150" t="s">
        <v>1446</v>
      </c>
      <c r="C685" s="33" t="s">
        <v>106</v>
      </c>
      <c r="D685" s="33" t="s">
        <v>2876</v>
      </c>
      <c r="E685" s="175">
        <v>1</v>
      </c>
      <c r="F685" s="151" t="s">
        <v>1128</v>
      </c>
      <c r="G685" s="152">
        <v>0.33081740000000004</v>
      </c>
      <c r="H685" s="152">
        <v>0.20420827160493829</v>
      </c>
      <c r="I685" s="175">
        <v>138</v>
      </c>
      <c r="J685" s="266">
        <f>_xlfn.XLOOKUP($I685,Inputs!$C$6:$C$23,Inputs!$D$6:$D$23)*$G685</f>
        <v>0.14343297271428573</v>
      </c>
      <c r="K685" s="267">
        <f t="shared" si="152"/>
        <v>3</v>
      </c>
      <c r="L685" s="99"/>
      <c r="M685" s="99"/>
      <c r="N685" s="99">
        <f t="shared" si="153"/>
        <v>0</v>
      </c>
      <c r="O685" s="99">
        <f t="shared" si="153"/>
        <v>0</v>
      </c>
      <c r="P685" s="131">
        <v>0.9</v>
      </c>
      <c r="Q685" s="305">
        <f>_xlfn.XLOOKUP($I685,Inputs!$G$6:$G$23,Inputs!J$6:J$23)*$K685</f>
        <v>141</v>
      </c>
      <c r="R685" s="305">
        <f>_xlfn.XLOOKUP($I685,Inputs!$G$6:$G$23,Inputs!K$6:K$23)*$K685</f>
        <v>156</v>
      </c>
      <c r="S685" s="151" t="s">
        <v>2448</v>
      </c>
      <c r="T685" s="51" t="s">
        <v>2099</v>
      </c>
      <c r="U685" s="151" t="s">
        <v>1813</v>
      </c>
      <c r="V685" s="51" t="s">
        <v>3615</v>
      </c>
      <c r="W685" s="19"/>
      <c r="X685" s="19"/>
      <c r="Y685" s="99">
        <v>265</v>
      </c>
    </row>
    <row r="686" spans="2:25" s="165" customFormat="1" ht="20" x14ac:dyDescent="0.2">
      <c r="B686" s="150" t="s">
        <v>494</v>
      </c>
      <c r="C686" s="33" t="s">
        <v>106</v>
      </c>
      <c r="D686" s="33" t="s">
        <v>2876</v>
      </c>
      <c r="E686" s="175">
        <v>1</v>
      </c>
      <c r="F686" s="151" t="s">
        <v>1128</v>
      </c>
      <c r="G686" s="152">
        <v>9.2799999999999994</v>
      </c>
      <c r="H686" s="152">
        <v>5.7283950617283939</v>
      </c>
      <c r="I686" s="175">
        <v>138</v>
      </c>
      <c r="J686" s="266">
        <f>_xlfn.XLOOKUP($I686,Inputs!$C$6:$C$23,Inputs!$D$6:$D$23)*$G686</f>
        <v>4.0235428571428571</v>
      </c>
      <c r="K686" s="267">
        <f t="shared" si="152"/>
        <v>3</v>
      </c>
      <c r="L686" s="99"/>
      <c r="M686" s="99"/>
      <c r="N686" s="99">
        <f t="shared" si="153"/>
        <v>0</v>
      </c>
      <c r="O686" s="99">
        <f t="shared" si="153"/>
        <v>0</v>
      </c>
      <c r="P686" s="131">
        <v>0.9</v>
      </c>
      <c r="Q686" s="305">
        <f>_xlfn.XLOOKUP($I686,Inputs!$G$6:$G$23,Inputs!J$6:J$23)*$K686</f>
        <v>141</v>
      </c>
      <c r="R686" s="305">
        <f>_xlfn.XLOOKUP($I686,Inputs!$G$6:$G$23,Inputs!K$6:K$23)*$K686</f>
        <v>156</v>
      </c>
      <c r="S686" s="151" t="s">
        <v>2447</v>
      </c>
      <c r="T686" s="51" t="s">
        <v>2100</v>
      </c>
      <c r="U686" s="151" t="s">
        <v>2448</v>
      </c>
      <c r="V686" s="51" t="s">
        <v>2099</v>
      </c>
      <c r="W686" s="19"/>
      <c r="X686" s="19" t="s">
        <v>3734</v>
      </c>
      <c r="Y686" s="99">
        <v>264</v>
      </c>
    </row>
    <row r="687" spans="2:25" s="165" customFormat="1" ht="20" x14ac:dyDescent="0.2">
      <c r="B687" s="150" t="s">
        <v>1447</v>
      </c>
      <c r="C687" s="33" t="s">
        <v>106</v>
      </c>
      <c r="D687" s="33" t="s">
        <v>2876</v>
      </c>
      <c r="E687" s="175">
        <v>1</v>
      </c>
      <c r="F687" s="151" t="s">
        <v>1128</v>
      </c>
      <c r="G687" s="152">
        <v>0.37934580000000001</v>
      </c>
      <c r="H687" s="152">
        <v>0.23416407407407405</v>
      </c>
      <c r="I687" s="175">
        <v>138</v>
      </c>
      <c r="J687" s="266">
        <f>_xlfn.XLOOKUP($I687,Inputs!$C$6:$C$23,Inputs!$D$6:$D$23)*$G687</f>
        <v>0.16447350042857145</v>
      </c>
      <c r="K687" s="267">
        <f t="shared" si="152"/>
        <v>3</v>
      </c>
      <c r="L687" s="99"/>
      <c r="M687" s="99"/>
      <c r="N687" s="99">
        <f t="shared" si="153"/>
        <v>0</v>
      </c>
      <c r="O687" s="99">
        <f t="shared" si="153"/>
        <v>0</v>
      </c>
      <c r="P687" s="131">
        <v>0.9</v>
      </c>
      <c r="Q687" s="305">
        <f>_xlfn.XLOOKUP($I687,Inputs!$G$6:$G$23,Inputs!J$6:J$23)*$K687</f>
        <v>141</v>
      </c>
      <c r="R687" s="305">
        <f>_xlfn.XLOOKUP($I687,Inputs!$G$6:$G$23,Inputs!K$6:K$23)*$K687</f>
        <v>156</v>
      </c>
      <c r="S687" s="151" t="s">
        <v>2447</v>
      </c>
      <c r="T687" s="51" t="s">
        <v>2100</v>
      </c>
      <c r="U687" s="151" t="s">
        <v>1814</v>
      </c>
      <c r="V687" s="51" t="s">
        <v>3616</v>
      </c>
      <c r="W687" s="19"/>
      <c r="X687" s="19"/>
      <c r="Y687" s="99">
        <v>263</v>
      </c>
    </row>
    <row r="688" spans="2:25" s="165" customFormat="1" ht="20" x14ac:dyDescent="0.2">
      <c r="B688" s="150" t="s">
        <v>494</v>
      </c>
      <c r="C688" s="33" t="s">
        <v>106</v>
      </c>
      <c r="D688" s="33" t="s">
        <v>2876</v>
      </c>
      <c r="E688" s="175">
        <v>1</v>
      </c>
      <c r="F688" s="151" t="s">
        <v>1128</v>
      </c>
      <c r="G688" s="152">
        <v>45</v>
      </c>
      <c r="H688" s="152">
        <v>27.777777777777775</v>
      </c>
      <c r="I688" s="175">
        <v>138</v>
      </c>
      <c r="J688" s="266">
        <f>_xlfn.XLOOKUP($I688,Inputs!$C$6:$C$23,Inputs!$D$6:$D$23)*$G688</f>
        <v>19.510714285714286</v>
      </c>
      <c r="K688" s="267">
        <f t="shared" si="152"/>
        <v>3</v>
      </c>
      <c r="L688" s="99"/>
      <c r="M688" s="99"/>
      <c r="N688" s="99">
        <f t="shared" si="153"/>
        <v>0</v>
      </c>
      <c r="O688" s="99">
        <f t="shared" si="153"/>
        <v>0</v>
      </c>
      <c r="P688" s="131">
        <v>0.9</v>
      </c>
      <c r="Q688" s="305">
        <f>_xlfn.XLOOKUP($I688,Inputs!$G$6:$G$23,Inputs!J$6:J$23)*$K688</f>
        <v>141</v>
      </c>
      <c r="R688" s="305">
        <f>_xlfn.XLOOKUP($I688,Inputs!$G$6:$G$23,Inputs!K$6:K$23)*$K688</f>
        <v>156</v>
      </c>
      <c r="S688" s="151" t="s">
        <v>1596</v>
      </c>
      <c r="T688" s="51" t="s">
        <v>3224</v>
      </c>
      <c r="U688" s="151" t="s">
        <v>2447</v>
      </c>
      <c r="V688" s="51" t="s">
        <v>2100</v>
      </c>
      <c r="W688" s="19"/>
      <c r="X688" s="19" t="s">
        <v>3734</v>
      </c>
      <c r="Y688" s="99">
        <v>262</v>
      </c>
    </row>
    <row r="689" spans="2:25" s="165" customFormat="1" ht="20" x14ac:dyDescent="0.2">
      <c r="B689" s="230" t="s">
        <v>2715</v>
      </c>
      <c r="C689" s="51" t="s">
        <v>173</v>
      </c>
      <c r="D689" s="33" t="s">
        <v>2876</v>
      </c>
      <c r="E689" s="231">
        <v>1</v>
      </c>
      <c r="F689" s="230" t="s">
        <v>1128</v>
      </c>
      <c r="G689" s="232">
        <v>2.5</v>
      </c>
      <c r="H689" s="232">
        <v>1.5432098765432098</v>
      </c>
      <c r="I689" s="231">
        <v>63</v>
      </c>
      <c r="J689" s="266">
        <f>_xlfn.XLOOKUP($I689,Inputs!$C$6:$C$23,Inputs!$D$6:$D$23)*$G689</f>
        <v>0.95</v>
      </c>
      <c r="K689" s="267">
        <f t="shared" si="152"/>
        <v>3</v>
      </c>
      <c r="L689" s="99"/>
      <c r="M689" s="99"/>
      <c r="N689" s="99"/>
      <c r="O689" s="99"/>
      <c r="P689" s="69"/>
      <c r="Q689" s="305">
        <f>_xlfn.XLOOKUP($I689,Inputs!$G$6:$G$23,Inputs!J$6:J$23)*$K689</f>
        <v>29.767499999999998</v>
      </c>
      <c r="R689" s="305">
        <f>_xlfn.XLOOKUP($I689,Inputs!$G$6:$G$23,Inputs!K$6:K$23)*$K689</f>
        <v>32.532786885245905</v>
      </c>
      <c r="S689" s="230" t="s">
        <v>2720</v>
      </c>
      <c r="T689" s="51" t="s">
        <v>2761</v>
      </c>
      <c r="U689" s="230" t="s">
        <v>2719</v>
      </c>
      <c r="V689" s="51" t="s">
        <v>3182</v>
      </c>
      <c r="W689" s="19"/>
      <c r="X689" s="19" t="s">
        <v>3731</v>
      </c>
      <c r="Y689" s="99">
        <v>1080</v>
      </c>
    </row>
    <row r="690" spans="2:25" s="165" customFormat="1" ht="20" x14ac:dyDescent="0.2">
      <c r="B690" s="230" t="s">
        <v>2722</v>
      </c>
      <c r="C690" s="51" t="s">
        <v>173</v>
      </c>
      <c r="D690" s="33" t="s">
        <v>2876</v>
      </c>
      <c r="E690" s="231">
        <v>1</v>
      </c>
      <c r="F690" s="230" t="s">
        <v>1128</v>
      </c>
      <c r="G690" s="232">
        <v>10</v>
      </c>
      <c r="H690" s="232">
        <v>6.1728395061728394</v>
      </c>
      <c r="I690" s="231">
        <v>63</v>
      </c>
      <c r="J690" s="266">
        <f>_xlfn.XLOOKUP($I690,Inputs!$C$6:$C$23,Inputs!$D$6:$D$23)*$G690</f>
        <v>3.8</v>
      </c>
      <c r="K690" s="267">
        <f t="shared" si="152"/>
        <v>3</v>
      </c>
      <c r="L690" s="99"/>
      <c r="M690" s="99"/>
      <c r="N690" s="99"/>
      <c r="O690" s="99"/>
      <c r="P690" s="69"/>
      <c r="Q690" s="305">
        <f>_xlfn.XLOOKUP($I690,Inputs!$G$6:$G$23,Inputs!J$6:J$23)*$K690</f>
        <v>29.767499999999998</v>
      </c>
      <c r="R690" s="305">
        <f>_xlfn.XLOOKUP($I690,Inputs!$G$6:$G$23,Inputs!K$6:K$23)*$K690</f>
        <v>32.532786885245905</v>
      </c>
      <c r="S690" s="230" t="s">
        <v>2723</v>
      </c>
      <c r="T690" s="51" t="s">
        <v>3169</v>
      </c>
      <c r="U690" s="230" t="s">
        <v>2719</v>
      </c>
      <c r="V690" s="51" t="s">
        <v>3182</v>
      </c>
      <c r="W690" s="19"/>
      <c r="X690" s="19" t="s">
        <v>3731</v>
      </c>
      <c r="Y690" s="99">
        <v>1082</v>
      </c>
    </row>
    <row r="691" spans="2:25" s="165" customFormat="1" ht="20" x14ac:dyDescent="0.2">
      <c r="B691" s="230" t="s">
        <v>2715</v>
      </c>
      <c r="C691" s="51" t="s">
        <v>173</v>
      </c>
      <c r="D691" s="33" t="s">
        <v>2876</v>
      </c>
      <c r="E691" s="231">
        <v>1</v>
      </c>
      <c r="F691" s="230" t="s">
        <v>1128</v>
      </c>
      <c r="G691" s="232">
        <v>2.5</v>
      </c>
      <c r="H691" s="232">
        <v>1.5432098765432098</v>
      </c>
      <c r="I691" s="231">
        <v>63</v>
      </c>
      <c r="J691" s="266">
        <f>_xlfn.XLOOKUP($I691,Inputs!$C$6:$C$23,Inputs!$D$6:$D$23)*$G691</f>
        <v>0.95</v>
      </c>
      <c r="K691" s="267">
        <f t="shared" si="152"/>
        <v>3</v>
      </c>
      <c r="L691" s="99"/>
      <c r="M691" s="99"/>
      <c r="N691" s="99"/>
      <c r="O691" s="99"/>
      <c r="P691" s="69"/>
      <c r="Q691" s="305">
        <f>_xlfn.XLOOKUP($I691,Inputs!$G$6:$G$23,Inputs!J$6:J$23)*$K691</f>
        <v>29.767499999999998</v>
      </c>
      <c r="R691" s="305">
        <f>_xlfn.XLOOKUP($I691,Inputs!$G$6:$G$23,Inputs!K$6:K$23)*$K691</f>
        <v>32.532786885245905</v>
      </c>
      <c r="S691" s="230" t="s">
        <v>2718</v>
      </c>
      <c r="T691" s="51" t="s">
        <v>3317</v>
      </c>
      <c r="U691" s="230" t="s">
        <v>2720</v>
      </c>
      <c r="V691" s="51" t="s">
        <v>2761</v>
      </c>
      <c r="W691" s="19"/>
      <c r="X691" s="19" t="s">
        <v>3731</v>
      </c>
      <c r="Y691" s="99">
        <v>1079</v>
      </c>
    </row>
    <row r="692" spans="2:25" s="165" customFormat="1" ht="20" x14ac:dyDescent="0.2">
      <c r="B692" s="150" t="s">
        <v>1348</v>
      </c>
      <c r="C692" s="33" t="s">
        <v>106</v>
      </c>
      <c r="D692" s="33" t="s">
        <v>2876</v>
      </c>
      <c r="E692" s="175">
        <v>1</v>
      </c>
      <c r="F692" s="151" t="s">
        <v>1128</v>
      </c>
      <c r="G692" s="152">
        <v>5.78177E-2</v>
      </c>
      <c r="H692" s="152">
        <v>3.5689938271604937E-2</v>
      </c>
      <c r="I692" s="175">
        <v>69</v>
      </c>
      <c r="J692" s="266">
        <f>_xlfn.XLOOKUP($I692,Inputs!$C$6:$C$23,Inputs!$D$6:$D$23)*$G692</f>
        <v>2.2218516142857143E-2</v>
      </c>
      <c r="K692" s="255"/>
      <c r="L692" s="186">
        <v>493</v>
      </c>
      <c r="M692" s="186">
        <v>625</v>
      </c>
      <c r="N692" s="99">
        <f t="shared" ref="N692:O694" si="154">(SQRT(3)*L692*$I692)/1000</f>
        <v>58.919172321070498</v>
      </c>
      <c r="O692" s="99">
        <f t="shared" si="154"/>
        <v>74.694691076407835</v>
      </c>
      <c r="P692" s="131">
        <v>0.9</v>
      </c>
      <c r="Q692" s="186">
        <f t="shared" ref="Q692:R694" si="155">N692*$P692</f>
        <v>53.02725508896345</v>
      </c>
      <c r="R692" s="186">
        <f t="shared" si="155"/>
        <v>67.225221968767059</v>
      </c>
      <c r="S692" s="151" t="s">
        <v>2585</v>
      </c>
      <c r="T692" s="51" t="s">
        <v>2242</v>
      </c>
      <c r="U692" s="151" t="s">
        <v>812</v>
      </c>
      <c r="V692" s="51" t="s">
        <v>3490</v>
      </c>
      <c r="W692" s="19"/>
      <c r="X692" s="19"/>
      <c r="Y692" s="99">
        <v>935</v>
      </c>
    </row>
    <row r="693" spans="2:25" s="165" customFormat="1" ht="20" x14ac:dyDescent="0.2">
      <c r="B693" s="150" t="s">
        <v>1347</v>
      </c>
      <c r="C693" s="33" t="s">
        <v>106</v>
      </c>
      <c r="D693" s="33" t="s">
        <v>2876</v>
      </c>
      <c r="E693" s="175">
        <v>1</v>
      </c>
      <c r="F693" s="151" t="s">
        <v>1128</v>
      </c>
      <c r="G693" s="152">
        <v>2</v>
      </c>
      <c r="H693" s="152">
        <v>1.2345679012345678</v>
      </c>
      <c r="I693" s="175">
        <v>69</v>
      </c>
      <c r="J693" s="266">
        <f>_xlfn.XLOOKUP($I693,Inputs!$C$6:$C$23,Inputs!$D$6:$D$23)*$G693</f>
        <v>0.76857142857142857</v>
      </c>
      <c r="K693" s="255"/>
      <c r="L693" s="186">
        <v>347</v>
      </c>
      <c r="M693" s="186">
        <v>488</v>
      </c>
      <c r="N693" s="99">
        <f t="shared" si="154"/>
        <v>41.470492485621627</v>
      </c>
      <c r="O693" s="99">
        <f t="shared" si="154"/>
        <v>58.321614792459229</v>
      </c>
      <c r="P693" s="131">
        <v>0.9</v>
      </c>
      <c r="Q693" s="186">
        <f t="shared" si="155"/>
        <v>37.323443237059465</v>
      </c>
      <c r="R693" s="186">
        <f t="shared" si="155"/>
        <v>52.489453313213311</v>
      </c>
      <c r="S693" s="151" t="s">
        <v>2584</v>
      </c>
      <c r="T693" s="51" t="s">
        <v>2244</v>
      </c>
      <c r="U693" s="151" t="s">
        <v>2585</v>
      </c>
      <c r="V693" s="51" t="s">
        <v>2242</v>
      </c>
      <c r="W693" s="19"/>
      <c r="X693" s="19"/>
      <c r="Y693" s="99">
        <v>934</v>
      </c>
    </row>
    <row r="694" spans="2:25" s="165" customFormat="1" ht="20" x14ac:dyDescent="0.2">
      <c r="B694" s="150" t="s">
        <v>609</v>
      </c>
      <c r="C694" s="33" t="s">
        <v>106</v>
      </c>
      <c r="D694" s="33" t="s">
        <v>2876</v>
      </c>
      <c r="E694" s="175">
        <v>1</v>
      </c>
      <c r="F694" s="151" t="s">
        <v>1128</v>
      </c>
      <c r="G694" s="152">
        <v>16.156796100000001</v>
      </c>
      <c r="H694" s="152">
        <v>9.9733309259259251</v>
      </c>
      <c r="I694" s="175">
        <v>230</v>
      </c>
      <c r="J694" s="266">
        <f>_xlfn.XLOOKUP($I694,Inputs!$C$6:$C$23,Inputs!$D$6:$D$23)*$G694</f>
        <v>7.755262128</v>
      </c>
      <c r="K694" s="255"/>
      <c r="L694" s="186">
        <v>1053</v>
      </c>
      <c r="M694" s="186">
        <v>1277</v>
      </c>
      <c r="N694" s="99">
        <f t="shared" si="154"/>
        <v>419.48538508510637</v>
      </c>
      <c r="O694" s="99">
        <f t="shared" si="154"/>
        <v>508.72064269105499</v>
      </c>
      <c r="P694" s="131">
        <v>0.9</v>
      </c>
      <c r="Q694" s="186">
        <f t="shared" si="155"/>
        <v>377.53684657659574</v>
      </c>
      <c r="R694" s="186">
        <f t="shared" si="155"/>
        <v>457.84857842194953</v>
      </c>
      <c r="S694" s="151" t="s">
        <v>1876</v>
      </c>
      <c r="T694" s="51" t="s">
        <v>3326</v>
      </c>
      <c r="U694" s="151" t="s">
        <v>1815</v>
      </c>
      <c r="V694" s="51" t="s">
        <v>3297</v>
      </c>
      <c r="W694" s="19"/>
      <c r="X694" s="19"/>
      <c r="Y694" s="99">
        <v>465</v>
      </c>
    </row>
    <row r="695" spans="2:25" s="165" customFormat="1" ht="20" x14ac:dyDescent="0.2">
      <c r="B695" s="230" t="s">
        <v>1125</v>
      </c>
      <c r="C695" s="51" t="s">
        <v>173</v>
      </c>
      <c r="D695" s="33" t="s">
        <v>2876</v>
      </c>
      <c r="E695" s="231">
        <v>1</v>
      </c>
      <c r="F695" s="230" t="s">
        <v>1128</v>
      </c>
      <c r="G695" s="174">
        <v>20</v>
      </c>
      <c r="H695" s="174">
        <v>12.345679012345679</v>
      </c>
      <c r="I695" s="231">
        <v>230</v>
      </c>
      <c r="J695" s="266">
        <f>_xlfn.XLOOKUP($I695,Inputs!$C$6:$C$23,Inputs!$D$6:$D$23)*$G695</f>
        <v>9.6</v>
      </c>
      <c r="K695" s="267">
        <f>IF((42.4*(H695)^(-0.6595))&gt;=3,3,(IF(42.4*(H695)^(-0.6595)&lt;=0.5,0.5,(42.4*(H695)^(-0.6595)))))</f>
        <v>3</v>
      </c>
      <c r="L695" s="99"/>
      <c r="M695" s="99"/>
      <c r="N695" s="99"/>
      <c r="O695" s="99"/>
      <c r="P695" s="69"/>
      <c r="Q695" s="305">
        <f>_xlfn.XLOOKUP($I695,Inputs!$G$6:$G$23,Inputs!J$6:J$23)*$K695</f>
        <v>402</v>
      </c>
      <c r="R695" s="305">
        <f>_xlfn.XLOOKUP($I695,Inputs!$G$6:$G$23,Inputs!K$6:K$23)*$K695</f>
        <v>435</v>
      </c>
      <c r="S695" s="230" t="s">
        <v>3604</v>
      </c>
      <c r="T695" s="51" t="s">
        <v>3605</v>
      </c>
      <c r="U695" s="230" t="s">
        <v>1815</v>
      </c>
      <c r="V695" s="51" t="s">
        <v>3297</v>
      </c>
      <c r="W695" s="19"/>
      <c r="X695" s="19"/>
      <c r="Y695" s="99">
        <v>1131</v>
      </c>
    </row>
    <row r="696" spans="2:25" s="165" customFormat="1" ht="20" x14ac:dyDescent="0.2">
      <c r="B696" s="150" t="s">
        <v>1227</v>
      </c>
      <c r="C696" s="33" t="s">
        <v>106</v>
      </c>
      <c r="D696" s="33" t="s">
        <v>2876</v>
      </c>
      <c r="E696" s="175">
        <v>1</v>
      </c>
      <c r="F696" s="151" t="s">
        <v>1128</v>
      </c>
      <c r="G696" s="152">
        <v>1</v>
      </c>
      <c r="H696" s="152">
        <v>0.61728395061728392</v>
      </c>
      <c r="I696" s="175">
        <v>69</v>
      </c>
      <c r="J696" s="266">
        <f>_xlfn.XLOOKUP($I696,Inputs!$C$6:$C$23,Inputs!$D$6:$D$23)*$G696</f>
        <v>0.38428571428571429</v>
      </c>
      <c r="K696" s="255"/>
      <c r="L696" s="186">
        <v>870</v>
      </c>
      <c r="M696" s="186">
        <v>1050</v>
      </c>
      <c r="N696" s="99">
        <f t="shared" ref="N696:N715" si="156">(SQRT(3)*L696*$I696)/1000</f>
        <v>103.97500997835969</v>
      </c>
      <c r="O696" s="99">
        <f t="shared" ref="O696:O715" si="157">(SQRT(3)*M696*$I696)/1000</f>
        <v>125.48708100836515</v>
      </c>
      <c r="P696" s="131">
        <v>0.9</v>
      </c>
      <c r="Q696" s="186">
        <f>N696*$P696</f>
        <v>93.577508980523731</v>
      </c>
      <c r="R696" s="186">
        <f>O696*$P696</f>
        <v>112.93837290752865</v>
      </c>
      <c r="S696" s="151" t="s">
        <v>2517</v>
      </c>
      <c r="T696" s="51" t="s">
        <v>2176</v>
      </c>
      <c r="U696" s="151" t="s">
        <v>1816</v>
      </c>
      <c r="V696" s="51" t="s">
        <v>3298</v>
      </c>
      <c r="W696" s="19"/>
      <c r="X696" s="19"/>
      <c r="Y696" s="99">
        <v>720</v>
      </c>
    </row>
    <row r="697" spans="2:25" s="165" customFormat="1" ht="20" x14ac:dyDescent="0.2">
      <c r="B697" s="150" t="s">
        <v>1354</v>
      </c>
      <c r="C697" s="33" t="s">
        <v>106</v>
      </c>
      <c r="D697" s="33" t="s">
        <v>2876</v>
      </c>
      <c r="E697" s="175">
        <v>1</v>
      </c>
      <c r="F697" s="151" t="s">
        <v>1128</v>
      </c>
      <c r="G697" s="152">
        <v>1.55763E-2</v>
      </c>
      <c r="H697" s="152">
        <v>9.6149999999999985E-3</v>
      </c>
      <c r="I697" s="175">
        <v>69</v>
      </c>
      <c r="J697" s="266">
        <f>_xlfn.XLOOKUP($I697,Inputs!$C$6:$C$23,Inputs!$D$6:$D$23)*$G697</f>
        <v>5.9857495714285714E-3</v>
      </c>
      <c r="K697" s="267">
        <f>IF((42.4*(H697)^(-0.6595))&gt;=3,3,(IF(42.4*(H697)^(-0.6595)&lt;=0.5,0.5,(42.4*(H697)^(-0.6595)))))</f>
        <v>3</v>
      </c>
      <c r="L697" s="99"/>
      <c r="M697" s="99"/>
      <c r="N697" s="99">
        <f t="shared" si="156"/>
        <v>0</v>
      </c>
      <c r="O697" s="99">
        <f t="shared" si="157"/>
        <v>0</v>
      </c>
      <c r="P697" s="131">
        <v>0.9</v>
      </c>
      <c r="Q697" s="305">
        <f>_xlfn.XLOOKUP($I697,Inputs!$G$6:$G$23,Inputs!J$6:J$23)*$K697</f>
        <v>36</v>
      </c>
      <c r="R697" s="305">
        <f>_xlfn.XLOOKUP($I697,Inputs!$G$6:$G$23,Inputs!K$6:K$23)*$K697</f>
        <v>39</v>
      </c>
      <c r="S697" s="151" t="s">
        <v>2588</v>
      </c>
      <c r="T697" s="51" t="s">
        <v>2246</v>
      </c>
      <c r="U697" s="151" t="s">
        <v>1817</v>
      </c>
      <c r="V697" s="51" t="s">
        <v>3623</v>
      </c>
      <c r="W697" s="19"/>
      <c r="X697" s="19"/>
      <c r="Y697" s="99">
        <v>943</v>
      </c>
    </row>
    <row r="698" spans="2:25" s="165" customFormat="1" ht="20" x14ac:dyDescent="0.2">
      <c r="B698" s="150" t="s">
        <v>1353</v>
      </c>
      <c r="C698" s="33" t="s">
        <v>106</v>
      </c>
      <c r="D698" s="33" t="s">
        <v>2876</v>
      </c>
      <c r="E698" s="175">
        <v>1</v>
      </c>
      <c r="F698" s="151" t="s">
        <v>1128</v>
      </c>
      <c r="G698" s="152">
        <v>5</v>
      </c>
      <c r="H698" s="152">
        <v>3.0864197530864197</v>
      </c>
      <c r="I698" s="175">
        <v>69</v>
      </c>
      <c r="J698" s="266">
        <f>_xlfn.XLOOKUP($I698,Inputs!$C$6:$C$23,Inputs!$D$6:$D$23)*$G698</f>
        <v>1.9214285714285715</v>
      </c>
      <c r="K698" s="255"/>
      <c r="L698" s="186">
        <v>850</v>
      </c>
      <c r="M698" s="186">
        <v>1020</v>
      </c>
      <c r="N698" s="99">
        <f t="shared" si="156"/>
        <v>101.58477986391465</v>
      </c>
      <c r="O698" s="99">
        <f t="shared" si="157"/>
        <v>121.90173583669757</v>
      </c>
      <c r="P698" s="131">
        <v>0.9</v>
      </c>
      <c r="Q698" s="186">
        <f>N698*$P698</f>
        <v>91.426301877523187</v>
      </c>
      <c r="R698" s="186">
        <f>O698*$P698</f>
        <v>109.71156225302781</v>
      </c>
      <c r="S698" s="151" t="s">
        <v>2587</v>
      </c>
      <c r="T698" s="51" t="s">
        <v>2247</v>
      </c>
      <c r="U698" s="151" t="s">
        <v>2588</v>
      </c>
      <c r="V698" s="51" t="s">
        <v>2246</v>
      </c>
      <c r="W698" s="19"/>
      <c r="X698" s="19"/>
      <c r="Y698" s="99">
        <v>942</v>
      </c>
    </row>
    <row r="699" spans="2:25" s="165" customFormat="1" ht="20" x14ac:dyDescent="0.2">
      <c r="B699" s="150" t="s">
        <v>1157</v>
      </c>
      <c r="C699" s="33" t="s">
        <v>106</v>
      </c>
      <c r="D699" s="33" t="s">
        <v>2876</v>
      </c>
      <c r="E699" s="175">
        <v>1</v>
      </c>
      <c r="F699" s="151" t="s">
        <v>1128</v>
      </c>
      <c r="G699" s="152">
        <v>0.27766410000000002</v>
      </c>
      <c r="H699" s="152">
        <v>0.1713975925925926</v>
      </c>
      <c r="I699" s="175">
        <v>69</v>
      </c>
      <c r="J699" s="266">
        <f>_xlfn.XLOOKUP($I699,Inputs!$C$6:$C$23,Inputs!$D$6:$D$23)*$G699</f>
        <v>0.106702347</v>
      </c>
      <c r="K699" s="267">
        <f>IF((42.4*(H699)^(-0.6595))&gt;=3,3,(IF(42.4*(H699)^(-0.6595)&lt;=0.5,0.5,(42.4*(H699)^(-0.6595)))))</f>
        <v>3</v>
      </c>
      <c r="L699" s="99"/>
      <c r="M699" s="99"/>
      <c r="N699" s="99">
        <f t="shared" si="156"/>
        <v>0</v>
      </c>
      <c r="O699" s="99">
        <f t="shared" si="157"/>
        <v>0</v>
      </c>
      <c r="P699" s="131">
        <v>0.9</v>
      </c>
      <c r="Q699" s="305">
        <f>_xlfn.XLOOKUP($I699,Inputs!$G$6:$G$23,Inputs!J$6:J$23)*$K699</f>
        <v>36</v>
      </c>
      <c r="R699" s="305">
        <f>_xlfn.XLOOKUP($I699,Inputs!$G$6:$G$23,Inputs!K$6:K$23)*$K699</f>
        <v>39</v>
      </c>
      <c r="S699" s="151" t="s">
        <v>2491</v>
      </c>
      <c r="T699" s="51" t="s">
        <v>2149</v>
      </c>
      <c r="U699" s="151" t="s">
        <v>1818</v>
      </c>
      <c r="V699" s="51" t="s">
        <v>3667</v>
      </c>
      <c r="W699" s="19"/>
      <c r="X699" s="19"/>
      <c r="Y699" s="99">
        <v>602</v>
      </c>
    </row>
    <row r="700" spans="2:25" s="165" customFormat="1" ht="20" x14ac:dyDescent="0.2">
      <c r="B700" s="150" t="s">
        <v>1158</v>
      </c>
      <c r="C700" s="33" t="s">
        <v>106</v>
      </c>
      <c r="D700" s="33" t="s">
        <v>2876</v>
      </c>
      <c r="E700" s="175">
        <v>1</v>
      </c>
      <c r="F700" s="151" t="s">
        <v>1128</v>
      </c>
      <c r="G700" s="152">
        <v>7</v>
      </c>
      <c r="H700" s="152">
        <v>4.3209876543209873</v>
      </c>
      <c r="I700" s="175">
        <v>69</v>
      </c>
      <c r="J700" s="266">
        <f>_xlfn.XLOOKUP($I700,Inputs!$C$6:$C$23,Inputs!$D$6:$D$23)*$G700</f>
        <v>2.69</v>
      </c>
      <c r="K700" s="255"/>
      <c r="L700" s="186">
        <v>490</v>
      </c>
      <c r="M700" s="186">
        <v>700</v>
      </c>
      <c r="N700" s="99">
        <f t="shared" si="156"/>
        <v>58.560637803903738</v>
      </c>
      <c r="O700" s="99">
        <f t="shared" si="157"/>
        <v>83.658054005576759</v>
      </c>
      <c r="P700" s="131">
        <v>0.9</v>
      </c>
      <c r="Q700" s="186">
        <f t="shared" ref="Q700:Q709" si="158">N700*$P700</f>
        <v>52.704574023513366</v>
      </c>
      <c r="R700" s="186">
        <f t="shared" ref="R700:R709" si="159">O700*$P700</f>
        <v>75.292248605019083</v>
      </c>
      <c r="S700" s="151" t="s">
        <v>2490</v>
      </c>
      <c r="T700" s="51" t="s">
        <v>2147</v>
      </c>
      <c r="U700" s="151" t="s">
        <v>2491</v>
      </c>
      <c r="V700" s="51" t="s">
        <v>2149</v>
      </c>
      <c r="W700" s="19"/>
      <c r="X700" s="19"/>
      <c r="Y700" s="99">
        <v>601</v>
      </c>
    </row>
    <row r="701" spans="2:25" s="165" customFormat="1" ht="20" x14ac:dyDescent="0.2">
      <c r="B701" s="150" t="s">
        <v>584</v>
      </c>
      <c r="C701" s="33" t="s">
        <v>106</v>
      </c>
      <c r="D701" s="33" t="s">
        <v>2876</v>
      </c>
      <c r="E701" s="175">
        <v>1</v>
      </c>
      <c r="F701" s="151" t="s">
        <v>1128</v>
      </c>
      <c r="G701" s="152">
        <v>77.295134999999988</v>
      </c>
      <c r="H701" s="152">
        <v>47.713046296296284</v>
      </c>
      <c r="I701" s="175">
        <v>230</v>
      </c>
      <c r="J701" s="266">
        <f>_xlfn.XLOOKUP($I701,Inputs!$C$6:$C$23,Inputs!$D$6:$D$23)*$G701</f>
        <v>37.101664799999995</v>
      </c>
      <c r="K701" s="255"/>
      <c r="L701" s="186">
        <v>1042</v>
      </c>
      <c r="M701" s="186">
        <v>1341</v>
      </c>
      <c r="N701" s="99">
        <f t="shared" si="156"/>
        <v>415.10329654195715</v>
      </c>
      <c r="O701" s="99">
        <f t="shared" si="157"/>
        <v>534.21643057846882</v>
      </c>
      <c r="P701" s="131">
        <v>0.9</v>
      </c>
      <c r="Q701" s="186">
        <f t="shared" si="158"/>
        <v>373.59296688776146</v>
      </c>
      <c r="R701" s="186">
        <f t="shared" si="159"/>
        <v>480.79478752062192</v>
      </c>
      <c r="S701" s="151" t="s">
        <v>107</v>
      </c>
      <c r="T701" s="51" t="s">
        <v>3232</v>
      </c>
      <c r="U701" s="151" t="s">
        <v>1819</v>
      </c>
      <c r="V701" s="51" t="s">
        <v>3299</v>
      </c>
      <c r="W701" s="19"/>
      <c r="X701" s="19"/>
      <c r="Y701" s="99">
        <v>435</v>
      </c>
    </row>
    <row r="702" spans="2:25" s="165" customFormat="1" ht="20" x14ac:dyDescent="0.2">
      <c r="B702" s="150" t="s">
        <v>1308</v>
      </c>
      <c r="C702" s="33" t="s">
        <v>106</v>
      </c>
      <c r="D702" s="33" t="s">
        <v>2876</v>
      </c>
      <c r="E702" s="175">
        <v>1</v>
      </c>
      <c r="F702" s="151" t="s">
        <v>1128</v>
      </c>
      <c r="G702" s="152">
        <v>2</v>
      </c>
      <c r="H702" s="152">
        <v>1.2345679012345678</v>
      </c>
      <c r="I702" s="175">
        <v>69</v>
      </c>
      <c r="J702" s="266">
        <f>_xlfn.XLOOKUP($I702,Inputs!$C$6:$C$23,Inputs!$D$6:$D$23)*$G702</f>
        <v>0.76857142857142857</v>
      </c>
      <c r="K702" s="255"/>
      <c r="L702" s="186">
        <v>435</v>
      </c>
      <c r="M702" s="186">
        <v>822</v>
      </c>
      <c r="N702" s="99">
        <f t="shared" si="156"/>
        <v>51.987504989179847</v>
      </c>
      <c r="O702" s="99">
        <f t="shared" si="157"/>
        <v>98.238457703691566</v>
      </c>
      <c r="P702" s="131">
        <v>0.9</v>
      </c>
      <c r="Q702" s="186">
        <f t="shared" si="158"/>
        <v>46.788754490261866</v>
      </c>
      <c r="R702" s="186">
        <f t="shared" si="159"/>
        <v>88.414611933322405</v>
      </c>
      <c r="S702" s="151" t="s">
        <v>2558</v>
      </c>
      <c r="T702" s="51" t="s">
        <v>2215</v>
      </c>
      <c r="U702" s="151" t="s">
        <v>1819</v>
      </c>
      <c r="V702" s="51" t="s">
        <v>3299</v>
      </c>
      <c r="W702" s="19"/>
      <c r="X702" s="19"/>
      <c r="Y702" s="99">
        <v>861</v>
      </c>
    </row>
    <row r="703" spans="2:25" s="165" customFormat="1" ht="20" x14ac:dyDescent="0.2">
      <c r="B703" s="150" t="s">
        <v>1223</v>
      </c>
      <c r="C703" s="33" t="s">
        <v>106</v>
      </c>
      <c r="D703" s="33" t="s">
        <v>2876</v>
      </c>
      <c r="E703" s="175">
        <v>1</v>
      </c>
      <c r="F703" s="151" t="s">
        <v>1128</v>
      </c>
      <c r="G703" s="152">
        <v>3.1110346</v>
      </c>
      <c r="H703" s="152">
        <v>1.9203917283950616</v>
      </c>
      <c r="I703" s="175">
        <v>69</v>
      </c>
      <c r="J703" s="266">
        <f>_xlfn.XLOOKUP($I703,Inputs!$C$6:$C$23,Inputs!$D$6:$D$23)*$G703</f>
        <v>1.1955261534285715</v>
      </c>
      <c r="K703" s="255"/>
      <c r="L703" s="186">
        <v>847</v>
      </c>
      <c r="M703" s="186">
        <v>1020</v>
      </c>
      <c r="N703" s="99">
        <f t="shared" si="156"/>
        <v>101.22624534674789</v>
      </c>
      <c r="O703" s="99">
        <f t="shared" si="157"/>
        <v>121.90173583669757</v>
      </c>
      <c r="P703" s="131">
        <v>0.9</v>
      </c>
      <c r="Q703" s="186">
        <f t="shared" si="158"/>
        <v>91.103620812073103</v>
      </c>
      <c r="R703" s="186">
        <f t="shared" si="159"/>
        <v>109.71156225302781</v>
      </c>
      <c r="S703" s="151" t="s">
        <v>1944</v>
      </c>
      <c r="T703" s="51" t="s">
        <v>3354</v>
      </c>
      <c r="U703" s="151" t="s">
        <v>1820</v>
      </c>
      <c r="V703" s="51" t="s">
        <v>3300</v>
      </c>
      <c r="W703" s="19"/>
      <c r="X703" s="19"/>
      <c r="Y703" s="99">
        <v>708</v>
      </c>
    </row>
    <row r="704" spans="2:25" s="165" customFormat="1" ht="20" x14ac:dyDescent="0.2">
      <c r="B704" s="150" t="s">
        <v>1224</v>
      </c>
      <c r="C704" s="33" t="s">
        <v>106</v>
      </c>
      <c r="D704" s="33" t="s">
        <v>2876</v>
      </c>
      <c r="E704" s="175">
        <v>1</v>
      </c>
      <c r="F704" s="151" t="s">
        <v>1128</v>
      </c>
      <c r="G704" s="152">
        <v>0.5</v>
      </c>
      <c r="H704" s="152">
        <v>0.30864197530864196</v>
      </c>
      <c r="I704" s="175">
        <v>69</v>
      </c>
      <c r="J704" s="266">
        <f>_xlfn.XLOOKUP($I704,Inputs!$C$6:$C$23,Inputs!$D$6:$D$23)*$G704</f>
        <v>0.19214285714285714</v>
      </c>
      <c r="K704" s="255"/>
      <c r="L704" s="186">
        <v>847</v>
      </c>
      <c r="M704" s="186">
        <v>1020</v>
      </c>
      <c r="N704" s="99">
        <f t="shared" si="156"/>
        <v>101.22624534674789</v>
      </c>
      <c r="O704" s="99">
        <f t="shared" si="157"/>
        <v>121.90173583669757</v>
      </c>
      <c r="P704" s="131">
        <v>0.9</v>
      </c>
      <c r="Q704" s="186">
        <f t="shared" si="158"/>
        <v>91.103620812073103</v>
      </c>
      <c r="R704" s="186">
        <f t="shared" si="159"/>
        <v>109.71156225302781</v>
      </c>
      <c r="S704" s="151" t="s">
        <v>2514</v>
      </c>
      <c r="T704" s="51" t="s">
        <v>2173</v>
      </c>
      <c r="U704" s="151" t="s">
        <v>1820</v>
      </c>
      <c r="V704" s="51" t="s">
        <v>3300</v>
      </c>
      <c r="W704" s="19"/>
      <c r="X704" s="19"/>
      <c r="Y704" s="99">
        <v>713</v>
      </c>
    </row>
    <row r="705" spans="2:25" s="165" customFormat="1" ht="20" x14ac:dyDescent="0.2">
      <c r="B705" s="150" t="s">
        <v>1369</v>
      </c>
      <c r="C705" s="33" t="s">
        <v>106</v>
      </c>
      <c r="D705" s="33" t="s">
        <v>2876</v>
      </c>
      <c r="E705" s="175">
        <v>1</v>
      </c>
      <c r="F705" s="151" t="s">
        <v>1128</v>
      </c>
      <c r="G705" s="152">
        <v>7.6819721000000003</v>
      </c>
      <c r="H705" s="152">
        <v>4.7419580864197526</v>
      </c>
      <c r="I705" s="175">
        <v>69</v>
      </c>
      <c r="J705" s="266">
        <f>_xlfn.XLOOKUP($I705,Inputs!$C$6:$C$23,Inputs!$D$6:$D$23)*$G705</f>
        <v>2.9520721355714286</v>
      </c>
      <c r="K705" s="255"/>
      <c r="L705" s="186">
        <v>830</v>
      </c>
      <c r="M705" s="3">
        <v>1010</v>
      </c>
      <c r="N705" s="99">
        <f t="shared" si="156"/>
        <v>99.194549749469601</v>
      </c>
      <c r="O705" s="99">
        <f t="shared" si="157"/>
        <v>120.70662077947505</v>
      </c>
      <c r="P705" s="131">
        <v>0.9</v>
      </c>
      <c r="Q705" s="186">
        <f t="shared" si="158"/>
        <v>89.275094774522643</v>
      </c>
      <c r="R705" s="186">
        <f t="shared" si="159"/>
        <v>108.63595870152754</v>
      </c>
      <c r="S705" s="151" t="s">
        <v>1635</v>
      </c>
      <c r="T705" s="51" t="s">
        <v>3238</v>
      </c>
      <c r="U705" s="151" t="s">
        <v>1822</v>
      </c>
      <c r="V705" s="51" t="s">
        <v>3402</v>
      </c>
      <c r="W705" s="19"/>
      <c r="X705" s="19"/>
      <c r="Y705" s="99">
        <v>967</v>
      </c>
    </row>
    <row r="706" spans="2:25" s="165" customFormat="1" ht="20" x14ac:dyDescent="0.2">
      <c r="B706" s="150" t="s">
        <v>1158</v>
      </c>
      <c r="C706" s="33" t="s">
        <v>106</v>
      </c>
      <c r="D706" s="33" t="s">
        <v>2876</v>
      </c>
      <c r="E706" s="175">
        <v>1</v>
      </c>
      <c r="F706" s="151" t="s">
        <v>1128</v>
      </c>
      <c r="G706" s="152">
        <v>3.34</v>
      </c>
      <c r="H706" s="152">
        <v>2.0617283950617282</v>
      </c>
      <c r="I706" s="175">
        <v>69</v>
      </c>
      <c r="J706" s="266">
        <f>_xlfn.XLOOKUP($I706,Inputs!$C$6:$C$23,Inputs!$D$6:$D$23)*$G706</f>
        <v>1.2835142857142856</v>
      </c>
      <c r="K706" s="255"/>
      <c r="L706" s="186">
        <v>440</v>
      </c>
      <c r="M706" s="186">
        <v>555</v>
      </c>
      <c r="N706" s="99">
        <f t="shared" si="156"/>
        <v>52.585062517791116</v>
      </c>
      <c r="O706" s="99">
        <f t="shared" si="157"/>
        <v>66.328885675850145</v>
      </c>
      <c r="P706" s="131">
        <v>0.9</v>
      </c>
      <c r="Q706" s="186">
        <f t="shared" si="158"/>
        <v>47.326556266012005</v>
      </c>
      <c r="R706" s="186">
        <f t="shared" si="159"/>
        <v>59.695997108265132</v>
      </c>
      <c r="S706" s="151" t="s">
        <v>2492</v>
      </c>
      <c r="T706" s="51" t="s">
        <v>2148</v>
      </c>
      <c r="U706" s="151" t="s">
        <v>809</v>
      </c>
      <c r="V706" s="51" t="s">
        <v>3301</v>
      </c>
      <c r="W706" s="19"/>
      <c r="X706" s="19"/>
      <c r="Y706" s="99">
        <v>605</v>
      </c>
    </row>
    <row r="707" spans="2:25" s="165" customFormat="1" ht="20" x14ac:dyDescent="0.2">
      <c r="B707" s="150" t="s">
        <v>1185</v>
      </c>
      <c r="C707" s="33" t="s">
        <v>106</v>
      </c>
      <c r="D707" s="33" t="s">
        <v>2876</v>
      </c>
      <c r="E707" s="175">
        <v>1</v>
      </c>
      <c r="F707" s="151" t="s">
        <v>1128</v>
      </c>
      <c r="G707" s="152">
        <v>2.7853359000000002</v>
      </c>
      <c r="H707" s="152">
        <v>1.7193431481481483</v>
      </c>
      <c r="I707" s="175">
        <v>69</v>
      </c>
      <c r="J707" s="266">
        <f>_xlfn.XLOOKUP($I707,Inputs!$C$6:$C$23,Inputs!$D$6:$D$23)*$G707</f>
        <v>1.0703647958571429</v>
      </c>
      <c r="K707" s="255"/>
      <c r="L707" s="186">
        <v>845</v>
      </c>
      <c r="M707" s="186">
        <v>1020</v>
      </c>
      <c r="N707" s="99">
        <f t="shared" si="156"/>
        <v>100.98722233530337</v>
      </c>
      <c r="O707" s="99">
        <f t="shared" si="157"/>
        <v>121.90173583669757</v>
      </c>
      <c r="P707" s="131">
        <v>0.9</v>
      </c>
      <c r="Q707" s="186">
        <f t="shared" si="158"/>
        <v>90.888500101773033</v>
      </c>
      <c r="R707" s="186">
        <f t="shared" si="159"/>
        <v>109.71156225302781</v>
      </c>
      <c r="S707" s="151" t="s">
        <v>1804</v>
      </c>
      <c r="T707" s="51" t="s">
        <v>3295</v>
      </c>
      <c r="U707" s="151" t="s">
        <v>809</v>
      </c>
      <c r="V707" s="51" t="s">
        <v>3301</v>
      </c>
      <c r="W707" s="19"/>
      <c r="X707" s="19"/>
      <c r="Y707" s="99">
        <v>649</v>
      </c>
    </row>
    <row r="708" spans="2:25" s="165" customFormat="1" ht="20" x14ac:dyDescent="0.2">
      <c r="B708" s="150" t="s">
        <v>1222</v>
      </c>
      <c r="C708" s="33" t="s">
        <v>106</v>
      </c>
      <c r="D708" s="33" t="s">
        <v>2876</v>
      </c>
      <c r="E708" s="175">
        <v>1</v>
      </c>
      <c r="F708" s="151" t="s">
        <v>1128</v>
      </c>
      <c r="G708" s="152">
        <v>4.1661895000000007</v>
      </c>
      <c r="H708" s="152">
        <v>2.5717219135802472</v>
      </c>
      <c r="I708" s="175">
        <v>69</v>
      </c>
      <c r="J708" s="266">
        <f>_xlfn.XLOOKUP($I708,Inputs!$C$6:$C$23,Inputs!$D$6:$D$23)*$G708</f>
        <v>1.6010071078571431</v>
      </c>
      <c r="K708" s="255"/>
      <c r="L708" s="186">
        <v>730</v>
      </c>
      <c r="M708" s="186">
        <v>879</v>
      </c>
      <c r="N708" s="99">
        <f t="shared" si="156"/>
        <v>87.243399177244342</v>
      </c>
      <c r="O708" s="99">
        <f t="shared" si="157"/>
        <v>105.05061352985997</v>
      </c>
      <c r="P708" s="131">
        <v>0.9</v>
      </c>
      <c r="Q708" s="186">
        <f t="shared" si="158"/>
        <v>78.519059259519906</v>
      </c>
      <c r="R708" s="186">
        <f t="shared" si="159"/>
        <v>94.545552176873983</v>
      </c>
      <c r="S708" s="151" t="s">
        <v>1804</v>
      </c>
      <c r="T708" s="51" t="s">
        <v>3295</v>
      </c>
      <c r="U708" s="151" t="s">
        <v>809</v>
      </c>
      <c r="V708" s="51" t="s">
        <v>3301</v>
      </c>
      <c r="W708" s="19"/>
      <c r="X708" s="19"/>
      <c r="Y708" s="99">
        <v>707</v>
      </c>
    </row>
    <row r="709" spans="2:25" s="165" customFormat="1" ht="20" x14ac:dyDescent="0.2">
      <c r="B709" s="150" t="s">
        <v>1155</v>
      </c>
      <c r="C709" s="33" t="s">
        <v>106</v>
      </c>
      <c r="D709" s="33" t="s">
        <v>2876</v>
      </c>
      <c r="E709" s="175">
        <v>1</v>
      </c>
      <c r="F709" s="151" t="s">
        <v>1128</v>
      </c>
      <c r="G709" s="152">
        <v>1.66</v>
      </c>
      <c r="H709" s="152">
        <v>1.0246913580246912</v>
      </c>
      <c r="I709" s="175">
        <v>69</v>
      </c>
      <c r="J709" s="266">
        <f>_xlfn.XLOOKUP($I709,Inputs!$C$6:$C$23,Inputs!$D$6:$D$23)*$G709</f>
        <v>0.63791428571428566</v>
      </c>
      <c r="K709" s="255"/>
      <c r="L709" s="186">
        <v>830</v>
      </c>
      <c r="M709" s="186">
        <v>1020</v>
      </c>
      <c r="N709" s="99">
        <f t="shared" si="156"/>
        <v>99.194549749469601</v>
      </c>
      <c r="O709" s="99">
        <f t="shared" si="157"/>
        <v>121.90173583669757</v>
      </c>
      <c r="P709" s="131">
        <v>0.9</v>
      </c>
      <c r="Q709" s="186">
        <f t="shared" si="158"/>
        <v>89.275094774522643</v>
      </c>
      <c r="R709" s="186">
        <f t="shared" si="159"/>
        <v>109.71156225302781</v>
      </c>
      <c r="S709" s="151" t="s">
        <v>1630</v>
      </c>
      <c r="T709" s="51" t="s">
        <v>3235</v>
      </c>
      <c r="U709" s="151" t="s">
        <v>2490</v>
      </c>
      <c r="V709" s="51" t="s">
        <v>2147</v>
      </c>
      <c r="W709" s="19"/>
      <c r="X709" s="19"/>
      <c r="Y709" s="99">
        <v>599</v>
      </c>
    </row>
    <row r="710" spans="2:25" s="165" customFormat="1" ht="20" x14ac:dyDescent="0.2">
      <c r="B710" s="151" t="s">
        <v>1108</v>
      </c>
      <c r="C710" s="33" t="s">
        <v>106</v>
      </c>
      <c r="D710" s="33" t="s">
        <v>2876</v>
      </c>
      <c r="E710" s="175">
        <v>1</v>
      </c>
      <c r="F710" s="151" t="s">
        <v>1128</v>
      </c>
      <c r="G710" s="174">
        <v>9</v>
      </c>
      <c r="H710" s="152">
        <v>5.5555555555555554</v>
      </c>
      <c r="I710" s="175">
        <v>138</v>
      </c>
      <c r="J710" s="266">
        <f>_xlfn.XLOOKUP($I710,Inputs!$C$6:$C$23,Inputs!$D$6:$D$23)*$G710</f>
        <v>3.9021428571428576</v>
      </c>
      <c r="K710" s="267">
        <f>IF((42.4*(H710)^(-0.6595))&gt;=3,3,(IF(42.4*(H710)^(-0.6595)&lt;=0.5,0.5,(42.4*(H710)^(-0.6595)))))</f>
        <v>3</v>
      </c>
      <c r="L710" s="99"/>
      <c r="M710" s="99"/>
      <c r="N710" s="99">
        <f t="shared" si="156"/>
        <v>0</v>
      </c>
      <c r="O710" s="99">
        <f t="shared" si="157"/>
        <v>0</v>
      </c>
      <c r="P710" s="131">
        <v>0.9</v>
      </c>
      <c r="Q710" s="305">
        <f>_xlfn.XLOOKUP($I710,Inputs!$G$6:$G$23,Inputs!J$6:J$23)*$K710</f>
        <v>141</v>
      </c>
      <c r="R710" s="305">
        <f>_xlfn.XLOOKUP($I710,Inputs!$G$6:$G$23,Inputs!K$6:K$23)*$K710</f>
        <v>156</v>
      </c>
      <c r="S710" s="151" t="s">
        <v>2331</v>
      </c>
      <c r="T710" s="51" t="s">
        <v>3173</v>
      </c>
      <c r="U710" s="151" t="s">
        <v>2319</v>
      </c>
      <c r="V710" s="51" t="s">
        <v>3148</v>
      </c>
      <c r="W710" s="19"/>
      <c r="X710" s="19"/>
      <c r="Y710" s="99">
        <v>2</v>
      </c>
    </row>
    <row r="711" spans="2:25" s="165" customFormat="1" ht="20" x14ac:dyDescent="0.2">
      <c r="B711" s="150" t="s">
        <v>1264</v>
      </c>
      <c r="C711" s="33" t="s">
        <v>106</v>
      </c>
      <c r="D711" s="33" t="s">
        <v>2876</v>
      </c>
      <c r="E711" s="175">
        <v>1</v>
      </c>
      <c r="F711" s="151" t="s">
        <v>1128</v>
      </c>
      <c r="G711" s="152">
        <v>0.45</v>
      </c>
      <c r="H711" s="152">
        <v>0.27777777777777779</v>
      </c>
      <c r="I711" s="175">
        <v>69</v>
      </c>
      <c r="J711" s="266">
        <f>_xlfn.XLOOKUP($I711,Inputs!$C$6:$C$23,Inputs!$D$6:$D$23)*$G711</f>
        <v>0.17292857142857143</v>
      </c>
      <c r="K711" s="255"/>
      <c r="L711" s="186">
        <v>1070</v>
      </c>
      <c r="M711" s="186">
        <v>1295</v>
      </c>
      <c r="N711" s="99">
        <f t="shared" si="156"/>
        <v>127.87731112281021</v>
      </c>
      <c r="O711" s="99">
        <f t="shared" si="157"/>
        <v>154.76739991031704</v>
      </c>
      <c r="P711" s="131">
        <v>0.9</v>
      </c>
      <c r="Q711" s="186">
        <f t="shared" ref="Q711:R715" si="160">N711*$P711</f>
        <v>115.08958001052919</v>
      </c>
      <c r="R711" s="186">
        <f t="shared" si="160"/>
        <v>139.29065991928533</v>
      </c>
      <c r="S711" s="151" t="s">
        <v>2534</v>
      </c>
      <c r="T711" s="51" t="s">
        <v>2193</v>
      </c>
      <c r="U711" s="151" t="s">
        <v>1823</v>
      </c>
      <c r="V711" s="51" t="s">
        <v>3621</v>
      </c>
      <c r="W711" s="19"/>
      <c r="X711" s="19"/>
      <c r="Y711" s="99">
        <v>784</v>
      </c>
    </row>
    <row r="712" spans="2:25" s="185" customFormat="1" ht="20" x14ac:dyDescent="0.2">
      <c r="B712" s="150" t="s">
        <v>1265</v>
      </c>
      <c r="C712" s="33" t="s">
        <v>106</v>
      </c>
      <c r="D712" s="33" t="s">
        <v>2876</v>
      </c>
      <c r="E712" s="175">
        <v>1</v>
      </c>
      <c r="F712" s="151" t="s">
        <v>1128</v>
      </c>
      <c r="G712" s="152">
        <v>2.1102607</v>
      </c>
      <c r="H712" s="152">
        <v>1.302630061728395</v>
      </c>
      <c r="I712" s="175">
        <v>69</v>
      </c>
      <c r="J712" s="266">
        <f>_xlfn.XLOOKUP($I712,Inputs!$C$6:$C$23,Inputs!$D$6:$D$23)*$G712</f>
        <v>0.81094304042857146</v>
      </c>
      <c r="K712" s="255"/>
      <c r="L712" s="186">
        <v>849</v>
      </c>
      <c r="M712" s="186">
        <v>1015</v>
      </c>
      <c r="N712" s="99">
        <f t="shared" si="156"/>
        <v>101.46526835819239</v>
      </c>
      <c r="O712" s="99">
        <f t="shared" si="157"/>
        <v>121.30417830808632</v>
      </c>
      <c r="P712" s="131">
        <v>0.9</v>
      </c>
      <c r="Q712" s="186">
        <f t="shared" si="160"/>
        <v>91.318741522373159</v>
      </c>
      <c r="R712" s="186">
        <f t="shared" si="160"/>
        <v>109.1737604772777</v>
      </c>
      <c r="S712" s="151" t="s">
        <v>1944</v>
      </c>
      <c r="T712" s="51" t="s">
        <v>3354</v>
      </c>
      <c r="U712" s="151" t="s">
        <v>1823</v>
      </c>
      <c r="V712" s="51" t="s">
        <v>3621</v>
      </c>
      <c r="W712" s="19"/>
      <c r="X712" s="19"/>
      <c r="Y712" s="99">
        <v>785</v>
      </c>
    </row>
    <row r="713" spans="2:25" s="185" customFormat="1" ht="20" x14ac:dyDescent="0.2">
      <c r="B713" s="150" t="s">
        <v>1264</v>
      </c>
      <c r="C713" s="33" t="s">
        <v>106</v>
      </c>
      <c r="D713" s="33" t="s">
        <v>2876</v>
      </c>
      <c r="E713" s="175">
        <v>1</v>
      </c>
      <c r="F713" s="151" t="s">
        <v>1128</v>
      </c>
      <c r="G713" s="152">
        <v>3</v>
      </c>
      <c r="H713" s="152">
        <v>1.8518518518518516</v>
      </c>
      <c r="I713" s="175">
        <v>69</v>
      </c>
      <c r="J713" s="266">
        <f>_xlfn.XLOOKUP($I713,Inputs!$C$6:$C$23,Inputs!$D$6:$D$23)*$G713</f>
        <v>1.1528571428571428</v>
      </c>
      <c r="K713" s="255"/>
      <c r="L713" s="186">
        <v>1070</v>
      </c>
      <c r="M713" s="186">
        <v>1295</v>
      </c>
      <c r="N713" s="99">
        <f t="shared" si="156"/>
        <v>127.87731112281021</v>
      </c>
      <c r="O713" s="99">
        <f t="shared" si="157"/>
        <v>154.76739991031704</v>
      </c>
      <c r="P713" s="131">
        <v>0.9</v>
      </c>
      <c r="Q713" s="186">
        <f t="shared" si="160"/>
        <v>115.08958001052919</v>
      </c>
      <c r="R713" s="186">
        <f t="shared" si="160"/>
        <v>139.29065991928533</v>
      </c>
      <c r="S713" s="151" t="s">
        <v>2533</v>
      </c>
      <c r="T713" s="51" t="s">
        <v>2192</v>
      </c>
      <c r="U713" s="151" t="s">
        <v>2534</v>
      </c>
      <c r="V713" s="51" t="s">
        <v>2193</v>
      </c>
      <c r="W713" s="19"/>
      <c r="X713" s="19"/>
      <c r="Y713" s="99">
        <v>782</v>
      </c>
    </row>
    <row r="714" spans="2:25" s="185" customFormat="1" ht="20" x14ac:dyDescent="0.2">
      <c r="B714" s="150" t="s">
        <v>1387</v>
      </c>
      <c r="C714" s="33" t="s">
        <v>106</v>
      </c>
      <c r="D714" s="33" t="s">
        <v>2876</v>
      </c>
      <c r="E714" s="175">
        <v>1</v>
      </c>
      <c r="F714" s="151" t="s">
        <v>1128</v>
      </c>
      <c r="G714" s="152">
        <v>3.11</v>
      </c>
      <c r="H714" s="152">
        <v>1.919753086419753</v>
      </c>
      <c r="I714" s="175">
        <v>69</v>
      </c>
      <c r="J714" s="266">
        <f>_xlfn.XLOOKUP($I714,Inputs!$C$6:$C$23,Inputs!$D$6:$D$23)*$G714</f>
        <v>1.1951285714285713</v>
      </c>
      <c r="K714" s="255"/>
      <c r="L714" s="186">
        <v>430</v>
      </c>
      <c r="M714" s="186">
        <v>745</v>
      </c>
      <c r="N714" s="99">
        <f t="shared" si="156"/>
        <v>51.389947460568592</v>
      </c>
      <c r="O714" s="99">
        <f t="shared" si="157"/>
        <v>89.036071763078141</v>
      </c>
      <c r="P714" s="131">
        <v>0.9</v>
      </c>
      <c r="Q714" s="186">
        <f t="shared" si="160"/>
        <v>46.250952714511733</v>
      </c>
      <c r="R714" s="186">
        <f t="shared" si="160"/>
        <v>80.132464586770325</v>
      </c>
      <c r="S714" s="151" t="s">
        <v>2606</v>
      </c>
      <c r="T714" s="51" t="s">
        <v>2265</v>
      </c>
      <c r="U714" s="151" t="s">
        <v>1824</v>
      </c>
      <c r="V714" s="51" t="s">
        <v>3504</v>
      </c>
      <c r="W714" s="19"/>
      <c r="X714" s="19"/>
      <c r="Y714" s="99">
        <v>1003</v>
      </c>
    </row>
    <row r="715" spans="2:25" s="165" customFormat="1" ht="20" x14ac:dyDescent="0.2">
      <c r="B715" s="150" t="s">
        <v>1392</v>
      </c>
      <c r="C715" s="33" t="s">
        <v>106</v>
      </c>
      <c r="D715" s="33" t="s">
        <v>2876</v>
      </c>
      <c r="E715" s="175">
        <v>1</v>
      </c>
      <c r="F715" s="151" t="s">
        <v>1128</v>
      </c>
      <c r="G715" s="152">
        <v>10.780409299999999</v>
      </c>
      <c r="H715" s="152">
        <v>6.6545736419753077</v>
      </c>
      <c r="I715" s="175">
        <v>69</v>
      </c>
      <c r="J715" s="266">
        <f>_xlfn.XLOOKUP($I715,Inputs!$C$6:$C$23,Inputs!$D$6:$D$23)*$G715</f>
        <v>4.1427572881428567</v>
      </c>
      <c r="K715" s="255"/>
      <c r="L715" s="186">
        <v>430</v>
      </c>
      <c r="M715" s="186">
        <v>745</v>
      </c>
      <c r="N715" s="99">
        <f t="shared" si="156"/>
        <v>51.389947460568592</v>
      </c>
      <c r="O715" s="99">
        <f t="shared" si="157"/>
        <v>89.036071763078141</v>
      </c>
      <c r="P715" s="131">
        <v>0.9</v>
      </c>
      <c r="Q715" s="186">
        <f t="shared" si="160"/>
        <v>46.250952714511733</v>
      </c>
      <c r="R715" s="186">
        <f t="shared" si="160"/>
        <v>80.132464586770325</v>
      </c>
      <c r="S715" s="151" t="s">
        <v>1862</v>
      </c>
      <c r="T715" s="51" t="s">
        <v>3318</v>
      </c>
      <c r="U715" s="151" t="s">
        <v>1824</v>
      </c>
      <c r="V715" s="51" t="s">
        <v>3504</v>
      </c>
      <c r="W715" s="19"/>
      <c r="X715" s="19"/>
      <c r="Y715" s="99">
        <v>1011</v>
      </c>
    </row>
    <row r="716" spans="2:25" s="165" customFormat="1" ht="20" x14ac:dyDescent="0.2">
      <c r="B716" s="230" t="s">
        <v>2670</v>
      </c>
      <c r="C716" s="51" t="s">
        <v>173</v>
      </c>
      <c r="D716" s="33" t="s">
        <v>2876</v>
      </c>
      <c r="E716" s="231">
        <v>1</v>
      </c>
      <c r="F716" s="230" t="s">
        <v>1128</v>
      </c>
      <c r="G716" s="232">
        <v>17.5</v>
      </c>
      <c r="H716" s="232">
        <v>10.802469135802468</v>
      </c>
      <c r="I716" s="231">
        <v>63</v>
      </c>
      <c r="J716" s="266">
        <f>_xlfn.XLOOKUP($I716,Inputs!$C$6:$C$23,Inputs!$D$6:$D$23)*$G716</f>
        <v>6.65</v>
      </c>
      <c r="K716" s="267">
        <f t="shared" ref="K716:K722" si="161">IF((42.4*(H716)^(-0.6595))&gt;=3,3,(IF(42.4*(H716)^(-0.6595)&lt;=0.5,0.5,(42.4*(H716)^(-0.6595)))))</f>
        <v>3</v>
      </c>
      <c r="L716" s="99"/>
      <c r="M716" s="99"/>
      <c r="N716" s="99"/>
      <c r="O716" s="99"/>
      <c r="P716" s="69"/>
      <c r="Q716" s="305">
        <f>_xlfn.XLOOKUP($I716,Inputs!$G$6:$G$23,Inputs!J$6:J$23)*$K716</f>
        <v>29.767499999999998</v>
      </c>
      <c r="R716" s="305">
        <f>_xlfn.XLOOKUP($I716,Inputs!$G$6:$G$23,Inputs!K$6:K$23)*$K716</f>
        <v>32.532786885245905</v>
      </c>
      <c r="S716" s="230" t="s">
        <v>2666</v>
      </c>
      <c r="T716" s="51" t="s">
        <v>3304</v>
      </c>
      <c r="U716" s="230" t="s">
        <v>2671</v>
      </c>
      <c r="V716" s="51" t="s">
        <v>3302</v>
      </c>
      <c r="W716" s="19"/>
      <c r="X716" s="19"/>
      <c r="Y716" s="99">
        <v>1091</v>
      </c>
    </row>
    <row r="717" spans="2:25" s="165" customFormat="1" ht="20" x14ac:dyDescent="0.2">
      <c r="B717" s="230" t="s">
        <v>2636</v>
      </c>
      <c r="C717" s="51" t="s">
        <v>173</v>
      </c>
      <c r="D717" s="33" t="s">
        <v>2876</v>
      </c>
      <c r="E717" s="231">
        <v>1</v>
      </c>
      <c r="F717" s="230" t="s">
        <v>1128</v>
      </c>
      <c r="G717" s="232">
        <v>2</v>
      </c>
      <c r="H717" s="232">
        <v>1.2345679012345678</v>
      </c>
      <c r="I717" s="231">
        <v>138</v>
      </c>
      <c r="J717" s="266">
        <f>_xlfn.XLOOKUP($I717,Inputs!$C$6:$C$23,Inputs!$D$6:$D$23)*$G717</f>
        <v>0.86714285714285722</v>
      </c>
      <c r="K717" s="267">
        <f t="shared" si="161"/>
        <v>3</v>
      </c>
      <c r="L717" s="99"/>
      <c r="M717" s="99"/>
      <c r="N717" s="99"/>
      <c r="O717" s="99"/>
      <c r="P717" s="69"/>
      <c r="Q717" s="305">
        <f>_xlfn.XLOOKUP($I717,Inputs!$G$6:$G$23,Inputs!J$6:J$23)*$K717</f>
        <v>141</v>
      </c>
      <c r="R717" s="305">
        <f>_xlfn.XLOOKUP($I717,Inputs!$G$6:$G$23,Inputs!K$6:K$23)*$K717</f>
        <v>156</v>
      </c>
      <c r="S717" s="230" t="s">
        <v>2635</v>
      </c>
      <c r="T717" s="51" t="s">
        <v>2762</v>
      </c>
      <c r="U717" s="230" t="s">
        <v>2637</v>
      </c>
      <c r="V717" s="51" t="s">
        <v>3303</v>
      </c>
      <c r="W717" s="19"/>
      <c r="X717" s="19"/>
      <c r="Y717" s="99">
        <v>1114</v>
      </c>
    </row>
    <row r="718" spans="2:25" s="165" customFormat="1" ht="20" x14ac:dyDescent="0.2">
      <c r="B718" s="230" t="s">
        <v>2664</v>
      </c>
      <c r="C718" s="51" t="s">
        <v>173</v>
      </c>
      <c r="D718" s="33" t="s">
        <v>2876</v>
      </c>
      <c r="E718" s="231">
        <v>1</v>
      </c>
      <c r="F718" s="230" t="s">
        <v>1128</v>
      </c>
      <c r="G718" s="232">
        <v>1</v>
      </c>
      <c r="H718" s="232">
        <v>0.61728395061728392</v>
      </c>
      <c r="I718" s="231">
        <v>63</v>
      </c>
      <c r="J718" s="266">
        <f>_xlfn.XLOOKUP($I718,Inputs!$C$6:$C$23,Inputs!$D$6:$D$23)*$G718</f>
        <v>0.38</v>
      </c>
      <c r="K718" s="267">
        <f t="shared" si="161"/>
        <v>3</v>
      </c>
      <c r="L718" s="99"/>
      <c r="M718" s="99"/>
      <c r="N718" s="99"/>
      <c r="O718" s="99"/>
      <c r="P718" s="69"/>
      <c r="Q718" s="305">
        <f>_xlfn.XLOOKUP($I718,Inputs!$G$6:$G$23,Inputs!J$6:J$23)*$K718</f>
        <v>29.767499999999998</v>
      </c>
      <c r="R718" s="305">
        <f>_xlfn.XLOOKUP($I718,Inputs!$G$6:$G$23,Inputs!K$6:K$23)*$K718</f>
        <v>32.532786885245905</v>
      </c>
      <c r="S718" s="230" t="s">
        <v>3562</v>
      </c>
      <c r="T718" s="51" t="s">
        <v>3563</v>
      </c>
      <c r="U718" s="230" t="s">
        <v>2666</v>
      </c>
      <c r="V718" s="51" t="s">
        <v>3304</v>
      </c>
      <c r="W718" s="19"/>
      <c r="X718" s="19"/>
      <c r="Y718" s="99">
        <v>1129</v>
      </c>
    </row>
    <row r="719" spans="2:25" s="165" customFormat="1" ht="20" x14ac:dyDescent="0.2">
      <c r="B719" s="230" t="s">
        <v>2665</v>
      </c>
      <c r="C719" s="51" t="s">
        <v>173</v>
      </c>
      <c r="D719" s="33" t="s">
        <v>2876</v>
      </c>
      <c r="E719" s="231">
        <v>1</v>
      </c>
      <c r="F719" s="230" t="s">
        <v>1128</v>
      </c>
      <c r="G719" s="232">
        <v>1</v>
      </c>
      <c r="H719" s="232">
        <v>0.61728395061728392</v>
      </c>
      <c r="I719" s="231">
        <v>63</v>
      </c>
      <c r="J719" s="266">
        <f>_xlfn.XLOOKUP($I719,Inputs!$C$6:$C$23,Inputs!$D$6:$D$23)*$G719</f>
        <v>0.38</v>
      </c>
      <c r="K719" s="267">
        <f t="shared" si="161"/>
        <v>3</v>
      </c>
      <c r="L719" s="99"/>
      <c r="M719" s="99"/>
      <c r="N719" s="99"/>
      <c r="O719" s="99"/>
      <c r="P719" s="69"/>
      <c r="Q719" s="305">
        <f>_xlfn.XLOOKUP($I719,Inputs!$G$6:$G$23,Inputs!J$6:J$23)*$K719</f>
        <v>29.767499999999998</v>
      </c>
      <c r="R719" s="305">
        <f>_xlfn.XLOOKUP($I719,Inputs!$G$6:$G$23,Inputs!K$6:K$23)*$K719</f>
        <v>32.532786885245905</v>
      </c>
      <c r="S719" s="230" t="s">
        <v>3562</v>
      </c>
      <c r="T719" s="51" t="s">
        <v>3563</v>
      </c>
      <c r="U719" s="230" t="s">
        <v>2666</v>
      </c>
      <c r="V719" s="51" t="s">
        <v>3304</v>
      </c>
      <c r="W719" s="19"/>
      <c r="X719" s="19"/>
      <c r="Y719" s="99">
        <v>1130</v>
      </c>
    </row>
    <row r="720" spans="2:25" s="165" customFormat="1" ht="20" x14ac:dyDescent="0.2">
      <c r="B720" s="230" t="s">
        <v>2747</v>
      </c>
      <c r="C720" s="51" t="s">
        <v>173</v>
      </c>
      <c r="D720" s="33" t="s">
        <v>2876</v>
      </c>
      <c r="E720" s="231">
        <v>1</v>
      </c>
      <c r="F720" s="230" t="s">
        <v>1128</v>
      </c>
      <c r="G720" s="232">
        <v>2.5</v>
      </c>
      <c r="H720" s="232">
        <v>1.5432098765432098</v>
      </c>
      <c r="I720" s="231">
        <v>63</v>
      </c>
      <c r="J720" s="266">
        <f>_xlfn.XLOOKUP($I720,Inputs!$C$6:$C$23,Inputs!$D$6:$D$23)*$G720</f>
        <v>0.95</v>
      </c>
      <c r="K720" s="267">
        <f t="shared" si="161"/>
        <v>3</v>
      </c>
      <c r="L720" s="99"/>
      <c r="M720" s="99"/>
      <c r="N720" s="99"/>
      <c r="O720" s="99"/>
      <c r="P720" s="69"/>
      <c r="Q720" s="305">
        <f>_xlfn.XLOOKUP($I720,Inputs!$G$6:$G$23,Inputs!J$6:J$23)*$K720</f>
        <v>29.767499999999998</v>
      </c>
      <c r="R720" s="305">
        <f>_xlfn.XLOOKUP($I720,Inputs!$G$6:$G$23,Inputs!K$6:K$23)*$K720</f>
        <v>32.532786885245905</v>
      </c>
      <c r="S720" s="230" t="s">
        <v>2748</v>
      </c>
      <c r="T720" s="51" t="s">
        <v>2763</v>
      </c>
      <c r="U720" s="230" t="s">
        <v>2749</v>
      </c>
      <c r="V720" s="51" t="s">
        <v>3305</v>
      </c>
      <c r="W720" s="19"/>
      <c r="X720" s="19" t="s">
        <v>3703</v>
      </c>
      <c r="Y720" s="99">
        <v>1016</v>
      </c>
    </row>
    <row r="721" spans="2:25" s="165" customFormat="1" ht="20" x14ac:dyDescent="0.2">
      <c r="B721" s="230" t="s">
        <v>2753</v>
      </c>
      <c r="C721" s="51" t="s">
        <v>173</v>
      </c>
      <c r="D721" s="33" t="s">
        <v>2876</v>
      </c>
      <c r="E721" s="231">
        <v>1</v>
      </c>
      <c r="F721" s="230" t="s">
        <v>1128</v>
      </c>
      <c r="G721" s="232">
        <v>2.5</v>
      </c>
      <c r="H721" s="232">
        <v>1.5432098765432098</v>
      </c>
      <c r="I721" s="231">
        <v>63</v>
      </c>
      <c r="J721" s="266">
        <f>_xlfn.XLOOKUP($I721,Inputs!$C$6:$C$23,Inputs!$D$6:$D$23)*$G721</f>
        <v>0.95</v>
      </c>
      <c r="K721" s="267">
        <f t="shared" si="161"/>
        <v>3</v>
      </c>
      <c r="L721" s="99"/>
      <c r="M721" s="99"/>
      <c r="N721" s="99"/>
      <c r="O721" s="99"/>
      <c r="P721" s="69"/>
      <c r="Q721" s="305">
        <f>_xlfn.XLOOKUP($I721,Inputs!$G$6:$G$23,Inputs!J$6:J$23)*$K721</f>
        <v>29.767499999999998</v>
      </c>
      <c r="R721" s="305">
        <f>_xlfn.XLOOKUP($I721,Inputs!$G$6:$G$23,Inputs!K$6:K$23)*$K721</f>
        <v>32.532786885245905</v>
      </c>
      <c r="S721" s="230" t="s">
        <v>2748</v>
      </c>
      <c r="T721" s="51" t="s">
        <v>2763</v>
      </c>
      <c r="U721" s="230" t="s">
        <v>2749</v>
      </c>
      <c r="V721" s="51" t="s">
        <v>3305</v>
      </c>
      <c r="W721" s="19"/>
      <c r="X721" s="19" t="s">
        <v>3703</v>
      </c>
      <c r="Y721" s="99">
        <v>1071</v>
      </c>
    </row>
    <row r="722" spans="2:25" s="165" customFormat="1" ht="20" x14ac:dyDescent="0.2">
      <c r="B722" s="230" t="s">
        <v>2667</v>
      </c>
      <c r="C722" s="51" t="s">
        <v>173</v>
      </c>
      <c r="D722" s="33" t="s">
        <v>2876</v>
      </c>
      <c r="E722" s="231">
        <v>1</v>
      </c>
      <c r="F722" s="230" t="s">
        <v>1128</v>
      </c>
      <c r="G722" s="232">
        <v>17.5</v>
      </c>
      <c r="H722" s="232">
        <v>10.802469135802468</v>
      </c>
      <c r="I722" s="231">
        <v>63</v>
      </c>
      <c r="J722" s="266">
        <f>_xlfn.XLOOKUP($I722,Inputs!$C$6:$C$23,Inputs!$D$6:$D$23)*$G722</f>
        <v>6.65</v>
      </c>
      <c r="K722" s="267">
        <f t="shared" si="161"/>
        <v>3</v>
      </c>
      <c r="L722" s="99"/>
      <c r="M722" s="99"/>
      <c r="N722" s="99"/>
      <c r="O722" s="99"/>
      <c r="P722" s="69"/>
      <c r="Q722" s="305">
        <f>_xlfn.XLOOKUP($I722,Inputs!$G$6:$G$23,Inputs!J$6:J$23)*$K722</f>
        <v>29.767499999999998</v>
      </c>
      <c r="R722" s="305">
        <f>_xlfn.XLOOKUP($I722,Inputs!$G$6:$G$23,Inputs!K$6:K$23)*$K722</f>
        <v>32.532786885245905</v>
      </c>
      <c r="S722" s="230" t="s">
        <v>2668</v>
      </c>
      <c r="T722" s="51" t="s">
        <v>3311</v>
      </c>
      <c r="U722" s="230" t="s">
        <v>2669</v>
      </c>
      <c r="V722" s="51" t="s">
        <v>3502</v>
      </c>
      <c r="W722" s="19"/>
      <c r="X722" s="19" t="s">
        <v>3702</v>
      </c>
      <c r="Y722" s="99">
        <v>1100</v>
      </c>
    </row>
    <row r="723" spans="2:25" s="165" customFormat="1" ht="20" x14ac:dyDescent="0.2">
      <c r="B723" s="150" t="s">
        <v>1467</v>
      </c>
      <c r="C723" s="33" t="s">
        <v>106</v>
      </c>
      <c r="D723" s="33" t="s">
        <v>2876</v>
      </c>
      <c r="E723" s="175">
        <v>1</v>
      </c>
      <c r="F723" s="151" t="s">
        <v>1128</v>
      </c>
      <c r="G723" s="152">
        <v>0.4782033</v>
      </c>
      <c r="H723" s="152">
        <v>0.29518722222222221</v>
      </c>
      <c r="I723" s="175">
        <v>138</v>
      </c>
      <c r="J723" s="266">
        <f>_xlfn.XLOOKUP($I723,Inputs!$C$6:$C$23,Inputs!$D$6:$D$23)*$G723</f>
        <v>0.20733528792857145</v>
      </c>
      <c r="K723" s="255"/>
      <c r="L723" s="186">
        <v>635</v>
      </c>
      <c r="M723" s="186">
        <v>810</v>
      </c>
      <c r="N723" s="99">
        <f t="shared" ref="N723:O728" si="162">(SQRT(3)*L723*$I723)/1000</f>
        <v>151.77961226726069</v>
      </c>
      <c r="O723" s="99">
        <f t="shared" si="162"/>
        <v>193.60863927004908</v>
      </c>
      <c r="P723" s="131">
        <v>0.9</v>
      </c>
      <c r="Q723" s="186">
        <f t="shared" ref="Q723:R728" si="163">N723*$P723</f>
        <v>136.60165104053462</v>
      </c>
      <c r="R723" s="186">
        <f t="shared" si="163"/>
        <v>174.24777534304417</v>
      </c>
      <c r="S723" s="151" t="s">
        <v>2399</v>
      </c>
      <c r="T723" s="51" t="s">
        <v>2048</v>
      </c>
      <c r="U723" s="151" t="s">
        <v>1825</v>
      </c>
      <c r="V723" s="51" t="s">
        <v>3494</v>
      </c>
      <c r="W723" s="19"/>
      <c r="X723" s="19"/>
      <c r="Y723" s="99">
        <v>68</v>
      </c>
    </row>
    <row r="724" spans="2:25" s="165" customFormat="1" ht="20" x14ac:dyDescent="0.2">
      <c r="B724" s="150" t="s">
        <v>1476</v>
      </c>
      <c r="C724" s="33" t="s">
        <v>106</v>
      </c>
      <c r="D724" s="33" t="s">
        <v>2876</v>
      </c>
      <c r="E724" s="175">
        <v>1</v>
      </c>
      <c r="F724" s="151" t="s">
        <v>1128</v>
      </c>
      <c r="G724" s="152">
        <v>0.47644360000000002</v>
      </c>
      <c r="H724" s="152">
        <v>0.29410098765432097</v>
      </c>
      <c r="I724" s="175">
        <v>138</v>
      </c>
      <c r="J724" s="266">
        <f>_xlfn.XLOOKUP($I724,Inputs!$C$6:$C$23,Inputs!$D$6:$D$23)*$G724</f>
        <v>0.20657233228571431</v>
      </c>
      <c r="K724" s="255"/>
      <c r="L724" s="186">
        <v>635</v>
      </c>
      <c r="M724" s="186">
        <v>810</v>
      </c>
      <c r="N724" s="99">
        <f t="shared" si="162"/>
        <v>151.77961226726069</v>
      </c>
      <c r="O724" s="99">
        <f t="shared" si="162"/>
        <v>193.60863927004908</v>
      </c>
      <c r="P724" s="131">
        <v>0.9</v>
      </c>
      <c r="Q724" s="186">
        <f t="shared" si="163"/>
        <v>136.60165104053462</v>
      </c>
      <c r="R724" s="186">
        <f t="shared" si="163"/>
        <v>174.24777534304417</v>
      </c>
      <c r="S724" s="151" t="s">
        <v>2399</v>
      </c>
      <c r="T724" s="51" t="s">
        <v>2048</v>
      </c>
      <c r="U724" s="151" t="s">
        <v>1825</v>
      </c>
      <c r="V724" s="51" t="s">
        <v>3494</v>
      </c>
      <c r="W724" s="19"/>
      <c r="X724" s="19"/>
      <c r="Y724" s="99">
        <v>112</v>
      </c>
    </row>
    <row r="725" spans="2:25" s="165" customFormat="1" ht="20" x14ac:dyDescent="0.2">
      <c r="B725" s="150" t="s">
        <v>433</v>
      </c>
      <c r="C725" s="33" t="s">
        <v>106</v>
      </c>
      <c r="D725" s="33" t="s">
        <v>2876</v>
      </c>
      <c r="E725" s="175">
        <v>1</v>
      </c>
      <c r="F725" s="151" t="s">
        <v>1128</v>
      </c>
      <c r="G725" s="152">
        <v>30</v>
      </c>
      <c r="H725" s="152">
        <v>18.518518518518519</v>
      </c>
      <c r="I725" s="175">
        <v>138</v>
      </c>
      <c r="J725" s="266">
        <f>_xlfn.XLOOKUP($I725,Inputs!$C$6:$C$23,Inputs!$D$6:$D$23)*$G725</f>
        <v>13.007142857142858</v>
      </c>
      <c r="K725" s="255"/>
      <c r="L725" s="186">
        <v>625</v>
      </c>
      <c r="M725" s="186">
        <v>805</v>
      </c>
      <c r="N725" s="99">
        <f t="shared" si="162"/>
        <v>149.38938215281567</v>
      </c>
      <c r="O725" s="99">
        <f t="shared" si="162"/>
        <v>192.41352421282656</v>
      </c>
      <c r="P725" s="131">
        <v>0.9</v>
      </c>
      <c r="Q725" s="186">
        <f t="shared" si="163"/>
        <v>134.45044393753412</v>
      </c>
      <c r="R725" s="186">
        <f t="shared" si="163"/>
        <v>173.17217179154392</v>
      </c>
      <c r="S725" s="151" t="s">
        <v>2398</v>
      </c>
      <c r="T725" s="51" t="s">
        <v>2047</v>
      </c>
      <c r="U725" s="151" t="s">
        <v>2399</v>
      </c>
      <c r="V725" s="179" t="s">
        <v>2048</v>
      </c>
      <c r="W725" s="19"/>
      <c r="X725" s="19"/>
      <c r="Y725" s="99">
        <v>67</v>
      </c>
    </row>
    <row r="726" spans="2:25" s="165" customFormat="1" ht="20" x14ac:dyDescent="0.2">
      <c r="B726" s="150" t="s">
        <v>447</v>
      </c>
      <c r="C726" s="33" t="s">
        <v>106</v>
      </c>
      <c r="D726" s="33" t="s">
        <v>2876</v>
      </c>
      <c r="E726" s="175">
        <v>1</v>
      </c>
      <c r="F726" s="151" t="s">
        <v>1128</v>
      </c>
      <c r="G726" s="152">
        <v>50</v>
      </c>
      <c r="H726" s="152">
        <v>30.864197530864196</v>
      </c>
      <c r="I726" s="175">
        <v>138</v>
      </c>
      <c r="J726" s="266">
        <f>_xlfn.XLOOKUP($I726,Inputs!$C$6:$C$23,Inputs!$D$6:$D$23)*$G726</f>
        <v>21.678571428571431</v>
      </c>
      <c r="K726" s="255"/>
      <c r="L726" s="186">
        <v>635</v>
      </c>
      <c r="M726" s="186">
        <v>810</v>
      </c>
      <c r="N726" s="99">
        <f t="shared" si="162"/>
        <v>151.77961226726069</v>
      </c>
      <c r="O726" s="99">
        <f t="shared" si="162"/>
        <v>193.60863927004908</v>
      </c>
      <c r="P726" s="131">
        <v>0.9</v>
      </c>
      <c r="Q726" s="186">
        <f t="shared" si="163"/>
        <v>136.60165104053462</v>
      </c>
      <c r="R726" s="186">
        <f t="shared" si="163"/>
        <v>174.24777534304417</v>
      </c>
      <c r="S726" s="151" t="s">
        <v>2397</v>
      </c>
      <c r="T726" s="51" t="s">
        <v>2046</v>
      </c>
      <c r="U726" s="151" t="s">
        <v>2399</v>
      </c>
      <c r="V726" s="179" t="s">
        <v>2048</v>
      </c>
      <c r="W726" s="19"/>
      <c r="X726" s="19"/>
      <c r="Y726" s="99">
        <v>111</v>
      </c>
    </row>
    <row r="727" spans="2:25" s="165" customFormat="1" ht="20" x14ac:dyDescent="0.2">
      <c r="B727" s="150" t="s">
        <v>437</v>
      </c>
      <c r="C727" s="33" t="s">
        <v>106</v>
      </c>
      <c r="D727" s="33" t="s">
        <v>2876</v>
      </c>
      <c r="E727" s="175">
        <v>1</v>
      </c>
      <c r="F727" s="151" t="s">
        <v>1128</v>
      </c>
      <c r="G727" s="152">
        <v>20.844824299999999</v>
      </c>
      <c r="H727" s="152">
        <v>12.867175493827158</v>
      </c>
      <c r="I727" s="175">
        <v>138</v>
      </c>
      <c r="J727" s="266">
        <f>_xlfn.XLOOKUP($I727,Inputs!$C$6:$C$23,Inputs!$D$6:$D$23)*$G727</f>
        <v>9.0377202500714287</v>
      </c>
      <c r="K727" s="255"/>
      <c r="L727" s="186">
        <v>625</v>
      </c>
      <c r="M727" s="186">
        <v>805</v>
      </c>
      <c r="N727" s="99">
        <f t="shared" si="162"/>
        <v>149.38938215281567</v>
      </c>
      <c r="O727" s="99">
        <f t="shared" si="162"/>
        <v>192.41352421282656</v>
      </c>
      <c r="P727" s="131">
        <v>0.9</v>
      </c>
      <c r="Q727" s="186">
        <f t="shared" si="163"/>
        <v>134.45044393753412</v>
      </c>
      <c r="R727" s="186">
        <f t="shared" si="163"/>
        <v>173.17217179154392</v>
      </c>
      <c r="S727" s="151" t="s">
        <v>1651</v>
      </c>
      <c r="T727" s="51" t="s">
        <v>3244</v>
      </c>
      <c r="U727" s="151" t="s">
        <v>167</v>
      </c>
      <c r="V727" s="51" t="s">
        <v>3186</v>
      </c>
      <c r="W727" s="19"/>
      <c r="X727" s="19"/>
      <c r="Y727" s="99">
        <v>81</v>
      </c>
    </row>
    <row r="728" spans="2:25" s="165" customFormat="1" ht="20" x14ac:dyDescent="0.2">
      <c r="B728" s="150" t="s">
        <v>442</v>
      </c>
      <c r="C728" s="33" t="s">
        <v>106</v>
      </c>
      <c r="D728" s="33" t="s">
        <v>2876</v>
      </c>
      <c r="E728" s="175">
        <v>1</v>
      </c>
      <c r="F728" s="151" t="s">
        <v>1128</v>
      </c>
      <c r="G728" s="152">
        <v>20.806397700000002</v>
      </c>
      <c r="H728" s="152">
        <v>12.843455370370371</v>
      </c>
      <c r="I728" s="175">
        <v>138</v>
      </c>
      <c r="J728" s="266">
        <f>_xlfn.XLOOKUP($I728,Inputs!$C$6:$C$23,Inputs!$D$6:$D$23)*$G728</f>
        <v>9.0210595742142878</v>
      </c>
      <c r="K728" s="255"/>
      <c r="L728" s="186">
        <v>625</v>
      </c>
      <c r="M728" s="186">
        <v>805</v>
      </c>
      <c r="N728" s="99">
        <f t="shared" si="162"/>
        <v>149.38938215281567</v>
      </c>
      <c r="O728" s="99">
        <f t="shared" si="162"/>
        <v>192.41352421282656</v>
      </c>
      <c r="P728" s="131">
        <v>0.9</v>
      </c>
      <c r="Q728" s="186">
        <f t="shared" si="163"/>
        <v>134.45044393753412</v>
      </c>
      <c r="R728" s="186">
        <f t="shared" si="163"/>
        <v>173.17217179154392</v>
      </c>
      <c r="S728" s="151" t="s">
        <v>1651</v>
      </c>
      <c r="T728" s="51" t="s">
        <v>3244</v>
      </c>
      <c r="U728" s="151" t="s">
        <v>167</v>
      </c>
      <c r="V728" s="51" t="s">
        <v>3186</v>
      </c>
      <c r="W728" s="19"/>
      <c r="X728" s="19"/>
      <c r="Y728" s="99">
        <v>92</v>
      </c>
    </row>
    <row r="729" spans="2:25" s="165" customFormat="1" ht="20" x14ac:dyDescent="0.2">
      <c r="B729" s="230" t="s">
        <v>2744</v>
      </c>
      <c r="C729" s="51" t="s">
        <v>173</v>
      </c>
      <c r="D729" s="33" t="s">
        <v>2876</v>
      </c>
      <c r="E729" s="231">
        <v>1</v>
      </c>
      <c r="F729" s="230" t="s">
        <v>1128</v>
      </c>
      <c r="G729" s="232">
        <v>12.5</v>
      </c>
      <c r="H729" s="232">
        <v>7.716049382716049</v>
      </c>
      <c r="I729" s="231">
        <v>63</v>
      </c>
      <c r="J729" s="266">
        <f>_xlfn.XLOOKUP($I729,Inputs!$C$6:$C$23,Inputs!$D$6:$D$23)*$G729</f>
        <v>4.75</v>
      </c>
      <c r="K729" s="267">
        <f>IF((42.4*(H729)^(-0.6595))&gt;=3,3,(IF(42.4*(H729)^(-0.6595)&lt;=0.5,0.5,(42.4*(H729)^(-0.6595)))))</f>
        <v>3</v>
      </c>
      <c r="L729" s="99"/>
      <c r="M729" s="99"/>
      <c r="N729" s="99"/>
      <c r="O729" s="99"/>
      <c r="P729" s="69"/>
      <c r="Q729" s="305">
        <f>_xlfn.XLOOKUP($I729,Inputs!$G$6:$G$23,Inputs!J$6:J$23)*$K729</f>
        <v>29.767499999999998</v>
      </c>
      <c r="R729" s="305">
        <f>_xlfn.XLOOKUP($I729,Inputs!$G$6:$G$23,Inputs!K$6:K$23)*$K729</f>
        <v>32.532786885245905</v>
      </c>
      <c r="S729" s="230" t="s">
        <v>2326</v>
      </c>
      <c r="T729" s="51" t="s">
        <v>3162</v>
      </c>
      <c r="U729" s="230" t="s">
        <v>2745</v>
      </c>
      <c r="V729" s="51" t="s">
        <v>3306</v>
      </c>
      <c r="W729" s="19"/>
      <c r="X729" s="19"/>
      <c r="Y729" s="99">
        <v>1054</v>
      </c>
    </row>
    <row r="730" spans="2:25" s="165" customFormat="1" ht="20" x14ac:dyDescent="0.2">
      <c r="B730" s="150" t="s">
        <v>1166</v>
      </c>
      <c r="C730" s="33" t="s">
        <v>106</v>
      </c>
      <c r="D730" s="33" t="s">
        <v>2876</v>
      </c>
      <c r="E730" s="175">
        <v>1</v>
      </c>
      <c r="F730" s="151" t="s">
        <v>1128</v>
      </c>
      <c r="G730" s="152">
        <v>0.10755580000000001</v>
      </c>
      <c r="H730" s="152">
        <v>6.6392469135802462E-2</v>
      </c>
      <c r="I730" s="175">
        <v>69</v>
      </c>
      <c r="J730" s="266">
        <f>_xlfn.XLOOKUP($I730,Inputs!$C$6:$C$23,Inputs!$D$6:$D$23)*$G730</f>
        <v>4.133215742857143E-2</v>
      </c>
      <c r="K730" s="255"/>
      <c r="L730" s="186">
        <v>114</v>
      </c>
      <c r="M730" s="186">
        <v>202</v>
      </c>
      <c r="N730" s="99">
        <f t="shared" ref="N730:N756" si="164">(SQRT(3)*L730*$I730)/1000</f>
        <v>13.624311652336788</v>
      </c>
      <c r="O730" s="99">
        <f t="shared" ref="O730:O756" si="165">(SQRT(3)*M730*$I730)/1000</f>
        <v>24.14132415589501</v>
      </c>
      <c r="P730" s="131">
        <v>0.9</v>
      </c>
      <c r="Q730" s="186">
        <f>N730*$P730</f>
        <v>12.26188048710311</v>
      </c>
      <c r="R730" s="186">
        <f>O730*$P730</f>
        <v>21.727191740305511</v>
      </c>
      <c r="S730" s="151" t="s">
        <v>2494</v>
      </c>
      <c r="T730" s="51" t="s">
        <v>2152</v>
      </c>
      <c r="U730" s="151" t="s">
        <v>1826</v>
      </c>
      <c r="V730" s="51" t="s">
        <v>3496</v>
      </c>
      <c r="W730" s="19"/>
      <c r="X730" s="19"/>
      <c r="Y730" s="99">
        <v>615</v>
      </c>
    </row>
    <row r="731" spans="2:25" s="165" customFormat="1" ht="20" x14ac:dyDescent="0.2">
      <c r="B731" s="150" t="s">
        <v>1164</v>
      </c>
      <c r="C731" s="33" t="s">
        <v>106</v>
      </c>
      <c r="D731" s="33" t="s">
        <v>2876</v>
      </c>
      <c r="E731" s="175">
        <v>1</v>
      </c>
      <c r="F731" s="151" t="s">
        <v>1128</v>
      </c>
      <c r="G731" s="152">
        <v>40.24</v>
      </c>
      <c r="H731" s="152">
        <v>24.839506172839506</v>
      </c>
      <c r="I731" s="175">
        <v>69</v>
      </c>
      <c r="J731" s="266">
        <f>_xlfn.XLOOKUP($I731,Inputs!$C$6:$C$23,Inputs!$D$6:$D$23)*$G731</f>
        <v>15.463657142857144</v>
      </c>
      <c r="K731" s="255"/>
      <c r="L731" s="186">
        <v>400</v>
      </c>
      <c r="M731" s="186">
        <v>525</v>
      </c>
      <c r="N731" s="99">
        <f t="shared" si="164"/>
        <v>47.804602288901016</v>
      </c>
      <c r="O731" s="99">
        <f t="shared" si="165"/>
        <v>62.743540504182576</v>
      </c>
      <c r="P731" s="131">
        <v>0.9</v>
      </c>
      <c r="Q731" s="186">
        <f>N731*$P731</f>
        <v>43.024142060010917</v>
      </c>
      <c r="R731" s="186">
        <f>O731*$P731</f>
        <v>56.469186453764323</v>
      </c>
      <c r="S731" s="151" t="s">
        <v>1893</v>
      </c>
      <c r="T731" s="51" t="s">
        <v>3729</v>
      </c>
      <c r="U731" s="151" t="s">
        <v>2494</v>
      </c>
      <c r="V731" s="51" t="s">
        <v>2152</v>
      </c>
      <c r="W731" s="19"/>
      <c r="X731" s="19"/>
      <c r="Y731" s="99">
        <v>614</v>
      </c>
    </row>
    <row r="732" spans="2:25" s="165" customFormat="1" ht="20" x14ac:dyDescent="0.2">
      <c r="B732" s="150" t="s">
        <v>1488</v>
      </c>
      <c r="C732" s="33" t="s">
        <v>106</v>
      </c>
      <c r="D732" s="33" t="s">
        <v>2876</v>
      </c>
      <c r="E732" s="175">
        <v>1</v>
      </c>
      <c r="F732" s="151" t="s">
        <v>1128</v>
      </c>
      <c r="G732" s="152">
        <v>0.1072091</v>
      </c>
      <c r="H732" s="152">
        <v>6.6178456790123449E-2</v>
      </c>
      <c r="I732" s="175">
        <v>138</v>
      </c>
      <c r="J732" s="266">
        <f>_xlfn.XLOOKUP($I732,Inputs!$C$6:$C$23,Inputs!$D$6:$D$23)*$G732</f>
        <v>4.6482802642857146E-2</v>
      </c>
      <c r="K732" s="267">
        <f>IF((42.4*(H732)^(-0.6595))&gt;=3,3,(IF(42.4*(H732)^(-0.6595)&lt;=0.5,0.5,(42.4*(H732)^(-0.6595)))))</f>
        <v>3</v>
      </c>
      <c r="L732" s="99"/>
      <c r="M732" s="99"/>
      <c r="N732" s="99">
        <f t="shared" si="164"/>
        <v>0</v>
      </c>
      <c r="O732" s="99">
        <f t="shared" si="165"/>
        <v>0</v>
      </c>
      <c r="P732" s="131">
        <v>0.9</v>
      </c>
      <c r="Q732" s="305">
        <f>_xlfn.XLOOKUP($I732,Inputs!$G$6:$G$23,Inputs!J$6:J$23)*$K732</f>
        <v>141</v>
      </c>
      <c r="R732" s="305">
        <f>_xlfn.XLOOKUP($I732,Inputs!$G$6:$G$23,Inputs!K$6:K$23)*$K732</f>
        <v>156</v>
      </c>
      <c r="S732" s="151" t="s">
        <v>2466</v>
      </c>
      <c r="T732" s="51" t="s">
        <v>2119</v>
      </c>
      <c r="U732" s="151" t="s">
        <v>2272</v>
      </c>
      <c r="V732" s="51" t="s">
        <v>3670</v>
      </c>
      <c r="W732" s="19"/>
      <c r="X732" s="19"/>
      <c r="Y732" s="99">
        <v>321</v>
      </c>
    </row>
    <row r="733" spans="2:25" s="165" customFormat="1" ht="20" x14ac:dyDescent="0.2">
      <c r="B733" s="150" t="s">
        <v>511</v>
      </c>
      <c r="C733" s="33" t="s">
        <v>106</v>
      </c>
      <c r="D733" s="33" t="s">
        <v>2876</v>
      </c>
      <c r="E733" s="175">
        <v>1</v>
      </c>
      <c r="F733" s="151" t="s">
        <v>1128</v>
      </c>
      <c r="G733" s="152">
        <v>40</v>
      </c>
      <c r="H733" s="152">
        <v>24.691358024691358</v>
      </c>
      <c r="I733" s="175">
        <v>138</v>
      </c>
      <c r="J733" s="266">
        <f>_xlfn.XLOOKUP($I733,Inputs!$C$6:$C$23,Inputs!$D$6:$D$23)*$G733</f>
        <v>17.342857142857145</v>
      </c>
      <c r="K733" s="255"/>
      <c r="L733" s="186">
        <v>280</v>
      </c>
      <c r="M733" s="186">
        <v>450</v>
      </c>
      <c r="N733" s="99">
        <f t="shared" si="164"/>
        <v>66.926443204461421</v>
      </c>
      <c r="O733" s="99">
        <f t="shared" si="165"/>
        <v>107.56035515002728</v>
      </c>
      <c r="P733" s="131">
        <v>0.9</v>
      </c>
      <c r="Q733" s="186">
        <f t="shared" ref="Q733:R738" si="166">N733*$P733</f>
        <v>60.233798884015279</v>
      </c>
      <c r="R733" s="186">
        <f t="shared" si="166"/>
        <v>96.804319635024555</v>
      </c>
      <c r="S733" s="151" t="s">
        <v>1695</v>
      </c>
      <c r="T733" s="51" t="s">
        <v>3256</v>
      </c>
      <c r="U733" s="151" t="s">
        <v>2466</v>
      </c>
      <c r="V733" s="51" t="s">
        <v>2119</v>
      </c>
      <c r="W733" s="19"/>
      <c r="X733" s="19"/>
      <c r="Y733" s="99">
        <v>320</v>
      </c>
    </row>
    <row r="734" spans="2:25" s="165" customFormat="1" ht="20" x14ac:dyDescent="0.2">
      <c r="B734" s="150" t="s">
        <v>1352</v>
      </c>
      <c r="C734" s="33" t="s">
        <v>106</v>
      </c>
      <c r="D734" s="33" t="s">
        <v>2876</v>
      </c>
      <c r="E734" s="175">
        <v>1</v>
      </c>
      <c r="F734" s="151" t="s">
        <v>1128</v>
      </c>
      <c r="G734" s="152">
        <v>14.597952100000001</v>
      </c>
      <c r="H734" s="152">
        <v>9.0110815432098761</v>
      </c>
      <c r="I734" s="175">
        <v>69</v>
      </c>
      <c r="J734" s="266">
        <f>_xlfn.XLOOKUP($I734,Inputs!$C$6:$C$23,Inputs!$D$6:$D$23)*$G734</f>
        <v>5.609784449857143</v>
      </c>
      <c r="K734" s="255"/>
      <c r="L734" s="186">
        <v>850</v>
      </c>
      <c r="M734" s="186">
        <v>1020</v>
      </c>
      <c r="N734" s="99">
        <f t="shared" si="164"/>
        <v>101.58477986391465</v>
      </c>
      <c r="O734" s="99">
        <f t="shared" si="165"/>
        <v>121.90173583669757</v>
      </c>
      <c r="P734" s="131">
        <v>0.9</v>
      </c>
      <c r="Q734" s="186">
        <f t="shared" si="166"/>
        <v>91.426301877523187</v>
      </c>
      <c r="R734" s="186">
        <f t="shared" si="166"/>
        <v>109.71156225302781</v>
      </c>
      <c r="S734" s="151" t="s">
        <v>365</v>
      </c>
      <c r="T734" s="51" t="s">
        <v>3355</v>
      </c>
      <c r="U734" s="151" t="s">
        <v>1827</v>
      </c>
      <c r="V734" s="51" t="s">
        <v>3212</v>
      </c>
      <c r="W734" s="19"/>
      <c r="X734" s="19"/>
      <c r="Y734" s="99">
        <v>939</v>
      </c>
    </row>
    <row r="735" spans="2:25" s="165" customFormat="1" ht="20" x14ac:dyDescent="0.2">
      <c r="B735" s="150" t="s">
        <v>1353</v>
      </c>
      <c r="C735" s="33" t="s">
        <v>106</v>
      </c>
      <c r="D735" s="33" t="s">
        <v>2876</v>
      </c>
      <c r="E735" s="175">
        <v>1</v>
      </c>
      <c r="F735" s="151" t="s">
        <v>1128</v>
      </c>
      <c r="G735" s="152">
        <v>6</v>
      </c>
      <c r="H735" s="152">
        <v>3.7037037037037033</v>
      </c>
      <c r="I735" s="175">
        <v>69</v>
      </c>
      <c r="J735" s="266">
        <f>_xlfn.XLOOKUP($I735,Inputs!$C$6:$C$23,Inputs!$D$6:$D$23)*$G735</f>
        <v>2.3057142857142856</v>
      </c>
      <c r="K735" s="255"/>
      <c r="L735" s="186">
        <v>850</v>
      </c>
      <c r="M735" s="186">
        <v>1020</v>
      </c>
      <c r="N735" s="99">
        <f t="shared" si="164"/>
        <v>101.58477986391465</v>
      </c>
      <c r="O735" s="99">
        <f t="shared" si="165"/>
        <v>121.90173583669757</v>
      </c>
      <c r="P735" s="131">
        <v>0.9</v>
      </c>
      <c r="Q735" s="186">
        <f t="shared" si="166"/>
        <v>91.426301877523187</v>
      </c>
      <c r="R735" s="186">
        <f t="shared" si="166"/>
        <v>109.71156225302781</v>
      </c>
      <c r="S735" s="151" t="s">
        <v>2588</v>
      </c>
      <c r="T735" s="51" t="s">
        <v>2246</v>
      </c>
      <c r="U735" s="151" t="s">
        <v>1827</v>
      </c>
      <c r="V735" s="51" t="s">
        <v>3212</v>
      </c>
      <c r="W735" s="19"/>
      <c r="X735" s="19"/>
      <c r="Y735" s="99">
        <v>944</v>
      </c>
    </row>
    <row r="736" spans="2:25" s="165" customFormat="1" ht="20" x14ac:dyDescent="0.2">
      <c r="B736" s="150" t="s">
        <v>1377</v>
      </c>
      <c r="C736" s="33" t="s">
        <v>106</v>
      </c>
      <c r="D736" s="33" t="s">
        <v>2876</v>
      </c>
      <c r="E736" s="175">
        <v>1</v>
      </c>
      <c r="F736" s="151" t="s">
        <v>1128</v>
      </c>
      <c r="G736" s="152">
        <v>1.78</v>
      </c>
      <c r="H736" s="152">
        <v>1.0987654320987654</v>
      </c>
      <c r="I736" s="175">
        <v>69</v>
      </c>
      <c r="J736" s="266">
        <f>_xlfn.XLOOKUP($I736,Inputs!$C$6:$C$23,Inputs!$D$6:$D$23)*$G736</f>
        <v>0.68402857142857143</v>
      </c>
      <c r="K736" s="255"/>
      <c r="L736" s="186">
        <v>1050</v>
      </c>
      <c r="M736" s="186">
        <v>1190</v>
      </c>
      <c r="N736" s="99">
        <f t="shared" si="164"/>
        <v>125.48708100836515</v>
      </c>
      <c r="O736" s="99">
        <f t="shared" si="165"/>
        <v>142.2186918094805</v>
      </c>
      <c r="P736" s="131">
        <v>0.9</v>
      </c>
      <c r="Q736" s="186">
        <f t="shared" si="166"/>
        <v>112.93837290752865</v>
      </c>
      <c r="R736" s="186">
        <f t="shared" si="166"/>
        <v>127.99682262853246</v>
      </c>
      <c r="S736" s="151" t="s">
        <v>2599</v>
      </c>
      <c r="T736" s="51" t="s">
        <v>2258</v>
      </c>
      <c r="U736" s="151" t="s">
        <v>1827</v>
      </c>
      <c r="V736" s="51" t="s">
        <v>3212</v>
      </c>
      <c r="W736" s="19"/>
      <c r="X736" s="19"/>
      <c r="Y736" s="99">
        <v>981</v>
      </c>
    </row>
    <row r="737" spans="2:25" s="165" customFormat="1" ht="20" x14ac:dyDescent="0.2">
      <c r="B737" s="150" t="s">
        <v>1377</v>
      </c>
      <c r="C737" s="33" t="s">
        <v>106</v>
      </c>
      <c r="D737" s="33" t="s">
        <v>2876</v>
      </c>
      <c r="E737" s="175">
        <v>1</v>
      </c>
      <c r="F737" s="151" t="s">
        <v>1128</v>
      </c>
      <c r="G737" s="152">
        <v>10</v>
      </c>
      <c r="H737" s="152">
        <v>6.1728395061728394</v>
      </c>
      <c r="I737" s="175">
        <v>69</v>
      </c>
      <c r="J737" s="266">
        <f>_xlfn.XLOOKUP($I737,Inputs!$C$6:$C$23,Inputs!$D$6:$D$23)*$G737</f>
        <v>3.842857142857143</v>
      </c>
      <c r="K737" s="255"/>
      <c r="L737" s="186">
        <v>828</v>
      </c>
      <c r="M737" s="186">
        <v>1060</v>
      </c>
      <c r="N737" s="99">
        <f t="shared" si="164"/>
        <v>98.955526738025085</v>
      </c>
      <c r="O737" s="99">
        <f t="shared" si="165"/>
        <v>126.68219606558768</v>
      </c>
      <c r="P737" s="131">
        <v>0.9</v>
      </c>
      <c r="Q737" s="186">
        <f t="shared" si="166"/>
        <v>89.059974064222573</v>
      </c>
      <c r="R737" s="186">
        <f t="shared" si="166"/>
        <v>114.01397645902891</v>
      </c>
      <c r="S737" s="151" t="s">
        <v>1608</v>
      </c>
      <c r="T737" s="51" t="s">
        <v>3229</v>
      </c>
      <c r="U737" s="151" t="s">
        <v>2599</v>
      </c>
      <c r="V737" s="51" t="s">
        <v>2258</v>
      </c>
      <c r="W737" s="19"/>
      <c r="X737" s="19"/>
      <c r="Y737" s="99">
        <v>979</v>
      </c>
    </row>
    <row r="738" spans="2:25" s="165" customFormat="1" ht="20" x14ac:dyDescent="0.2">
      <c r="B738" s="150" t="s">
        <v>642</v>
      </c>
      <c r="C738" s="33" t="s">
        <v>106</v>
      </c>
      <c r="D738" s="33" t="s">
        <v>2876</v>
      </c>
      <c r="E738" s="175">
        <v>1</v>
      </c>
      <c r="F738" s="151" t="s">
        <v>1128</v>
      </c>
      <c r="G738" s="152">
        <v>13.962699800000001</v>
      </c>
      <c r="H738" s="152">
        <v>8.6189504938271604</v>
      </c>
      <c r="I738" s="175">
        <v>500</v>
      </c>
      <c r="J738" s="266">
        <f>_xlfn.XLOOKUP($I738,Inputs!$C$6:$C$23,Inputs!$D$6:$D$23)*$G738</f>
        <v>5.5152664210000006</v>
      </c>
      <c r="K738" s="255"/>
      <c r="L738" s="186">
        <v>2500</v>
      </c>
      <c r="M738" s="186">
        <v>3450</v>
      </c>
      <c r="N738" s="99">
        <f t="shared" si="164"/>
        <v>2165.0635094610966</v>
      </c>
      <c r="O738" s="99">
        <f t="shared" si="165"/>
        <v>2987.7876430563133</v>
      </c>
      <c r="P738" s="131">
        <v>0.9</v>
      </c>
      <c r="Q738" s="186">
        <f t="shared" si="166"/>
        <v>1948.5571585149869</v>
      </c>
      <c r="R738" s="186">
        <f t="shared" si="166"/>
        <v>2689.008878750682</v>
      </c>
      <c r="S738" s="151" t="s">
        <v>1699</v>
      </c>
      <c r="T738" s="51" t="s">
        <v>3126</v>
      </c>
      <c r="U738" s="151" t="s">
        <v>1828</v>
      </c>
      <c r="V738" s="51" t="s">
        <v>3149</v>
      </c>
      <c r="W738" s="19"/>
      <c r="X738" s="19"/>
      <c r="Y738" s="99">
        <v>517</v>
      </c>
    </row>
    <row r="739" spans="2:25" s="165" customFormat="1" ht="20" x14ac:dyDescent="0.2">
      <c r="B739" s="150" t="s">
        <v>643</v>
      </c>
      <c r="C739" s="33" t="s">
        <v>106</v>
      </c>
      <c r="D739" s="33" t="s">
        <v>2876</v>
      </c>
      <c r="E739" s="175">
        <v>1</v>
      </c>
      <c r="F739" s="151" t="s">
        <v>1128</v>
      </c>
      <c r="G739" s="152">
        <v>74.920231100000009</v>
      </c>
      <c r="H739" s="152">
        <v>46.247056234567907</v>
      </c>
      <c r="I739" s="175">
        <v>500</v>
      </c>
      <c r="J739" s="266">
        <f>_xlfn.XLOOKUP($I739,Inputs!$C$6:$C$23,Inputs!$D$6:$D$23)*$G739</f>
        <v>29.593491284500004</v>
      </c>
      <c r="K739" s="267">
        <f>IF((42.4*(H739)^(-0.6595))&gt;=3,3,(IF(42.4*(H739)^(-0.6595)&lt;=0.5,0.5,(42.4*(H739)^(-0.6595)))))</f>
        <v>3</v>
      </c>
      <c r="L739" s="99"/>
      <c r="M739" s="99"/>
      <c r="N739" s="99">
        <f t="shared" si="164"/>
        <v>0</v>
      </c>
      <c r="O739" s="99">
        <f t="shared" si="165"/>
        <v>0</v>
      </c>
      <c r="P739" s="131">
        <v>0.9</v>
      </c>
      <c r="Q739" s="305">
        <f>_xlfn.XLOOKUP($I739,Inputs!$G$6:$G$23,Inputs!J$6:J$23)*$K739</f>
        <v>2550</v>
      </c>
      <c r="R739" s="305">
        <f>_xlfn.XLOOKUP($I739,Inputs!$G$6:$G$23,Inputs!K$6:K$23)*$K739</f>
        <v>3225</v>
      </c>
      <c r="S739" s="151" t="s">
        <v>1868</v>
      </c>
      <c r="T739" s="51" t="s">
        <v>3323</v>
      </c>
      <c r="U739" s="151" t="s">
        <v>1828</v>
      </c>
      <c r="V739" s="51" t="s">
        <v>3149</v>
      </c>
      <c r="W739" s="19"/>
      <c r="X739" s="19" t="s">
        <v>3732</v>
      </c>
      <c r="Y739" s="99">
        <v>518</v>
      </c>
    </row>
    <row r="740" spans="2:25" s="165" customFormat="1" ht="20" x14ac:dyDescent="0.2">
      <c r="B740" s="150" t="s">
        <v>644</v>
      </c>
      <c r="C740" s="33" t="s">
        <v>106</v>
      </c>
      <c r="D740" s="33" t="s">
        <v>2876</v>
      </c>
      <c r="E740" s="175">
        <v>1</v>
      </c>
      <c r="F740" s="151" t="s">
        <v>1128</v>
      </c>
      <c r="G740" s="152">
        <v>74.801796600000003</v>
      </c>
      <c r="H740" s="152">
        <v>46.173948518518515</v>
      </c>
      <c r="I740" s="175">
        <v>500</v>
      </c>
      <c r="J740" s="266">
        <f>_xlfn.XLOOKUP($I740,Inputs!$C$6:$C$23,Inputs!$D$6:$D$23)*$G740</f>
        <v>29.546709657000001</v>
      </c>
      <c r="K740" s="267">
        <f>IF((42.4*(H740)^(-0.6595))&gt;=3,3,(IF(42.4*(H740)^(-0.6595)&lt;=0.5,0.5,(42.4*(H740)^(-0.6595)))))</f>
        <v>3</v>
      </c>
      <c r="L740" s="99"/>
      <c r="M740" s="99"/>
      <c r="N740" s="99">
        <f t="shared" si="164"/>
        <v>0</v>
      </c>
      <c r="O740" s="99">
        <f t="shared" si="165"/>
        <v>0</v>
      </c>
      <c r="P740" s="131">
        <v>0.9</v>
      </c>
      <c r="Q740" s="305">
        <f>_xlfn.XLOOKUP($I740,Inputs!$G$6:$G$23,Inputs!J$6:J$23)*$K740</f>
        <v>2550</v>
      </c>
      <c r="R740" s="305">
        <f>_xlfn.XLOOKUP($I740,Inputs!$G$6:$G$23,Inputs!K$6:K$23)*$K740</f>
        <v>3225</v>
      </c>
      <c r="S740" s="151" t="s">
        <v>1868</v>
      </c>
      <c r="T740" s="51" t="s">
        <v>3323</v>
      </c>
      <c r="U740" s="151" t="s">
        <v>1828</v>
      </c>
      <c r="V740" s="51" t="s">
        <v>3149</v>
      </c>
      <c r="W740" s="19"/>
      <c r="X740" s="19" t="s">
        <v>3732</v>
      </c>
      <c r="Y740" s="99">
        <v>519</v>
      </c>
    </row>
    <row r="741" spans="2:25" s="165" customFormat="1" ht="20" x14ac:dyDescent="0.2">
      <c r="B741" s="150" t="s">
        <v>1138</v>
      </c>
      <c r="C741" s="33" t="s">
        <v>106</v>
      </c>
      <c r="D741" s="33" t="s">
        <v>2876</v>
      </c>
      <c r="E741" s="175">
        <v>1</v>
      </c>
      <c r="F741" s="151" t="s">
        <v>1128</v>
      </c>
      <c r="G741" s="152">
        <v>15.1176963</v>
      </c>
      <c r="H741" s="152">
        <v>9.3319112962962958</v>
      </c>
      <c r="I741" s="175">
        <v>69</v>
      </c>
      <c r="J741" s="266">
        <f>_xlfn.XLOOKUP($I741,Inputs!$C$6:$C$23,Inputs!$D$6:$D$23)*$G741</f>
        <v>5.8095147210000002</v>
      </c>
      <c r="K741" s="255"/>
      <c r="L741" s="186">
        <v>400</v>
      </c>
      <c r="M741" s="186">
        <v>505</v>
      </c>
      <c r="N741" s="99">
        <f t="shared" si="164"/>
        <v>47.804602288901016</v>
      </c>
      <c r="O741" s="99">
        <f t="shared" si="165"/>
        <v>60.353310389737523</v>
      </c>
      <c r="P741" s="131">
        <v>0.9</v>
      </c>
      <c r="Q741" s="186">
        <f t="shared" ref="Q741:R744" si="167">N741*$P741</f>
        <v>43.024142060010917</v>
      </c>
      <c r="R741" s="186">
        <f t="shared" si="167"/>
        <v>54.317979350763771</v>
      </c>
      <c r="S741" s="151" t="s">
        <v>2929</v>
      </c>
      <c r="T741" s="51" t="s">
        <v>3723</v>
      </c>
      <c r="U741" s="151" t="s">
        <v>2271</v>
      </c>
      <c r="V741" s="179" t="s">
        <v>3669</v>
      </c>
      <c r="W741" s="19"/>
      <c r="X741" s="19"/>
      <c r="Y741" s="99">
        <v>563</v>
      </c>
    </row>
    <row r="742" spans="2:25" s="165" customFormat="1" ht="20" x14ac:dyDescent="0.2">
      <c r="B742" s="150" t="s">
        <v>1212</v>
      </c>
      <c r="C742" s="33" t="s">
        <v>106</v>
      </c>
      <c r="D742" s="33" t="s">
        <v>2876</v>
      </c>
      <c r="E742" s="175">
        <v>1</v>
      </c>
      <c r="F742" s="151" t="s">
        <v>1128</v>
      </c>
      <c r="G742" s="152">
        <v>0.68</v>
      </c>
      <c r="H742" s="152">
        <v>0.41975308641975306</v>
      </c>
      <c r="I742" s="175">
        <v>69</v>
      </c>
      <c r="J742" s="266">
        <f>_xlfn.XLOOKUP($I742,Inputs!$C$6:$C$23,Inputs!$D$6:$D$23)*$G742</f>
        <v>0.26131428571428572</v>
      </c>
      <c r="K742" s="255"/>
      <c r="L742" s="186">
        <v>440</v>
      </c>
      <c r="M742" s="186">
        <v>555</v>
      </c>
      <c r="N742" s="99">
        <f t="shared" si="164"/>
        <v>52.585062517791116</v>
      </c>
      <c r="O742" s="99">
        <f t="shared" si="165"/>
        <v>66.328885675850145</v>
      </c>
      <c r="P742" s="131">
        <v>0.9</v>
      </c>
      <c r="Q742" s="186">
        <f t="shared" si="167"/>
        <v>47.326556266012005</v>
      </c>
      <c r="R742" s="186">
        <f t="shared" si="167"/>
        <v>59.695997108265132</v>
      </c>
      <c r="S742" s="151" t="s">
        <v>2487</v>
      </c>
      <c r="T742" s="51" t="s">
        <v>2144</v>
      </c>
      <c r="U742" s="151" t="s">
        <v>2271</v>
      </c>
      <c r="V742" s="51" t="s">
        <v>3669</v>
      </c>
      <c r="W742" s="19"/>
      <c r="X742" s="19"/>
      <c r="Y742" s="99">
        <v>687</v>
      </c>
    </row>
    <row r="743" spans="2:25" s="165" customFormat="1" ht="20" x14ac:dyDescent="0.2">
      <c r="B743" s="150" t="s">
        <v>1390</v>
      </c>
      <c r="C743" s="33" t="s">
        <v>106</v>
      </c>
      <c r="D743" s="33" t="s">
        <v>2876</v>
      </c>
      <c r="E743" s="175">
        <v>1</v>
      </c>
      <c r="F743" s="151" t="s">
        <v>1128</v>
      </c>
      <c r="G743" s="152">
        <v>0.77785689999999996</v>
      </c>
      <c r="H743" s="152">
        <v>0.48015858024691355</v>
      </c>
      <c r="I743" s="175">
        <v>69</v>
      </c>
      <c r="J743" s="266">
        <f>_xlfn.XLOOKUP($I743,Inputs!$C$6:$C$23,Inputs!$D$6:$D$23)*$G743</f>
        <v>0.2989192944285714</v>
      </c>
      <c r="K743" s="255"/>
      <c r="L743" s="186">
        <v>450</v>
      </c>
      <c r="M743" s="186">
        <v>760</v>
      </c>
      <c r="N743" s="99">
        <f t="shared" si="164"/>
        <v>53.780177575013639</v>
      </c>
      <c r="O743" s="99">
        <f t="shared" si="165"/>
        <v>90.828744348911911</v>
      </c>
      <c r="P743" s="131">
        <v>0.9</v>
      </c>
      <c r="Q743" s="186">
        <f t="shared" si="167"/>
        <v>48.402159817512278</v>
      </c>
      <c r="R743" s="186">
        <f t="shared" si="167"/>
        <v>81.745869914020716</v>
      </c>
      <c r="S743" s="151" t="s">
        <v>2607</v>
      </c>
      <c r="T743" s="51" t="s">
        <v>2266</v>
      </c>
      <c r="U743" s="151" t="s">
        <v>1829</v>
      </c>
      <c r="V743" s="51" t="s">
        <v>3497</v>
      </c>
      <c r="W743" s="19"/>
      <c r="X743" s="19"/>
      <c r="Y743" s="99">
        <v>1005</v>
      </c>
    </row>
    <row r="744" spans="2:25" s="165" customFormat="1" ht="20" x14ac:dyDescent="0.2">
      <c r="B744" s="150" t="s">
        <v>1389</v>
      </c>
      <c r="C744" s="33" t="s">
        <v>106</v>
      </c>
      <c r="D744" s="33" t="s">
        <v>2876</v>
      </c>
      <c r="E744" s="175">
        <v>1</v>
      </c>
      <c r="F744" s="151" t="s">
        <v>1128</v>
      </c>
      <c r="G744" s="152">
        <v>3</v>
      </c>
      <c r="H744" s="152">
        <v>1.8518518518518516</v>
      </c>
      <c r="I744" s="175">
        <v>69</v>
      </c>
      <c r="J744" s="266">
        <f>_xlfn.XLOOKUP($I744,Inputs!$C$6:$C$23,Inputs!$D$6:$D$23)*$G744</f>
        <v>1.1528571428571428</v>
      </c>
      <c r="K744" s="255"/>
      <c r="L744" s="186">
        <v>450</v>
      </c>
      <c r="M744" s="186">
        <v>760</v>
      </c>
      <c r="N744" s="99">
        <f t="shared" si="164"/>
        <v>53.780177575013639</v>
      </c>
      <c r="O744" s="99">
        <f t="shared" si="165"/>
        <v>90.828744348911911</v>
      </c>
      <c r="P744" s="131">
        <v>0.9</v>
      </c>
      <c r="Q744" s="186">
        <f t="shared" si="167"/>
        <v>48.402159817512278</v>
      </c>
      <c r="R744" s="186">
        <f t="shared" si="167"/>
        <v>81.745869914020716</v>
      </c>
      <c r="S744" s="151" t="s">
        <v>1862</v>
      </c>
      <c r="T744" s="51" t="s">
        <v>3318</v>
      </c>
      <c r="U744" s="151" t="s">
        <v>2607</v>
      </c>
      <c r="V744" s="51" t="s">
        <v>2266</v>
      </c>
      <c r="W744" s="19"/>
      <c r="X744" s="19"/>
      <c r="Y744" s="99">
        <v>1004</v>
      </c>
    </row>
    <row r="745" spans="2:25" s="165" customFormat="1" ht="20" x14ac:dyDescent="0.2">
      <c r="B745" s="150" t="s">
        <v>2375</v>
      </c>
      <c r="C745" s="33" t="s">
        <v>106</v>
      </c>
      <c r="D745" s="33" t="s">
        <v>2876</v>
      </c>
      <c r="E745" s="175">
        <v>1</v>
      </c>
      <c r="F745" s="151" t="s">
        <v>1128</v>
      </c>
      <c r="G745" s="152">
        <v>0.34892430000000002</v>
      </c>
      <c r="H745" s="152">
        <v>0.21538537037037037</v>
      </c>
      <c r="I745" s="175">
        <v>230</v>
      </c>
      <c r="J745" s="266">
        <f>_xlfn.XLOOKUP($I745,Inputs!$C$6:$C$23,Inputs!$D$6:$D$23)*$G745</f>
        <v>0.167483664</v>
      </c>
      <c r="K745" s="267">
        <f>IF((42.4*(H745)^(-0.6595))&gt;=3,3,(IF(42.4*(H745)^(-0.6595)&lt;=0.5,0.5,(42.4*(H745)^(-0.6595)))))</f>
        <v>3</v>
      </c>
      <c r="L745" s="99"/>
      <c r="M745" s="99"/>
      <c r="N745" s="99">
        <f t="shared" si="164"/>
        <v>0</v>
      </c>
      <c r="O745" s="99">
        <f t="shared" si="165"/>
        <v>0</v>
      </c>
      <c r="P745" s="131">
        <v>0.9</v>
      </c>
      <c r="Q745" s="305">
        <f>_xlfn.XLOOKUP($I745,Inputs!$G$6:$G$23,Inputs!J$6:J$23)*$K745</f>
        <v>402</v>
      </c>
      <c r="R745" s="305">
        <f>_xlfn.XLOOKUP($I745,Inputs!$G$6:$G$23,Inputs!K$6:K$23)*$K745</f>
        <v>435</v>
      </c>
      <c r="S745" s="151" t="s">
        <v>2470</v>
      </c>
      <c r="T745" s="51" t="s">
        <v>2122</v>
      </c>
      <c r="U745" s="151" t="s">
        <v>134</v>
      </c>
      <c r="V745" s="179" t="s">
        <v>3498</v>
      </c>
      <c r="W745" s="19"/>
      <c r="X745" s="19"/>
      <c r="Y745" s="99">
        <v>344</v>
      </c>
    </row>
    <row r="746" spans="2:25" s="165" customFormat="1" ht="20" x14ac:dyDescent="0.2">
      <c r="B746" s="150" t="s">
        <v>521</v>
      </c>
      <c r="C746" s="33" t="s">
        <v>106</v>
      </c>
      <c r="D746" s="33" t="s">
        <v>2876</v>
      </c>
      <c r="E746" s="175">
        <v>1</v>
      </c>
      <c r="F746" s="151" t="s">
        <v>1128</v>
      </c>
      <c r="G746" s="152">
        <v>5</v>
      </c>
      <c r="H746" s="152">
        <v>3.0864197530864197</v>
      </c>
      <c r="I746" s="175">
        <v>230</v>
      </c>
      <c r="J746" s="266">
        <f>_xlfn.XLOOKUP($I746,Inputs!$C$6:$C$23,Inputs!$D$6:$D$23)*$G746</f>
        <v>2.4</v>
      </c>
      <c r="K746" s="255"/>
      <c r="L746" s="186">
        <v>505</v>
      </c>
      <c r="M746" s="186">
        <v>884</v>
      </c>
      <c r="N746" s="99">
        <f t="shared" si="164"/>
        <v>201.17770129912509</v>
      </c>
      <c r="O746" s="99">
        <f t="shared" si="165"/>
        <v>352.1605701949041</v>
      </c>
      <c r="P746" s="131">
        <v>0.9</v>
      </c>
      <c r="Q746" s="186">
        <f t="shared" ref="Q746:Q754" si="168">N746*$P746</f>
        <v>181.05993116921258</v>
      </c>
      <c r="R746" s="186">
        <f t="shared" ref="R746:R754" si="169">O746*$P746</f>
        <v>316.9445131754137</v>
      </c>
      <c r="S746" s="151" t="s">
        <v>1913</v>
      </c>
      <c r="T746" s="51" t="s">
        <v>3198</v>
      </c>
      <c r="U746" s="151" t="s">
        <v>2470</v>
      </c>
      <c r="V746" s="51" t="s">
        <v>2122</v>
      </c>
      <c r="W746" s="19"/>
      <c r="X746" s="19"/>
      <c r="Y746" s="99">
        <v>343</v>
      </c>
    </row>
    <row r="747" spans="2:25" s="165" customFormat="1" ht="20" x14ac:dyDescent="0.2">
      <c r="B747" s="150" t="s">
        <v>426</v>
      </c>
      <c r="C747" s="33" t="s">
        <v>106</v>
      </c>
      <c r="D747" s="33" t="s">
        <v>2876</v>
      </c>
      <c r="E747" s="175">
        <v>1</v>
      </c>
      <c r="F747" s="151" t="s">
        <v>1128</v>
      </c>
      <c r="G747" s="152">
        <v>25</v>
      </c>
      <c r="H747" s="152">
        <v>15.432098765432098</v>
      </c>
      <c r="I747" s="175">
        <v>138</v>
      </c>
      <c r="J747" s="266">
        <f>_xlfn.XLOOKUP($I747,Inputs!$C$6:$C$23,Inputs!$D$6:$D$23)*$G747</f>
        <v>10.839285714285715</v>
      </c>
      <c r="K747" s="255"/>
      <c r="L747" s="186">
        <v>490</v>
      </c>
      <c r="M747" s="186">
        <v>590</v>
      </c>
      <c r="N747" s="99">
        <f t="shared" si="164"/>
        <v>117.12127560780748</v>
      </c>
      <c r="O747" s="99">
        <f t="shared" si="165"/>
        <v>141.02357675225798</v>
      </c>
      <c r="P747" s="131">
        <v>0.9</v>
      </c>
      <c r="Q747" s="186">
        <f t="shared" si="168"/>
        <v>105.40914804702673</v>
      </c>
      <c r="R747" s="186">
        <f t="shared" si="169"/>
        <v>126.92121907703219</v>
      </c>
      <c r="S747" s="151" t="s">
        <v>257</v>
      </c>
      <c r="T747" s="51" t="s">
        <v>3325</v>
      </c>
      <c r="U747" s="151" t="s">
        <v>1830</v>
      </c>
      <c r="V747" s="51" t="s">
        <v>3307</v>
      </c>
      <c r="W747" s="19"/>
      <c r="X747" s="19"/>
      <c r="Y747" s="99">
        <v>41</v>
      </c>
    </row>
    <row r="748" spans="2:25" s="165" customFormat="1" ht="20" x14ac:dyDescent="0.2">
      <c r="B748" s="150" t="s">
        <v>459</v>
      </c>
      <c r="C748" s="33" t="s">
        <v>106</v>
      </c>
      <c r="D748" s="33" t="s">
        <v>2876</v>
      </c>
      <c r="E748" s="175">
        <v>1</v>
      </c>
      <c r="F748" s="151" t="s">
        <v>1128</v>
      </c>
      <c r="G748" s="152">
        <v>22.6346916</v>
      </c>
      <c r="H748" s="152">
        <v>13.972031851851851</v>
      </c>
      <c r="I748" s="175">
        <v>138</v>
      </c>
      <c r="J748" s="266">
        <f>_xlfn.XLOOKUP($I748,Inputs!$C$6:$C$23,Inputs!$D$6:$D$23)*$G748</f>
        <v>9.8137555722857144</v>
      </c>
      <c r="K748" s="255"/>
      <c r="L748" s="186">
        <v>635</v>
      </c>
      <c r="M748" s="186">
        <v>810</v>
      </c>
      <c r="N748" s="99">
        <f t="shared" si="164"/>
        <v>151.77961226726069</v>
      </c>
      <c r="O748" s="99">
        <f t="shared" si="165"/>
        <v>193.60863927004908</v>
      </c>
      <c r="P748" s="131">
        <v>0.9</v>
      </c>
      <c r="Q748" s="186">
        <f t="shared" si="168"/>
        <v>136.60165104053462</v>
      </c>
      <c r="R748" s="186">
        <f t="shared" si="169"/>
        <v>174.24777534304417</v>
      </c>
      <c r="S748" s="151" t="s">
        <v>1746</v>
      </c>
      <c r="T748" s="51" t="s">
        <v>3278</v>
      </c>
      <c r="U748" s="151" t="s">
        <v>155</v>
      </c>
      <c r="V748" s="51" t="s">
        <v>3405</v>
      </c>
      <c r="W748" s="19"/>
      <c r="X748" s="19"/>
      <c r="Y748" s="99">
        <v>140</v>
      </c>
    </row>
    <row r="749" spans="2:25" s="165" customFormat="1" ht="20" x14ac:dyDescent="0.2">
      <c r="B749" s="151" t="s">
        <v>1102</v>
      </c>
      <c r="C749" s="33" t="s">
        <v>106</v>
      </c>
      <c r="D749" s="33" t="s">
        <v>2876</v>
      </c>
      <c r="E749" s="175">
        <v>1</v>
      </c>
      <c r="F749" s="151" t="s">
        <v>1128</v>
      </c>
      <c r="G749" s="174">
        <v>28</v>
      </c>
      <c r="H749" s="152">
        <v>17.283950617283949</v>
      </c>
      <c r="I749" s="175">
        <v>138</v>
      </c>
      <c r="J749" s="266">
        <f>_xlfn.XLOOKUP($I749,Inputs!$C$6:$C$23,Inputs!$D$6:$D$23)*$G749</f>
        <v>12.14</v>
      </c>
      <c r="K749" s="255"/>
      <c r="L749" s="186">
        <v>1071</v>
      </c>
      <c r="M749" s="186">
        <v>1361</v>
      </c>
      <c r="N749" s="99">
        <f t="shared" si="164"/>
        <v>255.99364525706494</v>
      </c>
      <c r="O749" s="99">
        <f t="shared" si="165"/>
        <v>325.31031857597134</v>
      </c>
      <c r="P749" s="131">
        <v>0.9</v>
      </c>
      <c r="Q749" s="186">
        <f t="shared" si="168"/>
        <v>230.39428073135846</v>
      </c>
      <c r="R749" s="186">
        <f t="shared" si="169"/>
        <v>292.77928671837424</v>
      </c>
      <c r="S749" s="151" t="s">
        <v>2302</v>
      </c>
      <c r="T749" s="51" t="s">
        <v>3112</v>
      </c>
      <c r="U749" s="151" t="s">
        <v>155</v>
      </c>
      <c r="V749" s="51" t="s">
        <v>3405</v>
      </c>
      <c r="W749" s="19"/>
      <c r="X749" s="19"/>
      <c r="Y749" s="99">
        <v>150</v>
      </c>
    </row>
    <row r="750" spans="2:25" s="165" customFormat="1" ht="20" x14ac:dyDescent="0.2">
      <c r="B750" s="150" t="s">
        <v>587</v>
      </c>
      <c r="C750" s="33" t="s">
        <v>106</v>
      </c>
      <c r="D750" s="33" t="s">
        <v>2876</v>
      </c>
      <c r="E750" s="175">
        <v>1</v>
      </c>
      <c r="F750" s="151" t="s">
        <v>1128</v>
      </c>
      <c r="G750" s="152">
        <v>54.108883999999996</v>
      </c>
      <c r="H750" s="152">
        <v>33.400545679012339</v>
      </c>
      <c r="I750" s="175">
        <v>230</v>
      </c>
      <c r="J750" s="266">
        <f>_xlfn.XLOOKUP($I750,Inputs!$C$6:$C$23,Inputs!$D$6:$D$23)*$G750</f>
        <v>25.972264319999997</v>
      </c>
      <c r="K750" s="255"/>
      <c r="L750" s="186">
        <v>1637</v>
      </c>
      <c r="M750" s="186">
        <v>2233</v>
      </c>
      <c r="N750" s="99">
        <f t="shared" si="164"/>
        <v>652.13444955775799</v>
      </c>
      <c r="O750" s="99">
        <f t="shared" si="165"/>
        <v>889.5639742592997</v>
      </c>
      <c r="P750" s="131">
        <v>0.9</v>
      </c>
      <c r="Q750" s="186">
        <f t="shared" si="168"/>
        <v>586.92100460198219</v>
      </c>
      <c r="R750" s="186">
        <f t="shared" si="169"/>
        <v>800.60757683336976</v>
      </c>
      <c r="S750" s="151" t="s">
        <v>1958</v>
      </c>
      <c r="T750" s="51" t="s">
        <v>3321</v>
      </c>
      <c r="U750" s="151" t="s">
        <v>1831</v>
      </c>
      <c r="V750" s="51" t="s">
        <v>3308</v>
      </c>
      <c r="W750" s="19"/>
      <c r="X750" s="19"/>
      <c r="Y750" s="99">
        <v>440</v>
      </c>
    </row>
    <row r="751" spans="2:25" s="165" customFormat="1" ht="20" x14ac:dyDescent="0.2">
      <c r="B751" s="150" t="s">
        <v>599</v>
      </c>
      <c r="C751" s="33" t="s">
        <v>106</v>
      </c>
      <c r="D751" s="33" t="s">
        <v>2876</v>
      </c>
      <c r="E751" s="175">
        <v>1</v>
      </c>
      <c r="F751" s="151" t="s">
        <v>1128</v>
      </c>
      <c r="G751" s="152">
        <v>54.837025600000004</v>
      </c>
      <c r="H751" s="152">
        <v>33.850015802469137</v>
      </c>
      <c r="I751" s="175">
        <v>230</v>
      </c>
      <c r="J751" s="266">
        <f>_xlfn.XLOOKUP($I751,Inputs!$C$6:$C$23,Inputs!$D$6:$D$23)*$G751</f>
        <v>26.321772288000002</v>
      </c>
      <c r="K751" s="255"/>
      <c r="L751" s="186">
        <v>1637</v>
      </c>
      <c r="M751" s="186">
        <v>2099</v>
      </c>
      <c r="N751" s="99">
        <f t="shared" si="164"/>
        <v>652.13444955775799</v>
      </c>
      <c r="O751" s="99">
        <f t="shared" si="165"/>
        <v>836.18216837002683</v>
      </c>
      <c r="P751" s="131">
        <v>0.9</v>
      </c>
      <c r="Q751" s="186">
        <f t="shared" si="168"/>
        <v>586.92100460198219</v>
      </c>
      <c r="R751" s="186">
        <f t="shared" si="169"/>
        <v>752.56395153302412</v>
      </c>
      <c r="S751" s="151" t="s">
        <v>1958</v>
      </c>
      <c r="T751" s="51" t="s">
        <v>3321</v>
      </c>
      <c r="U751" s="151" t="s">
        <v>1831</v>
      </c>
      <c r="V751" s="51" t="s">
        <v>3308</v>
      </c>
      <c r="W751" s="19"/>
      <c r="X751" s="19"/>
      <c r="Y751" s="99">
        <v>455</v>
      </c>
    </row>
    <row r="752" spans="2:25" s="165" customFormat="1" ht="20" x14ac:dyDescent="0.2">
      <c r="B752" s="150" t="s">
        <v>1293</v>
      </c>
      <c r="C752" s="33" t="s">
        <v>106</v>
      </c>
      <c r="D752" s="33" t="s">
        <v>2876</v>
      </c>
      <c r="E752" s="175">
        <v>1</v>
      </c>
      <c r="F752" s="151" t="s">
        <v>1128</v>
      </c>
      <c r="G752" s="152">
        <v>23.55</v>
      </c>
      <c r="H752" s="152">
        <v>14.537037037037036</v>
      </c>
      <c r="I752" s="175">
        <v>69</v>
      </c>
      <c r="J752" s="266">
        <f>_xlfn.XLOOKUP($I752,Inputs!$C$6:$C$23,Inputs!$D$6:$D$23)*$G752</f>
        <v>9.0499285714285715</v>
      </c>
      <c r="K752" s="255"/>
      <c r="L752" s="186">
        <v>828</v>
      </c>
      <c r="M752" s="186">
        <v>1060</v>
      </c>
      <c r="N752" s="99">
        <f t="shared" si="164"/>
        <v>98.955526738025085</v>
      </c>
      <c r="O752" s="99">
        <f t="shared" si="165"/>
        <v>126.68219606558768</v>
      </c>
      <c r="P752" s="131">
        <v>0.9</v>
      </c>
      <c r="Q752" s="186">
        <f t="shared" si="168"/>
        <v>89.059974064222573</v>
      </c>
      <c r="R752" s="186">
        <f t="shared" si="169"/>
        <v>114.01397645902891</v>
      </c>
      <c r="S752" s="151" t="s">
        <v>2547</v>
      </c>
      <c r="T752" s="51" t="s">
        <v>2204</v>
      </c>
      <c r="U752" s="151" t="s">
        <v>2320</v>
      </c>
      <c r="V752" s="51" t="s">
        <v>3110</v>
      </c>
      <c r="W752" s="19"/>
      <c r="X752" s="19"/>
      <c r="Y752" s="99">
        <v>831</v>
      </c>
    </row>
    <row r="753" spans="2:25" s="165" customFormat="1" ht="20" x14ac:dyDescent="0.2">
      <c r="B753" s="150" t="s">
        <v>1254</v>
      </c>
      <c r="C753" s="33" t="s">
        <v>106</v>
      </c>
      <c r="D753" s="33" t="s">
        <v>2876</v>
      </c>
      <c r="E753" s="175">
        <v>1</v>
      </c>
      <c r="F753" s="151" t="s">
        <v>1128</v>
      </c>
      <c r="G753" s="152">
        <v>4.01</v>
      </c>
      <c r="H753" s="152">
        <v>2.4753086419753085</v>
      </c>
      <c r="I753" s="175">
        <v>69</v>
      </c>
      <c r="J753" s="266">
        <f>_xlfn.XLOOKUP($I753,Inputs!$C$6:$C$23,Inputs!$D$6:$D$23)*$G753</f>
        <v>1.5409857142857142</v>
      </c>
      <c r="K753" s="255"/>
      <c r="L753" s="186">
        <v>730</v>
      </c>
      <c r="M753" s="186">
        <v>880</v>
      </c>
      <c r="N753" s="99">
        <f t="shared" si="164"/>
        <v>87.243399177244342</v>
      </c>
      <c r="O753" s="99">
        <f t="shared" si="165"/>
        <v>105.17012503558223</v>
      </c>
      <c r="P753" s="131">
        <v>0.9</v>
      </c>
      <c r="Q753" s="186">
        <f t="shared" si="168"/>
        <v>78.519059259519906</v>
      </c>
      <c r="R753" s="186">
        <f t="shared" si="169"/>
        <v>94.653112532024011</v>
      </c>
      <c r="S753" s="151" t="s">
        <v>2531</v>
      </c>
      <c r="T753" s="51" t="s">
        <v>2189</v>
      </c>
      <c r="U753" s="151" t="s">
        <v>2610</v>
      </c>
      <c r="V753" s="51" t="s">
        <v>2139</v>
      </c>
      <c r="W753" s="19"/>
      <c r="X753" s="19"/>
      <c r="Y753" s="99">
        <v>769</v>
      </c>
    </row>
    <row r="754" spans="2:25" s="165" customFormat="1" ht="20" x14ac:dyDescent="0.2">
      <c r="B754" s="150" t="s">
        <v>1256</v>
      </c>
      <c r="C754" s="33" t="s">
        <v>106</v>
      </c>
      <c r="D754" s="33" t="s">
        <v>2876</v>
      </c>
      <c r="E754" s="175">
        <v>1</v>
      </c>
      <c r="F754" s="151" t="s">
        <v>1128</v>
      </c>
      <c r="G754" s="152">
        <v>2</v>
      </c>
      <c r="H754" s="152">
        <v>1.2345679012345678</v>
      </c>
      <c r="I754" s="175">
        <v>69</v>
      </c>
      <c r="J754" s="266">
        <f>_xlfn.XLOOKUP($I754,Inputs!$C$6:$C$23,Inputs!$D$6:$D$23)*$G754</f>
        <v>0.76857142857142857</v>
      </c>
      <c r="K754" s="255"/>
      <c r="L754" s="186">
        <v>730</v>
      </c>
      <c r="M754" s="186">
        <v>880</v>
      </c>
      <c r="N754" s="99">
        <f t="shared" si="164"/>
        <v>87.243399177244342</v>
      </c>
      <c r="O754" s="99">
        <f t="shared" si="165"/>
        <v>105.17012503558223</v>
      </c>
      <c r="P754" s="131">
        <v>0.9</v>
      </c>
      <c r="Q754" s="186">
        <f t="shared" si="168"/>
        <v>78.519059259519906</v>
      </c>
      <c r="R754" s="186">
        <f t="shared" si="169"/>
        <v>94.653112532024011</v>
      </c>
      <c r="S754" s="151" t="s">
        <v>2532</v>
      </c>
      <c r="T754" s="51" t="s">
        <v>2191</v>
      </c>
      <c r="U754" s="151" t="s">
        <v>2610</v>
      </c>
      <c r="V754" s="51" t="s">
        <v>2139</v>
      </c>
      <c r="W754" s="19"/>
      <c r="X754" s="19"/>
      <c r="Y754" s="99">
        <v>774</v>
      </c>
    </row>
    <row r="755" spans="2:25" s="165" customFormat="1" ht="20" x14ac:dyDescent="0.2">
      <c r="B755" s="150" t="s">
        <v>1257</v>
      </c>
      <c r="C755" s="33" t="s">
        <v>106</v>
      </c>
      <c r="D755" s="33" t="s">
        <v>2876</v>
      </c>
      <c r="E755" s="175">
        <v>1</v>
      </c>
      <c r="F755" s="151" t="s">
        <v>1128</v>
      </c>
      <c r="G755" s="152">
        <v>0.36822250000000001</v>
      </c>
      <c r="H755" s="152">
        <v>0.22729783950617283</v>
      </c>
      <c r="I755" s="175">
        <v>69</v>
      </c>
      <c r="J755" s="266">
        <f>_xlfn.XLOOKUP($I755,Inputs!$C$6:$C$23,Inputs!$D$6:$D$23)*$G755</f>
        <v>0.14150264642857144</v>
      </c>
      <c r="K755" s="267">
        <f>IF((42.4*(H755)^(-0.6595))&gt;=3,3,(IF(42.4*(H755)^(-0.6595)&lt;=0.5,0.5,(42.4*(H755)^(-0.6595)))))</f>
        <v>3</v>
      </c>
      <c r="L755" s="99"/>
      <c r="M755" s="99"/>
      <c r="N755" s="99">
        <f t="shared" si="164"/>
        <v>0</v>
      </c>
      <c r="O755" s="99">
        <f t="shared" si="165"/>
        <v>0</v>
      </c>
      <c r="P755" s="131">
        <v>0.9</v>
      </c>
      <c r="Q755" s="305">
        <f>_xlfn.XLOOKUP($I755,Inputs!$G$6:$G$23,Inputs!J$6:J$23)*$K755</f>
        <v>36</v>
      </c>
      <c r="R755" s="305">
        <f>_xlfn.XLOOKUP($I755,Inputs!$G$6:$G$23,Inputs!K$6:K$23)*$K755</f>
        <v>39</v>
      </c>
      <c r="S755" s="151" t="s">
        <v>2532</v>
      </c>
      <c r="T755" s="51" t="s">
        <v>2191</v>
      </c>
      <c r="U755" s="151" t="s">
        <v>1833</v>
      </c>
      <c r="V755" s="51" t="s">
        <v>3499</v>
      </c>
      <c r="W755" s="19"/>
      <c r="X755" s="19"/>
      <c r="Y755" s="99">
        <v>773</v>
      </c>
    </row>
    <row r="756" spans="2:25" s="165" customFormat="1" ht="20" x14ac:dyDescent="0.2">
      <c r="B756" s="150" t="s">
        <v>1256</v>
      </c>
      <c r="C756" s="33" t="s">
        <v>106</v>
      </c>
      <c r="D756" s="33" t="s">
        <v>2876</v>
      </c>
      <c r="E756" s="175">
        <v>1</v>
      </c>
      <c r="F756" s="151" t="s">
        <v>1128</v>
      </c>
      <c r="G756" s="152">
        <v>15.92</v>
      </c>
      <c r="H756" s="152">
        <v>9.8271604938271597</v>
      </c>
      <c r="I756" s="175">
        <v>69</v>
      </c>
      <c r="J756" s="266">
        <f>_xlfn.XLOOKUP($I756,Inputs!$C$6:$C$23,Inputs!$D$6:$D$23)*$G756</f>
        <v>6.1178285714285714</v>
      </c>
      <c r="K756" s="255"/>
      <c r="L756" s="186">
        <v>730</v>
      </c>
      <c r="M756" s="186">
        <v>880</v>
      </c>
      <c r="N756" s="99">
        <f t="shared" si="164"/>
        <v>87.243399177244342</v>
      </c>
      <c r="O756" s="99">
        <f t="shared" si="165"/>
        <v>105.17012503558223</v>
      </c>
      <c r="P756" s="131">
        <v>0.9</v>
      </c>
      <c r="Q756" s="186">
        <f>N756*$P756</f>
        <v>78.519059259519906</v>
      </c>
      <c r="R756" s="186">
        <f>O756*$P756</f>
        <v>94.653112532024011</v>
      </c>
      <c r="S756" s="151" t="s">
        <v>2530</v>
      </c>
      <c r="T756" s="51" t="s">
        <v>2190</v>
      </c>
      <c r="U756" s="151" t="s">
        <v>2532</v>
      </c>
      <c r="V756" s="51" t="s">
        <v>2191</v>
      </c>
      <c r="W756" s="19"/>
      <c r="X756" s="19"/>
      <c r="Y756" s="99">
        <v>772</v>
      </c>
    </row>
    <row r="757" spans="2:25" s="165" customFormat="1" ht="20" x14ac:dyDescent="0.2">
      <c r="B757" s="230" t="s">
        <v>2742</v>
      </c>
      <c r="C757" s="51" t="s">
        <v>173</v>
      </c>
      <c r="D757" s="33" t="s">
        <v>2876</v>
      </c>
      <c r="E757" s="231">
        <v>1</v>
      </c>
      <c r="F757" s="230" t="s">
        <v>1128</v>
      </c>
      <c r="G757" s="232">
        <v>6.5</v>
      </c>
      <c r="H757" s="232">
        <v>4.0123456790123457</v>
      </c>
      <c r="I757" s="231">
        <v>63</v>
      </c>
      <c r="J757" s="266">
        <f>_xlfn.XLOOKUP($I757,Inputs!$C$6:$C$23,Inputs!$D$6:$D$23)*$G757</f>
        <v>2.4700000000000002</v>
      </c>
      <c r="K757" s="267">
        <f>IF((42.4*(H757)^(-0.6595))&gt;=3,3,(IF(42.4*(H757)^(-0.6595)&lt;=0.5,0.5,(42.4*(H757)^(-0.6595)))))</f>
        <v>3</v>
      </c>
      <c r="L757" s="99"/>
      <c r="M757" s="99"/>
      <c r="N757" s="99"/>
      <c r="O757" s="99"/>
      <c r="P757" s="69"/>
      <c r="Q757" s="305">
        <f>_xlfn.XLOOKUP($I757,Inputs!$G$6:$G$23,Inputs!J$6:J$23)*$K757</f>
        <v>29.767499999999998</v>
      </c>
      <c r="R757" s="305">
        <f>_xlfn.XLOOKUP($I757,Inputs!$G$6:$G$23,Inputs!K$6:K$23)*$K757</f>
        <v>32.532786885245905</v>
      </c>
      <c r="S757" s="230" t="s">
        <v>2741</v>
      </c>
      <c r="T757" s="51" t="s">
        <v>3339</v>
      </c>
      <c r="U757" s="230" t="s">
        <v>2743</v>
      </c>
      <c r="V757" s="51" t="s">
        <v>3310</v>
      </c>
      <c r="W757" s="19"/>
      <c r="X757" s="19"/>
      <c r="Y757" s="99">
        <v>1068</v>
      </c>
    </row>
    <row r="758" spans="2:25" s="165" customFormat="1" ht="20" x14ac:dyDescent="0.2">
      <c r="B758" s="151" t="s">
        <v>1513</v>
      </c>
      <c r="C758" s="33" t="s">
        <v>106</v>
      </c>
      <c r="D758" s="33" t="s">
        <v>2876</v>
      </c>
      <c r="E758" s="175">
        <v>1</v>
      </c>
      <c r="F758" s="151" t="s">
        <v>1128</v>
      </c>
      <c r="G758" s="174">
        <v>0.28964830000000003</v>
      </c>
      <c r="H758" s="152">
        <v>0.17879524691358026</v>
      </c>
      <c r="I758" s="175">
        <v>138</v>
      </c>
      <c r="J758" s="266">
        <f>_xlfn.XLOOKUP($I758,Inputs!$C$6:$C$23,Inputs!$D$6:$D$23)*$G758</f>
        <v>0.12558322721428575</v>
      </c>
      <c r="K758" s="267">
        <f>IF((42.4*(H758)^(-0.6595))&gt;=3,3,(IF(42.4*(H758)^(-0.6595)&lt;=0.5,0.5,(42.4*(H758)^(-0.6595)))))</f>
        <v>3</v>
      </c>
      <c r="L758" s="99"/>
      <c r="M758" s="99"/>
      <c r="N758" s="99">
        <f t="shared" ref="N758:O765" si="170">(SQRT(3)*L758*$I758)/1000</f>
        <v>0</v>
      </c>
      <c r="O758" s="99">
        <f t="shared" si="170"/>
        <v>0</v>
      </c>
      <c r="P758" s="131">
        <v>0.9</v>
      </c>
      <c r="Q758" s="305">
        <f>_xlfn.XLOOKUP($I758,Inputs!$G$6:$G$23,Inputs!J$6:J$23)*$K758</f>
        <v>141</v>
      </c>
      <c r="R758" s="305">
        <f>_xlfn.XLOOKUP($I758,Inputs!$G$6:$G$23,Inputs!K$6:K$23)*$K758</f>
        <v>156</v>
      </c>
      <c r="S758" s="151" t="s">
        <v>2463</v>
      </c>
      <c r="T758" s="51" t="s">
        <v>2114</v>
      </c>
      <c r="U758" s="151" t="s">
        <v>1834</v>
      </c>
      <c r="V758" s="51" t="s">
        <v>3500</v>
      </c>
      <c r="W758" s="19"/>
      <c r="X758" s="19"/>
      <c r="Y758" s="99">
        <v>313</v>
      </c>
    </row>
    <row r="759" spans="2:25" s="165" customFormat="1" ht="20" x14ac:dyDescent="0.2">
      <c r="B759" s="150" t="s">
        <v>509</v>
      </c>
      <c r="C759" s="33" t="s">
        <v>106</v>
      </c>
      <c r="D759" s="33" t="s">
        <v>2876</v>
      </c>
      <c r="E759" s="175">
        <v>1</v>
      </c>
      <c r="F759" s="151" t="s">
        <v>1128</v>
      </c>
      <c r="G759" s="152">
        <v>8</v>
      </c>
      <c r="H759" s="152">
        <v>4.9382716049382713</v>
      </c>
      <c r="I759" s="175">
        <v>138</v>
      </c>
      <c r="J759" s="266">
        <f>_xlfn.XLOOKUP($I759,Inputs!$C$6:$C$23,Inputs!$D$6:$D$23)*$G759</f>
        <v>3.4685714285714289</v>
      </c>
      <c r="K759" s="255"/>
      <c r="L759" s="186">
        <v>567</v>
      </c>
      <c r="M759" s="186">
        <v>717</v>
      </c>
      <c r="N759" s="99">
        <f t="shared" si="170"/>
        <v>135.52604748903437</v>
      </c>
      <c r="O759" s="99">
        <f t="shared" si="170"/>
        <v>171.37949920571015</v>
      </c>
      <c r="P759" s="131">
        <v>0.9</v>
      </c>
      <c r="Q759" s="186">
        <f t="shared" ref="Q759:R761" si="171">N759*$P759</f>
        <v>121.97344274013093</v>
      </c>
      <c r="R759" s="186">
        <f t="shared" si="171"/>
        <v>154.24154928513914</v>
      </c>
      <c r="S759" s="151" t="s">
        <v>2462</v>
      </c>
      <c r="T759" s="51" t="s">
        <v>2113</v>
      </c>
      <c r="U759" s="151" t="s">
        <v>2463</v>
      </c>
      <c r="V759" s="51" t="s">
        <v>2114</v>
      </c>
      <c r="W759" s="19"/>
      <c r="X759" s="19"/>
      <c r="Y759" s="99">
        <v>312</v>
      </c>
    </row>
    <row r="760" spans="2:25" s="165" customFormat="1" ht="20" x14ac:dyDescent="0.2">
      <c r="B760" s="150" t="s">
        <v>1349</v>
      </c>
      <c r="C760" s="33" t="s">
        <v>106</v>
      </c>
      <c r="D760" s="33" t="s">
        <v>2876</v>
      </c>
      <c r="E760" s="175">
        <v>1</v>
      </c>
      <c r="F760" s="151" t="s">
        <v>1128</v>
      </c>
      <c r="G760" s="152">
        <v>0.2886012</v>
      </c>
      <c r="H760" s="152">
        <v>0.17814888888888888</v>
      </c>
      <c r="I760" s="175">
        <v>69</v>
      </c>
      <c r="J760" s="266">
        <f>_xlfn.XLOOKUP($I760,Inputs!$C$6:$C$23,Inputs!$D$6:$D$23)*$G760</f>
        <v>0.11090531828571429</v>
      </c>
      <c r="K760" s="255"/>
      <c r="L760" s="186">
        <v>401</v>
      </c>
      <c r="M760" s="186">
        <v>567</v>
      </c>
      <c r="N760" s="99">
        <f t="shared" si="170"/>
        <v>47.92411379462326</v>
      </c>
      <c r="O760" s="99">
        <f t="shared" si="170"/>
        <v>67.763023744517184</v>
      </c>
      <c r="P760" s="131">
        <v>0.9</v>
      </c>
      <c r="Q760" s="186">
        <f t="shared" si="171"/>
        <v>43.131702415160937</v>
      </c>
      <c r="R760" s="186">
        <f t="shared" si="171"/>
        <v>60.986721370065467</v>
      </c>
      <c r="S760" s="151" t="s">
        <v>1835</v>
      </c>
      <c r="T760" s="51" t="s">
        <v>3622</v>
      </c>
      <c r="U760" s="151" t="s">
        <v>2583</v>
      </c>
      <c r="V760" s="51" t="s">
        <v>2243</v>
      </c>
      <c r="W760" s="19"/>
      <c r="X760" s="19"/>
      <c r="Y760" s="99">
        <v>931</v>
      </c>
    </row>
    <row r="761" spans="2:25" s="165" customFormat="1" ht="20" x14ac:dyDescent="0.2">
      <c r="B761" s="150" t="s">
        <v>1370</v>
      </c>
      <c r="C761" s="33" t="s">
        <v>106</v>
      </c>
      <c r="D761" s="33" t="s">
        <v>2876</v>
      </c>
      <c r="E761" s="175">
        <v>1</v>
      </c>
      <c r="F761" s="151" t="s">
        <v>1128</v>
      </c>
      <c r="G761" s="152">
        <v>33.58</v>
      </c>
      <c r="H761" s="152">
        <v>20.728395061728392</v>
      </c>
      <c r="I761" s="175">
        <v>69</v>
      </c>
      <c r="J761" s="266">
        <f>_xlfn.XLOOKUP($I761,Inputs!$C$6:$C$23,Inputs!$D$6:$D$23)*$G761</f>
        <v>12.904314285714285</v>
      </c>
      <c r="K761" s="255"/>
      <c r="L761" s="186">
        <v>280</v>
      </c>
      <c r="M761" s="186">
        <v>450</v>
      </c>
      <c r="N761" s="99">
        <f t="shared" si="170"/>
        <v>33.463221602230711</v>
      </c>
      <c r="O761" s="99">
        <f t="shared" si="170"/>
        <v>53.780177575013639</v>
      </c>
      <c r="P761" s="131">
        <v>0.9</v>
      </c>
      <c r="Q761" s="186">
        <f t="shared" si="171"/>
        <v>30.116899442007639</v>
      </c>
      <c r="R761" s="186">
        <f t="shared" si="171"/>
        <v>48.402159817512278</v>
      </c>
      <c r="S761" s="151" t="s">
        <v>2597</v>
      </c>
      <c r="T761" s="51" t="s">
        <v>2256</v>
      </c>
      <c r="U761" s="151" t="s">
        <v>2583</v>
      </c>
      <c r="V761" s="179" t="s">
        <v>2243</v>
      </c>
      <c r="W761" s="19"/>
      <c r="X761" s="19"/>
      <c r="Y761" s="99">
        <v>972</v>
      </c>
    </row>
    <row r="762" spans="2:25" s="165" customFormat="1" ht="20" x14ac:dyDescent="0.2">
      <c r="B762" s="150" t="s">
        <v>1368</v>
      </c>
      <c r="C762" s="33" t="s">
        <v>106</v>
      </c>
      <c r="D762" s="33" t="s">
        <v>2876</v>
      </c>
      <c r="E762" s="175">
        <v>1</v>
      </c>
      <c r="F762" s="151" t="s">
        <v>1128</v>
      </c>
      <c r="G762" s="152">
        <v>2.3904399999999999E-2</v>
      </c>
      <c r="H762" s="152">
        <v>1.4755802469135802E-2</v>
      </c>
      <c r="I762" s="175">
        <v>69</v>
      </c>
      <c r="J762" s="266">
        <f>_xlfn.XLOOKUP($I762,Inputs!$C$6:$C$23,Inputs!$D$6:$D$23)*$G762</f>
        <v>9.1861194285714279E-3</v>
      </c>
      <c r="K762" s="267">
        <f>IF((42.4*(H762)^(-0.6595))&gt;=3,3,(IF(42.4*(H762)^(-0.6595)&lt;=0.5,0.5,(42.4*(H762)^(-0.6595)))))</f>
        <v>3</v>
      </c>
      <c r="L762" s="99"/>
      <c r="M762" s="99"/>
      <c r="N762" s="99">
        <f t="shared" si="170"/>
        <v>0</v>
      </c>
      <c r="O762" s="99">
        <f t="shared" si="170"/>
        <v>0</v>
      </c>
      <c r="P762" s="131">
        <v>0.9</v>
      </c>
      <c r="Q762" s="305">
        <f>_xlfn.XLOOKUP($I762,Inputs!$G$6:$G$23,Inputs!J$6:J$23)*$K762</f>
        <v>36</v>
      </c>
      <c r="R762" s="305">
        <f>_xlfn.XLOOKUP($I762,Inputs!$G$6:$G$23,Inputs!K$6:K$23)*$K762</f>
        <v>39</v>
      </c>
      <c r="S762" s="151" t="s">
        <v>2593</v>
      </c>
      <c r="T762" s="51" t="s">
        <v>2254</v>
      </c>
      <c r="U762" s="151" t="s">
        <v>1836</v>
      </c>
      <c r="V762" s="51" t="s">
        <v>3671</v>
      </c>
      <c r="W762" s="19"/>
      <c r="X762" s="19"/>
      <c r="Y762" s="99">
        <v>961</v>
      </c>
    </row>
    <row r="763" spans="2:25" s="165" customFormat="1" ht="20" x14ac:dyDescent="0.2">
      <c r="B763" s="150" t="s">
        <v>1365</v>
      </c>
      <c r="C763" s="33" t="s">
        <v>106</v>
      </c>
      <c r="D763" s="33" t="s">
        <v>2876</v>
      </c>
      <c r="E763" s="175">
        <v>1</v>
      </c>
      <c r="F763" s="151" t="s">
        <v>1128</v>
      </c>
      <c r="G763" s="152">
        <v>55</v>
      </c>
      <c r="H763" s="152">
        <v>33.950617283950614</v>
      </c>
      <c r="I763" s="175">
        <v>69</v>
      </c>
      <c r="J763" s="266">
        <f>_xlfn.XLOOKUP($I763,Inputs!$C$6:$C$23,Inputs!$D$6:$D$23)*$G763</f>
        <v>21.135714285714286</v>
      </c>
      <c r="K763" s="255"/>
      <c r="L763" s="186">
        <v>310</v>
      </c>
      <c r="M763" s="186">
        <v>500</v>
      </c>
      <c r="N763" s="99">
        <f t="shared" si="170"/>
        <v>37.04856677389828</v>
      </c>
      <c r="O763" s="99">
        <f t="shared" si="170"/>
        <v>59.755752861126261</v>
      </c>
      <c r="P763" s="131">
        <v>0.9</v>
      </c>
      <c r="Q763" s="186">
        <f t="shared" ref="Q763:R765" si="172">N763*$P763</f>
        <v>33.343710096508453</v>
      </c>
      <c r="R763" s="186">
        <f t="shared" si="172"/>
        <v>53.780177575013639</v>
      </c>
      <c r="S763" s="151" t="s">
        <v>365</v>
      </c>
      <c r="T763" s="51" t="s">
        <v>3355</v>
      </c>
      <c r="U763" s="151" t="s">
        <v>2593</v>
      </c>
      <c r="V763" s="51" t="s">
        <v>2254</v>
      </c>
      <c r="W763" s="19"/>
      <c r="X763" s="19"/>
      <c r="Y763" s="99">
        <v>960</v>
      </c>
    </row>
    <row r="764" spans="2:25" s="165" customFormat="1" ht="20" x14ac:dyDescent="0.2">
      <c r="B764" s="150" t="s">
        <v>1418</v>
      </c>
      <c r="C764" s="33" t="s">
        <v>106</v>
      </c>
      <c r="D764" s="33" t="s">
        <v>2876</v>
      </c>
      <c r="E764" s="175">
        <v>1</v>
      </c>
      <c r="F764" s="151" t="s">
        <v>1128</v>
      </c>
      <c r="G764" s="152">
        <v>0.15723570000000001</v>
      </c>
      <c r="H764" s="152">
        <v>9.7059074074074075E-2</v>
      </c>
      <c r="I764" s="175">
        <v>138</v>
      </c>
      <c r="J764" s="266">
        <f>_xlfn.XLOOKUP($I764,Inputs!$C$6:$C$23,Inputs!$D$6:$D$23)*$G764</f>
        <v>6.8172907071428576E-2</v>
      </c>
      <c r="K764" s="255"/>
      <c r="L764" s="186">
        <v>1050</v>
      </c>
      <c r="M764" s="3">
        <v>1350</v>
      </c>
      <c r="N764" s="99">
        <f t="shared" si="170"/>
        <v>250.9741620167303</v>
      </c>
      <c r="O764" s="99">
        <f t="shared" si="170"/>
        <v>322.68106545008186</v>
      </c>
      <c r="P764" s="131">
        <v>0.9</v>
      </c>
      <c r="Q764" s="186">
        <f t="shared" si="172"/>
        <v>225.87674581505729</v>
      </c>
      <c r="R764" s="186">
        <f t="shared" si="172"/>
        <v>290.41295890507371</v>
      </c>
      <c r="S764" s="151" t="s">
        <v>2409</v>
      </c>
      <c r="T764" s="51" t="s">
        <v>2060</v>
      </c>
      <c r="U764" s="151" t="s">
        <v>247</v>
      </c>
      <c r="V764" s="51" t="s">
        <v>3501</v>
      </c>
      <c r="W764" s="19"/>
      <c r="X764" s="19"/>
      <c r="Y764" s="99">
        <v>127</v>
      </c>
    </row>
    <row r="765" spans="2:25" s="165" customFormat="1" ht="20" x14ac:dyDescent="0.2">
      <c r="B765" s="150" t="s">
        <v>453</v>
      </c>
      <c r="C765" s="33" t="s">
        <v>106</v>
      </c>
      <c r="D765" s="33" t="s">
        <v>2876</v>
      </c>
      <c r="E765" s="175">
        <v>1</v>
      </c>
      <c r="F765" s="151" t="s">
        <v>1128</v>
      </c>
      <c r="G765" s="152">
        <v>18.27</v>
      </c>
      <c r="H765" s="152">
        <v>11.277777777777777</v>
      </c>
      <c r="I765" s="175">
        <v>138</v>
      </c>
      <c r="J765" s="266">
        <f>_xlfn.XLOOKUP($I765,Inputs!$C$6:$C$23,Inputs!$D$6:$D$23)*$G765</f>
        <v>7.9213500000000003</v>
      </c>
      <c r="K765" s="255"/>
      <c r="L765" s="186">
        <v>540</v>
      </c>
      <c r="M765" s="186">
        <v>1050</v>
      </c>
      <c r="N765" s="99">
        <f t="shared" si="170"/>
        <v>129.07242618003272</v>
      </c>
      <c r="O765" s="99">
        <f t="shared" si="170"/>
        <v>250.9741620167303</v>
      </c>
      <c r="P765" s="131">
        <v>0.9</v>
      </c>
      <c r="Q765" s="186">
        <f t="shared" si="172"/>
        <v>116.16518356202945</v>
      </c>
      <c r="R765" s="186">
        <f t="shared" si="172"/>
        <v>225.87674581505729</v>
      </c>
      <c r="S765" s="151" t="s">
        <v>2312</v>
      </c>
      <c r="T765" s="51" t="s">
        <v>3133</v>
      </c>
      <c r="U765" s="151" t="s">
        <v>2409</v>
      </c>
      <c r="V765" s="51" t="s">
        <v>2060</v>
      </c>
      <c r="W765" s="19"/>
      <c r="X765" s="19"/>
      <c r="Y765" s="99">
        <v>126</v>
      </c>
    </row>
    <row r="766" spans="2:25" s="165" customFormat="1" ht="20" x14ac:dyDescent="0.2">
      <c r="B766" s="230" t="s">
        <v>2667</v>
      </c>
      <c r="C766" s="51" t="s">
        <v>173</v>
      </c>
      <c r="D766" s="33" t="s">
        <v>2876</v>
      </c>
      <c r="E766" s="231">
        <v>1</v>
      </c>
      <c r="F766" s="230" t="s">
        <v>1128</v>
      </c>
      <c r="G766" s="232">
        <v>1</v>
      </c>
      <c r="H766" s="232">
        <v>0.61728395061728392</v>
      </c>
      <c r="I766" s="231">
        <v>63</v>
      </c>
      <c r="J766" s="266">
        <f>_xlfn.XLOOKUP($I766,Inputs!$C$6:$C$23,Inputs!$D$6:$D$23)*$G766</f>
        <v>0.38</v>
      </c>
      <c r="K766" s="267">
        <f>IF((42.4*(H766)^(-0.6595))&gt;=3,3,(IF(42.4*(H766)^(-0.6595)&lt;=0.5,0.5,(42.4*(H766)^(-0.6595)))))</f>
        <v>3</v>
      </c>
      <c r="L766" s="99"/>
      <c r="M766" s="99"/>
      <c r="N766" s="99"/>
      <c r="O766" s="99"/>
      <c r="P766" s="69"/>
      <c r="Q766" s="305">
        <f>_xlfn.XLOOKUP($I766,Inputs!$G$6:$G$23,Inputs!J$6:J$23)*$K766</f>
        <v>29.767499999999998</v>
      </c>
      <c r="R766" s="305">
        <f>_xlfn.XLOOKUP($I766,Inputs!$G$6:$G$23,Inputs!K$6:K$23)*$K766</f>
        <v>32.532786885245905</v>
      </c>
      <c r="S766" s="230" t="s">
        <v>2666</v>
      </c>
      <c r="T766" s="51" t="s">
        <v>3304</v>
      </c>
      <c r="U766" s="230" t="s">
        <v>2668</v>
      </c>
      <c r="V766" s="51" t="s">
        <v>3311</v>
      </c>
      <c r="W766" s="19"/>
      <c r="X766" s="19" t="s">
        <v>3702</v>
      </c>
      <c r="Y766" s="99">
        <v>1099</v>
      </c>
    </row>
    <row r="767" spans="2:25" s="165" customFormat="1" ht="20" x14ac:dyDescent="0.2">
      <c r="B767" s="150" t="s">
        <v>425</v>
      </c>
      <c r="C767" s="33" t="s">
        <v>106</v>
      </c>
      <c r="D767" s="33" t="s">
        <v>2876</v>
      </c>
      <c r="E767" s="175">
        <v>1</v>
      </c>
      <c r="F767" s="151" t="s">
        <v>1128</v>
      </c>
      <c r="G767" s="152">
        <v>3.59</v>
      </c>
      <c r="H767" s="152">
        <v>2.216049382716049</v>
      </c>
      <c r="I767" s="175">
        <v>138</v>
      </c>
      <c r="J767" s="266">
        <f>_xlfn.XLOOKUP($I767,Inputs!$C$6:$C$23,Inputs!$D$6:$D$23)*$G767</f>
        <v>1.5565214285714286</v>
      </c>
      <c r="K767" s="255"/>
      <c r="L767" s="186">
        <v>504</v>
      </c>
      <c r="M767" s="186">
        <v>601</v>
      </c>
      <c r="N767" s="99">
        <f t="shared" ref="N767:O772" si="173">(SQRT(3)*L767*$I767)/1000</f>
        <v>120.46759776803054</v>
      </c>
      <c r="O767" s="99">
        <f t="shared" si="173"/>
        <v>143.65282987814754</v>
      </c>
      <c r="P767" s="131">
        <v>0.9</v>
      </c>
      <c r="Q767" s="186">
        <f t="shared" ref="Q767:R772" si="174">N767*$P767</f>
        <v>108.42083799122749</v>
      </c>
      <c r="R767" s="186">
        <f t="shared" si="174"/>
        <v>129.28754689033281</v>
      </c>
      <c r="S767" s="151" t="s">
        <v>2393</v>
      </c>
      <c r="T767" s="51" t="s">
        <v>2041</v>
      </c>
      <c r="U767" s="151" t="s">
        <v>1837</v>
      </c>
      <c r="V767" s="51" t="s">
        <v>3432</v>
      </c>
      <c r="W767" s="19"/>
      <c r="X767" s="19"/>
      <c r="Y767" s="99">
        <v>40</v>
      </c>
    </row>
    <row r="768" spans="2:25" s="165" customFormat="1" ht="20" x14ac:dyDescent="0.2">
      <c r="B768" s="150" t="s">
        <v>430</v>
      </c>
      <c r="C768" s="33" t="s">
        <v>106</v>
      </c>
      <c r="D768" s="33" t="s">
        <v>2876</v>
      </c>
      <c r="E768" s="175">
        <v>1</v>
      </c>
      <c r="F768" s="151" t="s">
        <v>1128</v>
      </c>
      <c r="G768" s="152">
        <v>6.54</v>
      </c>
      <c r="H768" s="152">
        <v>4.0370370370370372</v>
      </c>
      <c r="I768" s="175">
        <v>138</v>
      </c>
      <c r="J768" s="266">
        <f>_xlfn.XLOOKUP($I768,Inputs!$C$6:$C$23,Inputs!$D$6:$D$23)*$G768</f>
        <v>2.8355571428571431</v>
      </c>
      <c r="K768" s="255"/>
      <c r="L768" s="186">
        <v>848</v>
      </c>
      <c r="M768" s="186">
        <v>1275</v>
      </c>
      <c r="N768" s="99">
        <f t="shared" si="173"/>
        <v>202.69151370494029</v>
      </c>
      <c r="O768" s="99">
        <f t="shared" si="173"/>
        <v>304.75433959174393</v>
      </c>
      <c r="P768" s="131">
        <v>0.9</v>
      </c>
      <c r="Q768" s="186">
        <f t="shared" si="174"/>
        <v>182.42236233444626</v>
      </c>
      <c r="R768" s="186">
        <f t="shared" si="174"/>
        <v>274.27890563256955</v>
      </c>
      <c r="S768" s="151" t="s">
        <v>2392</v>
      </c>
      <c r="T768" s="51" t="s">
        <v>2042</v>
      </c>
      <c r="U768" s="151" t="s">
        <v>1837</v>
      </c>
      <c r="V768" s="51" t="s">
        <v>3432</v>
      </c>
      <c r="W768" s="19"/>
      <c r="X768" s="19"/>
      <c r="Y768" s="99">
        <v>57</v>
      </c>
    </row>
    <row r="769" spans="2:25" s="165" customFormat="1" ht="20" x14ac:dyDescent="0.2">
      <c r="B769" s="150" t="s">
        <v>1449</v>
      </c>
      <c r="C769" s="33" t="s">
        <v>106</v>
      </c>
      <c r="D769" s="33" t="s">
        <v>2876</v>
      </c>
      <c r="E769" s="175">
        <v>1</v>
      </c>
      <c r="F769" s="151" t="s">
        <v>1128</v>
      </c>
      <c r="G769" s="152">
        <v>0.1</v>
      </c>
      <c r="H769" s="152">
        <v>6.1728395061728392E-2</v>
      </c>
      <c r="I769" s="175">
        <v>138</v>
      </c>
      <c r="J769" s="266">
        <f>_xlfn.XLOOKUP($I769,Inputs!$C$6:$C$23,Inputs!$D$6:$D$23)*$G769</f>
        <v>4.3357142857142865E-2</v>
      </c>
      <c r="K769" s="255"/>
      <c r="L769" s="186">
        <v>290</v>
      </c>
      <c r="M769" s="186">
        <v>495</v>
      </c>
      <c r="N769" s="99">
        <f t="shared" si="173"/>
        <v>69.316673318906467</v>
      </c>
      <c r="O769" s="99">
        <f t="shared" si="173"/>
        <v>118.31639066502999</v>
      </c>
      <c r="P769" s="131">
        <v>0.9</v>
      </c>
      <c r="Q769" s="186">
        <f t="shared" si="174"/>
        <v>62.385005987015823</v>
      </c>
      <c r="R769" s="186">
        <f t="shared" si="174"/>
        <v>106.48475159852698</v>
      </c>
      <c r="S769" s="151" t="s">
        <v>2454</v>
      </c>
      <c r="T769" s="51" t="s">
        <v>2107</v>
      </c>
      <c r="U769" s="151" t="s">
        <v>1838</v>
      </c>
      <c r="V769" s="51" t="s">
        <v>3503</v>
      </c>
      <c r="W769" s="19"/>
      <c r="X769" s="19"/>
      <c r="Y769" s="99">
        <v>283</v>
      </c>
    </row>
    <row r="770" spans="2:25" s="165" customFormat="1" ht="20" x14ac:dyDescent="0.2">
      <c r="B770" s="150" t="s">
        <v>500</v>
      </c>
      <c r="C770" s="33" t="s">
        <v>106</v>
      </c>
      <c r="D770" s="33" t="s">
        <v>2876</v>
      </c>
      <c r="E770" s="175">
        <v>1</v>
      </c>
      <c r="F770" s="151" t="s">
        <v>1128</v>
      </c>
      <c r="G770" s="152">
        <v>6.71</v>
      </c>
      <c r="H770" s="152">
        <v>4.1419753086419746</v>
      </c>
      <c r="I770" s="175">
        <v>138</v>
      </c>
      <c r="J770" s="266">
        <f>_xlfn.XLOOKUP($I770,Inputs!$C$6:$C$23,Inputs!$D$6:$D$23)*$G770</f>
        <v>2.9092642857142859</v>
      </c>
      <c r="K770" s="255"/>
      <c r="L770" s="186">
        <v>570</v>
      </c>
      <c r="M770" s="186">
        <v>682</v>
      </c>
      <c r="N770" s="99">
        <f t="shared" si="173"/>
        <v>136.24311652336789</v>
      </c>
      <c r="O770" s="99">
        <f t="shared" si="173"/>
        <v>163.01369380515243</v>
      </c>
      <c r="P770" s="131">
        <v>0.9</v>
      </c>
      <c r="Q770" s="186">
        <f t="shared" si="174"/>
        <v>122.6188048710311</v>
      </c>
      <c r="R770" s="186">
        <f t="shared" si="174"/>
        <v>146.71232442463719</v>
      </c>
      <c r="S770" s="151" t="s">
        <v>1699</v>
      </c>
      <c r="T770" s="51" t="s">
        <v>3126</v>
      </c>
      <c r="U770" s="151" t="s">
        <v>2454</v>
      </c>
      <c r="V770" s="51" t="s">
        <v>2107</v>
      </c>
      <c r="W770" s="19"/>
      <c r="X770" s="19"/>
      <c r="Y770" s="99">
        <v>282</v>
      </c>
    </row>
    <row r="771" spans="2:25" s="165" customFormat="1" ht="20" x14ac:dyDescent="0.2">
      <c r="B771" s="150" t="s">
        <v>1402</v>
      </c>
      <c r="C771" s="33" t="s">
        <v>106</v>
      </c>
      <c r="D771" s="33" t="s">
        <v>2876</v>
      </c>
      <c r="E771" s="175">
        <v>1</v>
      </c>
      <c r="F771" s="151" t="s">
        <v>1128</v>
      </c>
      <c r="G771" s="152">
        <v>1.8986599999999999E-2</v>
      </c>
      <c r="H771" s="152">
        <v>1.1720123456790122E-2</v>
      </c>
      <c r="I771" s="175">
        <v>69</v>
      </c>
      <c r="J771" s="266">
        <f>_xlfn.XLOOKUP($I771,Inputs!$C$6:$C$23,Inputs!$D$6:$D$23)*$G771</f>
        <v>7.2962791428571429E-3</v>
      </c>
      <c r="K771" s="255"/>
      <c r="L771" s="186">
        <v>450</v>
      </c>
      <c r="M771" s="186">
        <v>760</v>
      </c>
      <c r="N771" s="99">
        <f t="shared" si="173"/>
        <v>53.780177575013639</v>
      </c>
      <c r="O771" s="99">
        <f t="shared" si="173"/>
        <v>90.828744348911911</v>
      </c>
      <c r="P771" s="131">
        <v>0.9</v>
      </c>
      <c r="Q771" s="186">
        <f t="shared" si="174"/>
        <v>48.402159817512278</v>
      </c>
      <c r="R771" s="186">
        <f t="shared" si="174"/>
        <v>81.745869914020716</v>
      </c>
      <c r="S771" s="151" t="s">
        <v>2609</v>
      </c>
      <c r="T771" s="51" t="s">
        <v>2267</v>
      </c>
      <c r="U771" s="151" t="s">
        <v>1839</v>
      </c>
      <c r="V771" s="51" t="s">
        <v>3673</v>
      </c>
      <c r="W771" s="19"/>
      <c r="X771" s="19"/>
      <c r="Y771" s="99">
        <v>1009</v>
      </c>
    </row>
    <row r="772" spans="2:25" s="165" customFormat="1" ht="20" x14ac:dyDescent="0.2">
      <c r="B772" s="150" t="s">
        <v>1389</v>
      </c>
      <c r="C772" s="33" t="s">
        <v>106</v>
      </c>
      <c r="D772" s="33" t="s">
        <v>2876</v>
      </c>
      <c r="E772" s="175">
        <v>1</v>
      </c>
      <c r="F772" s="151" t="s">
        <v>1128</v>
      </c>
      <c r="G772" s="152">
        <v>3</v>
      </c>
      <c r="H772" s="152">
        <v>1.8518518518518516</v>
      </c>
      <c r="I772" s="175">
        <v>69</v>
      </c>
      <c r="J772" s="266">
        <f>_xlfn.XLOOKUP($I772,Inputs!$C$6:$C$23,Inputs!$D$6:$D$23)*$G772</f>
        <v>1.1528571428571428</v>
      </c>
      <c r="K772" s="255"/>
      <c r="L772" s="186">
        <v>450</v>
      </c>
      <c r="M772" s="186">
        <v>760</v>
      </c>
      <c r="N772" s="99">
        <f t="shared" si="173"/>
        <v>53.780177575013639</v>
      </c>
      <c r="O772" s="99">
        <f t="shared" si="173"/>
        <v>90.828744348911911</v>
      </c>
      <c r="P772" s="131">
        <v>0.9</v>
      </c>
      <c r="Q772" s="186">
        <f t="shared" si="174"/>
        <v>48.402159817512278</v>
      </c>
      <c r="R772" s="186">
        <f t="shared" si="174"/>
        <v>81.745869914020716</v>
      </c>
      <c r="S772" s="151" t="s">
        <v>2608</v>
      </c>
      <c r="T772" s="51" t="s">
        <v>2268</v>
      </c>
      <c r="U772" s="151" t="s">
        <v>2609</v>
      </c>
      <c r="V772" s="51" t="s">
        <v>2267</v>
      </c>
      <c r="W772" s="19"/>
      <c r="X772" s="19"/>
      <c r="Y772" s="99">
        <v>1008</v>
      </c>
    </row>
    <row r="773" spans="2:25" s="165" customFormat="1" ht="20" x14ac:dyDescent="0.2">
      <c r="B773" s="230" t="s">
        <v>2651</v>
      </c>
      <c r="C773" s="51" t="s">
        <v>173</v>
      </c>
      <c r="D773" s="33" t="s">
        <v>2876</v>
      </c>
      <c r="E773" s="231">
        <v>1</v>
      </c>
      <c r="F773" s="230" t="s">
        <v>1128</v>
      </c>
      <c r="G773" s="232">
        <v>5</v>
      </c>
      <c r="H773" s="232">
        <v>3.0864197530864197</v>
      </c>
      <c r="I773" s="231">
        <v>138</v>
      </c>
      <c r="J773" s="266">
        <f>_xlfn.XLOOKUP($I773,Inputs!$C$6:$C$23,Inputs!$D$6:$D$23)*$G773</f>
        <v>2.1678571428571431</v>
      </c>
      <c r="K773" s="267">
        <f>IF((42.4*(H773)^(-0.6595))&gt;=3,3,(IF(42.4*(H773)^(-0.6595)&lt;=0.5,0.5,(42.4*(H773)^(-0.6595)))))</f>
        <v>3</v>
      </c>
      <c r="L773" s="99"/>
      <c r="M773" s="99"/>
      <c r="N773" s="99"/>
      <c r="O773" s="99"/>
      <c r="P773" s="69"/>
      <c r="Q773" s="305">
        <f>_xlfn.XLOOKUP($I773,Inputs!$G$6:$G$23,Inputs!J$6:J$23)*$K773</f>
        <v>141</v>
      </c>
      <c r="R773" s="305">
        <f>_xlfn.XLOOKUP($I773,Inputs!$G$6:$G$23,Inputs!K$6:K$23)*$K773</f>
        <v>156</v>
      </c>
      <c r="S773" s="230" t="s">
        <v>2653</v>
      </c>
      <c r="T773" s="51" t="s">
        <v>2654</v>
      </c>
      <c r="U773" s="230" t="s">
        <v>2652</v>
      </c>
      <c r="V773" s="51" t="s">
        <v>3312</v>
      </c>
      <c r="W773" s="19"/>
      <c r="X773" s="19"/>
      <c r="Y773" s="99">
        <v>1121</v>
      </c>
    </row>
    <row r="774" spans="2:25" s="165" customFormat="1" ht="20" x14ac:dyDescent="0.2">
      <c r="B774" s="150" t="s">
        <v>487</v>
      </c>
      <c r="C774" s="33" t="s">
        <v>106</v>
      </c>
      <c r="D774" s="33" t="s">
        <v>2876</v>
      </c>
      <c r="E774" s="175">
        <v>1</v>
      </c>
      <c r="F774" s="151" t="s">
        <v>1128</v>
      </c>
      <c r="G774" s="152">
        <v>89.423586</v>
      </c>
      <c r="H774" s="152">
        <v>55.199744444444441</v>
      </c>
      <c r="I774" s="175">
        <v>138</v>
      </c>
      <c r="J774" s="266">
        <f>_xlfn.XLOOKUP($I774,Inputs!$C$6:$C$23,Inputs!$D$6:$D$23)*$G774</f>
        <v>38.771511930000003</v>
      </c>
      <c r="K774" s="255"/>
      <c r="L774" s="186">
        <v>490</v>
      </c>
      <c r="M774" s="186">
        <v>627</v>
      </c>
      <c r="N774" s="99">
        <f t="shared" ref="N774:N808" si="175">(SQRT(3)*L774*$I774)/1000</f>
        <v>117.12127560780748</v>
      </c>
      <c r="O774" s="99">
        <f t="shared" ref="O774:O808" si="176">(SQRT(3)*M774*$I774)/1000</f>
        <v>149.86742817570467</v>
      </c>
      <c r="P774" s="131">
        <v>0.9</v>
      </c>
      <c r="Q774" s="186">
        <f>N774*$P774</f>
        <v>105.40914804702673</v>
      </c>
      <c r="R774" s="186">
        <f>O774*$P774</f>
        <v>134.8806853581342</v>
      </c>
      <c r="S774" s="151" t="s">
        <v>1809</v>
      </c>
      <c r="T774" s="51" t="s">
        <v>3296</v>
      </c>
      <c r="U774" s="151" t="s">
        <v>2653</v>
      </c>
      <c r="V774" s="51" t="s">
        <v>2654</v>
      </c>
      <c r="W774" s="19"/>
      <c r="X774" s="19"/>
      <c r="Y774" s="99">
        <v>243</v>
      </c>
    </row>
    <row r="775" spans="2:25" s="165" customFormat="1" ht="20" x14ac:dyDescent="0.2">
      <c r="B775" s="150" t="s">
        <v>1452</v>
      </c>
      <c r="C775" s="33" t="s">
        <v>106</v>
      </c>
      <c r="D775" s="33" t="s">
        <v>2876</v>
      </c>
      <c r="E775" s="175">
        <v>1</v>
      </c>
      <c r="F775" s="151" t="s">
        <v>1128</v>
      </c>
      <c r="G775" s="152">
        <v>0.270507</v>
      </c>
      <c r="H775" s="152">
        <v>0.16697962962962962</v>
      </c>
      <c r="I775" s="175">
        <v>138</v>
      </c>
      <c r="J775" s="266">
        <f>_xlfn.XLOOKUP($I775,Inputs!$C$6:$C$23,Inputs!$D$6:$D$23)*$G775</f>
        <v>0.11728410642857144</v>
      </c>
      <c r="K775" s="267">
        <f>IF((42.4*(H775)^(-0.6595))&gt;=3,3,(IF(42.4*(H775)^(-0.6595)&lt;=0.5,0.5,(42.4*(H775)^(-0.6595)))))</f>
        <v>3</v>
      </c>
      <c r="L775" s="99"/>
      <c r="M775" s="99"/>
      <c r="N775" s="99">
        <f t="shared" si="175"/>
        <v>0</v>
      </c>
      <c r="O775" s="99">
        <f t="shared" si="176"/>
        <v>0</v>
      </c>
      <c r="P775" s="131">
        <v>0.9</v>
      </c>
      <c r="Q775" s="305">
        <f>_xlfn.XLOOKUP($I775,Inputs!$G$6:$G$23,Inputs!J$6:J$23)*$K775</f>
        <v>141</v>
      </c>
      <c r="R775" s="305">
        <f>_xlfn.XLOOKUP($I775,Inputs!$G$6:$G$23,Inputs!K$6:K$23)*$K775</f>
        <v>156</v>
      </c>
      <c r="S775" s="151" t="s">
        <v>2458</v>
      </c>
      <c r="T775" s="51" t="s">
        <v>2110</v>
      </c>
      <c r="U775" s="151" t="s">
        <v>1840</v>
      </c>
      <c r="V775" s="51" t="s">
        <v>3188</v>
      </c>
      <c r="W775" s="19"/>
      <c r="X775" s="19"/>
      <c r="Y775" s="99">
        <v>295</v>
      </c>
    </row>
    <row r="776" spans="2:25" s="165" customFormat="1" ht="20" x14ac:dyDescent="0.2">
      <c r="B776" s="150" t="s">
        <v>504</v>
      </c>
      <c r="C776" s="33" t="s">
        <v>106</v>
      </c>
      <c r="D776" s="33" t="s">
        <v>2876</v>
      </c>
      <c r="E776" s="175">
        <v>1</v>
      </c>
      <c r="F776" s="151" t="s">
        <v>1128</v>
      </c>
      <c r="G776" s="152">
        <v>4</v>
      </c>
      <c r="H776" s="152">
        <v>2.4691358024691357</v>
      </c>
      <c r="I776" s="175">
        <v>138</v>
      </c>
      <c r="J776" s="266">
        <f>_xlfn.XLOOKUP($I776,Inputs!$C$6:$C$23,Inputs!$D$6:$D$23)*$G776</f>
        <v>1.7342857142857144</v>
      </c>
      <c r="K776" s="255"/>
      <c r="L776" s="186">
        <v>350</v>
      </c>
      <c r="M776" s="186">
        <v>495</v>
      </c>
      <c r="N776" s="99">
        <f t="shared" si="175"/>
        <v>83.658054005576759</v>
      </c>
      <c r="O776" s="99">
        <f t="shared" si="176"/>
        <v>118.31639066502999</v>
      </c>
      <c r="P776" s="131">
        <v>0.9</v>
      </c>
      <c r="Q776" s="186">
        <f>N776*$P776</f>
        <v>75.292248605019083</v>
      </c>
      <c r="R776" s="186">
        <f>O776*$P776</f>
        <v>106.48475159852698</v>
      </c>
      <c r="S776" s="151" t="s">
        <v>1781</v>
      </c>
      <c r="T776" s="51" t="s">
        <v>3289</v>
      </c>
      <c r="U776" s="151" t="s">
        <v>2458</v>
      </c>
      <c r="V776" s="51" t="s">
        <v>2110</v>
      </c>
      <c r="W776" s="19"/>
      <c r="X776" s="19"/>
      <c r="Y776" s="99">
        <v>294</v>
      </c>
    </row>
    <row r="777" spans="2:25" s="165" customFormat="1" ht="20" x14ac:dyDescent="0.2">
      <c r="B777" s="150" t="s">
        <v>1388</v>
      </c>
      <c r="C777" s="33" t="s">
        <v>106</v>
      </c>
      <c r="D777" s="33" t="s">
        <v>2876</v>
      </c>
      <c r="E777" s="175">
        <v>1</v>
      </c>
      <c r="F777" s="151" t="s">
        <v>1128</v>
      </c>
      <c r="G777" s="152">
        <v>4.4240531000000001</v>
      </c>
      <c r="H777" s="152">
        <v>2.7308969753086418</v>
      </c>
      <c r="I777" s="175">
        <v>69</v>
      </c>
      <c r="J777" s="266">
        <f>_xlfn.XLOOKUP($I777,Inputs!$C$6:$C$23,Inputs!$D$6:$D$23)*$G777</f>
        <v>1.7001004055714286</v>
      </c>
      <c r="K777" s="267">
        <f>IF((42.4*(H777)^(-0.6595))&gt;=3,3,(IF(42.4*(H777)^(-0.6595)&lt;=0.5,0.5,(42.4*(H777)^(-0.6595)))))</f>
        <v>3</v>
      </c>
      <c r="L777" s="99"/>
      <c r="M777" s="99"/>
      <c r="N777" s="99">
        <f t="shared" si="175"/>
        <v>0</v>
      </c>
      <c r="O777" s="99">
        <f t="shared" si="176"/>
        <v>0</v>
      </c>
      <c r="P777" s="131">
        <v>0.9</v>
      </c>
      <c r="Q777" s="305">
        <f>_xlfn.XLOOKUP($I777,Inputs!$G$6:$G$23,Inputs!J$6:J$23)*$K777</f>
        <v>36</v>
      </c>
      <c r="R777" s="305">
        <f>_xlfn.XLOOKUP($I777,Inputs!$G$6:$G$23,Inputs!K$6:K$23)*$K777</f>
        <v>39</v>
      </c>
      <c r="S777" s="151" t="s">
        <v>2606</v>
      </c>
      <c r="T777" s="51" t="s">
        <v>2265</v>
      </c>
      <c r="U777" s="151" t="s">
        <v>1841</v>
      </c>
      <c r="V777" s="51" t="s">
        <v>3642</v>
      </c>
      <c r="W777" s="19"/>
      <c r="X777" s="19"/>
      <c r="Y777" s="99">
        <v>1002</v>
      </c>
    </row>
    <row r="778" spans="2:25" s="165" customFormat="1" ht="20" x14ac:dyDescent="0.2">
      <c r="B778" s="150" t="s">
        <v>1387</v>
      </c>
      <c r="C778" s="33" t="s">
        <v>106</v>
      </c>
      <c r="D778" s="33" t="s">
        <v>2876</v>
      </c>
      <c r="E778" s="175">
        <v>1</v>
      </c>
      <c r="F778" s="151" t="s">
        <v>1128</v>
      </c>
      <c r="G778" s="152">
        <v>8</v>
      </c>
      <c r="H778" s="152">
        <v>4.9382716049382713</v>
      </c>
      <c r="I778" s="175">
        <v>69</v>
      </c>
      <c r="J778" s="266">
        <f>_xlfn.XLOOKUP($I778,Inputs!$C$6:$C$23,Inputs!$D$6:$D$23)*$G778</f>
        <v>3.0742857142857143</v>
      </c>
      <c r="K778" s="255"/>
      <c r="L778" s="186">
        <v>430</v>
      </c>
      <c r="M778" s="186">
        <v>745</v>
      </c>
      <c r="N778" s="99">
        <f t="shared" si="175"/>
        <v>51.389947460568592</v>
      </c>
      <c r="O778" s="99">
        <f t="shared" si="176"/>
        <v>89.036071763078141</v>
      </c>
      <c r="P778" s="131">
        <v>0.9</v>
      </c>
      <c r="Q778" s="186">
        <f t="shared" ref="Q778:R780" si="177">N778*$P778</f>
        <v>46.250952714511733</v>
      </c>
      <c r="R778" s="186">
        <f t="shared" si="177"/>
        <v>80.132464586770325</v>
      </c>
      <c r="S778" s="151" t="s">
        <v>1862</v>
      </c>
      <c r="T778" s="51" t="s">
        <v>3318</v>
      </c>
      <c r="U778" s="151" t="s">
        <v>2606</v>
      </c>
      <c r="V778" s="51" t="s">
        <v>2265</v>
      </c>
      <c r="W778" s="19"/>
      <c r="X778" s="19"/>
      <c r="Y778" s="99">
        <v>1001</v>
      </c>
    </row>
    <row r="779" spans="2:25" s="165" customFormat="1" ht="20" x14ac:dyDescent="0.2">
      <c r="B779" s="150" t="s">
        <v>1304</v>
      </c>
      <c r="C779" s="33" t="s">
        <v>106</v>
      </c>
      <c r="D779" s="33" t="s">
        <v>2876</v>
      </c>
      <c r="E779" s="175">
        <v>1</v>
      </c>
      <c r="F779" s="151" t="s">
        <v>1128</v>
      </c>
      <c r="G779" s="152">
        <v>0.5760537</v>
      </c>
      <c r="H779" s="152">
        <v>0.35558870370370366</v>
      </c>
      <c r="I779" s="175">
        <v>69</v>
      </c>
      <c r="J779" s="266">
        <f>_xlfn.XLOOKUP($I779,Inputs!$C$6:$C$23,Inputs!$D$6:$D$23)*$G779</f>
        <v>0.22136920757142858</v>
      </c>
      <c r="K779" s="255"/>
      <c r="L779" s="186">
        <v>265</v>
      </c>
      <c r="M779" s="186">
        <v>492</v>
      </c>
      <c r="N779" s="99">
        <f t="shared" si="175"/>
        <v>31.670549016396919</v>
      </c>
      <c r="O779" s="99">
        <f t="shared" si="176"/>
        <v>58.79966081534824</v>
      </c>
      <c r="P779" s="131">
        <v>0.9</v>
      </c>
      <c r="Q779" s="186">
        <f t="shared" si="177"/>
        <v>28.503494114757228</v>
      </c>
      <c r="R779" s="186">
        <f t="shared" si="177"/>
        <v>52.919694733813415</v>
      </c>
      <c r="S779" s="151" t="s">
        <v>2557</v>
      </c>
      <c r="T779" s="51" t="s">
        <v>2212</v>
      </c>
      <c r="U779" s="151" t="s">
        <v>1842</v>
      </c>
      <c r="V779" s="51" t="s">
        <v>3505</v>
      </c>
      <c r="W779" s="19"/>
      <c r="X779" s="19"/>
      <c r="Y779" s="99">
        <v>856</v>
      </c>
    </row>
    <row r="780" spans="2:25" s="165" customFormat="1" ht="20" x14ac:dyDescent="0.2">
      <c r="B780" s="150" t="s">
        <v>1302</v>
      </c>
      <c r="C780" s="33" t="s">
        <v>106</v>
      </c>
      <c r="D780" s="33" t="s">
        <v>2876</v>
      </c>
      <c r="E780" s="175">
        <v>1</v>
      </c>
      <c r="F780" s="151" t="s">
        <v>1128</v>
      </c>
      <c r="G780" s="152">
        <v>25</v>
      </c>
      <c r="H780" s="152">
        <v>15.432098765432098</v>
      </c>
      <c r="I780" s="175">
        <v>69</v>
      </c>
      <c r="J780" s="266">
        <f>_xlfn.XLOOKUP($I780,Inputs!$C$6:$C$23,Inputs!$D$6:$D$23)*$G780</f>
        <v>9.6071428571428577</v>
      </c>
      <c r="K780" s="255"/>
      <c r="L780" s="186">
        <v>401</v>
      </c>
      <c r="M780" s="186">
        <v>567</v>
      </c>
      <c r="N780" s="99">
        <f t="shared" si="175"/>
        <v>47.92411379462326</v>
      </c>
      <c r="O780" s="99">
        <f t="shared" si="176"/>
        <v>67.763023744517184</v>
      </c>
      <c r="P780" s="131">
        <v>0.9</v>
      </c>
      <c r="Q780" s="186">
        <f t="shared" si="177"/>
        <v>43.131702415160937</v>
      </c>
      <c r="R780" s="186">
        <f t="shared" si="177"/>
        <v>60.986721370065467</v>
      </c>
      <c r="S780" s="151" t="s">
        <v>2556</v>
      </c>
      <c r="T780" s="51" t="s">
        <v>2214</v>
      </c>
      <c r="U780" s="151" t="s">
        <v>2557</v>
      </c>
      <c r="V780" s="51" t="s">
        <v>2212</v>
      </c>
      <c r="W780" s="19"/>
      <c r="X780" s="19"/>
      <c r="Y780" s="99">
        <v>855</v>
      </c>
    </row>
    <row r="781" spans="2:25" s="165" customFormat="1" ht="20" x14ac:dyDescent="0.2">
      <c r="B781" s="150" t="s">
        <v>1444</v>
      </c>
      <c r="C781" s="33" t="s">
        <v>106</v>
      </c>
      <c r="D781" s="33" t="s">
        <v>2876</v>
      </c>
      <c r="E781" s="175">
        <v>1</v>
      </c>
      <c r="F781" s="151" t="s">
        <v>1128</v>
      </c>
      <c r="G781" s="152">
        <v>0.1204966</v>
      </c>
      <c r="H781" s="152">
        <v>7.4380617283950609E-2</v>
      </c>
      <c r="I781" s="175">
        <v>138</v>
      </c>
      <c r="J781" s="266">
        <f>_xlfn.XLOOKUP($I781,Inputs!$C$6:$C$23,Inputs!$D$6:$D$23)*$G781</f>
        <v>5.2243883000000005E-2</v>
      </c>
      <c r="K781" s="267">
        <f>IF((42.4*(H781)^(-0.6595))&gt;=3,3,(IF(42.4*(H781)^(-0.6595)&lt;=0.5,0.5,(42.4*(H781)^(-0.6595)))))</f>
        <v>3</v>
      </c>
      <c r="L781" s="99"/>
      <c r="M781" s="99"/>
      <c r="N781" s="99">
        <f t="shared" si="175"/>
        <v>0</v>
      </c>
      <c r="O781" s="99">
        <f t="shared" si="176"/>
        <v>0</v>
      </c>
      <c r="P781" s="131">
        <v>0.9</v>
      </c>
      <c r="Q781" s="305">
        <f>_xlfn.XLOOKUP($I781,Inputs!$G$6:$G$23,Inputs!J$6:J$23)*$K781</f>
        <v>141</v>
      </c>
      <c r="R781" s="305">
        <f>_xlfn.XLOOKUP($I781,Inputs!$G$6:$G$23,Inputs!K$6:K$23)*$K781</f>
        <v>156</v>
      </c>
      <c r="S781" s="151" t="s">
        <v>2440</v>
      </c>
      <c r="T781" s="51" t="s">
        <v>2093</v>
      </c>
      <c r="U781" s="151" t="s">
        <v>2321</v>
      </c>
      <c r="V781" s="51" t="s">
        <v>3150</v>
      </c>
      <c r="W781" s="19"/>
      <c r="X781" s="19"/>
      <c r="Y781" s="99">
        <v>237</v>
      </c>
    </row>
    <row r="782" spans="2:25" s="165" customFormat="1" ht="20" x14ac:dyDescent="0.2">
      <c r="B782" s="150" t="s">
        <v>485</v>
      </c>
      <c r="C782" s="33" t="s">
        <v>106</v>
      </c>
      <c r="D782" s="33" t="s">
        <v>2876</v>
      </c>
      <c r="E782" s="175">
        <v>1</v>
      </c>
      <c r="F782" s="151" t="s">
        <v>1128</v>
      </c>
      <c r="G782" s="152">
        <v>32</v>
      </c>
      <c r="H782" s="152">
        <v>19.753086419753085</v>
      </c>
      <c r="I782" s="175">
        <v>138</v>
      </c>
      <c r="J782" s="266">
        <f>_xlfn.XLOOKUP($I782,Inputs!$C$6:$C$23,Inputs!$D$6:$D$23)*$G782</f>
        <v>13.874285714285715</v>
      </c>
      <c r="K782" s="255"/>
      <c r="L782" s="186">
        <v>710</v>
      </c>
      <c r="M782" s="186">
        <v>920</v>
      </c>
      <c r="N782" s="99">
        <f t="shared" si="175"/>
        <v>169.70633812559859</v>
      </c>
      <c r="O782" s="99">
        <f t="shared" si="176"/>
        <v>219.90117052894468</v>
      </c>
      <c r="P782" s="131">
        <v>0.9</v>
      </c>
      <c r="Q782" s="186">
        <f>N782*$P782</f>
        <v>152.73570431303872</v>
      </c>
      <c r="R782" s="186">
        <f>O782*$P782</f>
        <v>197.9110534760502</v>
      </c>
      <c r="S782" s="151" t="s">
        <v>1809</v>
      </c>
      <c r="T782" s="51" t="s">
        <v>3296</v>
      </c>
      <c r="U782" s="151" t="s">
        <v>2440</v>
      </c>
      <c r="V782" s="51" t="s">
        <v>2093</v>
      </c>
      <c r="W782" s="19"/>
      <c r="X782" s="19"/>
      <c r="Y782" s="99">
        <v>236</v>
      </c>
    </row>
    <row r="783" spans="2:25" s="165" customFormat="1" ht="20" x14ac:dyDescent="0.2">
      <c r="B783" s="150" t="s">
        <v>1241</v>
      </c>
      <c r="C783" s="33" t="s">
        <v>106</v>
      </c>
      <c r="D783" s="33" t="s">
        <v>2876</v>
      </c>
      <c r="E783" s="175">
        <v>1</v>
      </c>
      <c r="F783" s="151" t="s">
        <v>1128</v>
      </c>
      <c r="G783" s="152">
        <v>1.3759499999999999E-2</v>
      </c>
      <c r="H783" s="152">
        <v>8.4935185185185183E-3</v>
      </c>
      <c r="I783" s="175">
        <v>69</v>
      </c>
      <c r="J783" s="266">
        <f>_xlfn.XLOOKUP($I783,Inputs!$C$6:$C$23,Inputs!$D$6:$D$23)*$G783</f>
        <v>5.2875792857142853E-3</v>
      </c>
      <c r="K783" s="267">
        <f>IF((42.4*(H783)^(-0.6595))&gt;=3,3,(IF(42.4*(H783)^(-0.6595)&lt;=0.5,0.5,(42.4*(H783)^(-0.6595)))))</f>
        <v>3</v>
      </c>
      <c r="L783" s="99"/>
      <c r="M783" s="99"/>
      <c r="N783" s="99">
        <f t="shared" si="175"/>
        <v>0</v>
      </c>
      <c r="O783" s="99">
        <f t="shared" si="176"/>
        <v>0</v>
      </c>
      <c r="P783" s="131">
        <v>0.9</v>
      </c>
      <c r="Q783" s="305">
        <f>_xlfn.XLOOKUP($I783,Inputs!$G$6:$G$23,Inputs!J$6:J$23)*$K783</f>
        <v>36</v>
      </c>
      <c r="R783" s="305">
        <f>_xlfn.XLOOKUP($I783,Inputs!$G$6:$G$23,Inputs!K$6:K$23)*$K783</f>
        <v>39</v>
      </c>
      <c r="S783" s="151" t="s">
        <v>2526</v>
      </c>
      <c r="T783" s="51" t="s">
        <v>2186</v>
      </c>
      <c r="U783" s="151" t="s">
        <v>1843</v>
      </c>
      <c r="V783" s="51" t="s">
        <v>3506</v>
      </c>
      <c r="W783" s="19"/>
      <c r="X783" s="19"/>
      <c r="Y783" s="99">
        <v>741</v>
      </c>
    </row>
    <row r="784" spans="2:25" s="165" customFormat="1" ht="20" x14ac:dyDescent="0.2">
      <c r="B784" s="150" t="s">
        <v>1237</v>
      </c>
      <c r="C784" s="33" t="s">
        <v>106</v>
      </c>
      <c r="D784" s="33" t="s">
        <v>2876</v>
      </c>
      <c r="E784" s="175">
        <v>1</v>
      </c>
      <c r="F784" s="151" t="s">
        <v>1128</v>
      </c>
      <c r="G784" s="152">
        <v>3</v>
      </c>
      <c r="H784" s="152">
        <v>1.8518518518518516</v>
      </c>
      <c r="I784" s="175">
        <v>69</v>
      </c>
      <c r="J784" s="266">
        <f>_xlfn.XLOOKUP($I784,Inputs!$C$6:$C$23,Inputs!$D$6:$D$23)*$G784</f>
        <v>1.1528571428571428</v>
      </c>
      <c r="K784" s="255"/>
      <c r="L784" s="186">
        <v>500</v>
      </c>
      <c r="M784" s="186">
        <v>600</v>
      </c>
      <c r="N784" s="99">
        <f t="shared" si="175"/>
        <v>59.755752861126261</v>
      </c>
      <c r="O784" s="99">
        <f t="shared" si="176"/>
        <v>71.706903433351513</v>
      </c>
      <c r="P784" s="131">
        <v>0.9</v>
      </c>
      <c r="Q784" s="186">
        <f t="shared" ref="Q784:Q792" si="178">N784*$P784</f>
        <v>53.780177575013639</v>
      </c>
      <c r="R784" s="186">
        <f t="shared" ref="R784:R792" si="179">O784*$P784</f>
        <v>64.536213090016361</v>
      </c>
      <c r="S784" s="151" t="s">
        <v>2525</v>
      </c>
      <c r="T784" s="51" t="s">
        <v>2184</v>
      </c>
      <c r="U784" s="151" t="s">
        <v>2526</v>
      </c>
      <c r="V784" s="51" t="s">
        <v>2186</v>
      </c>
      <c r="W784" s="19"/>
      <c r="X784" s="19"/>
      <c r="Y784" s="99">
        <v>740</v>
      </c>
    </row>
    <row r="785" spans="2:25" s="165" customFormat="1" ht="20" x14ac:dyDescent="0.2">
      <c r="B785" s="150" t="s">
        <v>438</v>
      </c>
      <c r="C785" s="33" t="s">
        <v>106</v>
      </c>
      <c r="D785" s="33" t="s">
        <v>2876</v>
      </c>
      <c r="E785" s="175">
        <v>1</v>
      </c>
      <c r="F785" s="151" t="s">
        <v>1128</v>
      </c>
      <c r="G785" s="152">
        <v>42.8906092</v>
      </c>
      <c r="H785" s="152">
        <v>26.475684691358023</v>
      </c>
      <c r="I785" s="175">
        <v>138</v>
      </c>
      <c r="J785" s="266">
        <f>_xlfn.XLOOKUP($I785,Inputs!$C$6:$C$23,Inputs!$D$6:$D$23)*$G785</f>
        <v>18.59614270314286</v>
      </c>
      <c r="K785" s="255"/>
      <c r="L785" s="186">
        <v>625</v>
      </c>
      <c r="M785" s="186">
        <v>805</v>
      </c>
      <c r="N785" s="99">
        <f t="shared" si="175"/>
        <v>149.38938215281567</v>
      </c>
      <c r="O785" s="99">
        <f t="shared" si="176"/>
        <v>192.41352421282656</v>
      </c>
      <c r="P785" s="131">
        <v>0.9</v>
      </c>
      <c r="Q785" s="186">
        <f t="shared" si="178"/>
        <v>134.45044393753412</v>
      </c>
      <c r="R785" s="186">
        <f t="shared" si="179"/>
        <v>173.17217179154392</v>
      </c>
      <c r="S785" s="151" t="s">
        <v>1651</v>
      </c>
      <c r="T785" s="51" t="s">
        <v>3244</v>
      </c>
      <c r="U785" s="151" t="s">
        <v>1844</v>
      </c>
      <c r="V785" s="51" t="s">
        <v>3724</v>
      </c>
      <c r="W785" s="19"/>
      <c r="X785" s="19"/>
      <c r="Y785" s="99">
        <v>82</v>
      </c>
    </row>
    <row r="786" spans="2:25" s="165" customFormat="1" ht="20" x14ac:dyDescent="0.2">
      <c r="B786" s="150" t="s">
        <v>1471</v>
      </c>
      <c r="C786" s="33" t="s">
        <v>106</v>
      </c>
      <c r="D786" s="33" t="s">
        <v>2876</v>
      </c>
      <c r="E786" s="175">
        <v>1</v>
      </c>
      <c r="F786" s="151" t="s">
        <v>1128</v>
      </c>
      <c r="G786" s="152">
        <v>0.13278299999999998</v>
      </c>
      <c r="H786" s="152">
        <v>8.1964814814814796E-2</v>
      </c>
      <c r="I786" s="175">
        <v>138</v>
      </c>
      <c r="J786" s="266">
        <f>_xlfn.XLOOKUP($I786,Inputs!$C$6:$C$23,Inputs!$D$6:$D$23)*$G786</f>
        <v>5.7570915E-2</v>
      </c>
      <c r="K786" s="255"/>
      <c r="L786" s="186">
        <v>337</v>
      </c>
      <c r="M786" s="186">
        <v>635</v>
      </c>
      <c r="N786" s="99">
        <f t="shared" si="175"/>
        <v>80.550754856798207</v>
      </c>
      <c r="O786" s="99">
        <f t="shared" si="176"/>
        <v>151.77961226726069</v>
      </c>
      <c r="P786" s="131">
        <v>0.9</v>
      </c>
      <c r="Q786" s="186">
        <f t="shared" si="178"/>
        <v>72.495679371118385</v>
      </c>
      <c r="R786" s="186">
        <f t="shared" si="179"/>
        <v>136.60165104053462</v>
      </c>
      <c r="S786" s="184" t="s">
        <v>2406</v>
      </c>
      <c r="T786" s="51" t="s">
        <v>2056</v>
      </c>
      <c r="U786" s="151" t="s">
        <v>1845</v>
      </c>
      <c r="V786" s="51" t="s">
        <v>3507</v>
      </c>
      <c r="W786" s="19"/>
      <c r="X786" s="19"/>
      <c r="Y786" s="99">
        <v>96</v>
      </c>
    </row>
    <row r="787" spans="2:25" s="165" customFormat="1" ht="20" x14ac:dyDescent="0.2">
      <c r="B787" s="150" t="s">
        <v>1473</v>
      </c>
      <c r="C787" s="33" t="s">
        <v>106</v>
      </c>
      <c r="D787" s="33" t="s">
        <v>2876</v>
      </c>
      <c r="E787" s="175">
        <v>1</v>
      </c>
      <c r="F787" s="151" t="s">
        <v>1128</v>
      </c>
      <c r="G787" s="152">
        <v>0.13697800000000002</v>
      </c>
      <c r="H787" s="152">
        <v>8.4554320987654322E-2</v>
      </c>
      <c r="I787" s="175">
        <v>138</v>
      </c>
      <c r="J787" s="266">
        <f>_xlfn.XLOOKUP($I787,Inputs!$C$6:$C$23,Inputs!$D$6:$D$23)*$G787</f>
        <v>5.9389747142857156E-2</v>
      </c>
      <c r="K787" s="255"/>
      <c r="L787" s="186">
        <v>337</v>
      </c>
      <c r="M787" s="186">
        <v>635</v>
      </c>
      <c r="N787" s="99">
        <f t="shared" si="175"/>
        <v>80.550754856798207</v>
      </c>
      <c r="O787" s="99">
        <f t="shared" si="176"/>
        <v>151.77961226726069</v>
      </c>
      <c r="P787" s="131">
        <v>0.9</v>
      </c>
      <c r="Q787" s="186">
        <f t="shared" si="178"/>
        <v>72.495679371118385</v>
      </c>
      <c r="R787" s="186">
        <f t="shared" si="179"/>
        <v>136.60165104053462</v>
      </c>
      <c r="S787" s="184" t="s">
        <v>2406</v>
      </c>
      <c r="T787" s="51" t="s">
        <v>2056</v>
      </c>
      <c r="U787" s="151" t="s">
        <v>1845</v>
      </c>
      <c r="V787" s="51" t="s">
        <v>3507</v>
      </c>
      <c r="W787" s="19"/>
      <c r="X787" s="19"/>
      <c r="Y787" s="99">
        <v>103</v>
      </c>
    </row>
    <row r="788" spans="2:25" s="165" customFormat="1" ht="20" x14ac:dyDescent="0.2">
      <c r="B788" s="150" t="s">
        <v>443</v>
      </c>
      <c r="C788" s="33" t="s">
        <v>106</v>
      </c>
      <c r="D788" s="33" t="s">
        <v>2876</v>
      </c>
      <c r="E788" s="175">
        <v>1</v>
      </c>
      <c r="F788" s="151" t="s">
        <v>1128</v>
      </c>
      <c r="G788" s="152">
        <v>13</v>
      </c>
      <c r="H788" s="152">
        <v>8.0246913580246915</v>
      </c>
      <c r="I788" s="175">
        <v>138</v>
      </c>
      <c r="J788" s="266">
        <f>_xlfn.XLOOKUP($I788,Inputs!$C$6:$C$23,Inputs!$D$6:$D$23)*$G788</f>
        <v>5.6364285714285716</v>
      </c>
      <c r="K788" s="255"/>
      <c r="L788" s="186">
        <v>635</v>
      </c>
      <c r="M788" s="186">
        <v>810</v>
      </c>
      <c r="N788" s="99">
        <f t="shared" si="175"/>
        <v>151.77961226726069</v>
      </c>
      <c r="O788" s="99">
        <f t="shared" si="176"/>
        <v>193.60863927004908</v>
      </c>
      <c r="P788" s="131">
        <v>0.9</v>
      </c>
      <c r="Q788" s="186">
        <f t="shared" si="178"/>
        <v>136.60165104053462</v>
      </c>
      <c r="R788" s="186">
        <f t="shared" si="179"/>
        <v>174.24777534304417</v>
      </c>
      <c r="S788" s="151" t="s">
        <v>2405</v>
      </c>
      <c r="T788" s="51" t="s">
        <v>2057</v>
      </c>
      <c r="U788" s="184" t="s">
        <v>2406</v>
      </c>
      <c r="V788" s="51" t="s">
        <v>2056</v>
      </c>
      <c r="W788" s="19"/>
      <c r="X788" s="19"/>
      <c r="Y788" s="99">
        <v>95</v>
      </c>
    </row>
    <row r="789" spans="2:25" s="165" customFormat="1" ht="20" x14ac:dyDescent="0.2">
      <c r="B789" s="150" t="s">
        <v>444</v>
      </c>
      <c r="C789" s="33" t="s">
        <v>106</v>
      </c>
      <c r="D789" s="33" t="s">
        <v>2876</v>
      </c>
      <c r="E789" s="175">
        <v>1</v>
      </c>
      <c r="F789" s="151" t="s">
        <v>1128</v>
      </c>
      <c r="G789" s="152">
        <v>13</v>
      </c>
      <c r="H789" s="152">
        <v>8.0246913580246915</v>
      </c>
      <c r="I789" s="175">
        <v>138</v>
      </c>
      <c r="J789" s="266">
        <f>_xlfn.XLOOKUP($I789,Inputs!$C$6:$C$23,Inputs!$D$6:$D$23)*$G789</f>
        <v>5.6364285714285716</v>
      </c>
      <c r="K789" s="255"/>
      <c r="L789" s="186">
        <v>635</v>
      </c>
      <c r="M789" s="186">
        <v>810</v>
      </c>
      <c r="N789" s="99">
        <f t="shared" si="175"/>
        <v>151.77961226726069</v>
      </c>
      <c r="O789" s="99">
        <f t="shared" si="176"/>
        <v>193.60863927004908</v>
      </c>
      <c r="P789" s="131">
        <v>0.9</v>
      </c>
      <c r="Q789" s="186">
        <f t="shared" si="178"/>
        <v>136.60165104053462</v>
      </c>
      <c r="R789" s="186">
        <f t="shared" si="179"/>
        <v>174.24777534304417</v>
      </c>
      <c r="S789" s="151" t="s">
        <v>2405</v>
      </c>
      <c r="T789" s="51" t="s">
        <v>2057</v>
      </c>
      <c r="U789" s="184" t="s">
        <v>2406</v>
      </c>
      <c r="V789" s="51" t="s">
        <v>2056</v>
      </c>
      <c r="W789" s="19"/>
      <c r="X789" s="19"/>
      <c r="Y789" s="99">
        <v>102</v>
      </c>
    </row>
    <row r="790" spans="2:25" s="165" customFormat="1" ht="20" x14ac:dyDescent="0.2">
      <c r="B790" s="150" t="s">
        <v>439</v>
      </c>
      <c r="C790" s="33" t="s">
        <v>106</v>
      </c>
      <c r="D790" s="33" t="s">
        <v>2876</v>
      </c>
      <c r="E790" s="175">
        <v>1</v>
      </c>
      <c r="F790" s="151" t="s">
        <v>1128</v>
      </c>
      <c r="G790" s="152">
        <v>30</v>
      </c>
      <c r="H790" s="152">
        <v>18.518518518518519</v>
      </c>
      <c r="I790" s="175">
        <v>138</v>
      </c>
      <c r="J790" s="266">
        <f>_xlfn.XLOOKUP($I790,Inputs!$C$6:$C$23,Inputs!$D$6:$D$23)*$G790</f>
        <v>13.007142857142858</v>
      </c>
      <c r="K790" s="255"/>
      <c r="L790" s="186">
        <v>520</v>
      </c>
      <c r="M790" s="186">
        <v>735</v>
      </c>
      <c r="N790" s="99">
        <f t="shared" si="175"/>
        <v>124.29196595114263</v>
      </c>
      <c r="O790" s="99">
        <f t="shared" si="176"/>
        <v>175.68191341171124</v>
      </c>
      <c r="P790" s="131">
        <v>0.9</v>
      </c>
      <c r="Q790" s="186">
        <f t="shared" si="178"/>
        <v>111.86276935602837</v>
      </c>
      <c r="R790" s="186">
        <f t="shared" si="179"/>
        <v>158.11372207054012</v>
      </c>
      <c r="S790" s="151" t="s">
        <v>2402</v>
      </c>
      <c r="T790" s="51" t="s">
        <v>2052</v>
      </c>
      <c r="U790" s="151" t="s">
        <v>1846</v>
      </c>
      <c r="V790" s="51" t="s">
        <v>3313</v>
      </c>
      <c r="W790" s="19"/>
      <c r="X790" s="19"/>
      <c r="Y790" s="99">
        <v>85</v>
      </c>
    </row>
    <row r="791" spans="2:25" s="165" customFormat="1" ht="20" x14ac:dyDescent="0.2">
      <c r="B791" s="150" t="s">
        <v>450</v>
      </c>
      <c r="C791" s="33" t="s">
        <v>106</v>
      </c>
      <c r="D791" s="33" t="s">
        <v>2876</v>
      </c>
      <c r="E791" s="175">
        <v>1</v>
      </c>
      <c r="F791" s="151" t="s">
        <v>1128</v>
      </c>
      <c r="G791" s="152">
        <v>18</v>
      </c>
      <c r="H791" s="152">
        <v>11.111111111111111</v>
      </c>
      <c r="I791" s="175">
        <v>138</v>
      </c>
      <c r="J791" s="266">
        <f>_xlfn.XLOOKUP($I791,Inputs!$C$6:$C$23,Inputs!$D$6:$D$23)*$G791</f>
        <v>7.8042857142857152</v>
      </c>
      <c r="K791" s="255"/>
      <c r="L791" s="186">
        <v>520</v>
      </c>
      <c r="M791" s="186">
        <v>735</v>
      </c>
      <c r="N791" s="99">
        <f t="shared" si="175"/>
        <v>124.29196595114263</v>
      </c>
      <c r="O791" s="99">
        <f t="shared" si="176"/>
        <v>175.68191341171124</v>
      </c>
      <c r="P791" s="131">
        <v>0.9</v>
      </c>
      <c r="Q791" s="186">
        <f t="shared" si="178"/>
        <v>111.86276935602837</v>
      </c>
      <c r="R791" s="186">
        <f t="shared" si="179"/>
        <v>158.11372207054012</v>
      </c>
      <c r="S791" s="151" t="s">
        <v>2408</v>
      </c>
      <c r="T791" s="51" t="s">
        <v>2059</v>
      </c>
      <c r="U791" s="151" t="s">
        <v>1846</v>
      </c>
      <c r="V791" s="51" t="s">
        <v>3313</v>
      </c>
      <c r="W791" s="19"/>
      <c r="X791" s="19"/>
      <c r="Y791" s="99">
        <v>120</v>
      </c>
    </row>
    <row r="792" spans="2:25" s="165" customFormat="1" ht="20" x14ac:dyDescent="0.2">
      <c r="B792" s="150" t="s">
        <v>1351</v>
      </c>
      <c r="C792" s="33" t="s">
        <v>106</v>
      </c>
      <c r="D792" s="33" t="s">
        <v>2876</v>
      </c>
      <c r="E792" s="175">
        <v>1</v>
      </c>
      <c r="F792" s="151" t="s">
        <v>1128</v>
      </c>
      <c r="G792" s="152">
        <v>6.2316282000000003</v>
      </c>
      <c r="H792" s="152">
        <v>3.8466840740740742</v>
      </c>
      <c r="I792" s="175">
        <v>69</v>
      </c>
      <c r="J792" s="266">
        <f>_xlfn.XLOOKUP($I792,Inputs!$C$6:$C$23,Inputs!$D$6:$D$23)*$G792</f>
        <v>2.3947256939999999</v>
      </c>
      <c r="K792" s="255"/>
      <c r="L792" s="186">
        <v>450</v>
      </c>
      <c r="M792" s="186">
        <v>760</v>
      </c>
      <c r="N792" s="99">
        <f t="shared" si="175"/>
        <v>53.780177575013639</v>
      </c>
      <c r="O792" s="99">
        <f t="shared" si="176"/>
        <v>90.828744348911911</v>
      </c>
      <c r="P792" s="131">
        <v>0.9</v>
      </c>
      <c r="Q792" s="186">
        <f t="shared" si="178"/>
        <v>48.402159817512278</v>
      </c>
      <c r="R792" s="186">
        <f t="shared" si="179"/>
        <v>81.745869914020716</v>
      </c>
      <c r="S792" s="151" t="s">
        <v>365</v>
      </c>
      <c r="T792" s="51" t="s">
        <v>3355</v>
      </c>
      <c r="U792" s="151" t="s">
        <v>1847</v>
      </c>
      <c r="V792" s="51" t="s">
        <v>3509</v>
      </c>
      <c r="W792" s="19"/>
      <c r="X792" s="19"/>
      <c r="Y792" s="99">
        <v>938</v>
      </c>
    </row>
    <row r="793" spans="2:25" s="165" customFormat="1" ht="20" x14ac:dyDescent="0.2">
      <c r="B793" s="150" t="s">
        <v>1355</v>
      </c>
      <c r="C793" s="33" t="s">
        <v>106</v>
      </c>
      <c r="D793" s="33" t="s">
        <v>2876</v>
      </c>
      <c r="E793" s="175">
        <v>1</v>
      </c>
      <c r="F793" s="151" t="s">
        <v>1128</v>
      </c>
      <c r="G793" s="152">
        <v>0.10207380000000001</v>
      </c>
      <c r="H793" s="152">
        <v>6.3008518518518519E-2</v>
      </c>
      <c r="I793" s="175">
        <v>69</v>
      </c>
      <c r="J793" s="266">
        <f>_xlfn.XLOOKUP($I793,Inputs!$C$6:$C$23,Inputs!$D$6:$D$23)*$G793</f>
        <v>3.9225503142857145E-2</v>
      </c>
      <c r="K793" s="267">
        <f>IF((42.4*(H793)^(-0.6595))&gt;=3,3,(IF(42.4*(H793)^(-0.6595)&lt;=0.5,0.5,(42.4*(H793)^(-0.6595)))))</f>
        <v>3</v>
      </c>
      <c r="L793" s="99"/>
      <c r="M793" s="99"/>
      <c r="N793" s="99">
        <f t="shared" si="175"/>
        <v>0</v>
      </c>
      <c r="O793" s="99">
        <f t="shared" si="176"/>
        <v>0</v>
      </c>
      <c r="P793" s="131">
        <v>0.9</v>
      </c>
      <c r="Q793" s="305">
        <f>_xlfn.XLOOKUP($I793,Inputs!$G$6:$G$23,Inputs!J$6:J$23)*$K793</f>
        <v>36</v>
      </c>
      <c r="R793" s="305">
        <f>_xlfn.XLOOKUP($I793,Inputs!$G$6:$G$23,Inputs!K$6:K$23)*$K793</f>
        <v>39</v>
      </c>
      <c r="S793" s="151" t="s">
        <v>2587</v>
      </c>
      <c r="T793" s="51" t="s">
        <v>2247</v>
      </c>
      <c r="U793" s="151" t="s">
        <v>1847</v>
      </c>
      <c r="V793" s="51" t="s">
        <v>3509</v>
      </c>
      <c r="W793" s="19"/>
      <c r="X793" s="19"/>
      <c r="Y793" s="99">
        <v>941</v>
      </c>
    </row>
    <row r="794" spans="2:25" s="165" customFormat="1" ht="20" x14ac:dyDescent="0.2">
      <c r="B794" s="150" t="s">
        <v>1353</v>
      </c>
      <c r="C794" s="33" t="s">
        <v>106</v>
      </c>
      <c r="D794" s="33" t="s">
        <v>2876</v>
      </c>
      <c r="E794" s="175">
        <v>1</v>
      </c>
      <c r="F794" s="151" t="s">
        <v>1128</v>
      </c>
      <c r="G794" s="152">
        <v>6.41</v>
      </c>
      <c r="H794" s="152">
        <v>3.9567901234567899</v>
      </c>
      <c r="I794" s="175">
        <v>69</v>
      </c>
      <c r="J794" s="266">
        <f>_xlfn.XLOOKUP($I794,Inputs!$C$6:$C$23,Inputs!$D$6:$D$23)*$G794</f>
        <v>2.4632714285714288</v>
      </c>
      <c r="K794" s="255"/>
      <c r="L794" s="186">
        <v>850</v>
      </c>
      <c r="M794" s="186">
        <v>1020</v>
      </c>
      <c r="N794" s="99">
        <f t="shared" si="175"/>
        <v>101.58477986391465</v>
      </c>
      <c r="O794" s="99">
        <f t="shared" si="176"/>
        <v>121.90173583669757</v>
      </c>
      <c r="P794" s="131">
        <v>0.9</v>
      </c>
      <c r="Q794" s="186">
        <f t="shared" ref="Q794:Q802" si="180">N794*$P794</f>
        <v>91.426301877523187</v>
      </c>
      <c r="R794" s="186">
        <f t="shared" ref="R794:R802" si="181">O794*$P794</f>
        <v>109.71156225302781</v>
      </c>
      <c r="S794" s="151" t="s">
        <v>365</v>
      </c>
      <c r="T794" s="51" t="s">
        <v>3355</v>
      </c>
      <c r="U794" s="151" t="s">
        <v>2587</v>
      </c>
      <c r="V794" s="51" t="s">
        <v>2247</v>
      </c>
      <c r="W794" s="19"/>
      <c r="X794" s="19"/>
      <c r="Y794" s="99">
        <v>940</v>
      </c>
    </row>
    <row r="795" spans="2:25" s="165" customFormat="1" ht="20" x14ac:dyDescent="0.2">
      <c r="B795" s="150" t="s">
        <v>1472</v>
      </c>
      <c r="C795" s="33" t="s">
        <v>106</v>
      </c>
      <c r="D795" s="33" t="s">
        <v>2876</v>
      </c>
      <c r="E795" s="175">
        <v>1</v>
      </c>
      <c r="F795" s="151" t="s">
        <v>1128</v>
      </c>
      <c r="G795" s="152">
        <v>5.67181E-2</v>
      </c>
      <c r="H795" s="152">
        <v>3.5011172839506173E-2</v>
      </c>
      <c r="I795" s="175">
        <v>138</v>
      </c>
      <c r="J795" s="266">
        <f>_xlfn.XLOOKUP($I795,Inputs!$C$6:$C$23,Inputs!$D$6:$D$23)*$G795</f>
        <v>2.4591347642857146E-2</v>
      </c>
      <c r="K795" s="255"/>
      <c r="L795" s="186">
        <v>635</v>
      </c>
      <c r="M795" s="186">
        <v>810</v>
      </c>
      <c r="N795" s="99">
        <f t="shared" si="175"/>
        <v>151.77961226726069</v>
      </c>
      <c r="O795" s="99">
        <f t="shared" si="176"/>
        <v>193.60863927004908</v>
      </c>
      <c r="P795" s="131">
        <v>0.9</v>
      </c>
      <c r="Q795" s="186">
        <f t="shared" si="180"/>
        <v>136.60165104053462</v>
      </c>
      <c r="R795" s="186">
        <f t="shared" si="181"/>
        <v>174.24777534304417</v>
      </c>
      <c r="S795" s="151" t="s">
        <v>2405</v>
      </c>
      <c r="T795" s="51" t="s">
        <v>2057</v>
      </c>
      <c r="U795" s="151" t="s">
        <v>1848</v>
      </c>
      <c r="V795" s="51" t="s">
        <v>3510</v>
      </c>
      <c r="W795" s="19"/>
      <c r="X795" s="19"/>
      <c r="Y795" s="99">
        <v>94</v>
      </c>
    </row>
    <row r="796" spans="2:25" s="165" customFormat="1" ht="20" x14ac:dyDescent="0.2">
      <c r="B796" s="150" t="s">
        <v>1474</v>
      </c>
      <c r="C796" s="33" t="s">
        <v>106</v>
      </c>
      <c r="D796" s="33" t="s">
        <v>2876</v>
      </c>
      <c r="E796" s="175">
        <v>1</v>
      </c>
      <c r="F796" s="151" t="s">
        <v>1128</v>
      </c>
      <c r="G796" s="152">
        <v>4.89097E-2</v>
      </c>
      <c r="H796" s="152">
        <v>3.0191172839506172E-2</v>
      </c>
      <c r="I796" s="175">
        <v>138</v>
      </c>
      <c r="J796" s="266">
        <f>_xlfn.XLOOKUP($I796,Inputs!$C$6:$C$23,Inputs!$D$6:$D$23)*$G796</f>
        <v>2.1205848500000003E-2</v>
      </c>
      <c r="K796" s="255"/>
      <c r="L796" s="186">
        <v>635</v>
      </c>
      <c r="M796" s="186">
        <v>810</v>
      </c>
      <c r="N796" s="99">
        <f t="shared" si="175"/>
        <v>151.77961226726069</v>
      </c>
      <c r="O796" s="99">
        <f t="shared" si="176"/>
        <v>193.60863927004908</v>
      </c>
      <c r="P796" s="131">
        <v>0.9</v>
      </c>
      <c r="Q796" s="186">
        <f t="shared" si="180"/>
        <v>136.60165104053462</v>
      </c>
      <c r="R796" s="186">
        <f t="shared" si="181"/>
        <v>174.24777534304417</v>
      </c>
      <c r="S796" s="151" t="s">
        <v>2405</v>
      </c>
      <c r="T796" s="51" t="s">
        <v>2057</v>
      </c>
      <c r="U796" s="151" t="s">
        <v>1848</v>
      </c>
      <c r="V796" s="51" t="s">
        <v>3510</v>
      </c>
      <c r="W796" s="19"/>
      <c r="X796" s="19"/>
      <c r="Y796" s="99">
        <v>101</v>
      </c>
    </row>
    <row r="797" spans="2:25" s="165" customFormat="1" ht="20" x14ac:dyDescent="0.2">
      <c r="B797" s="150" t="s">
        <v>443</v>
      </c>
      <c r="C797" s="33" t="s">
        <v>106</v>
      </c>
      <c r="D797" s="33" t="s">
        <v>2876</v>
      </c>
      <c r="E797" s="175">
        <v>1</v>
      </c>
      <c r="F797" s="151" t="s">
        <v>1128</v>
      </c>
      <c r="G797" s="152">
        <v>13</v>
      </c>
      <c r="H797" s="152">
        <v>8.0246913580246915</v>
      </c>
      <c r="I797" s="175">
        <v>138</v>
      </c>
      <c r="J797" s="266">
        <f>_xlfn.XLOOKUP($I797,Inputs!$C$6:$C$23,Inputs!$D$6:$D$23)*$G797</f>
        <v>5.6364285714285716</v>
      </c>
      <c r="K797" s="255"/>
      <c r="L797" s="186">
        <v>635</v>
      </c>
      <c r="M797" s="186">
        <v>810</v>
      </c>
      <c r="N797" s="99">
        <f t="shared" si="175"/>
        <v>151.77961226726069</v>
      </c>
      <c r="O797" s="99">
        <f t="shared" si="176"/>
        <v>193.60863927004908</v>
      </c>
      <c r="P797" s="131">
        <v>0.9</v>
      </c>
      <c r="Q797" s="186">
        <f t="shared" si="180"/>
        <v>136.60165104053462</v>
      </c>
      <c r="R797" s="186">
        <f t="shared" si="181"/>
        <v>174.24777534304417</v>
      </c>
      <c r="S797" s="151" t="s">
        <v>1651</v>
      </c>
      <c r="T797" s="51" t="s">
        <v>3244</v>
      </c>
      <c r="U797" s="151" t="s">
        <v>2405</v>
      </c>
      <c r="V797" s="51" t="s">
        <v>2057</v>
      </c>
      <c r="W797" s="19"/>
      <c r="X797" s="19"/>
      <c r="Y797" s="99">
        <v>93</v>
      </c>
    </row>
    <row r="798" spans="2:25" s="165" customFormat="1" ht="20" x14ac:dyDescent="0.2">
      <c r="B798" s="150" t="s">
        <v>444</v>
      </c>
      <c r="C798" s="33" t="s">
        <v>106</v>
      </c>
      <c r="D798" s="33" t="s">
        <v>2876</v>
      </c>
      <c r="E798" s="175">
        <v>1</v>
      </c>
      <c r="F798" s="151" t="s">
        <v>1128</v>
      </c>
      <c r="G798" s="152">
        <v>13</v>
      </c>
      <c r="H798" s="152">
        <v>8.0246913580246915</v>
      </c>
      <c r="I798" s="175">
        <v>138</v>
      </c>
      <c r="J798" s="266">
        <f>_xlfn.XLOOKUP($I798,Inputs!$C$6:$C$23,Inputs!$D$6:$D$23)*$G798</f>
        <v>5.6364285714285716</v>
      </c>
      <c r="K798" s="255"/>
      <c r="L798" s="186">
        <v>635</v>
      </c>
      <c r="M798" s="186">
        <v>810</v>
      </c>
      <c r="N798" s="99">
        <f t="shared" si="175"/>
        <v>151.77961226726069</v>
      </c>
      <c r="O798" s="99">
        <f t="shared" si="176"/>
        <v>193.60863927004908</v>
      </c>
      <c r="P798" s="131">
        <v>0.9</v>
      </c>
      <c r="Q798" s="186">
        <f t="shared" si="180"/>
        <v>136.60165104053462</v>
      </c>
      <c r="R798" s="186">
        <f t="shared" si="181"/>
        <v>174.24777534304417</v>
      </c>
      <c r="S798" s="151" t="s">
        <v>1651</v>
      </c>
      <c r="T798" s="51" t="s">
        <v>3244</v>
      </c>
      <c r="U798" s="151" t="s">
        <v>2405</v>
      </c>
      <c r="V798" s="51" t="s">
        <v>2057</v>
      </c>
      <c r="W798" s="19"/>
      <c r="X798" s="19"/>
      <c r="Y798" s="99">
        <v>100</v>
      </c>
    </row>
    <row r="799" spans="2:25" s="165" customFormat="1" ht="20" x14ac:dyDescent="0.2">
      <c r="B799" s="150" t="s">
        <v>620</v>
      </c>
      <c r="C799" s="33" t="s">
        <v>106</v>
      </c>
      <c r="D799" s="33" t="s">
        <v>2876</v>
      </c>
      <c r="E799" s="175">
        <v>1</v>
      </c>
      <c r="F799" s="151" t="s">
        <v>1128</v>
      </c>
      <c r="G799" s="152">
        <v>2.38</v>
      </c>
      <c r="H799" s="152">
        <v>1.4691358024691357</v>
      </c>
      <c r="I799" s="175">
        <v>230</v>
      </c>
      <c r="J799" s="266">
        <f>_xlfn.XLOOKUP($I799,Inputs!$C$6:$C$23,Inputs!$D$6:$D$23)*$G799</f>
        <v>1.1423999999999999</v>
      </c>
      <c r="K799" s="255"/>
      <c r="L799" s="186">
        <v>1055</v>
      </c>
      <c r="M799" s="186">
        <v>1280</v>
      </c>
      <c r="N799" s="99">
        <f t="shared" si="175"/>
        <v>420.282128456588</v>
      </c>
      <c r="O799" s="99">
        <f t="shared" si="176"/>
        <v>509.91575774827737</v>
      </c>
      <c r="P799" s="131">
        <v>0.9</v>
      </c>
      <c r="Q799" s="186">
        <f t="shared" si="180"/>
        <v>378.2539156109292</v>
      </c>
      <c r="R799" s="186">
        <f t="shared" si="181"/>
        <v>458.92418197344966</v>
      </c>
      <c r="S799" s="151" t="s">
        <v>2478</v>
      </c>
      <c r="T799" s="51" t="s">
        <v>2133</v>
      </c>
      <c r="U799" s="151" t="s">
        <v>1849</v>
      </c>
      <c r="V799" s="51" t="s">
        <v>3480</v>
      </c>
      <c r="W799" s="19"/>
      <c r="X799" s="19"/>
      <c r="Y799" s="99">
        <v>488</v>
      </c>
    </row>
    <row r="800" spans="2:25" s="165" customFormat="1" ht="20" x14ac:dyDescent="0.2">
      <c r="B800" s="150" t="s">
        <v>612</v>
      </c>
      <c r="C800" s="33" t="s">
        <v>106</v>
      </c>
      <c r="D800" s="33" t="s">
        <v>2876</v>
      </c>
      <c r="E800" s="175">
        <v>1</v>
      </c>
      <c r="F800" s="151" t="s">
        <v>1128</v>
      </c>
      <c r="G800" s="152">
        <v>5.3479242999999999</v>
      </c>
      <c r="H800" s="152">
        <v>3.3011878395061727</v>
      </c>
      <c r="I800" s="175">
        <v>230</v>
      </c>
      <c r="J800" s="266">
        <f>_xlfn.XLOOKUP($I800,Inputs!$C$6:$C$23,Inputs!$D$6:$D$23)*$G800</f>
        <v>2.567003664</v>
      </c>
      <c r="K800" s="255"/>
      <c r="L800" s="186">
        <v>1050</v>
      </c>
      <c r="M800" s="186">
        <v>1275</v>
      </c>
      <c r="N800" s="99">
        <f t="shared" si="175"/>
        <v>418.29027002788382</v>
      </c>
      <c r="O800" s="99">
        <f t="shared" si="176"/>
        <v>507.9238993195732</v>
      </c>
      <c r="P800" s="131">
        <v>0.9</v>
      </c>
      <c r="Q800" s="186">
        <f t="shared" si="180"/>
        <v>376.46124302509543</v>
      </c>
      <c r="R800" s="186">
        <f t="shared" si="181"/>
        <v>457.13150938761589</v>
      </c>
      <c r="S800" s="151" t="s">
        <v>1594</v>
      </c>
      <c r="T800" s="51" t="s">
        <v>3223</v>
      </c>
      <c r="U800" s="151" t="s">
        <v>1850</v>
      </c>
      <c r="V800" s="51" t="s">
        <v>3674</v>
      </c>
      <c r="W800" s="19"/>
      <c r="X800" s="19"/>
      <c r="Y800" s="99">
        <v>470</v>
      </c>
    </row>
    <row r="801" spans="2:25" s="165" customFormat="1" ht="20" x14ac:dyDescent="0.2">
      <c r="B801" s="151" t="s">
        <v>1109</v>
      </c>
      <c r="C801" s="33" t="s">
        <v>106</v>
      </c>
      <c r="D801" s="33" t="s">
        <v>2876</v>
      </c>
      <c r="E801" s="175">
        <v>1</v>
      </c>
      <c r="F801" s="151" t="s">
        <v>1128</v>
      </c>
      <c r="G801" s="174">
        <v>1</v>
      </c>
      <c r="H801" s="152">
        <v>0.61728395061728392</v>
      </c>
      <c r="I801" s="175">
        <v>230</v>
      </c>
      <c r="J801" s="266">
        <f>_xlfn.XLOOKUP($I801,Inputs!$C$6:$C$23,Inputs!$D$6:$D$23)*$G801</f>
        <v>0.48</v>
      </c>
      <c r="K801" s="255"/>
      <c r="L801" s="186">
        <v>964</v>
      </c>
      <c r="M801" s="186">
        <v>1127</v>
      </c>
      <c r="N801" s="99">
        <f t="shared" si="175"/>
        <v>384.03030505417149</v>
      </c>
      <c r="O801" s="99">
        <f t="shared" si="176"/>
        <v>448.96488982992867</v>
      </c>
      <c r="P801" s="131">
        <v>0.9</v>
      </c>
      <c r="Q801" s="186">
        <f t="shared" si="180"/>
        <v>345.62727454875437</v>
      </c>
      <c r="R801" s="186">
        <f t="shared" si="181"/>
        <v>404.06840084693579</v>
      </c>
      <c r="S801" s="151" t="s">
        <v>274</v>
      </c>
      <c r="T801" s="51" t="s">
        <v>3343</v>
      </c>
      <c r="U801" s="151" t="s">
        <v>2322</v>
      </c>
      <c r="V801" s="51" t="s">
        <v>3151</v>
      </c>
      <c r="W801" s="19"/>
      <c r="X801" s="19"/>
      <c r="Y801" s="99">
        <v>481</v>
      </c>
    </row>
    <row r="802" spans="2:25" s="165" customFormat="1" ht="20" x14ac:dyDescent="0.2">
      <c r="B802" s="150" t="s">
        <v>575</v>
      </c>
      <c r="C802" s="33" t="s">
        <v>106</v>
      </c>
      <c r="D802" s="33" t="s">
        <v>2876</v>
      </c>
      <c r="E802" s="175">
        <v>1</v>
      </c>
      <c r="F802" s="151" t="s">
        <v>1128</v>
      </c>
      <c r="G802" s="152">
        <v>85.336781900000005</v>
      </c>
      <c r="H802" s="152">
        <v>52.677025864197532</v>
      </c>
      <c r="I802" s="175">
        <v>230</v>
      </c>
      <c r="J802" s="266">
        <f>_xlfn.XLOOKUP($I802,Inputs!$C$6:$C$23,Inputs!$D$6:$D$23)*$G802</f>
        <v>40.961655311999998</v>
      </c>
      <c r="K802" s="255"/>
      <c r="L802" s="186">
        <v>510</v>
      </c>
      <c r="M802" s="186">
        <v>942</v>
      </c>
      <c r="N802" s="99">
        <f t="shared" si="175"/>
        <v>203.1695597278293</v>
      </c>
      <c r="O802" s="99">
        <f t="shared" si="176"/>
        <v>375.26612796787288</v>
      </c>
      <c r="P802" s="131">
        <v>0.9</v>
      </c>
      <c r="Q802" s="186">
        <f t="shared" si="180"/>
        <v>182.85260375504637</v>
      </c>
      <c r="R802" s="186">
        <f t="shared" si="181"/>
        <v>337.7395151710856</v>
      </c>
      <c r="S802" s="151" t="s">
        <v>1872</v>
      </c>
      <c r="T802" s="51" t="s">
        <v>3180</v>
      </c>
      <c r="U802" s="151" t="s">
        <v>1851</v>
      </c>
      <c r="V802" s="51" t="s">
        <v>3315</v>
      </c>
      <c r="W802" s="19"/>
      <c r="X802" s="19"/>
      <c r="Y802" s="99">
        <v>424</v>
      </c>
    </row>
    <row r="803" spans="2:25" s="165" customFormat="1" ht="20" x14ac:dyDescent="0.2">
      <c r="B803" s="150" t="s">
        <v>1455</v>
      </c>
      <c r="C803" s="33" t="s">
        <v>106</v>
      </c>
      <c r="D803" s="33" t="s">
        <v>2876</v>
      </c>
      <c r="E803" s="175">
        <v>1</v>
      </c>
      <c r="F803" s="151" t="s">
        <v>1128</v>
      </c>
      <c r="G803" s="152">
        <v>0.45305970000000001</v>
      </c>
      <c r="H803" s="152">
        <v>0.27966648148148149</v>
      </c>
      <c r="I803" s="175">
        <v>230</v>
      </c>
      <c r="J803" s="266">
        <f>_xlfn.XLOOKUP($I803,Inputs!$C$6:$C$23,Inputs!$D$6:$D$23)*$G803</f>
        <v>0.21746865600000001</v>
      </c>
      <c r="K803" s="267">
        <f>IF((42.4*(H803)^(-0.6595))&gt;=3,3,(IF(42.4*(H803)^(-0.6595)&lt;=0.5,0.5,(42.4*(H803)^(-0.6595)))))</f>
        <v>3</v>
      </c>
      <c r="L803" s="99"/>
      <c r="M803" s="99"/>
      <c r="N803" s="99">
        <f t="shared" si="175"/>
        <v>0</v>
      </c>
      <c r="O803" s="99">
        <f t="shared" si="176"/>
        <v>0</v>
      </c>
      <c r="P803" s="131">
        <v>0.9</v>
      </c>
      <c r="Q803" s="305">
        <f>_xlfn.XLOOKUP($I803,Inputs!$G$6:$G$23,Inputs!J$6:J$23)*$K803</f>
        <v>402</v>
      </c>
      <c r="R803" s="305">
        <f>_xlfn.XLOOKUP($I803,Inputs!$G$6:$G$23,Inputs!K$6:K$23)*$K803</f>
        <v>435</v>
      </c>
      <c r="S803" s="151" t="s">
        <v>2469</v>
      </c>
      <c r="T803" s="51" t="s">
        <v>2121</v>
      </c>
      <c r="U803" s="151" t="s">
        <v>1852</v>
      </c>
      <c r="V803" s="179" t="s">
        <v>3511</v>
      </c>
      <c r="W803" s="19"/>
      <c r="X803" s="19"/>
      <c r="Y803" s="99">
        <v>341</v>
      </c>
    </row>
    <row r="804" spans="2:25" s="165" customFormat="1" ht="20" x14ac:dyDescent="0.2">
      <c r="B804" s="150" t="s">
        <v>1456</v>
      </c>
      <c r="C804" s="33" t="s">
        <v>106</v>
      </c>
      <c r="D804" s="33" t="s">
        <v>2876</v>
      </c>
      <c r="E804" s="175">
        <v>1</v>
      </c>
      <c r="F804" s="151" t="s">
        <v>1128</v>
      </c>
      <c r="G804" s="152">
        <v>0.43349180000000004</v>
      </c>
      <c r="H804" s="152">
        <v>0.26758753086419751</v>
      </c>
      <c r="I804" s="175">
        <v>230</v>
      </c>
      <c r="J804" s="266">
        <f>_xlfn.XLOOKUP($I804,Inputs!$C$6:$C$23,Inputs!$D$6:$D$23)*$G804</f>
        <v>0.20807606400000001</v>
      </c>
      <c r="K804" s="255"/>
      <c r="L804" s="186">
        <v>1047</v>
      </c>
      <c r="M804" s="186">
        <v>1274</v>
      </c>
      <c r="N804" s="99">
        <f t="shared" si="175"/>
        <v>417.09515497066133</v>
      </c>
      <c r="O804" s="99">
        <f t="shared" si="176"/>
        <v>507.52552763383244</v>
      </c>
      <c r="P804" s="131">
        <v>0.9</v>
      </c>
      <c r="Q804" s="186">
        <f t="shared" ref="Q804:R808" si="182">N804*$P804</f>
        <v>375.38563947359518</v>
      </c>
      <c r="R804" s="186">
        <f t="shared" si="182"/>
        <v>456.77297487044922</v>
      </c>
      <c r="S804" s="151" t="s">
        <v>2469</v>
      </c>
      <c r="T804" s="51" t="s">
        <v>2121</v>
      </c>
      <c r="U804" s="151" t="s">
        <v>1852</v>
      </c>
      <c r="V804" s="51" t="s">
        <v>3511</v>
      </c>
      <c r="W804" s="19"/>
      <c r="X804" s="19"/>
      <c r="Y804" s="99">
        <v>349</v>
      </c>
    </row>
    <row r="805" spans="2:25" s="165" customFormat="1" ht="20" x14ac:dyDescent="0.2">
      <c r="B805" s="150" t="s">
        <v>521</v>
      </c>
      <c r="C805" s="33" t="s">
        <v>106</v>
      </c>
      <c r="D805" s="33" t="s">
        <v>2876</v>
      </c>
      <c r="E805" s="175">
        <v>1</v>
      </c>
      <c r="F805" s="151" t="s">
        <v>1128</v>
      </c>
      <c r="G805" s="152">
        <v>7.92</v>
      </c>
      <c r="H805" s="152">
        <v>4.8888888888888884</v>
      </c>
      <c r="I805" s="175">
        <v>230</v>
      </c>
      <c r="J805" s="266">
        <f>_xlfn.XLOOKUP($I805,Inputs!$C$6:$C$23,Inputs!$D$6:$D$23)*$G805</f>
        <v>3.8015999999999996</v>
      </c>
      <c r="K805" s="255"/>
      <c r="L805" s="186">
        <v>505</v>
      </c>
      <c r="M805" s="186">
        <v>884</v>
      </c>
      <c r="N805" s="99">
        <f t="shared" si="175"/>
        <v>201.17770129912509</v>
      </c>
      <c r="O805" s="99">
        <f t="shared" si="176"/>
        <v>352.1605701949041</v>
      </c>
      <c r="P805" s="131">
        <v>0.9</v>
      </c>
      <c r="Q805" s="186">
        <f t="shared" si="182"/>
        <v>181.05993116921258</v>
      </c>
      <c r="R805" s="186">
        <f t="shared" si="182"/>
        <v>316.9445131754137</v>
      </c>
      <c r="S805" s="151" t="s">
        <v>1671</v>
      </c>
      <c r="T805" s="51" t="s">
        <v>3183</v>
      </c>
      <c r="U805" s="151" t="s">
        <v>2469</v>
      </c>
      <c r="V805" s="51" t="s">
        <v>2121</v>
      </c>
      <c r="W805" s="19"/>
      <c r="X805" s="19"/>
      <c r="Y805" s="99">
        <v>340</v>
      </c>
    </row>
    <row r="806" spans="2:25" s="165" customFormat="1" ht="20" x14ac:dyDescent="0.2">
      <c r="B806" s="150" t="s">
        <v>522</v>
      </c>
      <c r="C806" s="33" t="s">
        <v>106</v>
      </c>
      <c r="D806" s="33" t="s">
        <v>2876</v>
      </c>
      <c r="E806" s="175">
        <v>1</v>
      </c>
      <c r="F806" s="151" t="s">
        <v>1128</v>
      </c>
      <c r="G806" s="152">
        <v>12.43</v>
      </c>
      <c r="H806" s="152">
        <v>7.6728395061728385</v>
      </c>
      <c r="I806" s="175">
        <v>230</v>
      </c>
      <c r="J806" s="266">
        <f>_xlfn.XLOOKUP($I806,Inputs!$C$6:$C$23,Inputs!$D$6:$D$23)*$G806</f>
        <v>5.9663999999999993</v>
      </c>
      <c r="K806" s="255"/>
      <c r="L806" s="186">
        <v>952</v>
      </c>
      <c r="M806" s="186">
        <v>1200</v>
      </c>
      <c r="N806" s="99">
        <f t="shared" si="175"/>
        <v>379.24984482528134</v>
      </c>
      <c r="O806" s="99">
        <f t="shared" si="176"/>
        <v>478.04602288901015</v>
      </c>
      <c r="P806" s="131">
        <v>0.9</v>
      </c>
      <c r="Q806" s="186">
        <f t="shared" si="182"/>
        <v>341.3248603427532</v>
      </c>
      <c r="R806" s="186">
        <f t="shared" si="182"/>
        <v>430.24142060010917</v>
      </c>
      <c r="S806" s="151" t="s">
        <v>2471</v>
      </c>
      <c r="T806" s="51" t="s">
        <v>2123</v>
      </c>
      <c r="U806" s="151" t="s">
        <v>2469</v>
      </c>
      <c r="V806" s="51" t="s">
        <v>2121</v>
      </c>
      <c r="W806" s="19"/>
      <c r="X806" s="19"/>
      <c r="Y806" s="99">
        <v>348</v>
      </c>
    </row>
    <row r="807" spans="2:25" s="165" customFormat="1" ht="20" x14ac:dyDescent="0.2">
      <c r="B807" s="150" t="s">
        <v>1305</v>
      </c>
      <c r="C807" s="33" t="s">
        <v>106</v>
      </c>
      <c r="D807" s="33" t="s">
        <v>2876</v>
      </c>
      <c r="E807" s="175">
        <v>1</v>
      </c>
      <c r="F807" s="151" t="s">
        <v>1128</v>
      </c>
      <c r="G807" s="152">
        <v>5.4046300000000005E-2</v>
      </c>
      <c r="H807" s="152">
        <v>3.3361913580246913E-2</v>
      </c>
      <c r="I807" s="175">
        <v>69</v>
      </c>
      <c r="J807" s="266">
        <f>_xlfn.XLOOKUP($I807,Inputs!$C$6:$C$23,Inputs!$D$6:$D$23)*$G807</f>
        <v>2.0769221000000001E-2</v>
      </c>
      <c r="K807" s="255"/>
      <c r="L807" s="186">
        <v>265</v>
      </c>
      <c r="M807" s="186">
        <v>492</v>
      </c>
      <c r="N807" s="99">
        <f t="shared" si="175"/>
        <v>31.670549016396919</v>
      </c>
      <c r="O807" s="99">
        <f t="shared" si="176"/>
        <v>58.79966081534824</v>
      </c>
      <c r="P807" s="131">
        <v>0.9</v>
      </c>
      <c r="Q807" s="186">
        <f t="shared" si="182"/>
        <v>28.503494114757228</v>
      </c>
      <c r="R807" s="186">
        <f t="shared" si="182"/>
        <v>52.919694733813415</v>
      </c>
      <c r="S807" s="151" t="s">
        <v>2555</v>
      </c>
      <c r="T807" s="51" t="s">
        <v>2213</v>
      </c>
      <c r="U807" s="151" t="s">
        <v>1853</v>
      </c>
      <c r="V807" s="51" t="s">
        <v>3512</v>
      </c>
      <c r="W807" s="19"/>
      <c r="X807" s="19"/>
      <c r="Y807" s="99">
        <v>852</v>
      </c>
    </row>
    <row r="808" spans="2:25" s="165" customFormat="1" ht="20" x14ac:dyDescent="0.2">
      <c r="B808" s="150" t="s">
        <v>1302</v>
      </c>
      <c r="C808" s="33" t="s">
        <v>106</v>
      </c>
      <c r="D808" s="33" t="s">
        <v>2876</v>
      </c>
      <c r="E808" s="175">
        <v>1</v>
      </c>
      <c r="F808" s="151" t="s">
        <v>1128</v>
      </c>
      <c r="G808" s="152">
        <v>15</v>
      </c>
      <c r="H808" s="152">
        <v>9.2592592592592595</v>
      </c>
      <c r="I808" s="175">
        <v>69</v>
      </c>
      <c r="J808" s="266">
        <f>_xlfn.XLOOKUP($I808,Inputs!$C$6:$C$23,Inputs!$D$6:$D$23)*$G808</f>
        <v>5.7642857142857142</v>
      </c>
      <c r="K808" s="255"/>
      <c r="L808" s="186">
        <v>629</v>
      </c>
      <c r="M808" s="186">
        <v>957</v>
      </c>
      <c r="N808" s="99">
        <f t="shared" si="175"/>
        <v>75.172737099296839</v>
      </c>
      <c r="O808" s="99">
        <f t="shared" si="176"/>
        <v>114.37251097619567</v>
      </c>
      <c r="P808" s="131">
        <v>0.9</v>
      </c>
      <c r="Q808" s="186">
        <f t="shared" si="182"/>
        <v>67.655463389367156</v>
      </c>
      <c r="R808" s="186">
        <f t="shared" si="182"/>
        <v>102.9352598785761</v>
      </c>
      <c r="S808" s="151" t="s">
        <v>2554</v>
      </c>
      <c r="T808" s="51" t="s">
        <v>2207</v>
      </c>
      <c r="U808" s="151" t="s">
        <v>2555</v>
      </c>
      <c r="V808" s="51" t="s">
        <v>2213</v>
      </c>
      <c r="W808" s="19"/>
      <c r="X808" s="19"/>
      <c r="Y808" s="99">
        <v>851</v>
      </c>
    </row>
    <row r="809" spans="2:25" s="165" customFormat="1" ht="20" x14ac:dyDescent="0.2">
      <c r="B809" s="230" t="s">
        <v>2630</v>
      </c>
      <c r="C809" s="51" t="s">
        <v>173</v>
      </c>
      <c r="D809" s="33" t="s">
        <v>2876</v>
      </c>
      <c r="E809" s="231">
        <v>1</v>
      </c>
      <c r="F809" s="230" t="s">
        <v>1128</v>
      </c>
      <c r="G809" s="232">
        <v>2.5</v>
      </c>
      <c r="H809" s="232">
        <v>1.5432098765432098</v>
      </c>
      <c r="I809" s="231">
        <v>138</v>
      </c>
      <c r="J809" s="266">
        <f>_xlfn.XLOOKUP($I809,Inputs!$C$6:$C$23,Inputs!$D$6:$D$23)*$G809</f>
        <v>1.0839285714285716</v>
      </c>
      <c r="K809" s="267">
        <f>IF((42.4*(H809)^(-0.6595))&gt;=3,3,(IF(42.4*(H809)^(-0.6595)&lt;=0.5,0.5,(42.4*(H809)^(-0.6595)))))</f>
        <v>3</v>
      </c>
      <c r="L809" s="99"/>
      <c r="M809" s="99"/>
      <c r="N809" s="99"/>
      <c r="O809" s="99"/>
      <c r="P809" s="69"/>
      <c r="Q809" s="305">
        <f>_xlfn.XLOOKUP($I809,Inputs!$G$6:$G$23,Inputs!J$6:J$23)*$K809</f>
        <v>141</v>
      </c>
      <c r="R809" s="305">
        <f>_xlfn.XLOOKUP($I809,Inputs!$G$6:$G$23,Inputs!K$6:K$23)*$K809</f>
        <v>156</v>
      </c>
      <c r="S809" s="230" t="s">
        <v>3875</v>
      </c>
      <c r="T809" s="51" t="s">
        <v>3254</v>
      </c>
      <c r="U809" s="230" t="s">
        <v>2632</v>
      </c>
      <c r="V809" s="51" t="s">
        <v>3316</v>
      </c>
      <c r="W809" s="19"/>
      <c r="X809" s="19"/>
      <c r="Y809" s="99">
        <v>1111</v>
      </c>
    </row>
    <row r="810" spans="2:25" s="165" customFormat="1" ht="20" x14ac:dyDescent="0.2">
      <c r="B810" s="150" t="s">
        <v>477</v>
      </c>
      <c r="C810" s="33" t="s">
        <v>106</v>
      </c>
      <c r="D810" s="33" t="s">
        <v>2876</v>
      </c>
      <c r="E810" s="175">
        <v>1</v>
      </c>
      <c r="F810" s="151" t="s">
        <v>1128</v>
      </c>
      <c r="G810" s="152">
        <v>27.705848699999997</v>
      </c>
      <c r="H810" s="152">
        <v>17.102375740740737</v>
      </c>
      <c r="I810" s="175">
        <v>138</v>
      </c>
      <c r="J810" s="266">
        <f>_xlfn.XLOOKUP($I810,Inputs!$C$6:$C$23,Inputs!$D$6:$D$23)*$G810</f>
        <v>12.012464400642857</v>
      </c>
      <c r="K810" s="255"/>
      <c r="L810" s="186">
        <v>254</v>
      </c>
      <c r="M810" s="186">
        <v>488</v>
      </c>
      <c r="N810" s="99">
        <f>(SQRT(3)*L810*$I810)/1000</f>
        <v>60.711844906904282</v>
      </c>
      <c r="O810" s="99">
        <f>(SQRT(3)*M810*$I810)/1000</f>
        <v>116.64322958491846</v>
      </c>
      <c r="P810" s="131">
        <v>0.9</v>
      </c>
      <c r="Q810" s="186">
        <f>N810*$P810</f>
        <v>54.640660416213855</v>
      </c>
      <c r="R810" s="186">
        <f>O810*$P810</f>
        <v>104.97890662642662</v>
      </c>
      <c r="S810" s="151" t="s">
        <v>223</v>
      </c>
      <c r="T810" s="51" t="s">
        <v>3348</v>
      </c>
      <c r="U810" s="151" t="s">
        <v>1854</v>
      </c>
      <c r="V810" s="51" t="s">
        <v>3185</v>
      </c>
      <c r="W810" s="19"/>
      <c r="X810" s="19"/>
      <c r="Y810" s="99">
        <v>212</v>
      </c>
    </row>
    <row r="811" spans="2:25" s="165" customFormat="1" ht="20" x14ac:dyDescent="0.2">
      <c r="B811" s="230" t="s">
        <v>2677</v>
      </c>
      <c r="C811" s="51" t="s">
        <v>173</v>
      </c>
      <c r="D811" s="33" t="s">
        <v>2876</v>
      </c>
      <c r="E811" s="231">
        <v>1</v>
      </c>
      <c r="F811" s="230" t="s">
        <v>1128</v>
      </c>
      <c r="G811" s="232">
        <v>3.5</v>
      </c>
      <c r="H811" s="232">
        <v>2.1604938271604937</v>
      </c>
      <c r="I811" s="231">
        <v>63</v>
      </c>
      <c r="J811" s="266">
        <f>_xlfn.XLOOKUP($I811,Inputs!$C$6:$C$23,Inputs!$D$6:$D$23)*$G811</f>
        <v>1.33</v>
      </c>
      <c r="K811" s="267">
        <f>IF((42.4*(H811)^(-0.6595))&gt;=3,3,(IF(42.4*(H811)^(-0.6595)&lt;=0.5,0.5,(42.4*(H811)^(-0.6595)))))</f>
        <v>3</v>
      </c>
      <c r="L811" s="99"/>
      <c r="M811" s="99"/>
      <c r="N811" s="99"/>
      <c r="O811" s="99"/>
      <c r="P811" s="69"/>
      <c r="Q811" s="305">
        <f>_xlfn.XLOOKUP($I811,Inputs!$G$6:$G$23,Inputs!J$6:J$23)*$K811</f>
        <v>29.767499999999998</v>
      </c>
      <c r="R811" s="305">
        <f>_xlfn.XLOOKUP($I811,Inputs!$G$6:$G$23,Inputs!K$6:K$23)*$K811</f>
        <v>32.532786885245905</v>
      </c>
      <c r="S811" s="230" t="s">
        <v>2673</v>
      </c>
      <c r="T811" s="51" t="s">
        <v>3268</v>
      </c>
      <c r="U811" s="230" t="s">
        <v>1856</v>
      </c>
      <c r="V811" s="51" t="s">
        <v>3205</v>
      </c>
      <c r="W811" s="19"/>
      <c r="X811" s="19"/>
      <c r="Y811" s="99">
        <v>1116</v>
      </c>
    </row>
    <row r="812" spans="2:25" s="165" customFormat="1" ht="20" x14ac:dyDescent="0.2">
      <c r="B812" s="230" t="s">
        <v>2678</v>
      </c>
      <c r="C812" s="51" t="s">
        <v>173</v>
      </c>
      <c r="D812" s="33" t="s">
        <v>2876</v>
      </c>
      <c r="E812" s="231">
        <v>1</v>
      </c>
      <c r="F812" s="230" t="s">
        <v>1128</v>
      </c>
      <c r="G812" s="232">
        <v>3.5</v>
      </c>
      <c r="H812" s="232">
        <v>2.1604938271604937</v>
      </c>
      <c r="I812" s="231">
        <v>63</v>
      </c>
      <c r="J812" s="266">
        <f>_xlfn.XLOOKUP($I812,Inputs!$C$6:$C$23,Inputs!$D$6:$D$23)*$G812</f>
        <v>1.33</v>
      </c>
      <c r="K812" s="267">
        <f>IF((42.4*(H812)^(-0.6595))&gt;=3,3,(IF(42.4*(H812)^(-0.6595)&lt;=0.5,0.5,(42.4*(H812)^(-0.6595)))))</f>
        <v>3</v>
      </c>
      <c r="L812" s="99"/>
      <c r="M812" s="99"/>
      <c r="N812" s="99"/>
      <c r="O812" s="99"/>
      <c r="P812" s="69"/>
      <c r="Q812" s="305">
        <f>_xlfn.XLOOKUP($I812,Inputs!$G$6:$G$23,Inputs!J$6:J$23)*$K812</f>
        <v>29.767499999999998</v>
      </c>
      <c r="R812" s="305">
        <f>_xlfn.XLOOKUP($I812,Inputs!$G$6:$G$23,Inputs!K$6:K$23)*$K812</f>
        <v>32.532786885245905</v>
      </c>
      <c r="S812" s="230" t="s">
        <v>2673</v>
      </c>
      <c r="T812" s="51" t="s">
        <v>3268</v>
      </c>
      <c r="U812" s="230" t="s">
        <v>1856</v>
      </c>
      <c r="V812" s="51" t="s">
        <v>3205</v>
      </c>
      <c r="W812" s="19"/>
      <c r="X812" s="19"/>
      <c r="Y812" s="99">
        <v>1117</v>
      </c>
    </row>
    <row r="813" spans="2:25" s="165" customFormat="1" ht="20" x14ac:dyDescent="0.2">
      <c r="B813" s="230" t="s">
        <v>1111</v>
      </c>
      <c r="C813" s="51" t="s">
        <v>173</v>
      </c>
      <c r="D813" s="33" t="s">
        <v>2876</v>
      </c>
      <c r="E813" s="231">
        <v>1</v>
      </c>
      <c r="F813" s="230" t="s">
        <v>1128</v>
      </c>
      <c r="G813" s="232">
        <v>42.5</v>
      </c>
      <c r="H813" s="232">
        <v>26.234567901234566</v>
      </c>
      <c r="I813" s="231">
        <v>230</v>
      </c>
      <c r="J813" s="266">
        <f>_xlfn.XLOOKUP($I813,Inputs!$C$6:$C$23,Inputs!$D$6:$D$23)*$G813</f>
        <v>20.399999999999999</v>
      </c>
      <c r="K813" s="267">
        <f>IF((42.4*(H813)^(-0.6595))&gt;=3,3,(IF(42.4*(H813)^(-0.6595)&lt;=0.5,0.5,(42.4*(H813)^(-0.6595)))))</f>
        <v>3</v>
      </c>
      <c r="L813" s="99"/>
      <c r="M813" s="99"/>
      <c r="N813" s="99"/>
      <c r="O813" s="99"/>
      <c r="P813" s="69"/>
      <c r="Q813" s="305">
        <f>_xlfn.XLOOKUP($I813,Inputs!$G$6:$G$23,Inputs!J$6:J$23)*$K813</f>
        <v>402</v>
      </c>
      <c r="R813" s="305">
        <f>_xlfn.XLOOKUP($I813,Inputs!$G$6:$G$23,Inputs!K$6:K$23)*$K813</f>
        <v>435</v>
      </c>
      <c r="S813" s="230" t="s">
        <v>1646</v>
      </c>
      <c r="T813" s="51" t="s">
        <v>3210</v>
      </c>
      <c r="U813" s="230" t="s">
        <v>1856</v>
      </c>
      <c r="V813" s="51" t="s">
        <v>3205</v>
      </c>
      <c r="W813" s="19"/>
      <c r="X813" s="19"/>
      <c r="Y813" s="99">
        <v>1135</v>
      </c>
    </row>
    <row r="814" spans="2:25" s="165" customFormat="1" ht="20" x14ac:dyDescent="0.2">
      <c r="B814" s="150" t="s">
        <v>1196</v>
      </c>
      <c r="C814" s="33" t="s">
        <v>106</v>
      </c>
      <c r="D814" s="33" t="s">
        <v>2876</v>
      </c>
      <c r="E814" s="175">
        <v>1</v>
      </c>
      <c r="F814" s="151" t="s">
        <v>1128</v>
      </c>
      <c r="G814" s="152">
        <v>3.95</v>
      </c>
      <c r="H814" s="152">
        <v>2.4382716049382718</v>
      </c>
      <c r="I814" s="175">
        <v>69</v>
      </c>
      <c r="J814" s="266">
        <f>_xlfn.XLOOKUP($I814,Inputs!$C$6:$C$23,Inputs!$D$6:$D$23)*$G814</f>
        <v>1.5179285714285715</v>
      </c>
      <c r="K814" s="255"/>
      <c r="L814" s="186">
        <v>750</v>
      </c>
      <c r="M814" s="186">
        <v>965</v>
      </c>
      <c r="N814" s="99">
        <f t="shared" ref="N814:O818" si="183">(SQRT(3)*L814*$I814)/1000</f>
        <v>89.633629291689402</v>
      </c>
      <c r="O814" s="99">
        <f t="shared" si="183"/>
        <v>115.32860302197369</v>
      </c>
      <c r="P814" s="131">
        <v>0.9</v>
      </c>
      <c r="Q814" s="186">
        <f t="shared" ref="Q814:R818" si="184">N814*$P814</f>
        <v>80.670266362520465</v>
      </c>
      <c r="R814" s="186">
        <f t="shared" si="184"/>
        <v>103.79574271977633</v>
      </c>
      <c r="S814" s="151" t="s">
        <v>2506</v>
      </c>
      <c r="T814" s="51" t="s">
        <v>2165</v>
      </c>
      <c r="U814" s="151" t="s">
        <v>212</v>
      </c>
      <c r="V814" s="51" t="s">
        <v>3516</v>
      </c>
      <c r="W814" s="19"/>
      <c r="X814" s="19"/>
      <c r="Y814" s="99">
        <v>665</v>
      </c>
    </row>
    <row r="815" spans="2:25" s="165" customFormat="1" ht="20" x14ac:dyDescent="0.2">
      <c r="B815" s="150" t="s">
        <v>1198</v>
      </c>
      <c r="C815" s="33" t="s">
        <v>106</v>
      </c>
      <c r="D815" s="33" t="s">
        <v>2876</v>
      </c>
      <c r="E815" s="175">
        <v>1</v>
      </c>
      <c r="F815" s="151" t="s">
        <v>1128</v>
      </c>
      <c r="G815" s="152">
        <v>3.95</v>
      </c>
      <c r="H815" s="152">
        <v>2.4382716049382718</v>
      </c>
      <c r="I815" s="175">
        <v>69</v>
      </c>
      <c r="J815" s="266">
        <f>_xlfn.XLOOKUP($I815,Inputs!$C$6:$C$23,Inputs!$D$6:$D$23)*$G815</f>
        <v>1.5179285714285715</v>
      </c>
      <c r="K815" s="255"/>
      <c r="L815" s="186">
        <v>750</v>
      </c>
      <c r="M815" s="186">
        <v>965</v>
      </c>
      <c r="N815" s="99">
        <f t="shared" si="183"/>
        <v>89.633629291689402</v>
      </c>
      <c r="O815" s="99">
        <f t="shared" si="183"/>
        <v>115.32860302197369</v>
      </c>
      <c r="P815" s="131">
        <v>0.9</v>
      </c>
      <c r="Q815" s="186">
        <f t="shared" si="184"/>
        <v>80.670266362520465</v>
      </c>
      <c r="R815" s="186">
        <f t="shared" si="184"/>
        <v>103.79574271977633</v>
      </c>
      <c r="S815" s="151" t="s">
        <v>2506</v>
      </c>
      <c r="T815" s="51" t="s">
        <v>2165</v>
      </c>
      <c r="U815" s="151" t="s">
        <v>212</v>
      </c>
      <c r="V815" s="51" t="s">
        <v>3516</v>
      </c>
      <c r="W815" s="19"/>
      <c r="X815" s="19"/>
      <c r="Y815" s="99">
        <v>668</v>
      </c>
    </row>
    <row r="816" spans="2:25" s="165" customFormat="1" ht="20" x14ac:dyDescent="0.2">
      <c r="B816" s="150" t="s">
        <v>1234</v>
      </c>
      <c r="C816" s="33" t="s">
        <v>106</v>
      </c>
      <c r="D816" s="33" t="s">
        <v>2876</v>
      </c>
      <c r="E816" s="175">
        <v>1</v>
      </c>
      <c r="F816" s="151" t="s">
        <v>1128</v>
      </c>
      <c r="G816" s="152">
        <v>5.7903643000000002</v>
      </c>
      <c r="H816" s="152">
        <v>3.5742989506172838</v>
      </c>
      <c r="I816" s="175">
        <v>69</v>
      </c>
      <c r="J816" s="266">
        <f>_xlfn.XLOOKUP($I816,Inputs!$C$6:$C$23,Inputs!$D$6:$D$23)*$G816</f>
        <v>2.225154281</v>
      </c>
      <c r="K816" s="255"/>
      <c r="L816" s="186">
        <v>845</v>
      </c>
      <c r="M816" s="186">
        <v>1021</v>
      </c>
      <c r="N816" s="99">
        <f t="shared" si="183"/>
        <v>100.98722233530337</v>
      </c>
      <c r="O816" s="99">
        <f t="shared" si="183"/>
        <v>122.02124734241984</v>
      </c>
      <c r="P816" s="131">
        <v>0.9</v>
      </c>
      <c r="Q816" s="186">
        <f t="shared" si="184"/>
        <v>90.888500101773033</v>
      </c>
      <c r="R816" s="186">
        <f t="shared" si="184"/>
        <v>109.81912260817786</v>
      </c>
      <c r="S816" s="151" t="s">
        <v>2520</v>
      </c>
      <c r="T816" s="51" t="s">
        <v>2179</v>
      </c>
      <c r="U816" s="151" t="s">
        <v>1857</v>
      </c>
      <c r="V816" s="51" t="s">
        <v>3492</v>
      </c>
      <c r="W816" s="19"/>
      <c r="X816" s="19"/>
      <c r="Y816" s="99">
        <v>730</v>
      </c>
    </row>
    <row r="817" spans="2:25" s="165" customFormat="1" ht="20" x14ac:dyDescent="0.2">
      <c r="B817" s="150" t="s">
        <v>1253</v>
      </c>
      <c r="C817" s="33" t="s">
        <v>106</v>
      </c>
      <c r="D817" s="33" t="s">
        <v>2876</v>
      </c>
      <c r="E817" s="175">
        <v>1</v>
      </c>
      <c r="F817" s="151" t="s">
        <v>1128</v>
      </c>
      <c r="G817" s="152">
        <v>3.2249596999999999</v>
      </c>
      <c r="H817" s="152">
        <v>1.9907158641975307</v>
      </c>
      <c r="I817" s="175">
        <v>69</v>
      </c>
      <c r="J817" s="266">
        <f>_xlfn.XLOOKUP($I817,Inputs!$C$6:$C$23,Inputs!$D$6:$D$23)*$G817</f>
        <v>1.2393059418571428</v>
      </c>
      <c r="K817" s="255"/>
      <c r="L817" s="186">
        <v>730</v>
      </c>
      <c r="M817" s="186">
        <v>940</v>
      </c>
      <c r="N817" s="99">
        <f t="shared" si="183"/>
        <v>87.243399177244342</v>
      </c>
      <c r="O817" s="99">
        <f t="shared" si="183"/>
        <v>112.34081537891738</v>
      </c>
      <c r="P817" s="131">
        <v>0.9</v>
      </c>
      <c r="Q817" s="186">
        <f t="shared" si="184"/>
        <v>78.519059259519906</v>
      </c>
      <c r="R817" s="186">
        <f t="shared" si="184"/>
        <v>101.10673384102564</v>
      </c>
      <c r="S817" s="151" t="s">
        <v>809</v>
      </c>
      <c r="T817" s="51" t="s">
        <v>3301</v>
      </c>
      <c r="U817" s="151" t="s">
        <v>1857</v>
      </c>
      <c r="V817" s="51" t="s">
        <v>3492</v>
      </c>
      <c r="W817" s="19"/>
      <c r="X817" s="19"/>
      <c r="Y817" s="99">
        <v>763</v>
      </c>
    </row>
    <row r="818" spans="2:25" s="165" customFormat="1" ht="20" x14ac:dyDescent="0.2">
      <c r="B818" s="150" t="s">
        <v>567</v>
      </c>
      <c r="C818" s="33" t="s">
        <v>106</v>
      </c>
      <c r="D818" s="33" t="s">
        <v>2876</v>
      </c>
      <c r="E818" s="175">
        <v>1</v>
      </c>
      <c r="F818" s="151" t="s">
        <v>1128</v>
      </c>
      <c r="G818" s="152">
        <v>19.132377899999998</v>
      </c>
      <c r="H818" s="152">
        <v>11.810109814814814</v>
      </c>
      <c r="I818" s="175">
        <v>230</v>
      </c>
      <c r="J818" s="266">
        <f>_xlfn.XLOOKUP($I818,Inputs!$C$6:$C$23,Inputs!$D$6:$D$23)*$G818</f>
        <v>9.1835413919999986</v>
      </c>
      <c r="K818" s="255"/>
      <c r="L818" s="186">
        <v>1700</v>
      </c>
      <c r="M818" s="186">
        <v>2204</v>
      </c>
      <c r="N818" s="99">
        <f t="shared" si="183"/>
        <v>677.23186575943089</v>
      </c>
      <c r="O818" s="99">
        <f t="shared" si="183"/>
        <v>878.01119537281522</v>
      </c>
      <c r="P818" s="131">
        <v>0.9</v>
      </c>
      <c r="Q818" s="186">
        <f t="shared" si="184"/>
        <v>609.50867918348786</v>
      </c>
      <c r="R818" s="186">
        <f t="shared" si="184"/>
        <v>790.21007583553376</v>
      </c>
      <c r="S818" s="151" t="s">
        <v>1570</v>
      </c>
      <c r="T818" s="51" t="s">
        <v>3214</v>
      </c>
      <c r="U818" s="151" t="s">
        <v>1858</v>
      </c>
      <c r="V818" s="51" t="s">
        <v>3203</v>
      </c>
      <c r="W818" s="19"/>
      <c r="X818" s="19"/>
      <c r="Y818" s="99">
        <v>416</v>
      </c>
    </row>
    <row r="819" spans="2:25" s="165" customFormat="1" ht="20" x14ac:dyDescent="0.2">
      <c r="B819" s="230" t="s">
        <v>2715</v>
      </c>
      <c r="C819" s="51" t="s">
        <v>173</v>
      </c>
      <c r="D819" s="33" t="s">
        <v>2876</v>
      </c>
      <c r="E819" s="231">
        <v>1</v>
      </c>
      <c r="F819" s="230" t="s">
        <v>1128</v>
      </c>
      <c r="G819" s="232">
        <v>10</v>
      </c>
      <c r="H819" s="232">
        <v>6.1728395061728394</v>
      </c>
      <c r="I819" s="231">
        <v>63</v>
      </c>
      <c r="J819" s="266">
        <f>_xlfn.XLOOKUP($I819,Inputs!$C$6:$C$23,Inputs!$D$6:$D$23)*$G819</f>
        <v>3.8</v>
      </c>
      <c r="K819" s="267">
        <f>IF((42.4*(H819)^(-0.6595))&gt;=3,3,(IF(42.4*(H819)^(-0.6595)&lt;=0.5,0.5,(42.4*(H819)^(-0.6595)))))</f>
        <v>3</v>
      </c>
      <c r="L819" s="99"/>
      <c r="M819" s="99"/>
      <c r="N819" s="99"/>
      <c r="O819" s="99"/>
      <c r="P819" s="69"/>
      <c r="Q819" s="305">
        <f>_xlfn.XLOOKUP($I819,Inputs!$G$6:$G$23,Inputs!J$6:J$23)*$K819</f>
        <v>29.767499999999998</v>
      </c>
      <c r="R819" s="305">
        <f>_xlfn.XLOOKUP($I819,Inputs!$G$6:$G$23,Inputs!K$6:K$23)*$K819</f>
        <v>32.532786885245905</v>
      </c>
      <c r="S819" s="230" t="s">
        <v>2717</v>
      </c>
      <c r="T819" s="51" t="s">
        <v>3236</v>
      </c>
      <c r="U819" s="230" t="s">
        <v>2718</v>
      </c>
      <c r="V819" s="51" t="s">
        <v>3317</v>
      </c>
      <c r="W819" s="19"/>
      <c r="X819" s="19"/>
      <c r="Y819" s="99">
        <v>1078</v>
      </c>
    </row>
    <row r="820" spans="2:25" s="165" customFormat="1" ht="20" x14ac:dyDescent="0.2">
      <c r="B820" s="150" t="s">
        <v>1194</v>
      </c>
      <c r="C820" s="33" t="s">
        <v>106</v>
      </c>
      <c r="D820" s="33" t="s">
        <v>2876</v>
      </c>
      <c r="E820" s="175">
        <v>1</v>
      </c>
      <c r="F820" s="151" t="s">
        <v>1128</v>
      </c>
      <c r="G820" s="152">
        <v>3.1359621999999998</v>
      </c>
      <c r="H820" s="152">
        <v>1.935779135802469</v>
      </c>
      <c r="I820" s="175">
        <v>69</v>
      </c>
      <c r="J820" s="266">
        <f>_xlfn.XLOOKUP($I820,Inputs!$C$6:$C$23,Inputs!$D$6:$D$23)*$G820</f>
        <v>1.205105474</v>
      </c>
      <c r="K820" s="255"/>
      <c r="L820" s="186">
        <v>170</v>
      </c>
      <c r="M820" s="3">
        <v>170</v>
      </c>
      <c r="N820" s="99">
        <f>(SQRT(3)*L820*$I820)/1000</f>
        <v>20.316955972782928</v>
      </c>
      <c r="O820" s="99">
        <f>(SQRT(3)*M820*$I820)/1000</f>
        <v>20.316955972782928</v>
      </c>
      <c r="P820" s="131">
        <v>0.9</v>
      </c>
      <c r="Q820" s="186">
        <f>N820*$P820</f>
        <v>18.285260375504635</v>
      </c>
      <c r="R820" s="186">
        <f>O820*$P820</f>
        <v>18.285260375504635</v>
      </c>
      <c r="S820" s="151" t="s">
        <v>1749</v>
      </c>
      <c r="T820" s="51" t="s">
        <v>3279</v>
      </c>
      <c r="U820" s="151" t="s">
        <v>1860</v>
      </c>
      <c r="V820" s="51" t="s">
        <v>3675</v>
      </c>
      <c r="W820" s="19"/>
      <c r="X820" s="19"/>
      <c r="Y820" s="99">
        <v>661</v>
      </c>
    </row>
    <row r="821" spans="2:25" s="165" customFormat="1" ht="20" x14ac:dyDescent="0.2">
      <c r="B821" s="150" t="s">
        <v>1389</v>
      </c>
      <c r="C821" s="33" t="s">
        <v>106</v>
      </c>
      <c r="D821" s="33" t="s">
        <v>2876</v>
      </c>
      <c r="E821" s="175">
        <v>1</v>
      </c>
      <c r="F821" s="151" t="s">
        <v>1128</v>
      </c>
      <c r="G821" s="152">
        <v>1.71</v>
      </c>
      <c r="H821" s="152">
        <v>1.0555555555555554</v>
      </c>
      <c r="I821" s="175">
        <v>69</v>
      </c>
      <c r="J821" s="266">
        <f>_xlfn.XLOOKUP($I821,Inputs!$C$6:$C$23,Inputs!$D$6:$D$23)*$G821</f>
        <v>0.6571285714285714</v>
      </c>
      <c r="K821" s="255"/>
      <c r="L821" s="186">
        <v>450</v>
      </c>
      <c r="M821" s="186">
        <v>760</v>
      </c>
      <c r="N821" s="99">
        <f>(SQRT(3)*L821*$I821)/1000</f>
        <v>53.780177575013639</v>
      </c>
      <c r="O821" s="99">
        <f>(SQRT(3)*M821*$I821)/1000</f>
        <v>90.828744348911911</v>
      </c>
      <c r="P821" s="131">
        <v>0.9</v>
      </c>
      <c r="Q821" s="186">
        <f>N821*$P821</f>
        <v>48.402159817512278</v>
      </c>
      <c r="R821" s="186">
        <f>O821*$P821</f>
        <v>81.745869914020716</v>
      </c>
      <c r="S821" s="151" t="s">
        <v>2609</v>
      </c>
      <c r="T821" s="51" t="s">
        <v>2267</v>
      </c>
      <c r="U821" s="151" t="s">
        <v>1861</v>
      </c>
      <c r="V821" s="51" t="s">
        <v>3676</v>
      </c>
      <c r="W821" s="19"/>
      <c r="X821" s="19"/>
      <c r="Y821" s="99">
        <v>1010</v>
      </c>
    </row>
    <row r="822" spans="2:25" s="165" customFormat="1" ht="20" x14ac:dyDescent="0.2">
      <c r="B822" s="230" t="s">
        <v>2691</v>
      </c>
      <c r="C822" s="51" t="s">
        <v>173</v>
      </c>
      <c r="D822" s="33" t="s">
        <v>2876</v>
      </c>
      <c r="E822" s="231">
        <v>1</v>
      </c>
      <c r="F822" s="230" t="s">
        <v>1128</v>
      </c>
      <c r="G822" s="232">
        <v>1.5</v>
      </c>
      <c r="H822" s="232">
        <v>0.92592592592592582</v>
      </c>
      <c r="I822" s="231">
        <v>63</v>
      </c>
      <c r="J822" s="266">
        <f>_xlfn.XLOOKUP($I822,Inputs!$C$6:$C$23,Inputs!$D$6:$D$23)*$G822</f>
        <v>0.57000000000000006</v>
      </c>
      <c r="K822" s="267">
        <f>IF((42.4*(H822)^(-0.6595))&gt;=3,3,(IF(42.4*(H822)^(-0.6595)&lt;=0.5,0.5,(42.4*(H822)^(-0.6595)))))</f>
        <v>3</v>
      </c>
      <c r="L822" s="99"/>
      <c r="M822" s="99"/>
      <c r="N822" s="99"/>
      <c r="O822" s="99"/>
      <c r="P822" s="69"/>
      <c r="Q822" s="305">
        <f>_xlfn.XLOOKUP($I822,Inputs!$G$6:$G$23,Inputs!J$6:J$23)*$K822</f>
        <v>29.767499999999998</v>
      </c>
      <c r="R822" s="305">
        <f>_xlfn.XLOOKUP($I822,Inputs!$G$6:$G$23,Inputs!K$6:K$23)*$K822</f>
        <v>32.532786885245905</v>
      </c>
      <c r="S822" s="230" t="s">
        <v>2692</v>
      </c>
      <c r="T822" s="51" t="s">
        <v>3228</v>
      </c>
      <c r="U822" s="230" t="s">
        <v>2693</v>
      </c>
      <c r="V822" s="51" t="s">
        <v>3380</v>
      </c>
      <c r="W822" s="19"/>
      <c r="X822" s="19"/>
      <c r="Y822" s="99">
        <v>1027</v>
      </c>
    </row>
    <row r="823" spans="2:25" s="165" customFormat="1" ht="20" x14ac:dyDescent="0.2">
      <c r="B823" s="230" t="s">
        <v>2697</v>
      </c>
      <c r="C823" s="51" t="s">
        <v>173</v>
      </c>
      <c r="D823" s="33" t="s">
        <v>2876</v>
      </c>
      <c r="E823" s="231">
        <v>1</v>
      </c>
      <c r="F823" s="230" t="s">
        <v>1128</v>
      </c>
      <c r="G823" s="232">
        <v>1.5</v>
      </c>
      <c r="H823" s="232">
        <v>0.92592592592592582</v>
      </c>
      <c r="I823" s="231">
        <v>63</v>
      </c>
      <c r="J823" s="266">
        <f>_xlfn.XLOOKUP($I823,Inputs!$C$6:$C$23,Inputs!$D$6:$D$23)*$G823</f>
        <v>0.57000000000000006</v>
      </c>
      <c r="K823" s="267">
        <f>IF((42.4*(H823)^(-0.6595))&gt;=3,3,(IF(42.4*(H823)^(-0.6595)&lt;=0.5,0.5,(42.4*(H823)^(-0.6595)))))</f>
        <v>3</v>
      </c>
      <c r="L823" s="99"/>
      <c r="M823" s="99"/>
      <c r="N823" s="99"/>
      <c r="O823" s="99"/>
      <c r="P823" s="69"/>
      <c r="Q823" s="305">
        <f>_xlfn.XLOOKUP($I823,Inputs!$G$6:$G$23,Inputs!J$6:J$23)*$K823</f>
        <v>29.767499999999998</v>
      </c>
      <c r="R823" s="305">
        <f>_xlfn.XLOOKUP($I823,Inputs!$G$6:$G$23,Inputs!K$6:K$23)*$K823</f>
        <v>32.532786885245905</v>
      </c>
      <c r="S823" s="230" t="s">
        <v>2692</v>
      </c>
      <c r="T823" s="51" t="s">
        <v>3228</v>
      </c>
      <c r="U823" s="230" t="s">
        <v>2693</v>
      </c>
      <c r="V823" s="51" t="s">
        <v>3380</v>
      </c>
      <c r="W823" s="19"/>
      <c r="X823" s="19"/>
      <c r="Y823" s="99">
        <v>1035</v>
      </c>
    </row>
    <row r="824" spans="2:25" s="165" customFormat="1" ht="20" x14ac:dyDescent="0.2">
      <c r="B824" s="230" t="s">
        <v>2684</v>
      </c>
      <c r="C824" s="51" t="s">
        <v>173</v>
      </c>
      <c r="D824" s="33" t="s">
        <v>2876</v>
      </c>
      <c r="E824" s="231">
        <v>1</v>
      </c>
      <c r="F824" s="230" t="s">
        <v>1128</v>
      </c>
      <c r="G824" s="232">
        <v>2.5</v>
      </c>
      <c r="H824" s="232">
        <v>1.5432098765432098</v>
      </c>
      <c r="I824" s="231">
        <v>63</v>
      </c>
      <c r="J824" s="266">
        <f>_xlfn.XLOOKUP($I824,Inputs!$C$6:$C$23,Inputs!$D$6:$D$23)*$G824</f>
        <v>0.95</v>
      </c>
      <c r="K824" s="267">
        <f>IF((42.4*(H824)^(-0.6595))&gt;=3,3,(IF(42.4*(H824)^(-0.6595)&lt;=0.5,0.5,(42.4*(H824)^(-0.6595)))))</f>
        <v>3</v>
      </c>
      <c r="L824" s="99"/>
      <c r="M824" s="99"/>
      <c r="N824" s="99"/>
      <c r="O824" s="99"/>
      <c r="P824" s="69"/>
      <c r="Q824" s="305">
        <f>_xlfn.XLOOKUP($I824,Inputs!$G$6:$G$23,Inputs!J$6:J$23)*$K824</f>
        <v>29.767499999999998</v>
      </c>
      <c r="R824" s="305">
        <f>_xlfn.XLOOKUP($I824,Inputs!$G$6:$G$23,Inputs!K$6:K$23)*$K824</f>
        <v>32.532786885245905</v>
      </c>
      <c r="S824" s="230" t="s">
        <v>3565</v>
      </c>
      <c r="T824" s="51" t="s">
        <v>3566</v>
      </c>
      <c r="U824" s="230" t="s">
        <v>2688</v>
      </c>
      <c r="V824" s="51" t="s">
        <v>2758</v>
      </c>
      <c r="W824" s="19"/>
      <c r="X824" s="19"/>
      <c r="Y824" s="99">
        <v>1025</v>
      </c>
    </row>
    <row r="825" spans="2:25" s="165" customFormat="1" ht="20" x14ac:dyDescent="0.2">
      <c r="B825" s="230" t="s">
        <v>2686</v>
      </c>
      <c r="C825" s="51" t="s">
        <v>173</v>
      </c>
      <c r="D825" s="33" t="s">
        <v>2876</v>
      </c>
      <c r="E825" s="231">
        <v>1</v>
      </c>
      <c r="F825" s="230" t="s">
        <v>1128</v>
      </c>
      <c r="G825" s="232">
        <v>2.5</v>
      </c>
      <c r="H825" s="232">
        <v>1.5432098765432098</v>
      </c>
      <c r="I825" s="231">
        <v>63</v>
      </c>
      <c r="J825" s="266">
        <f>_xlfn.XLOOKUP($I825,Inputs!$C$6:$C$23,Inputs!$D$6:$D$23)*$G825</f>
        <v>0.95</v>
      </c>
      <c r="K825" s="267">
        <f>IF((42.4*(H825)^(-0.6595))&gt;=3,3,(IF(42.4*(H825)^(-0.6595)&lt;=0.5,0.5,(42.4*(H825)^(-0.6595)))))</f>
        <v>3</v>
      </c>
      <c r="L825" s="99"/>
      <c r="M825" s="99"/>
      <c r="N825" s="99"/>
      <c r="O825" s="99"/>
      <c r="P825" s="69"/>
      <c r="Q825" s="305">
        <f>_xlfn.XLOOKUP($I825,Inputs!$G$6:$G$23,Inputs!J$6:J$23)*$K825</f>
        <v>29.767499999999998</v>
      </c>
      <c r="R825" s="305">
        <f>_xlfn.XLOOKUP($I825,Inputs!$G$6:$G$23,Inputs!K$6:K$23)*$K825</f>
        <v>32.532786885245905</v>
      </c>
      <c r="S825" s="230" t="s">
        <v>3565</v>
      </c>
      <c r="T825" s="51" t="s">
        <v>3566</v>
      </c>
      <c r="U825" s="230" t="s">
        <v>2688</v>
      </c>
      <c r="V825" s="51" t="s">
        <v>2758</v>
      </c>
      <c r="W825" s="19"/>
      <c r="X825" s="19"/>
      <c r="Y825" s="99">
        <v>1033</v>
      </c>
    </row>
    <row r="826" spans="2:25" s="165" customFormat="1" ht="20" x14ac:dyDescent="0.2">
      <c r="B826" s="150" t="s">
        <v>580</v>
      </c>
      <c r="C826" s="33" t="s">
        <v>106</v>
      </c>
      <c r="D826" s="33" t="s">
        <v>2876</v>
      </c>
      <c r="E826" s="175">
        <v>1</v>
      </c>
      <c r="F826" s="151" t="s">
        <v>1128</v>
      </c>
      <c r="G826" s="152">
        <v>125.4736575</v>
      </c>
      <c r="H826" s="152">
        <v>77.452874999999992</v>
      </c>
      <c r="I826" s="175">
        <v>287</v>
      </c>
      <c r="J826" s="266">
        <f>_xlfn.XLOOKUP($I826,Inputs!$C$6:$C$23,Inputs!$D$6:$D$23)*$G826</f>
        <v>57.975800523750003</v>
      </c>
      <c r="K826" s="255"/>
      <c r="L826" s="186">
        <v>640</v>
      </c>
      <c r="M826" s="3">
        <v>1275</v>
      </c>
      <c r="N826" s="99">
        <f t="shared" ref="N826:N841" si="185">(SQRT(3)*L826*$I826)/1000</f>
        <v>318.14309233425132</v>
      </c>
      <c r="O826" s="99">
        <f t="shared" ref="O826:O841" si="186">(SQRT(3)*M826*$I826)/1000</f>
        <v>633.80069175964138</v>
      </c>
      <c r="P826" s="131">
        <v>0.9</v>
      </c>
      <c r="Q826" s="186">
        <f t="shared" ref="Q826:R832" si="187">N826*$P826</f>
        <v>286.32878310082617</v>
      </c>
      <c r="R826" s="186">
        <f t="shared" si="187"/>
        <v>570.4206225836773</v>
      </c>
      <c r="S826" s="151" t="s">
        <v>1884</v>
      </c>
      <c r="T826" s="51" t="s">
        <v>3328</v>
      </c>
      <c r="U826" s="151" t="s">
        <v>1862</v>
      </c>
      <c r="V826" s="51" t="s">
        <v>3318</v>
      </c>
      <c r="W826" s="19"/>
      <c r="X826" s="19"/>
      <c r="Y826" s="99">
        <v>430</v>
      </c>
    </row>
    <row r="827" spans="2:25" s="165" customFormat="1" ht="20" x14ac:dyDescent="0.2">
      <c r="B827" s="150" t="s">
        <v>1394</v>
      </c>
      <c r="C827" s="33" t="s">
        <v>106</v>
      </c>
      <c r="D827" s="33" t="s">
        <v>2876</v>
      </c>
      <c r="E827" s="175">
        <v>1</v>
      </c>
      <c r="F827" s="151" t="s">
        <v>1128</v>
      </c>
      <c r="G827" s="152">
        <v>0.47389809999999999</v>
      </c>
      <c r="H827" s="152">
        <v>0.29252969135802465</v>
      </c>
      <c r="I827" s="175">
        <v>69</v>
      </c>
      <c r="J827" s="266">
        <f>_xlfn.XLOOKUP($I827,Inputs!$C$6:$C$23,Inputs!$D$6:$D$23)*$G827</f>
        <v>0.18211226985714285</v>
      </c>
      <c r="K827" s="255"/>
      <c r="L827" s="186">
        <v>754</v>
      </c>
      <c r="M827" s="186">
        <v>949</v>
      </c>
      <c r="N827" s="99">
        <f t="shared" si="185"/>
        <v>90.111675314578406</v>
      </c>
      <c r="O827" s="99">
        <f t="shared" si="186"/>
        <v>113.41641893041765</v>
      </c>
      <c r="P827" s="131">
        <v>0.9</v>
      </c>
      <c r="Q827" s="186">
        <f t="shared" si="187"/>
        <v>81.100507783120563</v>
      </c>
      <c r="R827" s="186">
        <f t="shared" si="187"/>
        <v>102.07477703737588</v>
      </c>
      <c r="S827" s="151" t="s">
        <v>1859</v>
      </c>
      <c r="T827" s="51" t="s">
        <v>3153</v>
      </c>
      <c r="U827" s="151" t="s">
        <v>1862</v>
      </c>
      <c r="V827" s="51" t="s">
        <v>3318</v>
      </c>
      <c r="W827" s="19"/>
      <c r="X827" s="19"/>
      <c r="Y827" s="99">
        <v>1013</v>
      </c>
    </row>
    <row r="828" spans="2:25" s="165" customFormat="1" ht="20" x14ac:dyDescent="0.2">
      <c r="B828" s="150" t="s">
        <v>1141</v>
      </c>
      <c r="C828" s="33" t="s">
        <v>106</v>
      </c>
      <c r="D828" s="33" t="s">
        <v>2876</v>
      </c>
      <c r="E828" s="175">
        <v>1</v>
      </c>
      <c r="F828" s="151" t="s">
        <v>1128</v>
      </c>
      <c r="G828" s="152">
        <v>12.89</v>
      </c>
      <c r="H828" s="152">
        <v>7.9567901234567904</v>
      </c>
      <c r="I828" s="175">
        <v>69</v>
      </c>
      <c r="J828" s="266">
        <f>_xlfn.XLOOKUP($I828,Inputs!$C$6:$C$23,Inputs!$D$6:$D$23)*$G828</f>
        <v>4.953442857142857</v>
      </c>
      <c r="K828" s="255"/>
      <c r="L828" s="186">
        <v>620</v>
      </c>
      <c r="M828" s="186">
        <v>745</v>
      </c>
      <c r="N828" s="99">
        <f t="shared" si="185"/>
        <v>74.09713354779656</v>
      </c>
      <c r="O828" s="99">
        <f t="shared" si="186"/>
        <v>89.036071763078141</v>
      </c>
      <c r="P828" s="131">
        <v>0.9</v>
      </c>
      <c r="Q828" s="186">
        <f t="shared" si="187"/>
        <v>66.687420193016905</v>
      </c>
      <c r="R828" s="186">
        <f t="shared" si="187"/>
        <v>80.132464586770325</v>
      </c>
      <c r="S828" s="151" t="s">
        <v>2483</v>
      </c>
      <c r="T828" s="51" t="s">
        <v>2138</v>
      </c>
      <c r="U828" s="151" t="s">
        <v>1863</v>
      </c>
      <c r="V828" s="51" t="s">
        <v>3154</v>
      </c>
      <c r="W828" s="19"/>
      <c r="X828" s="19" t="s">
        <v>3708</v>
      </c>
      <c r="Y828" s="99">
        <v>569</v>
      </c>
    </row>
    <row r="829" spans="2:25" s="165" customFormat="1" ht="20" x14ac:dyDescent="0.2">
      <c r="B829" s="150" t="s">
        <v>1142</v>
      </c>
      <c r="C829" s="33" t="s">
        <v>106</v>
      </c>
      <c r="D829" s="33" t="s">
        <v>2876</v>
      </c>
      <c r="E829" s="175">
        <v>1</v>
      </c>
      <c r="F829" s="151" t="s">
        <v>1128</v>
      </c>
      <c r="G829" s="152">
        <v>12.94</v>
      </c>
      <c r="H829" s="152">
        <v>7.9876543209876534</v>
      </c>
      <c r="I829" s="175">
        <v>69</v>
      </c>
      <c r="J829" s="266">
        <f>_xlfn.XLOOKUP($I829,Inputs!$C$6:$C$23,Inputs!$D$6:$D$23)*$G829</f>
        <v>4.9726571428571429</v>
      </c>
      <c r="K829" s="255"/>
      <c r="L829" s="186">
        <v>620</v>
      </c>
      <c r="M829" s="186">
        <v>745</v>
      </c>
      <c r="N829" s="99">
        <f t="shared" si="185"/>
        <v>74.09713354779656</v>
      </c>
      <c r="O829" s="99">
        <f t="shared" si="186"/>
        <v>89.036071763078141</v>
      </c>
      <c r="P829" s="131">
        <v>0.9</v>
      </c>
      <c r="Q829" s="186">
        <f t="shared" si="187"/>
        <v>66.687420193016905</v>
      </c>
      <c r="R829" s="186">
        <f t="shared" si="187"/>
        <v>80.132464586770325</v>
      </c>
      <c r="S829" s="151" t="s">
        <v>2483</v>
      </c>
      <c r="T829" s="51" t="s">
        <v>2138</v>
      </c>
      <c r="U829" s="151" t="s">
        <v>1863</v>
      </c>
      <c r="V829" s="51" t="s">
        <v>3154</v>
      </c>
      <c r="W829" s="19"/>
      <c r="X829" s="19" t="s">
        <v>3708</v>
      </c>
      <c r="Y829" s="99">
        <v>573</v>
      </c>
    </row>
    <row r="830" spans="2:25" s="165" customFormat="1" ht="20" x14ac:dyDescent="0.2">
      <c r="B830" s="150" t="s">
        <v>1154</v>
      </c>
      <c r="C830" s="33" t="s">
        <v>106</v>
      </c>
      <c r="D830" s="33" t="s">
        <v>2876</v>
      </c>
      <c r="E830" s="175">
        <v>1</v>
      </c>
      <c r="F830" s="151" t="s">
        <v>1128</v>
      </c>
      <c r="G830" s="152">
        <v>6.6356171999999995</v>
      </c>
      <c r="H830" s="152">
        <v>4.0960599999999996</v>
      </c>
      <c r="I830" s="175">
        <v>69</v>
      </c>
      <c r="J830" s="266">
        <f>_xlfn.XLOOKUP($I830,Inputs!$C$6:$C$23,Inputs!$D$6:$D$23)*$G830</f>
        <v>2.5499728954285712</v>
      </c>
      <c r="K830" s="255"/>
      <c r="L830" s="186">
        <v>660</v>
      </c>
      <c r="M830" s="186">
        <v>790</v>
      </c>
      <c r="N830" s="99">
        <f t="shared" si="185"/>
        <v>78.877593776686666</v>
      </c>
      <c r="O830" s="99">
        <f t="shared" si="186"/>
        <v>94.414089520579495</v>
      </c>
      <c r="P830" s="131">
        <v>0.9</v>
      </c>
      <c r="Q830" s="186">
        <f t="shared" si="187"/>
        <v>70.989834399018008</v>
      </c>
      <c r="R830" s="186">
        <f t="shared" si="187"/>
        <v>84.972680568521554</v>
      </c>
      <c r="S830" s="151" t="s">
        <v>1879</v>
      </c>
      <c r="T830" s="51" t="s">
        <v>3159</v>
      </c>
      <c r="U830" s="151" t="s">
        <v>1863</v>
      </c>
      <c r="V830" s="51" t="s">
        <v>3154</v>
      </c>
      <c r="W830" s="19"/>
      <c r="X830" s="19"/>
      <c r="Y830" s="99">
        <v>597</v>
      </c>
    </row>
    <row r="831" spans="2:25" s="165" customFormat="1" ht="20" x14ac:dyDescent="0.2">
      <c r="B831" s="150" t="s">
        <v>1962</v>
      </c>
      <c r="C831" s="33" t="s">
        <v>106</v>
      </c>
      <c r="D831" s="33" t="s">
        <v>2876</v>
      </c>
      <c r="E831" s="175">
        <v>1</v>
      </c>
      <c r="F831" s="151" t="s">
        <v>1128</v>
      </c>
      <c r="G831" s="152">
        <v>1</v>
      </c>
      <c r="H831" s="152">
        <v>0.61728395061728392</v>
      </c>
      <c r="I831" s="175">
        <v>230</v>
      </c>
      <c r="J831" s="266">
        <f>_xlfn.XLOOKUP($I831,Inputs!$C$6:$C$23,Inputs!$D$6:$D$23)*$G831</f>
        <v>0.48</v>
      </c>
      <c r="K831" s="255"/>
      <c r="L831" s="186">
        <v>952</v>
      </c>
      <c r="M831" s="186">
        <v>1200</v>
      </c>
      <c r="N831" s="99">
        <f t="shared" si="185"/>
        <v>379.24984482528134</v>
      </c>
      <c r="O831" s="99">
        <f t="shared" si="186"/>
        <v>478.04602288901015</v>
      </c>
      <c r="P831" s="131">
        <v>0.9</v>
      </c>
      <c r="Q831" s="186">
        <f t="shared" si="187"/>
        <v>341.3248603427532</v>
      </c>
      <c r="R831" s="186">
        <f t="shared" si="187"/>
        <v>430.24142060010917</v>
      </c>
      <c r="S831" s="151" t="s">
        <v>2471</v>
      </c>
      <c r="T831" s="51" t="s">
        <v>2123</v>
      </c>
      <c r="U831" s="151" t="s">
        <v>2323</v>
      </c>
      <c r="V831" s="51" t="s">
        <v>3155</v>
      </c>
      <c r="W831" s="19"/>
      <c r="X831" s="19"/>
      <c r="Y831" s="99">
        <v>347</v>
      </c>
    </row>
    <row r="832" spans="2:25" s="165" customFormat="1" ht="20" x14ac:dyDescent="0.2">
      <c r="B832" s="150" t="s">
        <v>522</v>
      </c>
      <c r="C832" s="33" t="s">
        <v>106</v>
      </c>
      <c r="D832" s="33" t="s">
        <v>2876</v>
      </c>
      <c r="E832" s="175">
        <v>1</v>
      </c>
      <c r="F832" s="151" t="s">
        <v>1128</v>
      </c>
      <c r="G832" s="152">
        <v>5</v>
      </c>
      <c r="H832" s="152">
        <v>3.0864197530864197</v>
      </c>
      <c r="I832" s="175">
        <v>230</v>
      </c>
      <c r="J832" s="266">
        <f>_xlfn.XLOOKUP($I832,Inputs!$C$6:$C$23,Inputs!$D$6:$D$23)*$G832</f>
        <v>2.4</v>
      </c>
      <c r="K832" s="255"/>
      <c r="L832" s="186">
        <v>952</v>
      </c>
      <c r="M832" s="186">
        <v>1200</v>
      </c>
      <c r="N832" s="99">
        <f t="shared" si="185"/>
        <v>379.24984482528134</v>
      </c>
      <c r="O832" s="99">
        <f t="shared" si="186"/>
        <v>478.04602288901015</v>
      </c>
      <c r="P832" s="131">
        <v>0.9</v>
      </c>
      <c r="Q832" s="186">
        <f t="shared" si="187"/>
        <v>341.3248603427532</v>
      </c>
      <c r="R832" s="186">
        <f t="shared" si="187"/>
        <v>430.24142060010917</v>
      </c>
      <c r="S832" s="151" t="s">
        <v>1913</v>
      </c>
      <c r="T832" s="51" t="s">
        <v>3198</v>
      </c>
      <c r="U832" s="151" t="s">
        <v>2471</v>
      </c>
      <c r="V832" s="51" t="s">
        <v>2123</v>
      </c>
      <c r="W832" s="19"/>
      <c r="X832" s="19"/>
      <c r="Y832" s="99">
        <v>346</v>
      </c>
    </row>
    <row r="833" spans="2:25" s="165" customFormat="1" ht="20" x14ac:dyDescent="0.2">
      <c r="B833" s="151" t="s">
        <v>1503</v>
      </c>
      <c r="C833" s="33" t="s">
        <v>106</v>
      </c>
      <c r="D833" s="33" t="s">
        <v>2876</v>
      </c>
      <c r="E833" s="175">
        <v>1</v>
      </c>
      <c r="F833" s="151" t="s">
        <v>1128</v>
      </c>
      <c r="G833" s="174">
        <v>4.6051799999999997E-2</v>
      </c>
      <c r="H833" s="152">
        <v>2.8427037037037032E-2</v>
      </c>
      <c r="I833" s="175">
        <v>138</v>
      </c>
      <c r="J833" s="266">
        <f>_xlfn.XLOOKUP($I833,Inputs!$C$6:$C$23,Inputs!$D$6:$D$23)*$G833</f>
        <v>1.9966744714285715E-2</v>
      </c>
      <c r="K833" s="267">
        <f>IF((42.4*(H833)^(-0.6595))&gt;=3,3,(IF(42.4*(H833)^(-0.6595)&lt;=0.5,0.5,(42.4*(H833)^(-0.6595)))))</f>
        <v>3</v>
      </c>
      <c r="L833" s="99"/>
      <c r="M833" s="99"/>
      <c r="N833" s="99">
        <f t="shared" si="185"/>
        <v>0</v>
      </c>
      <c r="O833" s="99">
        <f t="shared" si="186"/>
        <v>0</v>
      </c>
      <c r="P833" s="131">
        <v>0.9</v>
      </c>
      <c r="Q833" s="305">
        <f>_xlfn.XLOOKUP($I833,Inputs!$G$6:$G$23,Inputs!J$6:J$23)*$K833</f>
        <v>141</v>
      </c>
      <c r="R833" s="305">
        <f>_xlfn.XLOOKUP($I833,Inputs!$G$6:$G$23,Inputs!K$6:K$23)*$K833</f>
        <v>156</v>
      </c>
      <c r="S833" s="151" t="s">
        <v>2629</v>
      </c>
      <c r="T833" s="51" t="s">
        <v>2088</v>
      </c>
      <c r="U833" s="151" t="s">
        <v>2628</v>
      </c>
      <c r="V833" s="51" t="s">
        <v>3165</v>
      </c>
      <c r="W833" s="19"/>
      <c r="X833" s="19"/>
      <c r="Y833" s="99">
        <v>219</v>
      </c>
    </row>
    <row r="834" spans="2:25" s="165" customFormat="1" ht="20" x14ac:dyDescent="0.2">
      <c r="B834" s="150" t="s">
        <v>479</v>
      </c>
      <c r="C834" s="33" t="s">
        <v>106</v>
      </c>
      <c r="D834" s="33" t="s">
        <v>2876</v>
      </c>
      <c r="E834" s="175">
        <v>1</v>
      </c>
      <c r="F834" s="151" t="s">
        <v>1128</v>
      </c>
      <c r="G834" s="152">
        <v>3</v>
      </c>
      <c r="H834" s="152">
        <v>1.8518518518518516</v>
      </c>
      <c r="I834" s="175">
        <v>138</v>
      </c>
      <c r="J834" s="266">
        <f>_xlfn.XLOOKUP($I834,Inputs!$C$6:$C$23,Inputs!$D$6:$D$23)*$G834</f>
        <v>1.3007142857142857</v>
      </c>
      <c r="K834" s="255"/>
      <c r="L834" s="186">
        <v>571</v>
      </c>
      <c r="M834" s="3">
        <v>728</v>
      </c>
      <c r="N834" s="99">
        <f t="shared" si="185"/>
        <v>136.4821395348124</v>
      </c>
      <c r="O834" s="99">
        <f t="shared" si="186"/>
        <v>174.00875233159968</v>
      </c>
      <c r="P834" s="131">
        <v>0.9</v>
      </c>
      <c r="Q834" s="186">
        <f t="shared" ref="Q834:R841" si="188">N834*$P834</f>
        <v>122.83392558133117</v>
      </c>
      <c r="R834" s="186">
        <f t="shared" si="188"/>
        <v>156.60787709843973</v>
      </c>
      <c r="S834" s="151" t="s">
        <v>2436</v>
      </c>
      <c r="T834" s="51" t="s">
        <v>2086</v>
      </c>
      <c r="U834" s="151" t="s">
        <v>2629</v>
      </c>
      <c r="V834" s="51" t="s">
        <v>2088</v>
      </c>
      <c r="W834" s="19"/>
      <c r="X834" s="19"/>
      <c r="Y834" s="99">
        <v>218</v>
      </c>
    </row>
    <row r="835" spans="2:25" s="165" customFormat="1" ht="20" x14ac:dyDescent="0.2">
      <c r="B835" s="150" t="s">
        <v>1477</v>
      </c>
      <c r="C835" s="33" t="s">
        <v>106</v>
      </c>
      <c r="D835" s="33" t="s">
        <v>2876</v>
      </c>
      <c r="E835" s="175">
        <v>1</v>
      </c>
      <c r="F835" s="151" t="s">
        <v>1128</v>
      </c>
      <c r="G835" s="152">
        <v>4.6051799999999997E-2</v>
      </c>
      <c r="H835" s="152">
        <v>2.8427037037037032E-2</v>
      </c>
      <c r="I835" s="175">
        <v>138</v>
      </c>
      <c r="J835" s="266">
        <f>_xlfn.XLOOKUP($I835,Inputs!$C$6:$C$23,Inputs!$D$6:$D$23)*$G835</f>
        <v>1.9966744714285715E-2</v>
      </c>
      <c r="K835" s="255"/>
      <c r="L835" s="186">
        <v>571</v>
      </c>
      <c r="M835" s="186">
        <v>728</v>
      </c>
      <c r="N835" s="99">
        <f t="shared" si="185"/>
        <v>136.4821395348124</v>
      </c>
      <c r="O835" s="99">
        <f t="shared" si="186"/>
        <v>174.00875233159968</v>
      </c>
      <c r="P835" s="131">
        <v>0.9</v>
      </c>
      <c r="Q835" s="186">
        <f t="shared" si="188"/>
        <v>122.83392558133117</v>
      </c>
      <c r="R835" s="186">
        <f t="shared" si="188"/>
        <v>156.60787709843973</v>
      </c>
      <c r="S835" s="151" t="s">
        <v>2437</v>
      </c>
      <c r="T835" s="51" t="s">
        <v>2089</v>
      </c>
      <c r="U835" s="151" t="s">
        <v>1864</v>
      </c>
      <c r="V835" s="51" t="s">
        <v>3513</v>
      </c>
      <c r="W835" s="19"/>
      <c r="X835" s="19"/>
      <c r="Y835" s="99">
        <v>221</v>
      </c>
    </row>
    <row r="836" spans="2:25" s="165" customFormat="1" ht="20" x14ac:dyDescent="0.2">
      <c r="B836" s="150" t="s">
        <v>479</v>
      </c>
      <c r="C836" s="33" t="s">
        <v>106</v>
      </c>
      <c r="D836" s="33" t="s">
        <v>2876</v>
      </c>
      <c r="E836" s="175">
        <v>1</v>
      </c>
      <c r="F836" s="151" t="s">
        <v>1128</v>
      </c>
      <c r="G836" s="152">
        <v>2.93</v>
      </c>
      <c r="H836" s="152">
        <v>1.808641975308642</v>
      </c>
      <c r="I836" s="175">
        <v>138</v>
      </c>
      <c r="J836" s="266">
        <f>_xlfn.XLOOKUP($I836,Inputs!$C$6:$C$23,Inputs!$D$6:$D$23)*$G836</f>
        <v>1.2703642857142858</v>
      </c>
      <c r="K836" s="255"/>
      <c r="L836" s="186">
        <v>571</v>
      </c>
      <c r="M836" s="186">
        <v>728</v>
      </c>
      <c r="N836" s="99">
        <f t="shared" si="185"/>
        <v>136.4821395348124</v>
      </c>
      <c r="O836" s="99">
        <f t="shared" si="186"/>
        <v>174.00875233159968</v>
      </c>
      <c r="P836" s="131">
        <v>0.9</v>
      </c>
      <c r="Q836" s="186">
        <f t="shared" si="188"/>
        <v>122.83392558133117</v>
      </c>
      <c r="R836" s="186">
        <f t="shared" si="188"/>
        <v>156.60787709843973</v>
      </c>
      <c r="S836" s="151" t="s">
        <v>2629</v>
      </c>
      <c r="T836" s="51" t="s">
        <v>2088</v>
      </c>
      <c r="U836" s="151" t="s">
        <v>2437</v>
      </c>
      <c r="V836" s="51" t="s">
        <v>2089</v>
      </c>
      <c r="W836" s="19"/>
      <c r="X836" s="19"/>
      <c r="Y836" s="99">
        <v>220</v>
      </c>
    </row>
    <row r="837" spans="2:25" s="165" customFormat="1" ht="20" x14ac:dyDescent="0.2">
      <c r="B837" s="150" t="s">
        <v>632</v>
      </c>
      <c r="C837" s="33" t="s">
        <v>106</v>
      </c>
      <c r="D837" s="33" t="s">
        <v>2876</v>
      </c>
      <c r="E837" s="175">
        <v>1</v>
      </c>
      <c r="F837" s="151" t="s">
        <v>1128</v>
      </c>
      <c r="G837" s="152">
        <v>115</v>
      </c>
      <c r="H837" s="152">
        <v>70.987654320987644</v>
      </c>
      <c r="I837" s="175">
        <v>360</v>
      </c>
      <c r="J837" s="266">
        <f>_xlfn.XLOOKUP($I837,Inputs!$C$6:$C$23,Inputs!$D$6:$D$23)*$G837</f>
        <v>50.49351851851852</v>
      </c>
      <c r="K837" s="255"/>
      <c r="L837" s="186">
        <v>960</v>
      </c>
      <c r="M837" s="186">
        <v>1782</v>
      </c>
      <c r="N837" s="99">
        <f t="shared" si="185"/>
        <v>598.59675909580392</v>
      </c>
      <c r="O837" s="99">
        <f t="shared" si="186"/>
        <v>1111.1452340715859</v>
      </c>
      <c r="P837" s="131">
        <v>0.9</v>
      </c>
      <c r="Q837" s="186">
        <f t="shared" si="188"/>
        <v>538.73708318622357</v>
      </c>
      <c r="R837" s="186">
        <f t="shared" si="188"/>
        <v>1000.0307106644274</v>
      </c>
      <c r="S837" s="151" t="s">
        <v>3569</v>
      </c>
      <c r="T837" s="51" t="s">
        <v>3568</v>
      </c>
      <c r="U837" s="151" t="s">
        <v>2616</v>
      </c>
      <c r="V837" s="51" t="s">
        <v>3319</v>
      </c>
      <c r="W837" s="19"/>
      <c r="X837" s="19"/>
      <c r="Y837" s="99">
        <v>506</v>
      </c>
    </row>
    <row r="838" spans="2:25" s="165" customFormat="1" ht="20" x14ac:dyDescent="0.2">
      <c r="B838" s="150" t="s">
        <v>1463</v>
      </c>
      <c r="C838" s="33" t="s">
        <v>106</v>
      </c>
      <c r="D838" s="33" t="s">
        <v>2876</v>
      </c>
      <c r="E838" s="175">
        <v>1</v>
      </c>
      <c r="F838" s="151" t="s">
        <v>1128</v>
      </c>
      <c r="G838" s="152">
        <v>0.4798384</v>
      </c>
      <c r="H838" s="152">
        <v>0.29619654320987654</v>
      </c>
      <c r="I838" s="175">
        <v>138</v>
      </c>
      <c r="J838" s="266">
        <f>_xlfn.XLOOKUP($I838,Inputs!$C$6:$C$23,Inputs!$D$6:$D$23)*$G838</f>
        <v>0.2080442205714286</v>
      </c>
      <c r="K838" s="255"/>
      <c r="L838" s="186">
        <v>375</v>
      </c>
      <c r="M838" s="186">
        <v>642</v>
      </c>
      <c r="N838" s="99">
        <f t="shared" si="185"/>
        <v>89.633629291689402</v>
      </c>
      <c r="O838" s="99">
        <f t="shared" si="186"/>
        <v>153.45277334737224</v>
      </c>
      <c r="P838" s="131">
        <v>0.9</v>
      </c>
      <c r="Q838" s="186">
        <f t="shared" si="188"/>
        <v>80.670266362520465</v>
      </c>
      <c r="R838" s="186">
        <f t="shared" si="188"/>
        <v>138.10749601263501</v>
      </c>
      <c r="S838" s="151" t="s">
        <v>2389</v>
      </c>
      <c r="T838" s="51" t="s">
        <v>2038</v>
      </c>
      <c r="U838" s="151" t="s">
        <v>1865</v>
      </c>
      <c r="V838" s="51" t="s">
        <v>3514</v>
      </c>
      <c r="W838" s="19"/>
      <c r="X838" s="19"/>
      <c r="Y838" s="99">
        <v>28</v>
      </c>
    </row>
    <row r="839" spans="2:25" s="165" customFormat="1" ht="20" x14ac:dyDescent="0.2">
      <c r="B839" s="150" t="s">
        <v>422</v>
      </c>
      <c r="C839" s="33" t="s">
        <v>106</v>
      </c>
      <c r="D839" s="33" t="s">
        <v>2876</v>
      </c>
      <c r="E839" s="175">
        <v>1</v>
      </c>
      <c r="F839" s="151" t="s">
        <v>1128</v>
      </c>
      <c r="G839" s="152">
        <v>15</v>
      </c>
      <c r="H839" s="152">
        <v>9.2592592592592595</v>
      </c>
      <c r="I839" s="175">
        <v>138</v>
      </c>
      <c r="J839" s="266">
        <f>_xlfn.XLOOKUP($I839,Inputs!$C$6:$C$23,Inputs!$D$6:$D$23)*$G839</f>
        <v>6.503571428571429</v>
      </c>
      <c r="K839" s="255"/>
      <c r="L839" s="186">
        <v>375</v>
      </c>
      <c r="M839" s="186">
        <v>530</v>
      </c>
      <c r="N839" s="99">
        <f t="shared" si="185"/>
        <v>89.633629291689402</v>
      </c>
      <c r="O839" s="99">
        <f t="shared" si="186"/>
        <v>126.68219606558768</v>
      </c>
      <c r="P839" s="131">
        <v>0.9</v>
      </c>
      <c r="Q839" s="186">
        <f t="shared" si="188"/>
        <v>80.670266362520465</v>
      </c>
      <c r="R839" s="186">
        <f t="shared" si="188"/>
        <v>114.01397645902891</v>
      </c>
      <c r="S839" s="151" t="s">
        <v>2388</v>
      </c>
      <c r="T839" s="51" t="s">
        <v>2037</v>
      </c>
      <c r="U839" s="151" t="s">
        <v>2389</v>
      </c>
      <c r="V839" s="51" t="s">
        <v>2038</v>
      </c>
      <c r="W839" s="19"/>
      <c r="X839" s="19"/>
      <c r="Y839" s="99">
        <v>27</v>
      </c>
    </row>
    <row r="840" spans="2:25" s="165" customFormat="1" ht="20" x14ac:dyDescent="0.2">
      <c r="B840" s="150" t="s">
        <v>474</v>
      </c>
      <c r="C840" s="33" t="s">
        <v>106</v>
      </c>
      <c r="D840" s="33" t="s">
        <v>2876</v>
      </c>
      <c r="E840" s="175">
        <v>1</v>
      </c>
      <c r="F840" s="151" t="s">
        <v>1128</v>
      </c>
      <c r="G840" s="152">
        <v>40</v>
      </c>
      <c r="H840" s="152">
        <v>24.691358024691358</v>
      </c>
      <c r="I840" s="175">
        <v>138</v>
      </c>
      <c r="J840" s="266">
        <f>_xlfn.XLOOKUP($I840,Inputs!$C$6:$C$23,Inputs!$D$6:$D$23)*$G840</f>
        <v>17.342857142857145</v>
      </c>
      <c r="K840" s="255"/>
      <c r="L840" s="186">
        <v>472</v>
      </c>
      <c r="M840" s="186">
        <v>658</v>
      </c>
      <c r="N840" s="99">
        <f t="shared" si="185"/>
        <v>112.8188614018064</v>
      </c>
      <c r="O840" s="99">
        <f t="shared" si="186"/>
        <v>157.2771415304843</v>
      </c>
      <c r="P840" s="131">
        <v>0.9</v>
      </c>
      <c r="Q840" s="186">
        <f t="shared" si="188"/>
        <v>101.53697526162577</v>
      </c>
      <c r="R840" s="186">
        <f t="shared" si="188"/>
        <v>141.54942737743588</v>
      </c>
      <c r="S840" s="151" t="s">
        <v>2422</v>
      </c>
      <c r="T840" s="51" t="s">
        <v>2073</v>
      </c>
      <c r="U840" s="151" t="s">
        <v>1866</v>
      </c>
      <c r="V840" s="51" t="s">
        <v>3320</v>
      </c>
      <c r="W840" s="19"/>
      <c r="X840" s="19"/>
      <c r="Y840" s="99">
        <v>185</v>
      </c>
    </row>
    <row r="841" spans="2:25" s="165" customFormat="1" ht="20" x14ac:dyDescent="0.2">
      <c r="B841" s="150" t="s">
        <v>602</v>
      </c>
      <c r="C841" s="33" t="s">
        <v>106</v>
      </c>
      <c r="D841" s="33" t="s">
        <v>2876</v>
      </c>
      <c r="E841" s="175">
        <v>1</v>
      </c>
      <c r="F841" s="151" t="s">
        <v>1128</v>
      </c>
      <c r="G841" s="152">
        <v>37.5859193</v>
      </c>
      <c r="H841" s="152">
        <v>23.201184753086419</v>
      </c>
      <c r="I841" s="175">
        <v>230</v>
      </c>
      <c r="J841" s="266">
        <f>_xlfn.XLOOKUP($I841,Inputs!$C$6:$C$23,Inputs!$D$6:$D$23)*$G841</f>
        <v>18.041241264</v>
      </c>
      <c r="K841" s="255"/>
      <c r="L841" s="186">
        <v>1045</v>
      </c>
      <c r="M841" s="186">
        <v>1345</v>
      </c>
      <c r="N841" s="99">
        <f t="shared" si="185"/>
        <v>416.29841159917959</v>
      </c>
      <c r="O841" s="99">
        <f t="shared" si="186"/>
        <v>535.80991732143218</v>
      </c>
      <c r="P841" s="131">
        <v>0.9</v>
      </c>
      <c r="Q841" s="186">
        <f t="shared" si="188"/>
        <v>374.66857043926166</v>
      </c>
      <c r="R841" s="186">
        <f t="shared" si="188"/>
        <v>482.22892558928896</v>
      </c>
      <c r="S841" s="151" t="s">
        <v>1565</v>
      </c>
      <c r="T841" s="51" t="s">
        <v>3206</v>
      </c>
      <c r="U841" s="151" t="s">
        <v>1866</v>
      </c>
      <c r="V841" s="51" t="s">
        <v>3320</v>
      </c>
      <c r="W841" s="19"/>
      <c r="X841" s="19"/>
      <c r="Y841" s="99">
        <v>458</v>
      </c>
    </row>
    <row r="842" spans="2:25" s="165" customFormat="1" ht="20" x14ac:dyDescent="0.2">
      <c r="B842" s="230" t="s">
        <v>2630</v>
      </c>
      <c r="C842" s="51" t="s">
        <v>173</v>
      </c>
      <c r="D842" s="33" t="s">
        <v>2876</v>
      </c>
      <c r="E842" s="231">
        <v>1</v>
      </c>
      <c r="F842" s="230" t="s">
        <v>1128</v>
      </c>
      <c r="G842" s="232">
        <v>1.5</v>
      </c>
      <c r="H842" s="232">
        <v>0.92592592592592582</v>
      </c>
      <c r="I842" s="231">
        <v>138</v>
      </c>
      <c r="J842" s="266">
        <f>_xlfn.XLOOKUP($I842,Inputs!$C$6:$C$23,Inputs!$D$6:$D$23)*$G842</f>
        <v>0.65035714285714286</v>
      </c>
      <c r="K842" s="267">
        <f>IF((42.4*(H842)^(-0.6595))&gt;=3,3,(IF(42.4*(H842)^(-0.6595)&lt;=0.5,0.5,(42.4*(H842)^(-0.6595)))))</f>
        <v>3</v>
      </c>
      <c r="L842" s="99"/>
      <c r="M842" s="99"/>
      <c r="N842" s="99"/>
      <c r="O842" s="99"/>
      <c r="P842" s="69"/>
      <c r="Q842" s="305">
        <f>_xlfn.XLOOKUP($I842,Inputs!$G$6:$G$23,Inputs!J$6:J$23)*$K842</f>
        <v>141</v>
      </c>
      <c r="R842" s="305">
        <f>_xlfn.XLOOKUP($I842,Inputs!$G$6:$G$23,Inputs!K$6:K$23)*$K842</f>
        <v>156</v>
      </c>
      <c r="S842" s="230" t="s">
        <v>2632</v>
      </c>
      <c r="T842" s="51" t="s">
        <v>3316</v>
      </c>
      <c r="U842" s="230" t="s">
        <v>2633</v>
      </c>
      <c r="V842" s="51" t="s">
        <v>3322</v>
      </c>
      <c r="W842" s="19"/>
      <c r="X842" s="19"/>
      <c r="Y842" s="99">
        <v>1112</v>
      </c>
    </row>
    <row r="843" spans="2:25" s="165" customFormat="1" ht="20" x14ac:dyDescent="0.2">
      <c r="B843" s="150" t="s">
        <v>427</v>
      </c>
      <c r="C843" s="33" t="s">
        <v>106</v>
      </c>
      <c r="D843" s="33" t="s">
        <v>2876</v>
      </c>
      <c r="E843" s="175">
        <v>1</v>
      </c>
      <c r="F843" s="151" t="s">
        <v>1128</v>
      </c>
      <c r="G843" s="152">
        <v>24.6</v>
      </c>
      <c r="H843" s="152">
        <v>15.185185185185185</v>
      </c>
      <c r="I843" s="175">
        <v>138</v>
      </c>
      <c r="J843" s="266">
        <f>_xlfn.XLOOKUP($I843,Inputs!$C$6:$C$23,Inputs!$D$6:$D$23)*$G843</f>
        <v>10.665857142857144</v>
      </c>
      <c r="K843" s="255"/>
      <c r="L843" s="186">
        <v>504</v>
      </c>
      <c r="M843" s="186">
        <v>601</v>
      </c>
      <c r="N843" s="99">
        <f t="shared" ref="N843:N870" si="189">(SQRT(3)*L843*$I843)/1000</f>
        <v>120.46759776803054</v>
      </c>
      <c r="O843" s="99">
        <f t="shared" ref="O843:O870" si="190">(SQRT(3)*M843*$I843)/1000</f>
        <v>143.65282987814754</v>
      </c>
      <c r="P843" s="131">
        <v>0.9</v>
      </c>
      <c r="Q843" s="186">
        <f t="shared" ref="Q843:R848" si="191">N843*$P843</f>
        <v>108.42083799122749</v>
      </c>
      <c r="R843" s="186">
        <f t="shared" si="191"/>
        <v>129.28754689033281</v>
      </c>
      <c r="S843" s="151" t="s">
        <v>2394</v>
      </c>
      <c r="T843" s="51" t="s">
        <v>2043</v>
      </c>
      <c r="U843" s="151" t="s">
        <v>1867</v>
      </c>
      <c r="V843" s="51" t="s">
        <v>3196</v>
      </c>
      <c r="W843" s="19"/>
      <c r="X843" s="19"/>
      <c r="Y843" s="99">
        <v>45</v>
      </c>
    </row>
    <row r="844" spans="2:25" s="165" customFormat="1" ht="20" x14ac:dyDescent="0.2">
      <c r="B844" s="150" t="s">
        <v>548</v>
      </c>
      <c r="C844" s="33" t="s">
        <v>106</v>
      </c>
      <c r="D844" s="33" t="s">
        <v>2876</v>
      </c>
      <c r="E844" s="175">
        <v>1</v>
      </c>
      <c r="F844" s="151" t="s">
        <v>1128</v>
      </c>
      <c r="G844" s="152">
        <v>28.4702497</v>
      </c>
      <c r="H844" s="152">
        <v>17.574228209876541</v>
      </c>
      <c r="I844" s="175">
        <v>230</v>
      </c>
      <c r="J844" s="266">
        <f>_xlfn.XLOOKUP($I844,Inputs!$C$6:$C$23,Inputs!$D$6:$D$23)*$G844</f>
        <v>13.665719855999999</v>
      </c>
      <c r="K844" s="255"/>
      <c r="L844" s="186">
        <v>848</v>
      </c>
      <c r="M844" s="186">
        <v>1036</v>
      </c>
      <c r="N844" s="99">
        <f t="shared" si="189"/>
        <v>337.81918950823382</v>
      </c>
      <c r="O844" s="99">
        <f t="shared" si="190"/>
        <v>412.71306642751205</v>
      </c>
      <c r="P844" s="131">
        <v>0.9</v>
      </c>
      <c r="Q844" s="186">
        <f t="shared" si="191"/>
        <v>304.03727055741047</v>
      </c>
      <c r="R844" s="186">
        <f t="shared" si="191"/>
        <v>371.44175978476085</v>
      </c>
      <c r="S844" s="151" t="s">
        <v>1795</v>
      </c>
      <c r="T844" s="51" t="s">
        <v>3199</v>
      </c>
      <c r="U844" s="151" t="s">
        <v>1867</v>
      </c>
      <c r="V844" s="179" t="s">
        <v>3196</v>
      </c>
      <c r="W844" s="19"/>
      <c r="X844" s="19"/>
      <c r="Y844" s="99">
        <v>390</v>
      </c>
    </row>
    <row r="845" spans="2:25" s="165" customFormat="1" ht="20" x14ac:dyDescent="0.2">
      <c r="B845" s="150" t="s">
        <v>1176</v>
      </c>
      <c r="C845" s="33" t="s">
        <v>106</v>
      </c>
      <c r="D845" s="33" t="s">
        <v>2876</v>
      </c>
      <c r="E845" s="175">
        <v>1</v>
      </c>
      <c r="F845" s="151" t="s">
        <v>1128</v>
      </c>
      <c r="G845" s="152">
        <v>39.64</v>
      </c>
      <c r="H845" s="152">
        <v>24.469135802469136</v>
      </c>
      <c r="I845" s="175">
        <v>69</v>
      </c>
      <c r="J845" s="266">
        <f>_xlfn.XLOOKUP($I845,Inputs!$C$6:$C$23,Inputs!$D$6:$D$23)*$G845</f>
        <v>15.233085714285714</v>
      </c>
      <c r="K845" s="255"/>
      <c r="L845" s="186">
        <v>427</v>
      </c>
      <c r="M845" s="186">
        <v>604</v>
      </c>
      <c r="N845" s="99">
        <f t="shared" si="189"/>
        <v>51.031412943401833</v>
      </c>
      <c r="O845" s="99">
        <f t="shared" si="190"/>
        <v>72.184949456240517</v>
      </c>
      <c r="P845" s="131">
        <v>0.9</v>
      </c>
      <c r="Q845" s="186">
        <f t="shared" si="191"/>
        <v>45.928271649061649</v>
      </c>
      <c r="R845" s="186">
        <f t="shared" si="191"/>
        <v>64.966454510616472</v>
      </c>
      <c r="S845" s="184" t="s">
        <v>2499</v>
      </c>
      <c r="T845" s="51" t="s">
        <v>2157</v>
      </c>
      <c r="U845" s="151" t="s">
        <v>1869</v>
      </c>
      <c r="V845" s="51" t="s">
        <v>3361</v>
      </c>
      <c r="W845" s="19"/>
      <c r="X845" s="19"/>
      <c r="Y845" s="99">
        <v>634</v>
      </c>
    </row>
    <row r="846" spans="2:25" s="165" customFormat="1" ht="20" x14ac:dyDescent="0.2">
      <c r="B846" s="150" t="s">
        <v>449</v>
      </c>
      <c r="C846" s="33" t="s">
        <v>106</v>
      </c>
      <c r="D846" s="33" t="s">
        <v>2876</v>
      </c>
      <c r="E846" s="175">
        <v>1</v>
      </c>
      <c r="F846" s="151" t="s">
        <v>1128</v>
      </c>
      <c r="G846" s="152">
        <v>15.721719999999999</v>
      </c>
      <c r="H846" s="152">
        <v>9.704765432098764</v>
      </c>
      <c r="I846" s="175">
        <v>138</v>
      </c>
      <c r="J846" s="266">
        <f>_xlfn.XLOOKUP($I846,Inputs!$C$6:$C$23,Inputs!$D$6:$D$23)*$G846</f>
        <v>6.8164886000000005</v>
      </c>
      <c r="K846" s="255"/>
      <c r="L846" s="186">
        <v>660</v>
      </c>
      <c r="M846" s="186">
        <v>830</v>
      </c>
      <c r="N846" s="99">
        <f t="shared" si="189"/>
        <v>157.75518755337333</v>
      </c>
      <c r="O846" s="99">
        <f t="shared" si="190"/>
        <v>198.3890994989392</v>
      </c>
      <c r="P846" s="131">
        <v>0.9</v>
      </c>
      <c r="Q846" s="186">
        <f t="shared" si="191"/>
        <v>141.97966879803602</v>
      </c>
      <c r="R846" s="186">
        <f t="shared" si="191"/>
        <v>178.55018954904529</v>
      </c>
      <c r="S846" s="151" t="s">
        <v>1762</v>
      </c>
      <c r="T846" s="51" t="s">
        <v>3139</v>
      </c>
      <c r="U846" s="151" t="s">
        <v>2324</v>
      </c>
      <c r="V846" s="51" t="s">
        <v>3156</v>
      </c>
      <c r="W846" s="19"/>
      <c r="X846" s="19"/>
      <c r="Y846" s="99">
        <v>117</v>
      </c>
    </row>
    <row r="847" spans="2:25" s="165" customFormat="1" ht="20" x14ac:dyDescent="0.2">
      <c r="B847" s="150" t="s">
        <v>2382</v>
      </c>
      <c r="C847" s="33" t="s">
        <v>106</v>
      </c>
      <c r="D847" s="33" t="s">
        <v>2876</v>
      </c>
      <c r="E847" s="175">
        <v>1</v>
      </c>
      <c r="F847" s="151" t="s">
        <v>1128</v>
      </c>
      <c r="G847" s="152">
        <v>0.2</v>
      </c>
      <c r="H847" s="152">
        <v>0.12345679012345678</v>
      </c>
      <c r="I847" s="175">
        <v>69</v>
      </c>
      <c r="J847" s="266">
        <f>_xlfn.XLOOKUP($I847,Inputs!$C$6:$C$23,Inputs!$D$6:$D$23)*$G847</f>
        <v>7.685714285714286E-2</v>
      </c>
      <c r="K847" s="255"/>
      <c r="L847" s="186">
        <v>828</v>
      </c>
      <c r="M847" s="186">
        <v>1060</v>
      </c>
      <c r="N847" s="99">
        <f t="shared" si="189"/>
        <v>98.955526738025085</v>
      </c>
      <c r="O847" s="99">
        <f t="shared" si="190"/>
        <v>126.68219606558768</v>
      </c>
      <c r="P847" s="131">
        <v>0.9</v>
      </c>
      <c r="Q847" s="186">
        <f t="shared" si="191"/>
        <v>89.059974064222573</v>
      </c>
      <c r="R847" s="186">
        <f t="shared" si="191"/>
        <v>114.01397645902891</v>
      </c>
      <c r="S847" s="151" t="s">
        <v>2547</v>
      </c>
      <c r="T847" s="51" t="s">
        <v>2204</v>
      </c>
      <c r="U847" s="151" t="s">
        <v>1870</v>
      </c>
      <c r="V847" s="51" t="s">
        <v>3157</v>
      </c>
      <c r="W847" s="19"/>
      <c r="X847" s="19"/>
      <c r="Y847" s="99">
        <v>830</v>
      </c>
    </row>
    <row r="848" spans="2:25" s="165" customFormat="1" ht="20" x14ac:dyDescent="0.2">
      <c r="B848" s="150" t="s">
        <v>1293</v>
      </c>
      <c r="C848" s="33" t="s">
        <v>106</v>
      </c>
      <c r="D848" s="33" t="s">
        <v>2876</v>
      </c>
      <c r="E848" s="175">
        <v>1</v>
      </c>
      <c r="F848" s="151" t="s">
        <v>1128</v>
      </c>
      <c r="G848" s="152">
        <v>1</v>
      </c>
      <c r="H848" s="152">
        <v>0.61728395061728392</v>
      </c>
      <c r="I848" s="175">
        <v>69</v>
      </c>
      <c r="J848" s="266">
        <f>_xlfn.XLOOKUP($I848,Inputs!$C$6:$C$23,Inputs!$D$6:$D$23)*$G848</f>
        <v>0.38428571428571429</v>
      </c>
      <c r="K848" s="255"/>
      <c r="L848" s="186">
        <v>828</v>
      </c>
      <c r="M848" s="186">
        <v>1060</v>
      </c>
      <c r="N848" s="99">
        <f t="shared" si="189"/>
        <v>98.955526738025085</v>
      </c>
      <c r="O848" s="99">
        <f t="shared" si="190"/>
        <v>126.68219606558768</v>
      </c>
      <c r="P848" s="131">
        <v>0.9</v>
      </c>
      <c r="Q848" s="186">
        <f t="shared" si="191"/>
        <v>89.059974064222573</v>
      </c>
      <c r="R848" s="186">
        <f t="shared" si="191"/>
        <v>114.01397645902891</v>
      </c>
      <c r="S848" s="151" t="s">
        <v>1940</v>
      </c>
      <c r="T848" s="51" t="s">
        <v>3178</v>
      </c>
      <c r="U848" s="151" t="s">
        <v>2547</v>
      </c>
      <c r="V848" s="51" t="s">
        <v>2204</v>
      </c>
      <c r="W848" s="19"/>
      <c r="X848" s="19"/>
      <c r="Y848" s="99">
        <v>829</v>
      </c>
    </row>
    <row r="849" spans="1:25" s="165" customFormat="1" ht="20" x14ac:dyDescent="0.2">
      <c r="B849" s="150" t="s">
        <v>1465</v>
      </c>
      <c r="C849" s="33" t="s">
        <v>106</v>
      </c>
      <c r="D849" s="33" t="s">
        <v>2876</v>
      </c>
      <c r="E849" s="175">
        <v>1</v>
      </c>
      <c r="F849" s="151" t="s">
        <v>1128</v>
      </c>
      <c r="G849" s="152">
        <v>0.26045469999999998</v>
      </c>
      <c r="H849" s="152">
        <v>0.16077450617283948</v>
      </c>
      <c r="I849" s="175">
        <v>138</v>
      </c>
      <c r="J849" s="266">
        <f>_xlfn.XLOOKUP($I849,Inputs!$C$6:$C$23,Inputs!$D$6:$D$23)*$G849</f>
        <v>0.11292571635714287</v>
      </c>
      <c r="K849" s="267">
        <f>IF((42.4*(H849)^(-0.6595))&gt;=3,3,(IF(42.4*(H849)^(-0.6595)&lt;=0.5,0.5,(42.4*(H849)^(-0.6595)))))</f>
        <v>3</v>
      </c>
      <c r="L849" s="99"/>
      <c r="M849" s="99"/>
      <c r="N849" s="99">
        <f t="shared" si="189"/>
        <v>0</v>
      </c>
      <c r="O849" s="99">
        <f t="shared" si="190"/>
        <v>0</v>
      </c>
      <c r="P849" s="131">
        <v>0.9</v>
      </c>
      <c r="Q849" s="305">
        <f>_xlfn.XLOOKUP($I849,Inputs!$G$6:$G$23,Inputs!J$6:J$23)*$K849</f>
        <v>141</v>
      </c>
      <c r="R849" s="305">
        <f>_xlfn.XLOOKUP($I849,Inputs!$G$6:$G$23,Inputs!K$6:K$23)*$K849</f>
        <v>156</v>
      </c>
      <c r="S849" s="151" t="s">
        <v>2395</v>
      </c>
      <c r="T849" s="51" t="s">
        <v>2044</v>
      </c>
      <c r="U849" s="151" t="s">
        <v>1871</v>
      </c>
      <c r="V849" s="51" t="s">
        <v>3603</v>
      </c>
      <c r="W849" s="19"/>
      <c r="X849" s="19"/>
      <c r="Y849" s="99">
        <v>49</v>
      </c>
    </row>
    <row r="850" spans="1:25" s="165" customFormat="1" ht="20" x14ac:dyDescent="0.2">
      <c r="B850" s="150" t="s">
        <v>429</v>
      </c>
      <c r="C850" s="33" t="s">
        <v>106</v>
      </c>
      <c r="D850" s="33" t="s">
        <v>2876</v>
      </c>
      <c r="E850" s="175">
        <v>1</v>
      </c>
      <c r="F850" s="151" t="s">
        <v>1128</v>
      </c>
      <c r="G850" s="152">
        <v>2.81</v>
      </c>
      <c r="H850" s="152">
        <v>1.7345679012345678</v>
      </c>
      <c r="I850" s="175">
        <v>138</v>
      </c>
      <c r="J850" s="266">
        <f>_xlfn.XLOOKUP($I850,Inputs!$C$6:$C$23,Inputs!$D$6:$D$23)*$G850</f>
        <v>1.2183357142857143</v>
      </c>
      <c r="K850" s="255"/>
      <c r="L850" s="186">
        <v>490</v>
      </c>
      <c r="M850" s="186">
        <v>590</v>
      </c>
      <c r="N850" s="99">
        <f t="shared" si="189"/>
        <v>117.12127560780748</v>
      </c>
      <c r="O850" s="99">
        <f t="shared" si="190"/>
        <v>141.02357675225798</v>
      </c>
      <c r="P850" s="131">
        <v>0.9</v>
      </c>
      <c r="Q850" s="186">
        <f t="shared" ref="Q850:R854" si="192">N850*$P850</f>
        <v>105.40914804702673</v>
      </c>
      <c r="R850" s="186">
        <f t="shared" si="192"/>
        <v>126.92121907703219</v>
      </c>
      <c r="S850" s="151" t="s">
        <v>2301</v>
      </c>
      <c r="T850" s="51" t="s">
        <v>3108</v>
      </c>
      <c r="U850" s="151" t="s">
        <v>2395</v>
      </c>
      <c r="V850" s="51" t="s">
        <v>2044</v>
      </c>
      <c r="W850" s="19"/>
      <c r="X850" s="19"/>
      <c r="Y850" s="99">
        <v>47</v>
      </c>
    </row>
    <row r="851" spans="1:25" s="165" customFormat="1" ht="20" x14ac:dyDescent="0.2">
      <c r="B851" s="150" t="s">
        <v>574</v>
      </c>
      <c r="C851" s="33" t="s">
        <v>106</v>
      </c>
      <c r="D851" s="33" t="s">
        <v>2876</v>
      </c>
      <c r="E851" s="175">
        <v>1</v>
      </c>
      <c r="F851" s="151" t="s">
        <v>1128</v>
      </c>
      <c r="G851" s="152">
        <v>152.40002680000001</v>
      </c>
      <c r="H851" s="152">
        <v>94.074090617283943</v>
      </c>
      <c r="I851" s="175">
        <v>230</v>
      </c>
      <c r="J851" s="266">
        <f>_xlfn.XLOOKUP($I851,Inputs!$C$6:$C$23,Inputs!$D$6:$D$23)*$G851</f>
        <v>73.152012864</v>
      </c>
      <c r="K851" s="255"/>
      <c r="L851" s="186">
        <v>527</v>
      </c>
      <c r="M851" s="186">
        <v>942</v>
      </c>
      <c r="N851" s="99">
        <f t="shared" si="189"/>
        <v>209.94187838542359</v>
      </c>
      <c r="O851" s="99">
        <f t="shared" si="190"/>
        <v>375.26612796787288</v>
      </c>
      <c r="P851" s="131">
        <v>0.9</v>
      </c>
      <c r="Q851" s="186">
        <f t="shared" si="192"/>
        <v>188.94769054688123</v>
      </c>
      <c r="R851" s="186">
        <f t="shared" si="192"/>
        <v>337.7395151710856</v>
      </c>
      <c r="S851" s="151" t="s">
        <v>1753</v>
      </c>
      <c r="T851" s="51" t="s">
        <v>3282</v>
      </c>
      <c r="U851" s="151" t="s">
        <v>1872</v>
      </c>
      <c r="V851" s="51" t="s">
        <v>3180</v>
      </c>
      <c r="W851" s="19"/>
      <c r="X851" s="19"/>
      <c r="Y851" s="99">
        <v>423</v>
      </c>
    </row>
    <row r="852" spans="1:25" s="165" customFormat="1" ht="20" x14ac:dyDescent="0.2">
      <c r="B852" s="150" t="s">
        <v>628</v>
      </c>
      <c r="C852" s="33" t="s">
        <v>106</v>
      </c>
      <c r="D852" s="33" t="s">
        <v>2876</v>
      </c>
      <c r="E852" s="175">
        <v>1</v>
      </c>
      <c r="F852" s="151" t="s">
        <v>1128</v>
      </c>
      <c r="G852" s="152">
        <v>103.15712069999999</v>
      </c>
      <c r="H852" s="152">
        <v>63.677234999999989</v>
      </c>
      <c r="I852" s="175">
        <v>230</v>
      </c>
      <c r="J852" s="266">
        <f>_xlfn.XLOOKUP($I852,Inputs!$C$6:$C$23,Inputs!$D$6:$D$23)*$G852</f>
        <v>49.515417935999992</v>
      </c>
      <c r="K852" s="255"/>
      <c r="L852" s="186">
        <v>1047</v>
      </c>
      <c r="M852" s="186">
        <v>1270</v>
      </c>
      <c r="N852" s="99">
        <f t="shared" si="189"/>
        <v>417.09515497066133</v>
      </c>
      <c r="O852" s="99">
        <f t="shared" si="190"/>
        <v>505.93204089086896</v>
      </c>
      <c r="P852" s="131">
        <v>0.9</v>
      </c>
      <c r="Q852" s="186">
        <f t="shared" si="192"/>
        <v>375.38563947359518</v>
      </c>
      <c r="R852" s="186">
        <f t="shared" si="192"/>
        <v>455.33883680178207</v>
      </c>
      <c r="S852" s="151" t="s">
        <v>1714</v>
      </c>
      <c r="T852" s="51" t="s">
        <v>3262</v>
      </c>
      <c r="U852" s="151" t="s">
        <v>1872</v>
      </c>
      <c r="V852" s="51" t="s">
        <v>3180</v>
      </c>
      <c r="W852" s="19"/>
      <c r="X852" s="19"/>
      <c r="Y852" s="99">
        <v>501</v>
      </c>
    </row>
    <row r="853" spans="1:25" s="165" customFormat="1" ht="20" x14ac:dyDescent="0.2">
      <c r="B853" s="150" t="s">
        <v>1289</v>
      </c>
      <c r="C853" s="33" t="s">
        <v>106</v>
      </c>
      <c r="D853" s="33" t="s">
        <v>2876</v>
      </c>
      <c r="E853" s="175">
        <v>1</v>
      </c>
      <c r="F853" s="151" t="s">
        <v>1128</v>
      </c>
      <c r="G853" s="152">
        <v>25.71</v>
      </c>
      <c r="H853" s="152">
        <v>15.87037037037037</v>
      </c>
      <c r="I853" s="175">
        <v>69</v>
      </c>
      <c r="J853" s="266">
        <f>_xlfn.XLOOKUP($I853,Inputs!$C$6:$C$23,Inputs!$D$6:$D$23)*$G853</f>
        <v>9.8799857142857146</v>
      </c>
      <c r="K853" s="255"/>
      <c r="L853" s="186">
        <v>259</v>
      </c>
      <c r="M853" s="186">
        <v>363</v>
      </c>
      <c r="N853" s="99">
        <f t="shared" si="189"/>
        <v>30.953479982063403</v>
      </c>
      <c r="O853" s="99">
        <f t="shared" si="190"/>
        <v>43.382676577177669</v>
      </c>
      <c r="P853" s="131">
        <v>0.9</v>
      </c>
      <c r="Q853" s="186">
        <f t="shared" si="192"/>
        <v>27.858131983857064</v>
      </c>
      <c r="R853" s="186">
        <f t="shared" si="192"/>
        <v>39.044408919459904</v>
      </c>
      <c r="S853" s="151" t="s">
        <v>2545</v>
      </c>
      <c r="T853" s="51" t="s">
        <v>2202</v>
      </c>
      <c r="U853" s="151" t="s">
        <v>1873</v>
      </c>
      <c r="V853" s="51" t="s">
        <v>3421</v>
      </c>
      <c r="W853" s="19"/>
      <c r="X853" s="19"/>
      <c r="Y853" s="99">
        <v>824</v>
      </c>
    </row>
    <row r="854" spans="1:25" s="165" customFormat="1" ht="20" x14ac:dyDescent="0.2">
      <c r="B854" s="150" t="s">
        <v>487</v>
      </c>
      <c r="C854" s="33" t="s">
        <v>106</v>
      </c>
      <c r="D854" s="33" t="s">
        <v>2876</v>
      </c>
      <c r="E854" s="175">
        <v>1</v>
      </c>
      <c r="F854" s="151" t="s">
        <v>1128</v>
      </c>
      <c r="G854" s="152">
        <v>3</v>
      </c>
      <c r="H854" s="152">
        <v>1.8518518518518516</v>
      </c>
      <c r="I854" s="175">
        <v>138</v>
      </c>
      <c r="J854" s="266">
        <f>_xlfn.XLOOKUP($I854,Inputs!$C$6:$C$23,Inputs!$D$6:$D$23)*$G854</f>
        <v>1.3007142857142857</v>
      </c>
      <c r="K854" s="255"/>
      <c r="L854" s="186">
        <v>490</v>
      </c>
      <c r="M854" s="186">
        <v>627</v>
      </c>
      <c r="N854" s="99">
        <f t="shared" si="189"/>
        <v>117.12127560780748</v>
      </c>
      <c r="O854" s="99">
        <f t="shared" si="190"/>
        <v>149.86742817570467</v>
      </c>
      <c r="P854" s="131">
        <v>0.9</v>
      </c>
      <c r="Q854" s="186">
        <f t="shared" si="192"/>
        <v>105.40914804702673</v>
      </c>
      <c r="R854" s="186">
        <f t="shared" si="192"/>
        <v>134.8806853581342</v>
      </c>
      <c r="S854" s="151" t="s">
        <v>2442</v>
      </c>
      <c r="T854" s="51" t="s">
        <v>2094</v>
      </c>
      <c r="U854" s="151" t="s">
        <v>1874</v>
      </c>
      <c r="V854" s="51" t="s">
        <v>3407</v>
      </c>
      <c r="W854" s="19"/>
      <c r="X854" s="19"/>
      <c r="Y854" s="99">
        <v>246</v>
      </c>
    </row>
    <row r="855" spans="1:25" s="165" customFormat="1" ht="20" x14ac:dyDescent="0.2">
      <c r="B855" s="150" t="s">
        <v>1235</v>
      </c>
      <c r="C855" s="33" t="s">
        <v>106</v>
      </c>
      <c r="D855" s="33" t="s">
        <v>2876</v>
      </c>
      <c r="E855" s="175">
        <v>1</v>
      </c>
      <c r="F855" s="151" t="s">
        <v>1128</v>
      </c>
      <c r="G855" s="152">
        <v>3.7680700000000004E-2</v>
      </c>
      <c r="H855" s="152">
        <v>2.3259691358024692E-2</v>
      </c>
      <c r="I855" s="175">
        <v>69</v>
      </c>
      <c r="J855" s="266">
        <f>_xlfn.XLOOKUP($I855,Inputs!$C$6:$C$23,Inputs!$D$6:$D$23)*$G855</f>
        <v>1.4480154714285716E-2</v>
      </c>
      <c r="K855" s="267">
        <f>IF((42.4*(H855)^(-0.6595))&gt;=3,3,(IF(42.4*(H855)^(-0.6595)&lt;=0.5,0.5,(42.4*(H855)^(-0.6595)))))</f>
        <v>3</v>
      </c>
      <c r="L855" s="99"/>
      <c r="M855" s="99"/>
      <c r="N855" s="99">
        <f t="shared" si="189"/>
        <v>0</v>
      </c>
      <c r="O855" s="99">
        <f t="shared" si="190"/>
        <v>0</v>
      </c>
      <c r="P855" s="131">
        <v>0.9</v>
      </c>
      <c r="Q855" s="305">
        <f>_xlfn.XLOOKUP($I855,Inputs!$G$6:$G$23,Inputs!J$6:J$23)*$K855</f>
        <v>36</v>
      </c>
      <c r="R855" s="305">
        <f>_xlfn.XLOOKUP($I855,Inputs!$G$6:$G$23,Inputs!K$6:K$23)*$K855</f>
        <v>39</v>
      </c>
      <c r="S855" s="151" t="s">
        <v>2520</v>
      </c>
      <c r="T855" s="51" t="s">
        <v>2179</v>
      </c>
      <c r="U855" s="151" t="s">
        <v>2337</v>
      </c>
      <c r="V855" s="51" t="s">
        <v>3653</v>
      </c>
      <c r="W855" s="19"/>
      <c r="X855" s="19"/>
      <c r="Y855" s="99">
        <v>729</v>
      </c>
    </row>
    <row r="856" spans="1:25" s="165" customFormat="1" ht="20" x14ac:dyDescent="0.2">
      <c r="B856" s="150" t="s">
        <v>1234</v>
      </c>
      <c r="C856" s="33" t="s">
        <v>106</v>
      </c>
      <c r="D856" s="33" t="s">
        <v>2876</v>
      </c>
      <c r="E856" s="175">
        <v>1</v>
      </c>
      <c r="F856" s="151" t="s">
        <v>1128</v>
      </c>
      <c r="G856" s="152">
        <v>5.7903643000000002</v>
      </c>
      <c r="H856" s="152">
        <v>3.5742989506172838</v>
      </c>
      <c r="I856" s="175">
        <v>69</v>
      </c>
      <c r="J856" s="266">
        <f>_xlfn.XLOOKUP($I856,Inputs!$C$6:$C$23,Inputs!$D$6:$D$23)*$G856</f>
        <v>2.225154281</v>
      </c>
      <c r="K856" s="255"/>
      <c r="L856" s="186">
        <v>730</v>
      </c>
      <c r="M856" s="186">
        <v>879</v>
      </c>
      <c r="N856" s="99">
        <f t="shared" si="189"/>
        <v>87.243399177244342</v>
      </c>
      <c r="O856" s="99">
        <f t="shared" si="190"/>
        <v>105.05061352985997</v>
      </c>
      <c r="P856" s="131">
        <v>0.9</v>
      </c>
      <c r="Q856" s="186">
        <f>N856*$P856</f>
        <v>78.519059259519906</v>
      </c>
      <c r="R856" s="186">
        <f>O856*$P856</f>
        <v>94.545552176873983</v>
      </c>
      <c r="S856" s="151" t="s">
        <v>1804</v>
      </c>
      <c r="T856" s="51" t="s">
        <v>3295</v>
      </c>
      <c r="U856" s="151" t="s">
        <v>2520</v>
      </c>
      <c r="V856" s="51" t="s">
        <v>2179</v>
      </c>
      <c r="W856" s="19"/>
      <c r="X856" s="19"/>
      <c r="Y856" s="99">
        <v>728</v>
      </c>
    </row>
    <row r="857" spans="1:25" s="165" customFormat="1" ht="20" x14ac:dyDescent="0.2">
      <c r="A857" s="90"/>
      <c r="B857" s="150" t="s">
        <v>1255</v>
      </c>
      <c r="C857" s="33" t="s">
        <v>106</v>
      </c>
      <c r="D857" s="33" t="s">
        <v>2876</v>
      </c>
      <c r="E857" s="175">
        <v>1</v>
      </c>
      <c r="F857" s="151" t="s">
        <v>1128</v>
      </c>
      <c r="G857" s="152">
        <v>2.9804314000000001</v>
      </c>
      <c r="H857" s="152">
        <v>1.8397724691358024</v>
      </c>
      <c r="I857" s="175">
        <v>69</v>
      </c>
      <c r="J857" s="266">
        <f>_xlfn.XLOOKUP($I857,Inputs!$C$6:$C$23,Inputs!$D$6:$D$23)*$G857</f>
        <v>1.1453372094285714</v>
      </c>
      <c r="K857" s="267">
        <f>IF((42.4*(H857)^(-0.6595))&gt;=3,3,(IF(42.4*(H857)^(-0.6595)&lt;=0.5,0.5,(42.4*(H857)^(-0.6595)))))</f>
        <v>3</v>
      </c>
      <c r="L857" s="99"/>
      <c r="M857" s="99"/>
      <c r="N857" s="99">
        <f t="shared" si="189"/>
        <v>0</v>
      </c>
      <c r="O857" s="99">
        <f t="shared" si="190"/>
        <v>0</v>
      </c>
      <c r="P857" s="131">
        <v>0.9</v>
      </c>
      <c r="Q857" s="305">
        <f>_xlfn.XLOOKUP($I857,Inputs!$G$6:$G$23,Inputs!J$6:J$23)*$K857</f>
        <v>36</v>
      </c>
      <c r="R857" s="305">
        <f>_xlfn.XLOOKUP($I857,Inputs!$G$6:$G$23,Inputs!K$6:K$23)*$K857</f>
        <v>39</v>
      </c>
      <c r="S857" s="151" t="s">
        <v>2530</v>
      </c>
      <c r="T857" s="51" t="s">
        <v>2190</v>
      </c>
      <c r="U857" s="151" t="s">
        <v>2273</v>
      </c>
      <c r="V857" s="51" t="s">
        <v>3515</v>
      </c>
      <c r="W857" s="19"/>
      <c r="X857" s="19"/>
      <c r="Y857" s="99">
        <v>766</v>
      </c>
    </row>
    <row r="858" spans="1:25" s="165" customFormat="1" ht="20" x14ac:dyDescent="0.2">
      <c r="B858" s="150" t="s">
        <v>1258</v>
      </c>
      <c r="C858" s="33" t="s">
        <v>106</v>
      </c>
      <c r="D858" s="33" t="s">
        <v>2876</v>
      </c>
      <c r="E858" s="175">
        <v>1</v>
      </c>
      <c r="F858" s="151" t="s">
        <v>1128</v>
      </c>
      <c r="G858" s="152">
        <v>3.0127614</v>
      </c>
      <c r="H858" s="152">
        <v>1.8597292592592591</v>
      </c>
      <c r="I858" s="175">
        <v>69</v>
      </c>
      <c r="J858" s="266">
        <f>_xlfn.XLOOKUP($I858,Inputs!$C$6:$C$23,Inputs!$D$6:$D$23)*$G858</f>
        <v>1.1577611665714287</v>
      </c>
      <c r="K858" s="267">
        <f>IF((42.4*(H858)^(-0.6595))&gt;=3,3,(IF(42.4*(H858)^(-0.6595)&lt;=0.5,0.5,(42.4*(H858)^(-0.6595)))))</f>
        <v>3</v>
      </c>
      <c r="L858" s="99"/>
      <c r="M858" s="99"/>
      <c r="N858" s="99">
        <f t="shared" si="189"/>
        <v>0</v>
      </c>
      <c r="O858" s="99">
        <f t="shared" si="190"/>
        <v>0</v>
      </c>
      <c r="P858" s="131">
        <v>0.9</v>
      </c>
      <c r="Q858" s="305">
        <f>_xlfn.XLOOKUP($I858,Inputs!$G$6:$G$23,Inputs!J$6:J$23)*$K858</f>
        <v>36</v>
      </c>
      <c r="R858" s="305">
        <f>_xlfn.XLOOKUP($I858,Inputs!$G$6:$G$23,Inputs!K$6:K$23)*$K858</f>
        <v>39</v>
      </c>
      <c r="S858" s="151" t="s">
        <v>2530</v>
      </c>
      <c r="T858" s="51" t="s">
        <v>2190</v>
      </c>
      <c r="U858" s="151" t="s">
        <v>2273</v>
      </c>
      <c r="V858" s="51" t="s">
        <v>3515</v>
      </c>
      <c r="W858" s="19"/>
      <c r="X858" s="19"/>
      <c r="Y858" s="99">
        <v>771</v>
      </c>
    </row>
    <row r="859" spans="1:25" s="165" customFormat="1" ht="20" x14ac:dyDescent="0.2">
      <c r="B859" s="150" t="s">
        <v>1254</v>
      </c>
      <c r="C859" s="33" t="s">
        <v>106</v>
      </c>
      <c r="D859" s="33" t="s">
        <v>2876</v>
      </c>
      <c r="E859" s="175">
        <v>1</v>
      </c>
      <c r="F859" s="151" t="s">
        <v>1128</v>
      </c>
      <c r="G859" s="152">
        <v>1</v>
      </c>
      <c r="H859" s="152">
        <v>0.61728395061728392</v>
      </c>
      <c r="I859" s="175">
        <v>69</v>
      </c>
      <c r="J859" s="266">
        <f>_xlfn.XLOOKUP($I859,Inputs!$C$6:$C$23,Inputs!$D$6:$D$23)*$G859</f>
        <v>0.38428571428571429</v>
      </c>
      <c r="K859" s="255"/>
      <c r="L859" s="186">
        <v>1070</v>
      </c>
      <c r="M859" s="186">
        <v>1295</v>
      </c>
      <c r="N859" s="99">
        <f t="shared" si="189"/>
        <v>127.87731112281021</v>
      </c>
      <c r="O859" s="99">
        <f t="shared" si="190"/>
        <v>154.76739991031704</v>
      </c>
      <c r="P859" s="131">
        <v>0.9</v>
      </c>
      <c r="Q859" s="186">
        <f t="shared" ref="Q859:Q870" si="193">N859*$P859</f>
        <v>115.08958001052919</v>
      </c>
      <c r="R859" s="186">
        <f t="shared" ref="R859:R870" si="194">O859*$P859</f>
        <v>139.29065991928533</v>
      </c>
      <c r="S859" s="151" t="s">
        <v>1730</v>
      </c>
      <c r="T859" s="51" t="s">
        <v>3204</v>
      </c>
      <c r="U859" s="151" t="s">
        <v>2530</v>
      </c>
      <c r="V859" s="51" t="s">
        <v>2190</v>
      </c>
      <c r="W859" s="19"/>
      <c r="X859" s="19"/>
      <c r="Y859" s="99">
        <v>765</v>
      </c>
    </row>
    <row r="860" spans="1:25" s="165" customFormat="1" ht="20" x14ac:dyDescent="0.2">
      <c r="B860" s="150" t="s">
        <v>1256</v>
      </c>
      <c r="C860" s="33" t="s">
        <v>106</v>
      </c>
      <c r="D860" s="33" t="s">
        <v>2876</v>
      </c>
      <c r="E860" s="175">
        <v>1</v>
      </c>
      <c r="F860" s="151" t="s">
        <v>1128</v>
      </c>
      <c r="G860" s="152">
        <v>1</v>
      </c>
      <c r="H860" s="152">
        <v>0.61728395061728392</v>
      </c>
      <c r="I860" s="175">
        <v>69</v>
      </c>
      <c r="J860" s="266">
        <f>_xlfn.XLOOKUP($I860,Inputs!$C$6:$C$23,Inputs!$D$6:$D$23)*$G860</f>
        <v>0.38428571428571429</v>
      </c>
      <c r="K860" s="255"/>
      <c r="L860" s="186">
        <v>1070</v>
      </c>
      <c r="M860" s="186">
        <v>1295</v>
      </c>
      <c r="N860" s="99">
        <f t="shared" si="189"/>
        <v>127.87731112281021</v>
      </c>
      <c r="O860" s="99">
        <f t="shared" si="190"/>
        <v>154.76739991031704</v>
      </c>
      <c r="P860" s="131">
        <v>0.9</v>
      </c>
      <c r="Q860" s="186">
        <f t="shared" si="193"/>
        <v>115.08958001052919</v>
      </c>
      <c r="R860" s="186">
        <f t="shared" si="194"/>
        <v>139.29065991928533</v>
      </c>
      <c r="S860" s="151" t="s">
        <v>1730</v>
      </c>
      <c r="T860" s="51" t="s">
        <v>3204</v>
      </c>
      <c r="U860" s="151" t="s">
        <v>2530</v>
      </c>
      <c r="V860" s="51" t="s">
        <v>2190</v>
      </c>
      <c r="W860" s="19"/>
      <c r="X860" s="19"/>
      <c r="Y860" s="99">
        <v>770</v>
      </c>
    </row>
    <row r="861" spans="1:25" s="165" customFormat="1" ht="20" x14ac:dyDescent="0.2">
      <c r="B861" s="150" t="s">
        <v>1197</v>
      </c>
      <c r="C861" s="33" t="s">
        <v>106</v>
      </c>
      <c r="D861" s="33" t="s">
        <v>2876</v>
      </c>
      <c r="E861" s="175">
        <v>1</v>
      </c>
      <c r="F861" s="151" t="s">
        <v>1128</v>
      </c>
      <c r="G861" s="152">
        <v>2.7555114999999999</v>
      </c>
      <c r="H861" s="152">
        <v>1.7009330246913579</v>
      </c>
      <c r="I861" s="175">
        <v>69</v>
      </c>
      <c r="J861" s="266">
        <f>_xlfn.XLOOKUP($I861,Inputs!$C$6:$C$23,Inputs!$D$6:$D$23)*$G861</f>
        <v>1.0589037049999999</v>
      </c>
      <c r="K861" s="255"/>
      <c r="L861" s="186">
        <v>605</v>
      </c>
      <c r="M861" s="186">
        <v>660</v>
      </c>
      <c r="N861" s="99">
        <f t="shared" si="189"/>
        <v>72.304460961962775</v>
      </c>
      <c r="O861" s="99">
        <f t="shared" si="190"/>
        <v>78.877593776686666</v>
      </c>
      <c r="P861" s="131">
        <v>0.9</v>
      </c>
      <c r="Q861" s="186">
        <f t="shared" si="193"/>
        <v>65.0740148657665</v>
      </c>
      <c r="R861" s="186">
        <f t="shared" si="194"/>
        <v>70.989834399018008</v>
      </c>
      <c r="S861" s="151" t="s">
        <v>2506</v>
      </c>
      <c r="T861" s="51" t="s">
        <v>2165</v>
      </c>
      <c r="U861" s="151" t="s">
        <v>1875</v>
      </c>
      <c r="V861" s="51" t="s">
        <v>3324</v>
      </c>
      <c r="W861" s="19"/>
      <c r="X861" s="19"/>
      <c r="Y861" s="99">
        <v>664</v>
      </c>
    </row>
    <row r="862" spans="1:25" s="165" customFormat="1" ht="20" x14ac:dyDescent="0.2">
      <c r="B862" s="150" t="s">
        <v>1199</v>
      </c>
      <c r="C862" s="33" t="s">
        <v>106</v>
      </c>
      <c r="D862" s="33" t="s">
        <v>2876</v>
      </c>
      <c r="E862" s="175">
        <v>1</v>
      </c>
      <c r="F862" s="151" t="s">
        <v>1128</v>
      </c>
      <c r="G862" s="152">
        <v>2.6095456000000001</v>
      </c>
      <c r="H862" s="152">
        <v>1.6108306172839506</v>
      </c>
      <c r="I862" s="175">
        <v>69</v>
      </c>
      <c r="J862" s="266">
        <f>_xlfn.XLOOKUP($I862,Inputs!$C$6:$C$23,Inputs!$D$6:$D$23)*$G862</f>
        <v>1.0028110948571429</v>
      </c>
      <c r="K862" s="255"/>
      <c r="L862" s="186">
        <v>605</v>
      </c>
      <c r="M862" s="186">
        <v>660</v>
      </c>
      <c r="N862" s="99">
        <f t="shared" si="189"/>
        <v>72.304460961962775</v>
      </c>
      <c r="O862" s="99">
        <f t="shared" si="190"/>
        <v>78.877593776686666</v>
      </c>
      <c r="P862" s="131">
        <v>0.9</v>
      </c>
      <c r="Q862" s="186">
        <f t="shared" si="193"/>
        <v>65.0740148657665</v>
      </c>
      <c r="R862" s="186">
        <f t="shared" si="194"/>
        <v>70.989834399018008</v>
      </c>
      <c r="S862" s="151" t="s">
        <v>2506</v>
      </c>
      <c r="T862" s="51" t="s">
        <v>2165</v>
      </c>
      <c r="U862" s="151" t="s">
        <v>1875</v>
      </c>
      <c r="V862" s="51" t="s">
        <v>3324</v>
      </c>
      <c r="W862" s="19"/>
      <c r="X862" s="19"/>
      <c r="Y862" s="99">
        <v>667</v>
      </c>
    </row>
    <row r="863" spans="1:25" s="165" customFormat="1" ht="20" x14ac:dyDescent="0.2">
      <c r="B863" s="150" t="s">
        <v>1196</v>
      </c>
      <c r="C863" s="33" t="s">
        <v>106</v>
      </c>
      <c r="D863" s="33" t="s">
        <v>2876</v>
      </c>
      <c r="E863" s="175">
        <v>1</v>
      </c>
      <c r="F863" s="151" t="s">
        <v>1128</v>
      </c>
      <c r="G863" s="152">
        <v>1</v>
      </c>
      <c r="H863" s="152">
        <v>0.61728395061728392</v>
      </c>
      <c r="I863" s="175">
        <v>69</v>
      </c>
      <c r="J863" s="266">
        <f>_xlfn.XLOOKUP($I863,Inputs!$C$6:$C$23,Inputs!$D$6:$D$23)*$G863</f>
        <v>0.38428571428571429</v>
      </c>
      <c r="K863" s="255"/>
      <c r="L863" s="186">
        <v>1165</v>
      </c>
      <c r="M863" s="186">
        <v>1505</v>
      </c>
      <c r="N863" s="99">
        <f t="shared" si="189"/>
        <v>139.23090416642418</v>
      </c>
      <c r="O863" s="99">
        <f t="shared" si="190"/>
        <v>179.86481611199005</v>
      </c>
      <c r="P863" s="131">
        <v>0.9</v>
      </c>
      <c r="Q863" s="186">
        <f t="shared" si="193"/>
        <v>125.30781374978177</v>
      </c>
      <c r="R863" s="186">
        <f t="shared" si="194"/>
        <v>161.87833450079106</v>
      </c>
      <c r="S863" s="151" t="s">
        <v>1750</v>
      </c>
      <c r="T863" s="51" t="s">
        <v>3280</v>
      </c>
      <c r="U863" s="151" t="s">
        <v>2506</v>
      </c>
      <c r="V863" s="51" t="s">
        <v>2165</v>
      </c>
      <c r="W863" s="19"/>
      <c r="X863" s="19"/>
      <c r="Y863" s="99">
        <v>663</v>
      </c>
    </row>
    <row r="864" spans="1:25" s="165" customFormat="1" ht="20" x14ac:dyDescent="0.2">
      <c r="B864" s="150" t="s">
        <v>1198</v>
      </c>
      <c r="C864" s="33" t="s">
        <v>106</v>
      </c>
      <c r="D864" s="33" t="s">
        <v>2876</v>
      </c>
      <c r="E864" s="175">
        <v>1</v>
      </c>
      <c r="F864" s="151" t="s">
        <v>1128</v>
      </c>
      <c r="G864" s="152">
        <v>1</v>
      </c>
      <c r="H864" s="152">
        <v>0.61728395061728392</v>
      </c>
      <c r="I864" s="175">
        <v>69</v>
      </c>
      <c r="J864" s="266">
        <f>_xlfn.XLOOKUP($I864,Inputs!$C$6:$C$23,Inputs!$D$6:$D$23)*$G864</f>
        <v>0.38428571428571429</v>
      </c>
      <c r="K864" s="255"/>
      <c r="L864" s="186">
        <v>1160</v>
      </c>
      <c r="M864" s="186">
        <v>1505</v>
      </c>
      <c r="N864" s="99">
        <f t="shared" si="189"/>
        <v>138.63334663781293</v>
      </c>
      <c r="O864" s="99">
        <f t="shared" si="190"/>
        <v>179.86481611199005</v>
      </c>
      <c r="P864" s="131">
        <v>0.9</v>
      </c>
      <c r="Q864" s="186">
        <f t="shared" si="193"/>
        <v>124.77001197403165</v>
      </c>
      <c r="R864" s="186">
        <f t="shared" si="194"/>
        <v>161.87833450079106</v>
      </c>
      <c r="S864" s="151" t="s">
        <v>1750</v>
      </c>
      <c r="T864" s="51" t="s">
        <v>3280</v>
      </c>
      <c r="U864" s="151" t="s">
        <v>2506</v>
      </c>
      <c r="V864" s="51" t="s">
        <v>2165</v>
      </c>
      <c r="W864" s="19"/>
      <c r="X864" s="19"/>
      <c r="Y864" s="99">
        <v>666</v>
      </c>
    </row>
    <row r="865" spans="2:25" s="165" customFormat="1" ht="20" x14ac:dyDescent="0.2">
      <c r="B865" s="150" t="s">
        <v>429</v>
      </c>
      <c r="C865" s="33" t="s">
        <v>106</v>
      </c>
      <c r="D865" s="33" t="s">
        <v>2876</v>
      </c>
      <c r="E865" s="175">
        <v>1</v>
      </c>
      <c r="F865" s="151" t="s">
        <v>1128</v>
      </c>
      <c r="G865" s="152">
        <v>35</v>
      </c>
      <c r="H865" s="152">
        <v>21.604938271604937</v>
      </c>
      <c r="I865" s="175">
        <v>138</v>
      </c>
      <c r="J865" s="266">
        <f>_xlfn.XLOOKUP($I865,Inputs!$C$6:$C$23,Inputs!$D$6:$D$23)*$G865</f>
        <v>15.175000000000001</v>
      </c>
      <c r="K865" s="255"/>
      <c r="L865" s="186">
        <v>490</v>
      </c>
      <c r="M865" s="186">
        <v>590</v>
      </c>
      <c r="N865" s="99">
        <f t="shared" si="189"/>
        <v>117.12127560780748</v>
      </c>
      <c r="O865" s="99">
        <f t="shared" si="190"/>
        <v>141.02357675225798</v>
      </c>
      <c r="P865" s="131">
        <v>0.9</v>
      </c>
      <c r="Q865" s="186">
        <f t="shared" si="193"/>
        <v>105.40914804702673</v>
      </c>
      <c r="R865" s="186">
        <f t="shared" si="194"/>
        <v>126.92121907703219</v>
      </c>
      <c r="S865" s="151" t="s">
        <v>2395</v>
      </c>
      <c r="T865" s="51" t="s">
        <v>2044</v>
      </c>
      <c r="U865" s="151" t="s">
        <v>257</v>
      </c>
      <c r="V865" s="51" t="s">
        <v>3325</v>
      </c>
      <c r="W865" s="19"/>
      <c r="X865" s="19"/>
      <c r="Y865" s="99">
        <v>48</v>
      </c>
    </row>
    <row r="866" spans="2:25" s="165" customFormat="1" ht="20" x14ac:dyDescent="0.2">
      <c r="B866" s="150" t="s">
        <v>600</v>
      </c>
      <c r="C866" s="33" t="s">
        <v>106</v>
      </c>
      <c r="D866" s="33" t="s">
        <v>2876</v>
      </c>
      <c r="E866" s="175">
        <v>1</v>
      </c>
      <c r="F866" s="151" t="s">
        <v>1128</v>
      </c>
      <c r="G866" s="152">
        <v>3.3872857999999999</v>
      </c>
      <c r="H866" s="152">
        <v>2.0909171604938268</v>
      </c>
      <c r="I866" s="175">
        <v>230</v>
      </c>
      <c r="J866" s="266">
        <f>_xlfn.XLOOKUP($I866,Inputs!$C$6:$C$23,Inputs!$D$6:$D$23)*$G866</f>
        <v>1.6258971839999998</v>
      </c>
      <c r="K866" s="255"/>
      <c r="L866" s="186">
        <v>1900</v>
      </c>
      <c r="M866" s="186">
        <v>2400</v>
      </c>
      <c r="N866" s="99">
        <f t="shared" si="189"/>
        <v>756.90620290759944</v>
      </c>
      <c r="O866" s="99">
        <f t="shared" si="190"/>
        <v>956.09204577802029</v>
      </c>
      <c r="P866" s="131">
        <v>0.9</v>
      </c>
      <c r="Q866" s="186">
        <f t="shared" si="193"/>
        <v>681.21558261683947</v>
      </c>
      <c r="R866" s="186">
        <f t="shared" si="194"/>
        <v>860.48284120021833</v>
      </c>
      <c r="S866" s="151" t="s">
        <v>1878</v>
      </c>
      <c r="T866" s="51" t="s">
        <v>3158</v>
      </c>
      <c r="U866" s="151" t="s">
        <v>1876</v>
      </c>
      <c r="V866" s="51" t="s">
        <v>3326</v>
      </c>
      <c r="W866" s="19"/>
      <c r="X866" s="19"/>
      <c r="Y866" s="99">
        <v>456</v>
      </c>
    </row>
    <row r="867" spans="2:25" s="165" customFormat="1" ht="20" x14ac:dyDescent="0.2">
      <c r="B867" s="150" t="s">
        <v>601</v>
      </c>
      <c r="C867" s="33" t="s">
        <v>106</v>
      </c>
      <c r="D867" s="33" t="s">
        <v>2876</v>
      </c>
      <c r="E867" s="175">
        <v>1</v>
      </c>
      <c r="F867" s="151" t="s">
        <v>1128</v>
      </c>
      <c r="G867" s="152">
        <v>3.4136855000000002</v>
      </c>
      <c r="H867" s="152">
        <v>2.1072132716049383</v>
      </c>
      <c r="I867" s="175">
        <v>230</v>
      </c>
      <c r="J867" s="266">
        <f>_xlfn.XLOOKUP($I867,Inputs!$C$6:$C$23,Inputs!$D$6:$D$23)*$G867</f>
        <v>1.6385690399999999</v>
      </c>
      <c r="K867" s="255"/>
      <c r="L867" s="186">
        <v>1900</v>
      </c>
      <c r="M867" s="186">
        <v>2400</v>
      </c>
      <c r="N867" s="99">
        <f t="shared" si="189"/>
        <v>756.90620290759944</v>
      </c>
      <c r="O867" s="99">
        <f t="shared" si="190"/>
        <v>956.09204577802029</v>
      </c>
      <c r="P867" s="131">
        <v>0.9</v>
      </c>
      <c r="Q867" s="186">
        <f t="shared" si="193"/>
        <v>681.21558261683947</v>
      </c>
      <c r="R867" s="186">
        <f t="shared" si="194"/>
        <v>860.48284120021833</v>
      </c>
      <c r="S867" s="151" t="s">
        <v>1878</v>
      </c>
      <c r="T867" s="51" t="s">
        <v>3158</v>
      </c>
      <c r="U867" s="151" t="s">
        <v>1876</v>
      </c>
      <c r="V867" s="51" t="s">
        <v>3326</v>
      </c>
      <c r="W867" s="19"/>
      <c r="X867" s="19"/>
      <c r="Y867" s="99">
        <v>457</v>
      </c>
    </row>
    <row r="868" spans="2:25" s="165" customFormat="1" ht="20" x14ac:dyDescent="0.2">
      <c r="B868" s="151" t="s">
        <v>1520</v>
      </c>
      <c r="C868" s="33" t="s">
        <v>106</v>
      </c>
      <c r="D868" s="33" t="s">
        <v>2876</v>
      </c>
      <c r="E868" s="175">
        <v>1</v>
      </c>
      <c r="F868" s="151" t="s">
        <v>1128</v>
      </c>
      <c r="G868" s="174">
        <v>45.8539873</v>
      </c>
      <c r="H868" s="152">
        <v>28.304930432098764</v>
      </c>
      <c r="I868" s="175">
        <v>230</v>
      </c>
      <c r="J868" s="266">
        <f>_xlfn.XLOOKUP($I868,Inputs!$C$6:$C$23,Inputs!$D$6:$D$23)*$G868</f>
        <v>22.009913903999998</v>
      </c>
      <c r="K868" s="255"/>
      <c r="L868" s="186">
        <v>997</v>
      </c>
      <c r="M868" s="186">
        <v>1209</v>
      </c>
      <c r="N868" s="99">
        <f t="shared" si="189"/>
        <v>397.17657068361922</v>
      </c>
      <c r="O868" s="99">
        <f t="shared" si="190"/>
        <v>481.63136806067774</v>
      </c>
      <c r="P868" s="131">
        <v>0.9</v>
      </c>
      <c r="Q868" s="186">
        <f t="shared" si="193"/>
        <v>357.4589136152573</v>
      </c>
      <c r="R868" s="186">
        <f t="shared" si="194"/>
        <v>433.46823125460998</v>
      </c>
      <c r="S868" s="151" t="s">
        <v>1742</v>
      </c>
      <c r="T868" s="51" t="s">
        <v>3132</v>
      </c>
      <c r="U868" s="151" t="s">
        <v>1876</v>
      </c>
      <c r="V868" s="51" t="s">
        <v>3326</v>
      </c>
      <c r="W868" s="19"/>
      <c r="X868" s="19"/>
      <c r="Y868" s="99">
        <v>468</v>
      </c>
    </row>
    <row r="869" spans="2:25" s="165" customFormat="1" ht="20" x14ac:dyDescent="0.2">
      <c r="B869" s="150" t="s">
        <v>611</v>
      </c>
      <c r="C869" s="33" t="s">
        <v>106</v>
      </c>
      <c r="D869" s="33" t="s">
        <v>2876</v>
      </c>
      <c r="E869" s="175">
        <v>1</v>
      </c>
      <c r="F869" s="151" t="s">
        <v>1128</v>
      </c>
      <c r="G869" s="152">
        <v>45.8539873</v>
      </c>
      <c r="H869" s="152">
        <v>28.304930432098764</v>
      </c>
      <c r="I869" s="175">
        <v>230</v>
      </c>
      <c r="J869" s="266">
        <f>_xlfn.XLOOKUP($I869,Inputs!$C$6:$C$23,Inputs!$D$6:$D$23)*$G869</f>
        <v>22.009913903999998</v>
      </c>
      <c r="K869" s="255"/>
      <c r="L869" s="186">
        <v>997</v>
      </c>
      <c r="M869" s="186">
        <v>1209</v>
      </c>
      <c r="N869" s="99">
        <f t="shared" si="189"/>
        <v>397.17657068361922</v>
      </c>
      <c r="O869" s="99">
        <f t="shared" si="190"/>
        <v>481.63136806067774</v>
      </c>
      <c r="P869" s="131">
        <v>0.9</v>
      </c>
      <c r="Q869" s="186">
        <f t="shared" si="193"/>
        <v>357.4589136152573</v>
      </c>
      <c r="R869" s="186">
        <f t="shared" si="194"/>
        <v>433.46823125460998</v>
      </c>
      <c r="S869" s="151" t="s">
        <v>1742</v>
      </c>
      <c r="T869" s="51" t="s">
        <v>3132</v>
      </c>
      <c r="U869" s="151" t="s">
        <v>1876</v>
      </c>
      <c r="V869" s="51" t="s">
        <v>3326</v>
      </c>
      <c r="W869" s="19"/>
      <c r="X869" s="19"/>
      <c r="Y869" s="99">
        <v>469</v>
      </c>
    </row>
    <row r="870" spans="2:25" s="165" customFormat="1" ht="20" x14ac:dyDescent="0.2">
      <c r="B870" s="150" t="s">
        <v>676</v>
      </c>
      <c r="C870" s="33" t="s">
        <v>106</v>
      </c>
      <c r="D870" s="33" t="s">
        <v>2876</v>
      </c>
      <c r="E870" s="175">
        <v>1</v>
      </c>
      <c r="F870" s="151" t="s">
        <v>1128</v>
      </c>
      <c r="G870" s="152">
        <v>162.87252359999999</v>
      </c>
      <c r="H870" s="152">
        <v>100.5385948148148</v>
      </c>
      <c r="I870" s="175">
        <v>500</v>
      </c>
      <c r="J870" s="266">
        <f>_xlfn.XLOOKUP($I870,Inputs!$C$6:$C$23,Inputs!$D$6:$D$23)*$G870</f>
        <v>64.334646821999996</v>
      </c>
      <c r="K870" s="255"/>
      <c r="L870" s="186">
        <v>3506</v>
      </c>
      <c r="M870" s="186">
        <v>4241</v>
      </c>
      <c r="N870" s="99">
        <f t="shared" si="189"/>
        <v>3036.2850656682417</v>
      </c>
      <c r="O870" s="99">
        <f t="shared" si="190"/>
        <v>3672.8137374498042</v>
      </c>
      <c r="P870" s="131">
        <v>0.9</v>
      </c>
      <c r="Q870" s="186">
        <f t="shared" si="193"/>
        <v>2732.6565591014178</v>
      </c>
      <c r="R870" s="186">
        <f t="shared" si="194"/>
        <v>3305.5323637048236</v>
      </c>
      <c r="S870" s="151" t="s">
        <v>1930</v>
      </c>
      <c r="T870" s="51" t="s">
        <v>3347</v>
      </c>
      <c r="U870" s="151" t="s">
        <v>1876</v>
      </c>
      <c r="V870" s="51" t="s">
        <v>3326</v>
      </c>
      <c r="W870" s="19"/>
      <c r="X870" s="19"/>
      <c r="Y870" s="99">
        <v>552</v>
      </c>
    </row>
    <row r="871" spans="2:25" s="165" customFormat="1" ht="20" x14ac:dyDescent="0.2">
      <c r="B871" s="230" t="s">
        <v>1124</v>
      </c>
      <c r="C871" s="33" t="s">
        <v>173</v>
      </c>
      <c r="D871" s="33" t="s">
        <v>2876</v>
      </c>
      <c r="E871" s="231">
        <v>1</v>
      </c>
      <c r="F871" s="230" t="s">
        <v>1128</v>
      </c>
      <c r="G871" s="174">
        <v>35</v>
      </c>
      <c r="H871" s="174">
        <v>21.604938271604937</v>
      </c>
      <c r="I871" s="231">
        <v>230</v>
      </c>
      <c r="J871" s="266">
        <f>_xlfn.XLOOKUP($I871,Inputs!$C$6:$C$23,Inputs!$D$6:$D$23)*$G871</f>
        <v>16.8</v>
      </c>
      <c r="K871" s="267">
        <f>IF((42.4*(H871)^(-0.6595))&gt;=3,3,(IF(42.4*(H871)^(-0.6595)&lt;=0.5,0.5,(42.4*(H871)^(-0.6595)))))</f>
        <v>3</v>
      </c>
      <c r="L871" s="99"/>
      <c r="M871" s="99"/>
      <c r="N871" s="99"/>
      <c r="O871" s="99"/>
      <c r="P871" s="69"/>
      <c r="Q871" s="305">
        <f>_xlfn.XLOOKUP($I871,Inputs!$G$6:$G$23,Inputs!J$6:J$23)*$K871</f>
        <v>402</v>
      </c>
      <c r="R871" s="305">
        <f>_xlfn.XLOOKUP($I871,Inputs!$G$6:$G$23,Inputs!K$6:K$23)*$K871</f>
        <v>435</v>
      </c>
      <c r="S871" s="230" t="s">
        <v>3694</v>
      </c>
      <c r="T871" s="51" t="s">
        <v>3695</v>
      </c>
      <c r="U871" s="230" t="s">
        <v>1876</v>
      </c>
      <c r="V871" s="51" t="s">
        <v>3326</v>
      </c>
      <c r="W871" s="19"/>
      <c r="X871" s="19"/>
      <c r="Y871" s="99">
        <v>1143</v>
      </c>
    </row>
    <row r="872" spans="2:25" s="165" customFormat="1" ht="20" x14ac:dyDescent="0.2">
      <c r="B872" s="151" t="s">
        <v>1512</v>
      </c>
      <c r="C872" s="33" t="s">
        <v>106</v>
      </c>
      <c r="D872" s="33" t="s">
        <v>2876</v>
      </c>
      <c r="E872" s="175">
        <v>1</v>
      </c>
      <c r="F872" s="151" t="s">
        <v>1128</v>
      </c>
      <c r="G872" s="174">
        <v>15</v>
      </c>
      <c r="H872" s="152">
        <v>9.2592592592592595</v>
      </c>
      <c r="I872" s="175">
        <v>138</v>
      </c>
      <c r="J872" s="266">
        <f>_xlfn.XLOOKUP($I872,Inputs!$C$6:$C$23,Inputs!$D$6:$D$23)*$G872</f>
        <v>6.503571428571429</v>
      </c>
      <c r="K872" s="267">
        <f>IF((42.4*(H872)^(-0.6595))&gt;=3,3,(IF(42.4*(H872)^(-0.6595)&lt;=0.5,0.5,(42.4*(H872)^(-0.6595)))))</f>
        <v>3</v>
      </c>
      <c r="L872" s="99"/>
      <c r="M872" s="99"/>
      <c r="N872" s="99">
        <f>(SQRT(3)*L872*$I872)/1000</f>
        <v>0</v>
      </c>
      <c r="O872" s="99">
        <f>(SQRT(3)*M872*$I872)/1000</f>
        <v>0</v>
      </c>
      <c r="P872" s="131">
        <v>0.9</v>
      </c>
      <c r="Q872" s="305">
        <f>_xlfn.XLOOKUP($I872,Inputs!$G$6:$G$23,Inputs!J$6:J$23)*$K872</f>
        <v>141</v>
      </c>
      <c r="R872" s="305">
        <f>_xlfn.XLOOKUP($I872,Inputs!$G$6:$G$23,Inputs!K$6:K$23)*$K872</f>
        <v>156</v>
      </c>
      <c r="S872" s="151" t="s">
        <v>2461</v>
      </c>
      <c r="T872" s="51" t="s">
        <v>2115</v>
      </c>
      <c r="U872" s="151" t="s">
        <v>1877</v>
      </c>
      <c r="V872" s="51" t="s">
        <v>3517</v>
      </c>
      <c r="W872" s="19"/>
      <c r="X872" s="19"/>
      <c r="Y872" s="99">
        <v>309</v>
      </c>
    </row>
    <row r="873" spans="2:25" s="165" customFormat="1" ht="20" x14ac:dyDescent="0.2">
      <c r="B873" s="150" t="s">
        <v>509</v>
      </c>
      <c r="C873" s="33" t="s">
        <v>106</v>
      </c>
      <c r="D873" s="33" t="s">
        <v>2876</v>
      </c>
      <c r="E873" s="175">
        <v>1</v>
      </c>
      <c r="F873" s="151" t="s">
        <v>1128</v>
      </c>
      <c r="G873" s="152">
        <v>20</v>
      </c>
      <c r="H873" s="152">
        <v>12.345679012345679</v>
      </c>
      <c r="I873" s="175">
        <v>138</v>
      </c>
      <c r="J873" s="266">
        <f>_xlfn.XLOOKUP($I873,Inputs!$C$6:$C$23,Inputs!$D$6:$D$23)*$G873</f>
        <v>8.6714285714285726</v>
      </c>
      <c r="K873" s="255"/>
      <c r="L873" s="186">
        <v>567</v>
      </c>
      <c r="M873" s="186">
        <v>717</v>
      </c>
      <c r="N873" s="99">
        <f>(SQRT(3)*L873*$I873)/1000</f>
        <v>135.52604748903437</v>
      </c>
      <c r="O873" s="99">
        <f>(SQRT(3)*M873*$I873)/1000</f>
        <v>171.37949920571015</v>
      </c>
      <c r="P873" s="131">
        <v>0.9</v>
      </c>
      <c r="Q873" s="186">
        <f>N873*$P873</f>
        <v>121.97344274013093</v>
      </c>
      <c r="R873" s="186">
        <f>O873*$P873</f>
        <v>154.24154928513914</v>
      </c>
      <c r="S873" s="151" t="s">
        <v>270</v>
      </c>
      <c r="T873" s="51" t="s">
        <v>3340</v>
      </c>
      <c r="U873" s="151" t="s">
        <v>2461</v>
      </c>
      <c r="V873" s="51" t="s">
        <v>2115</v>
      </c>
      <c r="W873" s="19"/>
      <c r="X873" s="19"/>
      <c r="Y873" s="99">
        <v>308</v>
      </c>
    </row>
    <row r="874" spans="2:25" s="165" customFormat="1" ht="20" x14ac:dyDescent="0.2">
      <c r="B874" s="230" t="s">
        <v>2630</v>
      </c>
      <c r="C874" s="51" t="s">
        <v>173</v>
      </c>
      <c r="D874" s="33" t="s">
        <v>2876</v>
      </c>
      <c r="E874" s="231">
        <v>1</v>
      </c>
      <c r="F874" s="230" t="s">
        <v>1128</v>
      </c>
      <c r="G874" s="232">
        <v>3.5</v>
      </c>
      <c r="H874" s="232">
        <v>2.1604938271604937</v>
      </c>
      <c r="I874" s="231">
        <v>138</v>
      </c>
      <c r="J874" s="266">
        <f>_xlfn.XLOOKUP($I874,Inputs!$C$6:$C$23,Inputs!$D$6:$D$23)*$G874</f>
        <v>1.5175000000000001</v>
      </c>
      <c r="K874" s="267">
        <f>IF((42.4*(H874)^(-0.6595))&gt;=3,3,(IF(42.4*(H874)^(-0.6595)&lt;=0.5,0.5,(42.4*(H874)^(-0.6595)))))</f>
        <v>3</v>
      </c>
      <c r="L874" s="99"/>
      <c r="M874" s="99"/>
      <c r="N874" s="99"/>
      <c r="O874" s="99"/>
      <c r="P874" s="69"/>
      <c r="Q874" s="305">
        <f>_xlfn.XLOOKUP($I874,Inputs!$G$6:$G$23,Inputs!J$6:J$23)*$K874</f>
        <v>141</v>
      </c>
      <c r="R874" s="305">
        <f>_xlfn.XLOOKUP($I874,Inputs!$G$6:$G$23,Inputs!K$6:K$23)*$K874</f>
        <v>156</v>
      </c>
      <c r="S874" s="230" t="s">
        <v>3574</v>
      </c>
      <c r="T874" s="51" t="s">
        <v>3575</v>
      </c>
      <c r="U874" s="230" t="s">
        <v>2631</v>
      </c>
      <c r="V874" s="51" t="s">
        <v>3327</v>
      </c>
      <c r="W874" s="19"/>
      <c r="X874" s="19"/>
      <c r="Y874" s="99">
        <v>1109</v>
      </c>
    </row>
    <row r="875" spans="2:25" s="165" customFormat="1" ht="20" x14ac:dyDescent="0.2">
      <c r="B875" s="150" t="s">
        <v>1150</v>
      </c>
      <c r="C875" s="33" t="s">
        <v>106</v>
      </c>
      <c r="D875" s="33" t="s">
        <v>2876</v>
      </c>
      <c r="E875" s="175">
        <v>1</v>
      </c>
      <c r="F875" s="151" t="s">
        <v>1128</v>
      </c>
      <c r="G875" s="152">
        <v>8.52</v>
      </c>
      <c r="H875" s="152">
        <v>5.2592592592592586</v>
      </c>
      <c r="I875" s="175">
        <v>69</v>
      </c>
      <c r="J875" s="266">
        <f>_xlfn.XLOOKUP($I875,Inputs!$C$6:$C$23,Inputs!$D$6:$D$23)*$G875</f>
        <v>3.2741142857142855</v>
      </c>
      <c r="K875" s="255"/>
      <c r="L875" s="186">
        <v>245</v>
      </c>
      <c r="M875" s="186">
        <v>325</v>
      </c>
      <c r="N875" s="99">
        <f t="shared" ref="N875:N895" si="195">(SQRT(3)*L875*$I875)/1000</f>
        <v>29.280318901951869</v>
      </c>
      <c r="O875" s="99">
        <f t="shared" ref="O875:O895" si="196">(SQRT(3)*M875*$I875)/1000</f>
        <v>38.841239359732072</v>
      </c>
      <c r="P875" s="131">
        <v>0.9</v>
      </c>
      <c r="Q875" s="186">
        <f t="shared" ref="Q875:Q889" si="197">N875*$P875</f>
        <v>26.352287011756683</v>
      </c>
      <c r="R875" s="186">
        <f t="shared" ref="R875:R889" si="198">O875*$P875</f>
        <v>34.957115423758864</v>
      </c>
      <c r="S875" s="151" t="s">
        <v>2489</v>
      </c>
      <c r="T875" s="51" t="s">
        <v>2146</v>
      </c>
      <c r="U875" s="151" t="s">
        <v>1879</v>
      </c>
      <c r="V875" s="51" t="s">
        <v>3159</v>
      </c>
      <c r="W875" s="19"/>
      <c r="X875" s="19"/>
      <c r="Y875" s="99">
        <v>593</v>
      </c>
    </row>
    <row r="876" spans="2:25" s="165" customFormat="1" ht="20" x14ac:dyDescent="0.2">
      <c r="B876" s="150" t="s">
        <v>1147</v>
      </c>
      <c r="C876" s="33" t="s">
        <v>106</v>
      </c>
      <c r="D876" s="33" t="s">
        <v>2876</v>
      </c>
      <c r="E876" s="175">
        <v>1</v>
      </c>
      <c r="F876" s="151" t="s">
        <v>1128</v>
      </c>
      <c r="G876" s="152">
        <v>1.4537005999999999</v>
      </c>
      <c r="H876" s="152">
        <v>0.89734604938271589</v>
      </c>
      <c r="I876" s="175">
        <v>69</v>
      </c>
      <c r="J876" s="266">
        <f>_xlfn.XLOOKUP($I876,Inputs!$C$6:$C$23,Inputs!$D$6:$D$23)*$G876</f>
        <v>0.55863637342857142</v>
      </c>
      <c r="K876" s="255"/>
      <c r="L876" s="186">
        <v>440</v>
      </c>
      <c r="M876" s="186">
        <v>555</v>
      </c>
      <c r="N876" s="99">
        <f t="shared" si="195"/>
        <v>52.585062517791116</v>
      </c>
      <c r="O876" s="99">
        <f t="shared" si="196"/>
        <v>66.328885675850145</v>
      </c>
      <c r="P876" s="131">
        <v>0.9</v>
      </c>
      <c r="Q876" s="186">
        <f t="shared" si="197"/>
        <v>47.326556266012005</v>
      </c>
      <c r="R876" s="186">
        <f t="shared" si="198"/>
        <v>59.695997108265132</v>
      </c>
      <c r="S876" s="151" t="s">
        <v>2487</v>
      </c>
      <c r="T876" s="51" t="s">
        <v>2144</v>
      </c>
      <c r="U876" s="151" t="s">
        <v>1880</v>
      </c>
      <c r="V876" s="51" t="s">
        <v>3518</v>
      </c>
      <c r="W876" s="19"/>
      <c r="X876" s="19"/>
      <c r="Y876" s="99">
        <v>586</v>
      </c>
    </row>
    <row r="877" spans="2:25" s="165" customFormat="1" ht="20" x14ac:dyDescent="0.2">
      <c r="B877" s="150" t="s">
        <v>1213</v>
      </c>
      <c r="C877" s="33" t="s">
        <v>106</v>
      </c>
      <c r="D877" s="33" t="s">
        <v>2876</v>
      </c>
      <c r="E877" s="175">
        <v>1</v>
      </c>
      <c r="F877" s="151" t="s">
        <v>1128</v>
      </c>
      <c r="G877" s="152">
        <v>1.4763522</v>
      </c>
      <c r="H877" s="152">
        <v>0.91132851851851848</v>
      </c>
      <c r="I877" s="175">
        <v>69</v>
      </c>
      <c r="J877" s="266">
        <f>_xlfn.XLOOKUP($I877,Inputs!$C$6:$C$23,Inputs!$D$6:$D$23)*$G877</f>
        <v>0.56734105971428572</v>
      </c>
      <c r="K877" s="255"/>
      <c r="L877" s="186">
        <v>500</v>
      </c>
      <c r="M877" s="186">
        <v>600</v>
      </c>
      <c r="N877" s="99">
        <f t="shared" si="195"/>
        <v>59.755752861126261</v>
      </c>
      <c r="O877" s="99">
        <f t="shared" si="196"/>
        <v>71.706903433351513</v>
      </c>
      <c r="P877" s="131">
        <v>0.9</v>
      </c>
      <c r="Q877" s="186">
        <f t="shared" si="197"/>
        <v>53.780177575013639</v>
      </c>
      <c r="R877" s="186">
        <f t="shared" si="198"/>
        <v>64.536213090016361</v>
      </c>
      <c r="S877" s="151" t="s">
        <v>2487</v>
      </c>
      <c r="T877" s="51" t="s">
        <v>2144</v>
      </c>
      <c r="U877" s="151" t="s">
        <v>1880</v>
      </c>
      <c r="V877" s="51" t="s">
        <v>3518</v>
      </c>
      <c r="W877" s="19"/>
      <c r="X877" s="19"/>
      <c r="Y877" s="99">
        <v>686</v>
      </c>
    </row>
    <row r="878" spans="2:25" s="165" customFormat="1" ht="20" x14ac:dyDescent="0.2">
      <c r="B878" s="150" t="s">
        <v>1146</v>
      </c>
      <c r="C878" s="33" t="s">
        <v>106</v>
      </c>
      <c r="D878" s="33" t="s">
        <v>2876</v>
      </c>
      <c r="E878" s="175">
        <v>1</v>
      </c>
      <c r="F878" s="151" t="s">
        <v>1128</v>
      </c>
      <c r="G878" s="152">
        <v>6</v>
      </c>
      <c r="H878" s="152">
        <v>3.7037037037037033</v>
      </c>
      <c r="I878" s="175">
        <v>69</v>
      </c>
      <c r="J878" s="266">
        <f>_xlfn.XLOOKUP($I878,Inputs!$C$6:$C$23,Inputs!$D$6:$D$23)*$G878</f>
        <v>2.3057142857142856</v>
      </c>
      <c r="K878" s="255"/>
      <c r="L878" s="186">
        <v>400</v>
      </c>
      <c r="M878" s="186">
        <v>510</v>
      </c>
      <c r="N878" s="99">
        <f t="shared" si="195"/>
        <v>47.804602288901016</v>
      </c>
      <c r="O878" s="99">
        <f t="shared" si="196"/>
        <v>60.950867918348784</v>
      </c>
      <c r="P878" s="131">
        <v>0.9</v>
      </c>
      <c r="Q878" s="186">
        <f t="shared" si="197"/>
        <v>43.024142060010917</v>
      </c>
      <c r="R878" s="186">
        <f t="shared" si="198"/>
        <v>54.855781126513904</v>
      </c>
      <c r="S878" s="151" t="s">
        <v>1732</v>
      </c>
      <c r="T878" s="51" t="s">
        <v>3701</v>
      </c>
      <c r="U878" s="151" t="s">
        <v>2487</v>
      </c>
      <c r="V878" s="179" t="s">
        <v>2144</v>
      </c>
      <c r="W878" s="19"/>
      <c r="X878" s="19"/>
      <c r="Y878" s="99">
        <v>585</v>
      </c>
    </row>
    <row r="879" spans="2:25" s="165" customFormat="1" ht="20" x14ac:dyDescent="0.2">
      <c r="B879" s="150" t="s">
        <v>1212</v>
      </c>
      <c r="C879" s="33" t="s">
        <v>106</v>
      </c>
      <c r="D879" s="33" t="s">
        <v>2876</v>
      </c>
      <c r="E879" s="175">
        <v>1</v>
      </c>
      <c r="F879" s="151" t="s">
        <v>1128</v>
      </c>
      <c r="G879" s="152">
        <v>2</v>
      </c>
      <c r="H879" s="152">
        <v>1.2345679012345678</v>
      </c>
      <c r="I879" s="175">
        <v>69</v>
      </c>
      <c r="J879" s="266">
        <f>_xlfn.XLOOKUP($I879,Inputs!$C$6:$C$23,Inputs!$D$6:$D$23)*$G879</f>
        <v>0.76857142857142857</v>
      </c>
      <c r="K879" s="255"/>
      <c r="L879" s="186">
        <v>400</v>
      </c>
      <c r="M879" s="186">
        <v>510</v>
      </c>
      <c r="N879" s="99">
        <f t="shared" si="195"/>
        <v>47.804602288901016</v>
      </c>
      <c r="O879" s="99">
        <f t="shared" si="196"/>
        <v>60.950867918348784</v>
      </c>
      <c r="P879" s="131">
        <v>0.9</v>
      </c>
      <c r="Q879" s="186">
        <f t="shared" si="197"/>
        <v>43.024142060010917</v>
      </c>
      <c r="R879" s="186">
        <f t="shared" si="198"/>
        <v>54.855781126513904</v>
      </c>
      <c r="S879" s="151" t="s">
        <v>1598</v>
      </c>
      <c r="T879" s="51" t="s">
        <v>3225</v>
      </c>
      <c r="U879" s="151" t="s">
        <v>2487</v>
      </c>
      <c r="V879" s="51" t="s">
        <v>2144</v>
      </c>
      <c r="W879" s="19"/>
      <c r="X879" s="19"/>
      <c r="Y879" s="99">
        <v>685</v>
      </c>
    </row>
    <row r="880" spans="2:25" s="165" customFormat="1" ht="20" x14ac:dyDescent="0.2">
      <c r="B880" s="150" t="s">
        <v>626</v>
      </c>
      <c r="C880" s="33" t="s">
        <v>106</v>
      </c>
      <c r="D880" s="33" t="s">
        <v>2876</v>
      </c>
      <c r="E880" s="175">
        <v>1</v>
      </c>
      <c r="F880" s="151" t="s">
        <v>1128</v>
      </c>
      <c r="G880" s="152">
        <v>14.655209999999999</v>
      </c>
      <c r="H880" s="152">
        <v>9.0464259259259237</v>
      </c>
      <c r="I880" s="175">
        <v>230</v>
      </c>
      <c r="J880" s="266">
        <f>_xlfn.XLOOKUP($I880,Inputs!$C$6:$C$23,Inputs!$D$6:$D$23)*$G880</f>
        <v>7.0345007999999991</v>
      </c>
      <c r="K880" s="255"/>
      <c r="L880" s="186">
        <v>1628</v>
      </c>
      <c r="M880" s="186">
        <v>2217</v>
      </c>
      <c r="N880" s="99">
        <f t="shared" si="195"/>
        <v>648.54910438609045</v>
      </c>
      <c r="O880" s="99">
        <f t="shared" si="196"/>
        <v>883.19002728744624</v>
      </c>
      <c r="P880" s="131">
        <v>0.9</v>
      </c>
      <c r="Q880" s="186">
        <f t="shared" si="197"/>
        <v>583.69419394748138</v>
      </c>
      <c r="R880" s="186">
        <f t="shared" si="198"/>
        <v>794.87102455870161</v>
      </c>
      <c r="S880" s="151" t="s">
        <v>1888</v>
      </c>
      <c r="T880" s="51" t="s">
        <v>3330</v>
      </c>
      <c r="U880" s="151" t="s">
        <v>1881</v>
      </c>
      <c r="V880" s="51" t="s">
        <v>3678</v>
      </c>
      <c r="W880" s="19"/>
      <c r="X880" s="19"/>
      <c r="Y880" s="99">
        <v>496</v>
      </c>
    </row>
    <row r="881" spans="1:25" s="165" customFormat="1" ht="20" x14ac:dyDescent="0.2">
      <c r="B881" s="150" t="s">
        <v>627</v>
      </c>
      <c r="C881" s="33" t="s">
        <v>106</v>
      </c>
      <c r="D881" s="33" t="s">
        <v>2876</v>
      </c>
      <c r="E881" s="175">
        <v>1</v>
      </c>
      <c r="F881" s="151" t="s">
        <v>1128</v>
      </c>
      <c r="G881" s="152">
        <v>14.643134</v>
      </c>
      <c r="H881" s="152">
        <v>9.0389716049382702</v>
      </c>
      <c r="I881" s="175">
        <v>230</v>
      </c>
      <c r="J881" s="266">
        <f>_xlfn.XLOOKUP($I881,Inputs!$C$6:$C$23,Inputs!$D$6:$D$23)*$G881</f>
        <v>7.0287043200000001</v>
      </c>
      <c r="K881" s="255"/>
      <c r="L881" s="186">
        <v>1628</v>
      </c>
      <c r="M881" s="186">
        <v>2217</v>
      </c>
      <c r="N881" s="99">
        <f t="shared" si="195"/>
        <v>648.54910438609045</v>
      </c>
      <c r="O881" s="99">
        <f t="shared" si="196"/>
        <v>883.19002728744624</v>
      </c>
      <c r="P881" s="131">
        <v>0.9</v>
      </c>
      <c r="Q881" s="186">
        <f t="shared" si="197"/>
        <v>583.69419394748138</v>
      </c>
      <c r="R881" s="186">
        <f t="shared" si="198"/>
        <v>794.87102455870161</v>
      </c>
      <c r="S881" s="151" t="s">
        <v>1888</v>
      </c>
      <c r="T881" s="51" t="s">
        <v>3330</v>
      </c>
      <c r="U881" s="151" t="s">
        <v>1881</v>
      </c>
      <c r="V881" s="51" t="s">
        <v>3678</v>
      </c>
      <c r="W881" s="19"/>
      <c r="X881" s="19"/>
      <c r="Y881" s="99">
        <v>497</v>
      </c>
    </row>
    <row r="882" spans="1:25" s="165" customFormat="1" ht="20" x14ac:dyDescent="0.2">
      <c r="B882" s="150" t="s">
        <v>1403</v>
      </c>
      <c r="C882" s="33" t="s">
        <v>106</v>
      </c>
      <c r="D882" s="33" t="s">
        <v>2876</v>
      </c>
      <c r="E882" s="175">
        <v>1</v>
      </c>
      <c r="F882" s="151" t="s">
        <v>1128</v>
      </c>
      <c r="G882" s="152">
        <v>8.2399E-2</v>
      </c>
      <c r="H882" s="152">
        <v>5.0863580246913578E-2</v>
      </c>
      <c r="I882" s="175">
        <v>138</v>
      </c>
      <c r="J882" s="266">
        <f>_xlfn.XLOOKUP($I882,Inputs!$C$6:$C$23,Inputs!$D$6:$D$23)*$G882</f>
        <v>3.5725852142857145E-2</v>
      </c>
      <c r="K882" s="255"/>
      <c r="L882" s="186">
        <v>725</v>
      </c>
      <c r="M882" s="186">
        <v>925</v>
      </c>
      <c r="N882" s="99">
        <f t="shared" si="195"/>
        <v>173.29168329726616</v>
      </c>
      <c r="O882" s="99">
        <f t="shared" si="196"/>
        <v>221.0962855861672</v>
      </c>
      <c r="P882" s="131">
        <v>0.9</v>
      </c>
      <c r="Q882" s="186">
        <f t="shared" si="197"/>
        <v>155.96251496753956</v>
      </c>
      <c r="R882" s="186">
        <f t="shared" si="198"/>
        <v>198.98665702755048</v>
      </c>
      <c r="S882" s="151" t="s">
        <v>2386</v>
      </c>
      <c r="T882" s="51" t="s">
        <v>2035</v>
      </c>
      <c r="U882" s="151" t="s">
        <v>1882</v>
      </c>
      <c r="V882" s="51" t="s">
        <v>3519</v>
      </c>
      <c r="W882" s="19"/>
      <c r="X882" s="19"/>
      <c r="Y882" s="99">
        <v>14</v>
      </c>
    </row>
    <row r="883" spans="1:25" s="165" customFormat="1" ht="20" x14ac:dyDescent="0.2">
      <c r="B883" s="150" t="s">
        <v>1407</v>
      </c>
      <c r="C883" s="33" t="s">
        <v>106</v>
      </c>
      <c r="D883" s="33" t="s">
        <v>2876</v>
      </c>
      <c r="E883" s="175">
        <v>1</v>
      </c>
      <c r="F883" s="151" t="s">
        <v>1128</v>
      </c>
      <c r="G883" s="152">
        <v>8.7269400000000011E-2</v>
      </c>
      <c r="H883" s="152">
        <v>5.3870000000000001E-2</v>
      </c>
      <c r="I883" s="175">
        <v>138</v>
      </c>
      <c r="J883" s="266">
        <f>_xlfn.XLOOKUP($I883,Inputs!$C$6:$C$23,Inputs!$D$6:$D$23)*$G883</f>
        <v>3.7837518428571436E-2</v>
      </c>
      <c r="K883" s="255"/>
      <c r="L883" s="186">
        <v>725</v>
      </c>
      <c r="M883" s="186">
        <v>925</v>
      </c>
      <c r="N883" s="99">
        <f t="shared" si="195"/>
        <v>173.29168329726616</v>
      </c>
      <c r="O883" s="99">
        <f t="shared" si="196"/>
        <v>221.0962855861672</v>
      </c>
      <c r="P883" s="131">
        <v>0.9</v>
      </c>
      <c r="Q883" s="186">
        <f t="shared" si="197"/>
        <v>155.96251496753956</v>
      </c>
      <c r="R883" s="186">
        <f t="shared" si="198"/>
        <v>198.98665702755048</v>
      </c>
      <c r="S883" s="151" t="s">
        <v>2386</v>
      </c>
      <c r="T883" s="51" t="s">
        <v>2035</v>
      </c>
      <c r="U883" s="151" t="s">
        <v>1882</v>
      </c>
      <c r="V883" s="51" t="s">
        <v>3519</v>
      </c>
      <c r="W883" s="19"/>
      <c r="X883" s="19"/>
      <c r="Y883" s="99">
        <v>23</v>
      </c>
    </row>
    <row r="884" spans="1:25" s="165" customFormat="1" ht="20" x14ac:dyDescent="0.2">
      <c r="B884" s="150" t="s">
        <v>418</v>
      </c>
      <c r="C884" s="33" t="s">
        <v>106</v>
      </c>
      <c r="D884" s="33" t="s">
        <v>2876</v>
      </c>
      <c r="E884" s="175">
        <v>1</v>
      </c>
      <c r="F884" s="151" t="s">
        <v>1128</v>
      </c>
      <c r="G884" s="152">
        <v>25.39</v>
      </c>
      <c r="H884" s="152">
        <v>15.672839506172838</v>
      </c>
      <c r="I884" s="175">
        <v>138</v>
      </c>
      <c r="J884" s="266">
        <f>_xlfn.XLOOKUP($I884,Inputs!$C$6:$C$23,Inputs!$D$6:$D$23)*$G884</f>
        <v>11.008378571428572</v>
      </c>
      <c r="K884" s="255"/>
      <c r="L884" s="186">
        <v>648</v>
      </c>
      <c r="M884" s="186">
        <v>780</v>
      </c>
      <c r="N884" s="99">
        <f t="shared" si="195"/>
        <v>154.88691141603928</v>
      </c>
      <c r="O884" s="99">
        <f t="shared" si="196"/>
        <v>186.43794892671391</v>
      </c>
      <c r="P884" s="131">
        <v>0.9</v>
      </c>
      <c r="Q884" s="186">
        <f t="shared" si="197"/>
        <v>139.39822027443535</v>
      </c>
      <c r="R884" s="186">
        <f t="shared" si="198"/>
        <v>167.79415403404252</v>
      </c>
      <c r="S884" s="151" t="s">
        <v>3576</v>
      </c>
      <c r="T884" s="51" t="s">
        <v>3577</v>
      </c>
      <c r="U884" s="151" t="s">
        <v>2386</v>
      </c>
      <c r="V884" s="51" t="s">
        <v>2035</v>
      </c>
      <c r="W884" s="19"/>
      <c r="X884" s="19"/>
      <c r="Y884" s="99">
        <v>13</v>
      </c>
    </row>
    <row r="885" spans="1:25" s="165" customFormat="1" ht="20" x14ac:dyDescent="0.2">
      <c r="B885" s="150" t="s">
        <v>421</v>
      </c>
      <c r="C885" s="33" t="s">
        <v>106</v>
      </c>
      <c r="D885" s="33" t="s">
        <v>2876</v>
      </c>
      <c r="E885" s="175">
        <v>1</v>
      </c>
      <c r="F885" s="151" t="s">
        <v>1128</v>
      </c>
      <c r="G885" s="152">
        <v>7</v>
      </c>
      <c r="H885" s="152">
        <v>4.3209876543209873</v>
      </c>
      <c r="I885" s="175">
        <v>138</v>
      </c>
      <c r="J885" s="266">
        <f>_xlfn.XLOOKUP($I885,Inputs!$C$6:$C$23,Inputs!$D$6:$D$23)*$G885</f>
        <v>3.0350000000000001</v>
      </c>
      <c r="K885" s="255"/>
      <c r="L885" s="186">
        <v>725</v>
      </c>
      <c r="M885" s="186">
        <v>925</v>
      </c>
      <c r="N885" s="99">
        <f t="shared" si="195"/>
        <v>173.29168329726616</v>
      </c>
      <c r="O885" s="99">
        <f t="shared" si="196"/>
        <v>221.0962855861672</v>
      </c>
      <c r="P885" s="131">
        <v>0.9</v>
      </c>
      <c r="Q885" s="186">
        <f t="shared" si="197"/>
        <v>155.96251496753956</v>
      </c>
      <c r="R885" s="186">
        <f t="shared" si="198"/>
        <v>198.98665702755048</v>
      </c>
      <c r="S885" s="151" t="s">
        <v>2387</v>
      </c>
      <c r="T885" s="51" t="s">
        <v>2036</v>
      </c>
      <c r="U885" s="151" t="s">
        <v>2386</v>
      </c>
      <c r="V885" s="51" t="s">
        <v>2035</v>
      </c>
      <c r="W885" s="19"/>
      <c r="X885" s="19"/>
      <c r="Y885" s="99">
        <v>22</v>
      </c>
    </row>
    <row r="886" spans="1:25" s="165" customFormat="1" ht="20" x14ac:dyDescent="0.2">
      <c r="B886" s="150" t="s">
        <v>1139</v>
      </c>
      <c r="C886" s="33" t="s">
        <v>106</v>
      </c>
      <c r="D886" s="33" t="s">
        <v>2876</v>
      </c>
      <c r="E886" s="175">
        <v>1</v>
      </c>
      <c r="F886" s="151" t="s">
        <v>1128</v>
      </c>
      <c r="G886" s="152">
        <v>16.3033249</v>
      </c>
      <c r="H886" s="152">
        <v>10.063780802469134</v>
      </c>
      <c r="I886" s="175">
        <v>69</v>
      </c>
      <c r="J886" s="266">
        <f>_xlfn.XLOOKUP($I886,Inputs!$C$6:$C$23,Inputs!$D$6:$D$23)*$G886</f>
        <v>6.2651348544285712</v>
      </c>
      <c r="K886" s="255"/>
      <c r="L886" s="186">
        <v>400</v>
      </c>
      <c r="M886" s="186">
        <v>505</v>
      </c>
      <c r="N886" s="99">
        <f t="shared" si="195"/>
        <v>47.804602288901016</v>
      </c>
      <c r="O886" s="99">
        <f t="shared" si="196"/>
        <v>60.353310389737523</v>
      </c>
      <c r="P886" s="131">
        <v>0.9</v>
      </c>
      <c r="Q886" s="186">
        <f t="shared" si="197"/>
        <v>43.024142060010917</v>
      </c>
      <c r="R886" s="186">
        <f t="shared" si="198"/>
        <v>54.317979350763771</v>
      </c>
      <c r="S886" s="151" t="s">
        <v>2929</v>
      </c>
      <c r="T886" s="51" t="s">
        <v>3723</v>
      </c>
      <c r="U886" s="151" t="s">
        <v>1883</v>
      </c>
      <c r="V886" s="51" t="s">
        <v>3408</v>
      </c>
      <c r="W886" s="19"/>
      <c r="X886" s="19"/>
      <c r="Y886" s="99">
        <v>564</v>
      </c>
    </row>
    <row r="887" spans="1:25" s="165" customFormat="1" ht="20" x14ac:dyDescent="0.2">
      <c r="A887" s="90"/>
      <c r="B887" s="150" t="s">
        <v>1251</v>
      </c>
      <c r="C887" s="33" t="s">
        <v>106</v>
      </c>
      <c r="D887" s="33" t="s">
        <v>2876</v>
      </c>
      <c r="E887" s="175">
        <v>1</v>
      </c>
      <c r="F887" s="151" t="s">
        <v>1128</v>
      </c>
      <c r="G887" s="152">
        <v>1.9596610000000001</v>
      </c>
      <c r="H887" s="152">
        <v>1.2096672839506173</v>
      </c>
      <c r="I887" s="175">
        <v>69</v>
      </c>
      <c r="J887" s="266">
        <f>_xlfn.XLOOKUP($I887,Inputs!$C$6:$C$23,Inputs!$D$6:$D$23)*$G887</f>
        <v>0.75306972714285714</v>
      </c>
      <c r="K887" s="255"/>
      <c r="L887" s="186">
        <v>440</v>
      </c>
      <c r="M887" s="186">
        <v>555</v>
      </c>
      <c r="N887" s="99">
        <f t="shared" si="195"/>
        <v>52.585062517791116</v>
      </c>
      <c r="O887" s="99">
        <f t="shared" si="196"/>
        <v>66.328885675850145</v>
      </c>
      <c r="P887" s="131">
        <v>0.9</v>
      </c>
      <c r="Q887" s="186">
        <f t="shared" si="197"/>
        <v>47.326556266012005</v>
      </c>
      <c r="R887" s="186">
        <f t="shared" si="198"/>
        <v>59.695997108265132</v>
      </c>
      <c r="S887" s="151" t="s">
        <v>1642</v>
      </c>
      <c r="T887" s="51" t="s">
        <v>3625</v>
      </c>
      <c r="U887" s="151" t="s">
        <v>1883</v>
      </c>
      <c r="V887" s="51" t="s">
        <v>3408</v>
      </c>
      <c r="W887" s="19"/>
      <c r="X887" s="19"/>
      <c r="Y887" s="99">
        <v>761</v>
      </c>
    </row>
    <row r="888" spans="1:25" s="165" customFormat="1" ht="20" x14ac:dyDescent="0.2">
      <c r="B888" s="150" t="s">
        <v>578</v>
      </c>
      <c r="C888" s="33" t="s">
        <v>106</v>
      </c>
      <c r="D888" s="33" t="s">
        <v>2876</v>
      </c>
      <c r="E888" s="175">
        <v>1</v>
      </c>
      <c r="F888" s="151" t="s">
        <v>1128</v>
      </c>
      <c r="G888" s="152">
        <v>59.588801599999996</v>
      </c>
      <c r="H888" s="152">
        <v>36.783210864197528</v>
      </c>
      <c r="I888" s="175">
        <v>230</v>
      </c>
      <c r="J888" s="266">
        <f>_xlfn.XLOOKUP($I888,Inputs!$C$6:$C$23,Inputs!$D$6:$D$23)*$G888</f>
        <v>28.602624767999998</v>
      </c>
      <c r="K888" s="255"/>
      <c r="L888" s="186">
        <v>450</v>
      </c>
      <c r="M888" s="186">
        <v>1075</v>
      </c>
      <c r="N888" s="99">
        <f t="shared" si="195"/>
        <v>179.26725858337878</v>
      </c>
      <c r="O888" s="99">
        <f t="shared" si="196"/>
        <v>428.24956217140488</v>
      </c>
      <c r="P888" s="131">
        <v>0.9</v>
      </c>
      <c r="Q888" s="186">
        <f t="shared" si="197"/>
        <v>161.3405327250409</v>
      </c>
      <c r="R888" s="186">
        <f t="shared" si="198"/>
        <v>385.42460595426439</v>
      </c>
      <c r="S888" s="151" t="s">
        <v>1786</v>
      </c>
      <c r="T888" s="51" t="s">
        <v>3290</v>
      </c>
      <c r="U888" s="151" t="s">
        <v>1884</v>
      </c>
      <c r="V888" s="51" t="s">
        <v>3328</v>
      </c>
      <c r="W888" s="19"/>
      <c r="X888" s="19"/>
      <c r="Y888" s="99">
        <v>427</v>
      </c>
    </row>
    <row r="889" spans="1:25" s="165" customFormat="1" ht="20" x14ac:dyDescent="0.2">
      <c r="B889" s="150" t="s">
        <v>662</v>
      </c>
      <c r="C889" s="33" t="s">
        <v>106</v>
      </c>
      <c r="D889" s="33" t="s">
        <v>2876</v>
      </c>
      <c r="E889" s="175">
        <v>1</v>
      </c>
      <c r="F889" s="151" t="s">
        <v>1128</v>
      </c>
      <c r="G889" s="152">
        <v>142.78940599999999</v>
      </c>
      <c r="H889" s="152">
        <v>88.141608641975296</v>
      </c>
      <c r="I889" s="175">
        <v>500</v>
      </c>
      <c r="J889" s="266">
        <f>_xlfn.XLOOKUP($I889,Inputs!$C$6:$C$23,Inputs!$D$6:$D$23)*$G889</f>
        <v>56.401815369999994</v>
      </c>
      <c r="K889" s="255"/>
      <c r="L889" s="186">
        <v>2000</v>
      </c>
      <c r="M889" s="186">
        <v>3035</v>
      </c>
      <c r="N889" s="99">
        <f t="shared" si="195"/>
        <v>1732.0508075688772</v>
      </c>
      <c r="O889" s="99">
        <f t="shared" si="196"/>
        <v>2628.387100485771</v>
      </c>
      <c r="P889" s="131">
        <v>0.9</v>
      </c>
      <c r="Q889" s="186">
        <f t="shared" si="197"/>
        <v>1558.8457268119896</v>
      </c>
      <c r="R889" s="186">
        <f t="shared" si="198"/>
        <v>2365.548390437194</v>
      </c>
      <c r="S889" s="151" t="s">
        <v>1914</v>
      </c>
      <c r="T889" s="51" t="s">
        <v>3342</v>
      </c>
      <c r="U889" s="151" t="s">
        <v>1884</v>
      </c>
      <c r="V889" s="51" t="s">
        <v>3328</v>
      </c>
      <c r="W889" s="19"/>
      <c r="X889" s="19"/>
      <c r="Y889" s="99">
        <v>538</v>
      </c>
    </row>
    <row r="890" spans="1:25" s="165" customFormat="1" ht="20" x14ac:dyDescent="0.2">
      <c r="B890" s="151" t="s">
        <v>1108</v>
      </c>
      <c r="C890" s="33" t="s">
        <v>106</v>
      </c>
      <c r="D890" s="33" t="s">
        <v>2876</v>
      </c>
      <c r="E890" s="175">
        <v>1</v>
      </c>
      <c r="F890" s="151" t="s">
        <v>1128</v>
      </c>
      <c r="G890" s="174">
        <v>8</v>
      </c>
      <c r="H890" s="152">
        <v>4.9382716049382713</v>
      </c>
      <c r="I890" s="175">
        <v>138</v>
      </c>
      <c r="J890" s="266">
        <f>_xlfn.XLOOKUP($I890,Inputs!$C$6:$C$23,Inputs!$D$6:$D$23)*$G890</f>
        <v>3.4685714285714289</v>
      </c>
      <c r="K890" s="267">
        <f>IF((42.4*(H890)^(-0.6595))&gt;=3,3,(IF(42.4*(H890)^(-0.6595)&lt;=0.5,0.5,(42.4*(H890)^(-0.6595)))))</f>
        <v>3</v>
      </c>
      <c r="L890" s="99"/>
      <c r="M890" s="99"/>
      <c r="N890" s="99">
        <f t="shared" si="195"/>
        <v>0</v>
      </c>
      <c r="O890" s="99">
        <f t="shared" si="196"/>
        <v>0</v>
      </c>
      <c r="P890" s="131">
        <v>0.9</v>
      </c>
      <c r="Q890" s="305">
        <f>_xlfn.XLOOKUP($I890,Inputs!$G$6:$G$23,Inputs!J$6:J$23)*$K890</f>
        <v>141</v>
      </c>
      <c r="R890" s="305">
        <f>_xlfn.XLOOKUP($I890,Inputs!$G$6:$G$23,Inputs!K$6:K$23)*$K890</f>
        <v>156</v>
      </c>
      <c r="S890" s="151" t="s">
        <v>2303</v>
      </c>
      <c r="T890" s="51" t="s">
        <v>3114</v>
      </c>
      <c r="U890" s="151" t="s">
        <v>2325</v>
      </c>
      <c r="V890" s="51" t="s">
        <v>3160</v>
      </c>
      <c r="W890" s="19"/>
      <c r="X890" s="19"/>
      <c r="Y890" s="99">
        <v>8</v>
      </c>
    </row>
    <row r="891" spans="1:25" s="165" customFormat="1" ht="20" x14ac:dyDescent="0.2">
      <c r="B891" s="150" t="s">
        <v>1391</v>
      </c>
      <c r="C891" s="33" t="s">
        <v>106</v>
      </c>
      <c r="D891" s="33" t="s">
        <v>2876</v>
      </c>
      <c r="E891" s="175">
        <v>1</v>
      </c>
      <c r="F891" s="151" t="s">
        <v>1128</v>
      </c>
      <c r="G891" s="152">
        <v>0.61347659999999993</v>
      </c>
      <c r="H891" s="152">
        <v>0.37868925925925917</v>
      </c>
      <c r="I891" s="175">
        <v>69</v>
      </c>
      <c r="J891" s="266">
        <f>_xlfn.XLOOKUP($I891,Inputs!$C$6:$C$23,Inputs!$D$6:$D$23)*$G891</f>
        <v>0.2357502934285714</v>
      </c>
      <c r="K891" s="255"/>
      <c r="L891" s="186">
        <v>460</v>
      </c>
      <c r="M891" s="186">
        <v>780</v>
      </c>
      <c r="N891" s="99">
        <f t="shared" si="195"/>
        <v>54.975292632236169</v>
      </c>
      <c r="O891" s="99">
        <f t="shared" si="196"/>
        <v>93.218974463356957</v>
      </c>
      <c r="P891" s="131">
        <v>0.9</v>
      </c>
      <c r="Q891" s="186">
        <f>N891*$P891</f>
        <v>49.47776336901255</v>
      </c>
      <c r="R891" s="186">
        <f>O891*$P891</f>
        <v>83.89707701702126</v>
      </c>
      <c r="S891" s="151" t="s">
        <v>2608</v>
      </c>
      <c r="T891" s="51" t="s">
        <v>2268</v>
      </c>
      <c r="U891" s="151" t="s">
        <v>1885</v>
      </c>
      <c r="V891" s="51" t="s">
        <v>3681</v>
      </c>
      <c r="W891" s="19"/>
      <c r="X891" s="19"/>
      <c r="Y891" s="99">
        <v>1007</v>
      </c>
    </row>
    <row r="892" spans="1:25" s="165" customFormat="1" ht="20" x14ac:dyDescent="0.2">
      <c r="B892" s="150" t="s">
        <v>1389</v>
      </c>
      <c r="C892" s="33" t="s">
        <v>106</v>
      </c>
      <c r="D892" s="33" t="s">
        <v>2876</v>
      </c>
      <c r="E892" s="175">
        <v>1</v>
      </c>
      <c r="F892" s="151" t="s">
        <v>1128</v>
      </c>
      <c r="G892" s="152">
        <v>3</v>
      </c>
      <c r="H892" s="152">
        <v>1.8518518518518516</v>
      </c>
      <c r="I892" s="175">
        <v>69</v>
      </c>
      <c r="J892" s="266">
        <f>_xlfn.XLOOKUP($I892,Inputs!$C$6:$C$23,Inputs!$D$6:$D$23)*$G892</f>
        <v>1.1528571428571428</v>
      </c>
      <c r="K892" s="255"/>
      <c r="L892" s="186">
        <v>450</v>
      </c>
      <c r="M892" s="186">
        <v>760</v>
      </c>
      <c r="N892" s="99">
        <f t="shared" si="195"/>
        <v>53.780177575013639</v>
      </c>
      <c r="O892" s="99">
        <f t="shared" si="196"/>
        <v>90.828744348911911</v>
      </c>
      <c r="P892" s="131">
        <v>0.9</v>
      </c>
      <c r="Q892" s="186">
        <f>N892*$P892</f>
        <v>48.402159817512278</v>
      </c>
      <c r="R892" s="186">
        <f>O892*$P892</f>
        <v>81.745869914020716</v>
      </c>
      <c r="S892" s="151" t="s">
        <v>2607</v>
      </c>
      <c r="T892" s="51" t="s">
        <v>2266</v>
      </c>
      <c r="U892" s="151" t="s">
        <v>2608</v>
      </c>
      <c r="V892" s="51" t="s">
        <v>2268</v>
      </c>
      <c r="W892" s="19"/>
      <c r="X892" s="19"/>
      <c r="Y892" s="99">
        <v>1006</v>
      </c>
    </row>
    <row r="893" spans="1:25" s="185" customFormat="1" ht="20" x14ac:dyDescent="0.2">
      <c r="B893" s="150" t="s">
        <v>428</v>
      </c>
      <c r="C893" s="33" t="s">
        <v>106</v>
      </c>
      <c r="D893" s="33" t="s">
        <v>2876</v>
      </c>
      <c r="E893" s="175">
        <v>1</v>
      </c>
      <c r="F893" s="151" t="s">
        <v>1128</v>
      </c>
      <c r="G893" s="152">
        <v>1.4257971999999999</v>
      </c>
      <c r="H893" s="152">
        <v>0.88012172839506164</v>
      </c>
      <c r="I893" s="175">
        <v>138</v>
      </c>
      <c r="J893" s="266">
        <f>_xlfn.XLOOKUP($I893,Inputs!$C$6:$C$23,Inputs!$D$6:$D$23)*$G893</f>
        <v>0.61818492885714282</v>
      </c>
      <c r="K893" s="267">
        <f>IF((42.4*(H893)^(-0.6595))&gt;=3,3,(IF(42.4*(H893)^(-0.6595)&lt;=0.5,0.5,(42.4*(H893)^(-0.6595)))))</f>
        <v>3</v>
      </c>
      <c r="L893" s="99"/>
      <c r="M893" s="99"/>
      <c r="N893" s="99">
        <f t="shared" si="195"/>
        <v>0</v>
      </c>
      <c r="O893" s="99">
        <f t="shared" si="196"/>
        <v>0</v>
      </c>
      <c r="P893" s="131">
        <v>0.9</v>
      </c>
      <c r="Q893" s="305">
        <f>_xlfn.XLOOKUP($I893,Inputs!$G$6:$G$23,Inputs!J$6:J$23)*$K893</f>
        <v>141</v>
      </c>
      <c r="R893" s="305">
        <f>_xlfn.XLOOKUP($I893,Inputs!$G$6:$G$23,Inputs!K$6:K$23)*$K893</f>
        <v>156</v>
      </c>
      <c r="S893" s="151" t="s">
        <v>1617</v>
      </c>
      <c r="T893" s="51" t="s">
        <v>3189</v>
      </c>
      <c r="U893" s="151" t="s">
        <v>1886</v>
      </c>
      <c r="V893" s="51" t="s">
        <v>3161</v>
      </c>
      <c r="W893" s="19"/>
      <c r="X893" s="19"/>
      <c r="Y893" s="99">
        <v>46</v>
      </c>
    </row>
    <row r="894" spans="1:25" s="165" customFormat="1" ht="20" x14ac:dyDescent="0.2">
      <c r="B894" s="150" t="s">
        <v>1301</v>
      </c>
      <c r="C894" s="33" t="s">
        <v>106</v>
      </c>
      <c r="D894" s="33" t="s">
        <v>2876</v>
      </c>
      <c r="E894" s="175">
        <v>1</v>
      </c>
      <c r="F894" s="151" t="s">
        <v>1128</v>
      </c>
      <c r="G894" s="152">
        <v>7.7463399999999988E-2</v>
      </c>
      <c r="H894" s="152">
        <v>4.7816913580246902E-2</v>
      </c>
      <c r="I894" s="175">
        <v>69</v>
      </c>
      <c r="J894" s="266">
        <f>_xlfn.XLOOKUP($I894,Inputs!$C$6:$C$23,Inputs!$D$6:$D$23)*$G894</f>
        <v>2.9768077999999996E-2</v>
      </c>
      <c r="K894" s="255"/>
      <c r="L894" s="186">
        <v>231</v>
      </c>
      <c r="M894" s="186">
        <v>380</v>
      </c>
      <c r="N894" s="99">
        <f t="shared" si="195"/>
        <v>27.607157821840335</v>
      </c>
      <c r="O894" s="99">
        <f t="shared" si="196"/>
        <v>45.414372174455956</v>
      </c>
      <c r="P894" s="131">
        <v>0.9</v>
      </c>
      <c r="Q894" s="186">
        <f>N894*$P894</f>
        <v>24.846442039656303</v>
      </c>
      <c r="R894" s="186">
        <f>O894*$P894</f>
        <v>40.872934957010358</v>
      </c>
      <c r="S894" s="151" t="s">
        <v>2550</v>
      </c>
      <c r="T894" s="51" t="s">
        <v>2211</v>
      </c>
      <c r="U894" s="151" t="s">
        <v>313</v>
      </c>
      <c r="V894" s="51" t="s">
        <v>3329</v>
      </c>
      <c r="W894" s="19"/>
      <c r="X894" s="19"/>
      <c r="Y894" s="99">
        <v>838</v>
      </c>
    </row>
    <row r="895" spans="1:25" s="165" customFormat="1" ht="20" x14ac:dyDescent="0.2">
      <c r="B895" s="150" t="s">
        <v>1295</v>
      </c>
      <c r="C895" s="33" t="s">
        <v>106</v>
      </c>
      <c r="D895" s="33" t="s">
        <v>2876</v>
      </c>
      <c r="E895" s="175">
        <v>1</v>
      </c>
      <c r="F895" s="151" t="s">
        <v>1128</v>
      </c>
      <c r="G895" s="152">
        <v>30</v>
      </c>
      <c r="H895" s="152">
        <v>18.518518518518519</v>
      </c>
      <c r="I895" s="175">
        <v>69</v>
      </c>
      <c r="J895" s="266">
        <f>_xlfn.XLOOKUP($I895,Inputs!$C$6:$C$23,Inputs!$D$6:$D$23)*$G895</f>
        <v>11.528571428571428</v>
      </c>
      <c r="K895" s="255"/>
      <c r="L895" s="186">
        <v>349</v>
      </c>
      <c r="M895" s="186">
        <v>453</v>
      </c>
      <c r="N895" s="99">
        <f t="shared" si="195"/>
        <v>41.709515497066128</v>
      </c>
      <c r="O895" s="99">
        <f t="shared" si="196"/>
        <v>54.138712092180391</v>
      </c>
      <c r="P895" s="131">
        <v>0.9</v>
      </c>
      <c r="Q895" s="186">
        <f>N895*$P895</f>
        <v>37.538563947359513</v>
      </c>
      <c r="R895" s="186">
        <f>O895*$P895</f>
        <v>48.724840882962354</v>
      </c>
      <c r="S895" s="151" t="s">
        <v>326</v>
      </c>
      <c r="T895" s="51" t="s">
        <v>3273</v>
      </c>
      <c r="U895" s="151" t="s">
        <v>2550</v>
      </c>
      <c r="V895" s="51" t="s">
        <v>2211</v>
      </c>
      <c r="W895" s="19"/>
      <c r="X895" s="19"/>
      <c r="Y895" s="99">
        <v>837</v>
      </c>
    </row>
    <row r="896" spans="1:25" s="165" customFormat="1" ht="20" x14ac:dyDescent="0.2">
      <c r="B896" s="150" t="s">
        <v>2706</v>
      </c>
      <c r="C896" s="33" t="s">
        <v>173</v>
      </c>
      <c r="D896" s="33" t="s">
        <v>2876</v>
      </c>
      <c r="E896" s="231">
        <v>1</v>
      </c>
      <c r="F896" s="230" t="s">
        <v>1128</v>
      </c>
      <c r="G896" s="152">
        <v>0.74313379999999996</v>
      </c>
      <c r="H896" s="152">
        <v>0.4587245679012345</v>
      </c>
      <c r="I896" s="231">
        <v>63</v>
      </c>
      <c r="J896" s="266">
        <f>_xlfn.XLOOKUP($I896,Inputs!$C$6:$C$23,Inputs!$D$6:$D$23)*$G896</f>
        <v>0.28239084399999997</v>
      </c>
      <c r="K896" s="267">
        <f>IF((42.4*(H896)^(-0.6595))&gt;=3,3,(IF(42.4*(H896)^(-0.6595)&lt;=0.5,0.5,(42.4*(H896)^(-0.6595)))))</f>
        <v>3</v>
      </c>
      <c r="L896" s="99"/>
      <c r="M896" s="99"/>
      <c r="N896" s="99"/>
      <c r="O896" s="99"/>
      <c r="P896" s="69"/>
      <c r="Q896" s="305">
        <f>_xlfn.XLOOKUP($I896,Inputs!$G$6:$G$23,Inputs!J$6:J$23)*$K896</f>
        <v>29.767499999999998</v>
      </c>
      <c r="R896" s="305">
        <f>_xlfn.XLOOKUP($I896,Inputs!$G$6:$G$23,Inputs!K$6:K$23)*$K896</f>
        <v>32.532786885245905</v>
      </c>
      <c r="S896" s="150" t="s">
        <v>1742</v>
      </c>
      <c r="T896" s="51" t="s">
        <v>3132</v>
      </c>
      <c r="U896" s="150" t="s">
        <v>2326</v>
      </c>
      <c r="V896" s="51" t="s">
        <v>3162</v>
      </c>
      <c r="W896" s="19"/>
      <c r="X896" s="19"/>
      <c r="Y896" s="99">
        <v>1043</v>
      </c>
    </row>
    <row r="897" spans="2:25" s="165" customFormat="1" ht="20" x14ac:dyDescent="0.2">
      <c r="B897" s="150" t="s">
        <v>2707</v>
      </c>
      <c r="C897" s="33" t="s">
        <v>173</v>
      </c>
      <c r="D897" s="33" t="s">
        <v>2876</v>
      </c>
      <c r="E897" s="231">
        <v>1</v>
      </c>
      <c r="F897" s="230" t="s">
        <v>1128</v>
      </c>
      <c r="G897" s="152">
        <v>0.4289926</v>
      </c>
      <c r="H897" s="152">
        <v>0.26481024691358024</v>
      </c>
      <c r="I897" s="231">
        <v>63</v>
      </c>
      <c r="J897" s="266">
        <f>_xlfn.XLOOKUP($I897,Inputs!$C$6:$C$23,Inputs!$D$6:$D$23)*$G897</f>
        <v>0.16301718800000001</v>
      </c>
      <c r="K897" s="267">
        <f>IF((42.4*(H897)^(-0.6595))&gt;=3,3,(IF(42.4*(H897)^(-0.6595)&lt;=0.5,0.5,(42.4*(H897)^(-0.6595)))))</f>
        <v>3</v>
      </c>
      <c r="L897" s="99"/>
      <c r="M897" s="99"/>
      <c r="N897" s="99"/>
      <c r="O897" s="99"/>
      <c r="P897" s="69"/>
      <c r="Q897" s="305">
        <f>_xlfn.XLOOKUP($I897,Inputs!$G$6:$G$23,Inputs!J$6:J$23)*$K897</f>
        <v>29.767499999999998</v>
      </c>
      <c r="R897" s="305">
        <f>_xlfn.XLOOKUP($I897,Inputs!$G$6:$G$23,Inputs!K$6:K$23)*$K897</f>
        <v>32.532786885245905</v>
      </c>
      <c r="S897" s="150" t="s">
        <v>1742</v>
      </c>
      <c r="T897" s="51" t="s">
        <v>3132</v>
      </c>
      <c r="U897" s="150" t="s">
        <v>2326</v>
      </c>
      <c r="V897" s="51" t="s">
        <v>3162</v>
      </c>
      <c r="W897" s="19"/>
      <c r="X897" s="19"/>
      <c r="Y897" s="99">
        <v>1044</v>
      </c>
    </row>
    <row r="898" spans="2:25" s="165" customFormat="1" ht="20" x14ac:dyDescent="0.2">
      <c r="B898" s="230" t="s">
        <v>2742</v>
      </c>
      <c r="C898" s="51" t="s">
        <v>173</v>
      </c>
      <c r="D898" s="33" t="s">
        <v>2876</v>
      </c>
      <c r="E898" s="231">
        <v>1</v>
      </c>
      <c r="F898" s="230" t="s">
        <v>1128</v>
      </c>
      <c r="G898" s="232">
        <v>1</v>
      </c>
      <c r="H898" s="232">
        <v>0.61728395061728392</v>
      </c>
      <c r="I898" s="231">
        <v>63</v>
      </c>
      <c r="J898" s="266">
        <f>_xlfn.XLOOKUP($I898,Inputs!$C$6:$C$23,Inputs!$D$6:$D$23)*$G898</f>
        <v>0.38</v>
      </c>
      <c r="K898" s="267">
        <f>IF((42.4*(H898)^(-0.6595))&gt;=3,3,(IF(42.4*(H898)^(-0.6595)&lt;=0.5,0.5,(42.4*(H898)^(-0.6595)))))</f>
        <v>3</v>
      </c>
      <c r="L898" s="99"/>
      <c r="M898" s="99"/>
      <c r="N898" s="99"/>
      <c r="O898" s="99"/>
      <c r="P898" s="69"/>
      <c r="Q898" s="305">
        <f>_xlfn.XLOOKUP($I898,Inputs!$G$6:$G$23,Inputs!J$6:J$23)*$K898</f>
        <v>29.767499999999998</v>
      </c>
      <c r="R898" s="305">
        <f>_xlfn.XLOOKUP($I898,Inputs!$G$6:$G$23,Inputs!K$6:K$23)*$K898</f>
        <v>32.532786885245905</v>
      </c>
      <c r="S898" s="230" t="s">
        <v>2743</v>
      </c>
      <c r="T898" s="51" t="s">
        <v>3310</v>
      </c>
      <c r="U898" s="230" t="s">
        <v>2326</v>
      </c>
      <c r="V898" s="51" t="s">
        <v>3162</v>
      </c>
      <c r="W898" s="19"/>
      <c r="X898" s="19"/>
      <c r="Y898" s="99">
        <v>1069</v>
      </c>
    </row>
    <row r="899" spans="2:25" s="165" customFormat="1" ht="20" x14ac:dyDescent="0.2">
      <c r="B899" s="150" t="s">
        <v>1151</v>
      </c>
      <c r="C899" s="33" t="s">
        <v>106</v>
      </c>
      <c r="D899" s="33" t="s">
        <v>2876</v>
      </c>
      <c r="E899" s="175">
        <v>1</v>
      </c>
      <c r="F899" s="151" t="s">
        <v>1128</v>
      </c>
      <c r="G899" s="152">
        <v>3.7431100000000002E-2</v>
      </c>
      <c r="H899" s="152">
        <v>2.3105617283950618E-2</v>
      </c>
      <c r="I899" s="175">
        <v>69</v>
      </c>
      <c r="J899" s="266">
        <f>_xlfn.XLOOKUP($I899,Inputs!$C$6:$C$23,Inputs!$D$6:$D$23)*$G899</f>
        <v>1.4384237000000001E-2</v>
      </c>
      <c r="K899" s="267">
        <f>IF((42.4*(H899)^(-0.6595))&gt;=3,3,(IF(42.4*(H899)^(-0.6595)&lt;=0.5,0.5,(42.4*(H899)^(-0.6595)))))</f>
        <v>3</v>
      </c>
      <c r="L899" s="99"/>
      <c r="M899" s="99"/>
      <c r="N899" s="99">
        <f>(SQRT(3)*L899*$I899)/1000</f>
        <v>0</v>
      </c>
      <c r="O899" s="99">
        <f>(SQRT(3)*M899*$I899)/1000</f>
        <v>0</v>
      </c>
      <c r="P899" s="131">
        <v>0.9</v>
      </c>
      <c r="Q899" s="305">
        <f>_xlfn.XLOOKUP($I899,Inputs!$G$6:$G$23,Inputs!J$6:J$23)*$K899</f>
        <v>36</v>
      </c>
      <c r="R899" s="305">
        <f>_xlfn.XLOOKUP($I899,Inputs!$G$6:$G$23,Inputs!K$6:K$23)*$K899</f>
        <v>39</v>
      </c>
      <c r="S899" s="151" t="s">
        <v>2489</v>
      </c>
      <c r="T899" s="51" t="s">
        <v>2146</v>
      </c>
      <c r="U899" s="151" t="s">
        <v>1887</v>
      </c>
      <c r="V899" s="51" t="s">
        <v>3521</v>
      </c>
      <c r="W899" s="19"/>
      <c r="X899" s="19"/>
      <c r="Y899" s="99">
        <v>592</v>
      </c>
    </row>
    <row r="900" spans="2:25" s="193" customFormat="1" ht="20" x14ac:dyDescent="0.2">
      <c r="B900" s="150" t="s">
        <v>1150</v>
      </c>
      <c r="C900" s="33" t="s">
        <v>106</v>
      </c>
      <c r="D900" s="33" t="s">
        <v>2876</v>
      </c>
      <c r="E900" s="175">
        <v>1</v>
      </c>
      <c r="F900" s="151" t="s">
        <v>1128</v>
      </c>
      <c r="G900" s="152">
        <v>9</v>
      </c>
      <c r="H900" s="152">
        <v>5.5555555555555554</v>
      </c>
      <c r="I900" s="175">
        <v>69</v>
      </c>
      <c r="J900" s="266">
        <f>_xlfn.XLOOKUP($I900,Inputs!$C$6:$C$23,Inputs!$D$6:$D$23)*$G900</f>
        <v>3.4585714285714286</v>
      </c>
      <c r="K900" s="255"/>
      <c r="L900" s="186">
        <v>245</v>
      </c>
      <c r="M900" s="186">
        <v>325</v>
      </c>
      <c r="N900" s="99">
        <f>(SQRT(3)*L900*$I900)/1000</f>
        <v>29.280318901951869</v>
      </c>
      <c r="O900" s="99">
        <f>(SQRT(3)*M900*$I900)/1000</f>
        <v>38.841239359732072</v>
      </c>
      <c r="P900" s="131">
        <v>0.9</v>
      </c>
      <c r="Q900" s="186">
        <f>N900*$P900</f>
        <v>26.352287011756683</v>
      </c>
      <c r="R900" s="186">
        <f>O900*$P900</f>
        <v>34.957115423758864</v>
      </c>
      <c r="S900" s="151" t="s">
        <v>2290</v>
      </c>
      <c r="T900" s="51" t="s">
        <v>3089</v>
      </c>
      <c r="U900" s="151" t="s">
        <v>2489</v>
      </c>
      <c r="V900" s="51" t="s">
        <v>2146</v>
      </c>
      <c r="W900" s="19"/>
      <c r="X900" s="19"/>
      <c r="Y900" s="99">
        <v>591</v>
      </c>
    </row>
    <row r="901" spans="2:25" s="165" customFormat="1" ht="20" x14ac:dyDescent="0.2">
      <c r="B901" s="230" t="s">
        <v>2711</v>
      </c>
      <c r="C901" s="51" t="s">
        <v>173</v>
      </c>
      <c r="D901" s="33" t="s">
        <v>2876</v>
      </c>
      <c r="E901" s="231">
        <v>1</v>
      </c>
      <c r="F901" s="230" t="s">
        <v>1128</v>
      </c>
      <c r="G901" s="232">
        <v>17.5</v>
      </c>
      <c r="H901" s="232">
        <v>10.802469135802468</v>
      </c>
      <c r="I901" s="231">
        <v>63</v>
      </c>
      <c r="J901" s="266">
        <f>_xlfn.XLOOKUP($I901,Inputs!$C$6:$C$23,Inputs!$D$6:$D$23)*$G901</f>
        <v>6.65</v>
      </c>
      <c r="K901" s="267">
        <f>IF((42.4*(H901)^(-0.6595))&gt;=3,3,(IF(42.4*(H901)^(-0.6595)&lt;=0.5,0.5,(42.4*(H901)^(-0.6595)))))</f>
        <v>3</v>
      </c>
      <c r="L901" s="99"/>
      <c r="M901" s="99"/>
      <c r="N901" s="99"/>
      <c r="O901" s="99"/>
      <c r="P901" s="69"/>
      <c r="Q901" s="305">
        <f>_xlfn.XLOOKUP($I901,Inputs!$G$6:$G$23,Inputs!J$6:J$23)*$K901</f>
        <v>29.767499999999998</v>
      </c>
      <c r="R901" s="305">
        <f>_xlfn.XLOOKUP($I901,Inputs!$G$6:$G$23,Inputs!K$6:K$23)*$K901</f>
        <v>32.532786885245905</v>
      </c>
      <c r="S901" s="230" t="s">
        <v>2713</v>
      </c>
      <c r="T901" s="51" t="s">
        <v>3260</v>
      </c>
      <c r="U901" s="230" t="s">
        <v>2714</v>
      </c>
      <c r="V901" s="179" t="s">
        <v>3712</v>
      </c>
      <c r="W901" s="19"/>
      <c r="X901" s="19" t="s">
        <v>3733</v>
      </c>
      <c r="Y901" s="99">
        <v>1060</v>
      </c>
    </row>
    <row r="902" spans="2:25" s="193" customFormat="1" ht="20" x14ac:dyDescent="0.2">
      <c r="B902" s="150" t="s">
        <v>492</v>
      </c>
      <c r="C902" s="33" t="s">
        <v>106</v>
      </c>
      <c r="D902" s="33" t="s">
        <v>2876</v>
      </c>
      <c r="E902" s="175">
        <v>1</v>
      </c>
      <c r="F902" s="151" t="s">
        <v>1128</v>
      </c>
      <c r="G902" s="152">
        <v>20.3884963</v>
      </c>
      <c r="H902" s="152">
        <v>12.585491543209876</v>
      </c>
      <c r="I902" s="175">
        <v>138</v>
      </c>
      <c r="J902" s="266">
        <f>_xlfn.XLOOKUP($I902,Inputs!$C$6:$C$23,Inputs!$D$6:$D$23)*$G902</f>
        <v>8.839869467214287</v>
      </c>
      <c r="K902" s="255"/>
      <c r="L902" s="186">
        <v>559</v>
      </c>
      <c r="M902" s="186">
        <v>674</v>
      </c>
      <c r="N902" s="99">
        <f t="shared" ref="N902:N946" si="199">(SQRT(3)*L902*$I902)/1000</f>
        <v>133.61386339747833</v>
      </c>
      <c r="O902" s="99">
        <f t="shared" ref="O902:O946" si="200">(SQRT(3)*M902*$I902)/1000</f>
        <v>161.10150971359641</v>
      </c>
      <c r="P902" s="131">
        <v>0.9</v>
      </c>
      <c r="Q902" s="186">
        <f t="shared" ref="Q902:R905" si="201">N902*$P902</f>
        <v>120.2524770577305</v>
      </c>
      <c r="R902" s="186">
        <f t="shared" si="201"/>
        <v>144.99135874223677</v>
      </c>
      <c r="S902" s="151" t="s">
        <v>165</v>
      </c>
      <c r="T902" s="51" t="s">
        <v>3241</v>
      </c>
      <c r="U902" s="151" t="s">
        <v>1888</v>
      </c>
      <c r="V902" s="51" t="s">
        <v>3330</v>
      </c>
      <c r="W902" s="19"/>
      <c r="X902" s="19"/>
      <c r="Y902" s="99">
        <v>259</v>
      </c>
    </row>
    <row r="903" spans="2:25" s="165" customFormat="1" ht="20" x14ac:dyDescent="0.2">
      <c r="B903" s="150" t="s">
        <v>615</v>
      </c>
      <c r="C903" s="33" t="s">
        <v>106</v>
      </c>
      <c r="D903" s="33" t="s">
        <v>2876</v>
      </c>
      <c r="E903" s="175">
        <v>1</v>
      </c>
      <c r="F903" s="151" t="s">
        <v>1128</v>
      </c>
      <c r="G903" s="152">
        <v>30.563568100000001</v>
      </c>
      <c r="H903" s="152">
        <v>18.866400061728395</v>
      </c>
      <c r="I903" s="175">
        <v>230</v>
      </c>
      <c r="J903" s="266">
        <f>_xlfn.XLOOKUP($I903,Inputs!$C$6:$C$23,Inputs!$D$6:$D$23)*$G903</f>
        <v>14.670512688000001</v>
      </c>
      <c r="K903" s="255"/>
      <c r="L903" s="186">
        <v>1055</v>
      </c>
      <c r="M903" s="186">
        <v>1280</v>
      </c>
      <c r="N903" s="99">
        <f t="shared" si="199"/>
        <v>420.282128456588</v>
      </c>
      <c r="O903" s="99">
        <f t="shared" si="200"/>
        <v>509.91575774827737</v>
      </c>
      <c r="P903" s="131">
        <v>0.9</v>
      </c>
      <c r="Q903" s="186">
        <f t="shared" si="201"/>
        <v>378.2539156109292</v>
      </c>
      <c r="R903" s="186">
        <f t="shared" si="201"/>
        <v>458.92418197344966</v>
      </c>
      <c r="S903" s="151" t="s">
        <v>1891</v>
      </c>
      <c r="T903" s="51" t="s">
        <v>3331</v>
      </c>
      <c r="U903" s="151" t="s">
        <v>1888</v>
      </c>
      <c r="V903" s="51" t="s">
        <v>3330</v>
      </c>
      <c r="W903" s="19"/>
      <c r="X903" s="19"/>
      <c r="Y903" s="99">
        <v>473</v>
      </c>
    </row>
    <row r="904" spans="2:25" s="165" customFormat="1" ht="20" x14ac:dyDescent="0.2">
      <c r="B904" s="150" t="s">
        <v>1333</v>
      </c>
      <c r="C904" s="33" t="s">
        <v>106</v>
      </c>
      <c r="D904" s="33" t="s">
        <v>2876</v>
      </c>
      <c r="E904" s="175">
        <v>1</v>
      </c>
      <c r="F904" s="151" t="s">
        <v>1128</v>
      </c>
      <c r="G904" s="152">
        <v>0.1109701</v>
      </c>
      <c r="H904" s="152">
        <v>6.8500061728395054E-2</v>
      </c>
      <c r="I904" s="175">
        <v>69</v>
      </c>
      <c r="J904" s="266">
        <f>_xlfn.XLOOKUP($I904,Inputs!$C$6:$C$23,Inputs!$D$6:$D$23)*$G904</f>
        <v>4.2644224142857144E-2</v>
      </c>
      <c r="K904" s="255"/>
      <c r="L904" s="186">
        <v>265</v>
      </c>
      <c r="M904" s="186">
        <v>441</v>
      </c>
      <c r="N904" s="99">
        <f t="shared" si="199"/>
        <v>31.670549016396919</v>
      </c>
      <c r="O904" s="99">
        <f t="shared" si="200"/>
        <v>52.704574023513366</v>
      </c>
      <c r="P904" s="131">
        <v>0.9</v>
      </c>
      <c r="Q904" s="186">
        <f t="shared" si="201"/>
        <v>28.503494114757228</v>
      </c>
      <c r="R904" s="186">
        <f t="shared" si="201"/>
        <v>47.434116621162033</v>
      </c>
      <c r="S904" s="151" t="s">
        <v>2573</v>
      </c>
      <c r="T904" s="51" t="s">
        <v>2232</v>
      </c>
      <c r="U904" s="151" t="s">
        <v>1959</v>
      </c>
      <c r="V904" s="51" t="s">
        <v>3522</v>
      </c>
      <c r="W904" s="19"/>
      <c r="X904" s="19"/>
      <c r="Y904" s="99">
        <v>905</v>
      </c>
    </row>
    <row r="905" spans="2:25" s="165" customFormat="1" ht="20" x14ac:dyDescent="0.2">
      <c r="B905" s="150" t="s">
        <v>1331</v>
      </c>
      <c r="C905" s="33" t="s">
        <v>106</v>
      </c>
      <c r="D905" s="33" t="s">
        <v>2876</v>
      </c>
      <c r="E905" s="175">
        <v>1</v>
      </c>
      <c r="F905" s="151" t="s">
        <v>1128</v>
      </c>
      <c r="G905" s="152">
        <v>30</v>
      </c>
      <c r="H905" s="152">
        <v>18.518518518518519</v>
      </c>
      <c r="I905" s="175">
        <v>69</v>
      </c>
      <c r="J905" s="266">
        <f>_xlfn.XLOOKUP($I905,Inputs!$C$6:$C$23,Inputs!$D$6:$D$23)*$G905</f>
        <v>11.528571428571428</v>
      </c>
      <c r="K905" s="255"/>
      <c r="L905" s="186">
        <v>265</v>
      </c>
      <c r="M905" s="3">
        <v>441</v>
      </c>
      <c r="N905" s="99">
        <f t="shared" si="199"/>
        <v>31.670549016396919</v>
      </c>
      <c r="O905" s="99">
        <f t="shared" si="200"/>
        <v>52.704574023513366</v>
      </c>
      <c r="P905" s="131">
        <v>0.9</v>
      </c>
      <c r="Q905" s="186">
        <f t="shared" si="201"/>
        <v>28.503494114757228</v>
      </c>
      <c r="R905" s="186">
        <f t="shared" si="201"/>
        <v>47.434116621162033</v>
      </c>
      <c r="S905" s="151" t="s">
        <v>2572</v>
      </c>
      <c r="T905" s="51" t="s">
        <v>2233</v>
      </c>
      <c r="U905" s="151" t="s">
        <v>2573</v>
      </c>
      <c r="V905" s="51" t="s">
        <v>2232</v>
      </c>
      <c r="W905" s="19"/>
      <c r="X905" s="19"/>
      <c r="Y905" s="99">
        <v>904</v>
      </c>
    </row>
    <row r="906" spans="2:25" s="165" customFormat="1" ht="20" x14ac:dyDescent="0.2">
      <c r="B906" s="150" t="s">
        <v>1203</v>
      </c>
      <c r="C906" s="33" t="s">
        <v>106</v>
      </c>
      <c r="D906" s="33" t="s">
        <v>2876</v>
      </c>
      <c r="E906" s="175">
        <v>1</v>
      </c>
      <c r="F906" s="151" t="s">
        <v>1128</v>
      </c>
      <c r="G906" s="152">
        <v>3.5734000000000002E-2</v>
      </c>
      <c r="H906" s="152">
        <v>2.2058024691358025E-2</v>
      </c>
      <c r="I906" s="175">
        <v>69</v>
      </c>
      <c r="J906" s="266">
        <f>_xlfn.XLOOKUP($I906,Inputs!$C$6:$C$23,Inputs!$D$6:$D$23)*$G906</f>
        <v>1.3732065714285716E-2</v>
      </c>
      <c r="K906" s="267">
        <f>IF((42.4*(H906)^(-0.6595))&gt;=3,3,(IF(42.4*(H906)^(-0.6595)&lt;=0.5,0.5,(42.4*(H906)^(-0.6595)))))</f>
        <v>3</v>
      </c>
      <c r="L906" s="99"/>
      <c r="M906" s="99"/>
      <c r="N906" s="99">
        <f t="shared" si="199"/>
        <v>0</v>
      </c>
      <c r="O906" s="99">
        <f t="shared" si="200"/>
        <v>0</v>
      </c>
      <c r="P906" s="131">
        <v>0.9</v>
      </c>
      <c r="Q906" s="305">
        <f>_xlfn.XLOOKUP($I906,Inputs!$G$6:$G$23,Inputs!J$6:J$23)*$K906</f>
        <v>36</v>
      </c>
      <c r="R906" s="305">
        <f>_xlfn.XLOOKUP($I906,Inputs!$G$6:$G$23,Inputs!K$6:K$23)*$K906</f>
        <v>39</v>
      </c>
      <c r="S906" s="151" t="s">
        <v>2508</v>
      </c>
      <c r="T906" s="51" t="s">
        <v>2166</v>
      </c>
      <c r="U906" s="151" t="s">
        <v>1889</v>
      </c>
      <c r="V906" s="51" t="s">
        <v>3523</v>
      </c>
      <c r="W906" s="19"/>
      <c r="X906" s="19"/>
      <c r="Y906" s="99">
        <v>674</v>
      </c>
    </row>
    <row r="907" spans="2:25" s="165" customFormat="1" ht="20" x14ac:dyDescent="0.2">
      <c r="B907" s="150" t="s">
        <v>1206</v>
      </c>
      <c r="C907" s="33" t="s">
        <v>106</v>
      </c>
      <c r="D907" s="33" t="s">
        <v>2876</v>
      </c>
      <c r="E907" s="175">
        <v>1</v>
      </c>
      <c r="F907" s="151" t="s">
        <v>1128</v>
      </c>
      <c r="G907" s="152">
        <v>6.750239999999999E-2</v>
      </c>
      <c r="H907" s="152">
        <v>4.1668148148148142E-2</v>
      </c>
      <c r="I907" s="175">
        <v>69</v>
      </c>
      <c r="J907" s="266">
        <f>_xlfn.XLOOKUP($I907,Inputs!$C$6:$C$23,Inputs!$D$6:$D$23)*$G907</f>
        <v>2.5940207999999996E-2</v>
      </c>
      <c r="K907" s="267">
        <f>IF((42.4*(H907)^(-0.6595))&gt;=3,3,(IF(42.4*(H907)^(-0.6595)&lt;=0.5,0.5,(42.4*(H907)^(-0.6595)))))</f>
        <v>3</v>
      </c>
      <c r="L907" s="99"/>
      <c r="M907" s="99"/>
      <c r="N907" s="99">
        <f t="shared" si="199"/>
        <v>0</v>
      </c>
      <c r="O907" s="99">
        <f t="shared" si="200"/>
        <v>0</v>
      </c>
      <c r="P907" s="131">
        <v>0.9</v>
      </c>
      <c r="Q907" s="305">
        <f>_xlfn.XLOOKUP($I907,Inputs!$G$6:$G$23,Inputs!J$6:J$23)*$K907</f>
        <v>36</v>
      </c>
      <c r="R907" s="305">
        <f>_xlfn.XLOOKUP($I907,Inputs!$G$6:$G$23,Inputs!K$6:K$23)*$K907</f>
        <v>39</v>
      </c>
      <c r="S907" s="151" t="s">
        <v>2508</v>
      </c>
      <c r="T907" s="51" t="s">
        <v>2166</v>
      </c>
      <c r="U907" s="151" t="s">
        <v>1889</v>
      </c>
      <c r="V907" s="51" t="s">
        <v>3523</v>
      </c>
      <c r="W907" s="19"/>
      <c r="X907" s="19"/>
      <c r="Y907" s="99">
        <v>679</v>
      </c>
    </row>
    <row r="908" spans="2:25" s="165" customFormat="1" ht="20" x14ac:dyDescent="0.2">
      <c r="B908" s="150" t="s">
        <v>1202</v>
      </c>
      <c r="C908" s="33" t="s">
        <v>106</v>
      </c>
      <c r="D908" s="33" t="s">
        <v>2876</v>
      </c>
      <c r="E908" s="175">
        <v>1</v>
      </c>
      <c r="F908" s="151" t="s">
        <v>1128</v>
      </c>
      <c r="G908" s="152">
        <v>20</v>
      </c>
      <c r="H908" s="152">
        <v>12.345679012345679</v>
      </c>
      <c r="I908" s="175">
        <v>69</v>
      </c>
      <c r="J908" s="266">
        <f>_xlfn.XLOOKUP($I908,Inputs!$C$6:$C$23,Inputs!$D$6:$D$23)*$G908</f>
        <v>7.6857142857142859</v>
      </c>
      <c r="K908" s="255"/>
      <c r="L908" s="186">
        <v>730</v>
      </c>
      <c r="M908" s="186">
        <v>940</v>
      </c>
      <c r="N908" s="99">
        <f t="shared" si="199"/>
        <v>87.243399177244342</v>
      </c>
      <c r="O908" s="99">
        <f t="shared" si="200"/>
        <v>112.34081537891738</v>
      </c>
      <c r="P908" s="131">
        <v>0.9</v>
      </c>
      <c r="Q908" s="186">
        <f t="shared" ref="Q908:Q919" si="202">N908*$P908</f>
        <v>78.519059259519906</v>
      </c>
      <c r="R908" s="186">
        <f t="shared" ref="R908:R919" si="203">O908*$P908</f>
        <v>101.10673384102564</v>
      </c>
      <c r="S908" s="151" t="s">
        <v>2507</v>
      </c>
      <c r="T908" s="51" t="s">
        <v>2167</v>
      </c>
      <c r="U908" s="151" t="s">
        <v>2508</v>
      </c>
      <c r="V908" s="51" t="s">
        <v>2166</v>
      </c>
      <c r="W908" s="19"/>
      <c r="X908" s="19"/>
      <c r="Y908" s="99">
        <v>673</v>
      </c>
    </row>
    <row r="909" spans="2:25" s="165" customFormat="1" ht="20" x14ac:dyDescent="0.2">
      <c r="B909" s="150" t="s">
        <v>1205</v>
      </c>
      <c r="C909" s="33" t="s">
        <v>106</v>
      </c>
      <c r="D909" s="33" t="s">
        <v>2876</v>
      </c>
      <c r="E909" s="175">
        <v>1</v>
      </c>
      <c r="F909" s="151" t="s">
        <v>1128</v>
      </c>
      <c r="G909" s="152">
        <v>20</v>
      </c>
      <c r="H909" s="152">
        <v>12.345679012345679</v>
      </c>
      <c r="I909" s="175">
        <v>69</v>
      </c>
      <c r="J909" s="266">
        <f>_xlfn.XLOOKUP($I909,Inputs!$C$6:$C$23,Inputs!$D$6:$D$23)*$G909</f>
        <v>7.6857142857142859</v>
      </c>
      <c r="K909" s="255"/>
      <c r="L909" s="186">
        <v>750</v>
      </c>
      <c r="M909" s="3">
        <v>960</v>
      </c>
      <c r="N909" s="99">
        <f t="shared" si="199"/>
        <v>89.633629291689402</v>
      </c>
      <c r="O909" s="99">
        <f t="shared" si="200"/>
        <v>114.73104549336242</v>
      </c>
      <c r="P909" s="131">
        <v>0.9</v>
      </c>
      <c r="Q909" s="186">
        <f t="shared" si="202"/>
        <v>80.670266362520465</v>
      </c>
      <c r="R909" s="186">
        <f t="shared" si="203"/>
        <v>103.25794094402617</v>
      </c>
      <c r="S909" s="151" t="s">
        <v>2507</v>
      </c>
      <c r="T909" s="51" t="s">
        <v>2167</v>
      </c>
      <c r="U909" s="151" t="s">
        <v>2508</v>
      </c>
      <c r="V909" s="51" t="s">
        <v>2166</v>
      </c>
      <c r="W909" s="19"/>
      <c r="X909" s="19"/>
      <c r="Y909" s="99">
        <v>678</v>
      </c>
    </row>
    <row r="910" spans="2:25" ht="20" x14ac:dyDescent="0.2">
      <c r="B910" s="150" t="s">
        <v>614</v>
      </c>
      <c r="C910" s="33" t="s">
        <v>106</v>
      </c>
      <c r="D910" s="33" t="s">
        <v>2876</v>
      </c>
      <c r="E910" s="175">
        <v>1</v>
      </c>
      <c r="F910" s="151" t="s">
        <v>1128</v>
      </c>
      <c r="G910" s="152">
        <v>51.338385099999996</v>
      </c>
      <c r="H910" s="152">
        <v>31.690361172839502</v>
      </c>
      <c r="I910" s="175">
        <v>230</v>
      </c>
      <c r="J910" s="266">
        <f>_xlfn.XLOOKUP($I910,Inputs!$C$6:$C$23,Inputs!$D$6:$D$23)*$G910</f>
        <v>24.642424847999997</v>
      </c>
      <c r="K910" s="255"/>
      <c r="L910" s="186">
        <v>1055</v>
      </c>
      <c r="M910" s="186">
        <v>1280</v>
      </c>
      <c r="N910" s="99">
        <f t="shared" si="199"/>
        <v>420.282128456588</v>
      </c>
      <c r="O910" s="99">
        <f t="shared" si="200"/>
        <v>509.91575774827737</v>
      </c>
      <c r="P910" s="131">
        <v>0.9</v>
      </c>
      <c r="Q910" s="186">
        <f t="shared" si="202"/>
        <v>378.2539156109292</v>
      </c>
      <c r="R910" s="186">
        <f t="shared" si="203"/>
        <v>458.92418197344966</v>
      </c>
      <c r="S910" s="151" t="s">
        <v>1649</v>
      </c>
      <c r="T910" s="51" t="s">
        <v>3243</v>
      </c>
      <c r="U910" s="151" t="s">
        <v>1891</v>
      </c>
      <c r="V910" s="51" t="s">
        <v>3331</v>
      </c>
      <c r="W910" s="19"/>
      <c r="X910" s="19"/>
      <c r="Y910" s="99">
        <v>472</v>
      </c>
    </row>
    <row r="911" spans="2:25" ht="20" x14ac:dyDescent="0.2">
      <c r="B911" s="150" t="s">
        <v>1260</v>
      </c>
      <c r="C911" s="33" t="s">
        <v>106</v>
      </c>
      <c r="D911" s="33" t="s">
        <v>2876</v>
      </c>
      <c r="E911" s="175">
        <v>1</v>
      </c>
      <c r="F911" s="151" t="s">
        <v>1128</v>
      </c>
      <c r="G911" s="152">
        <v>8.8912067999999991</v>
      </c>
      <c r="H911" s="152">
        <v>5.4883992592592588</v>
      </c>
      <c r="I911" s="175">
        <v>69</v>
      </c>
      <c r="J911" s="266">
        <f>_xlfn.XLOOKUP($I911,Inputs!$C$6:$C$23,Inputs!$D$6:$D$23)*$G911</f>
        <v>3.4167637559999995</v>
      </c>
      <c r="K911" s="255"/>
      <c r="L911" s="186">
        <v>635</v>
      </c>
      <c r="M911" s="186">
        <v>815</v>
      </c>
      <c r="N911" s="99">
        <f t="shared" si="199"/>
        <v>75.889806133630344</v>
      </c>
      <c r="O911" s="99">
        <f t="shared" si="200"/>
        <v>97.401877163635803</v>
      </c>
      <c r="P911" s="131">
        <v>0.9</v>
      </c>
      <c r="Q911" s="186">
        <f t="shared" si="202"/>
        <v>68.30082552026731</v>
      </c>
      <c r="R911" s="186">
        <f t="shared" si="203"/>
        <v>87.661689447272224</v>
      </c>
      <c r="S911" s="151" t="s">
        <v>1756</v>
      </c>
      <c r="T911" s="51" t="s">
        <v>3283</v>
      </c>
      <c r="U911" s="151" t="s">
        <v>1892</v>
      </c>
      <c r="V911" s="51" t="s">
        <v>3467</v>
      </c>
      <c r="W911" s="19"/>
      <c r="X911" s="19"/>
      <c r="Y911" s="99">
        <v>776</v>
      </c>
    </row>
    <row r="912" spans="2:25" ht="20" x14ac:dyDescent="0.2">
      <c r="B912" s="150" t="s">
        <v>1262</v>
      </c>
      <c r="C912" s="33" t="s">
        <v>106</v>
      </c>
      <c r="D912" s="33" t="s">
        <v>2876</v>
      </c>
      <c r="E912" s="175">
        <v>1</v>
      </c>
      <c r="F912" s="151" t="s">
        <v>1128</v>
      </c>
      <c r="G912" s="152">
        <v>8.8740953999999999</v>
      </c>
      <c r="H912" s="152">
        <v>5.4778366666666658</v>
      </c>
      <c r="I912" s="175">
        <v>69</v>
      </c>
      <c r="J912" s="266">
        <f>_xlfn.XLOOKUP($I912,Inputs!$C$6:$C$23,Inputs!$D$6:$D$23)*$G912</f>
        <v>3.4101880894285714</v>
      </c>
      <c r="K912" s="255"/>
      <c r="L912" s="186">
        <v>645</v>
      </c>
      <c r="M912" s="186">
        <v>820</v>
      </c>
      <c r="N912" s="99">
        <f t="shared" si="199"/>
        <v>77.084921190852882</v>
      </c>
      <c r="O912" s="99">
        <f t="shared" si="200"/>
        <v>97.999434692247078</v>
      </c>
      <c r="P912" s="131">
        <v>0.9</v>
      </c>
      <c r="Q912" s="186">
        <f t="shared" si="202"/>
        <v>69.376429071767589</v>
      </c>
      <c r="R912" s="186">
        <f t="shared" si="203"/>
        <v>88.199491223022378</v>
      </c>
      <c r="S912" s="151" t="s">
        <v>1756</v>
      </c>
      <c r="T912" s="51" t="s">
        <v>3283</v>
      </c>
      <c r="U912" s="151" t="s">
        <v>1892</v>
      </c>
      <c r="V912" s="51" t="s">
        <v>3467</v>
      </c>
      <c r="W912" s="19"/>
      <c r="X912" s="19"/>
      <c r="Y912" s="99">
        <v>778</v>
      </c>
    </row>
    <row r="913" spans="2:25" ht="20" x14ac:dyDescent="0.2">
      <c r="B913" s="150" t="s">
        <v>1422</v>
      </c>
      <c r="C913" s="33" t="s">
        <v>106</v>
      </c>
      <c r="D913" s="33" t="s">
        <v>2876</v>
      </c>
      <c r="E913" s="175">
        <v>1</v>
      </c>
      <c r="F913" s="151" t="s">
        <v>1128</v>
      </c>
      <c r="G913" s="152">
        <v>2.5012658999999999</v>
      </c>
      <c r="H913" s="152">
        <v>1.5439912962962961</v>
      </c>
      <c r="I913" s="175">
        <v>138</v>
      </c>
      <c r="J913" s="266">
        <f>_xlfn.XLOOKUP($I913,Inputs!$C$6:$C$23,Inputs!$D$6:$D$23)*$G913</f>
        <v>1.0844774295000001</v>
      </c>
      <c r="K913" s="255"/>
      <c r="L913" s="186">
        <v>850</v>
      </c>
      <c r="M913" s="186">
        <v>1090</v>
      </c>
      <c r="N913" s="99">
        <f t="shared" si="199"/>
        <v>203.1695597278293</v>
      </c>
      <c r="O913" s="99">
        <f t="shared" si="200"/>
        <v>260.53508247451049</v>
      </c>
      <c r="P913" s="131">
        <v>0.9</v>
      </c>
      <c r="Q913" s="186">
        <f t="shared" si="202"/>
        <v>182.85260375504637</v>
      </c>
      <c r="R913" s="186">
        <f t="shared" si="203"/>
        <v>234.48157422705944</v>
      </c>
      <c r="S913" s="151" t="s">
        <v>2413</v>
      </c>
      <c r="T913" s="51" t="s">
        <v>2064</v>
      </c>
      <c r="U913" s="151" t="s">
        <v>1894</v>
      </c>
      <c r="V913" s="51" t="s">
        <v>3525</v>
      </c>
      <c r="W913" s="19"/>
      <c r="X913" s="19"/>
      <c r="Y913" s="99">
        <v>153</v>
      </c>
    </row>
    <row r="914" spans="2:25" ht="20" x14ac:dyDescent="0.2">
      <c r="B914" s="150" t="s">
        <v>464</v>
      </c>
      <c r="C914" s="33" t="s">
        <v>106</v>
      </c>
      <c r="D914" s="33" t="s">
        <v>2876</v>
      </c>
      <c r="E914" s="175">
        <v>1</v>
      </c>
      <c r="F914" s="151" t="s">
        <v>1128</v>
      </c>
      <c r="G914" s="152">
        <v>22</v>
      </c>
      <c r="H914" s="152">
        <v>13.580246913580247</v>
      </c>
      <c r="I914" s="175">
        <v>138</v>
      </c>
      <c r="J914" s="266">
        <f>_xlfn.XLOOKUP($I914,Inputs!$C$6:$C$23,Inputs!$D$6:$D$23)*$G914</f>
        <v>9.53857142857143</v>
      </c>
      <c r="K914" s="255"/>
      <c r="L914" s="186">
        <v>850</v>
      </c>
      <c r="M914" s="186">
        <v>1033</v>
      </c>
      <c r="N914" s="99">
        <f t="shared" si="199"/>
        <v>203.1695597278293</v>
      </c>
      <c r="O914" s="99">
        <f t="shared" si="200"/>
        <v>246.9107708221737</v>
      </c>
      <c r="P914" s="131">
        <v>0.9</v>
      </c>
      <c r="Q914" s="186">
        <f t="shared" si="202"/>
        <v>182.85260375504637</v>
      </c>
      <c r="R914" s="186">
        <f t="shared" si="203"/>
        <v>222.21969373995634</v>
      </c>
      <c r="S914" s="151" t="s">
        <v>2310</v>
      </c>
      <c r="T914" s="51" t="s">
        <v>3722</v>
      </c>
      <c r="U914" s="151" t="s">
        <v>2413</v>
      </c>
      <c r="V914" s="51" t="s">
        <v>2064</v>
      </c>
      <c r="W914" s="19"/>
      <c r="X914" s="19"/>
      <c r="Y914" s="99">
        <v>152</v>
      </c>
    </row>
    <row r="915" spans="2:25" ht="20" x14ac:dyDescent="0.2">
      <c r="B915" s="150" t="s">
        <v>1309</v>
      </c>
      <c r="C915" s="33" t="s">
        <v>106</v>
      </c>
      <c r="D915" s="33" t="s">
        <v>2876</v>
      </c>
      <c r="E915" s="175">
        <v>1</v>
      </c>
      <c r="F915" s="151" t="s">
        <v>1128</v>
      </c>
      <c r="G915" s="152">
        <v>0.34484239999999999</v>
      </c>
      <c r="H915" s="152">
        <v>0.21286567901234565</v>
      </c>
      <c r="I915" s="175">
        <v>69</v>
      </c>
      <c r="J915" s="266">
        <f>_xlfn.XLOOKUP($I915,Inputs!$C$6:$C$23,Inputs!$D$6:$D$23)*$G915</f>
        <v>0.13251800799999999</v>
      </c>
      <c r="K915" s="255"/>
      <c r="L915" s="186">
        <v>435</v>
      </c>
      <c r="M915" s="186">
        <v>822</v>
      </c>
      <c r="N915" s="99">
        <f t="shared" si="199"/>
        <v>51.987504989179847</v>
      </c>
      <c r="O915" s="99">
        <f t="shared" si="200"/>
        <v>98.238457703691566</v>
      </c>
      <c r="P915" s="131">
        <v>0.9</v>
      </c>
      <c r="Q915" s="186">
        <f t="shared" si="202"/>
        <v>46.788754490261866</v>
      </c>
      <c r="R915" s="186">
        <f t="shared" si="203"/>
        <v>88.414611933322405</v>
      </c>
      <c r="S915" s="151" t="s">
        <v>2558</v>
      </c>
      <c r="T915" s="51" t="s">
        <v>2215</v>
      </c>
      <c r="U915" s="151" t="s">
        <v>179</v>
      </c>
      <c r="V915" s="51" t="s">
        <v>3491</v>
      </c>
      <c r="W915" s="19"/>
      <c r="X915" s="19"/>
      <c r="Y915" s="99">
        <v>860</v>
      </c>
    </row>
    <row r="916" spans="2:25" ht="20" x14ac:dyDescent="0.2">
      <c r="B916" s="150" t="s">
        <v>1315</v>
      </c>
      <c r="C916" s="33" t="s">
        <v>106</v>
      </c>
      <c r="D916" s="33" t="s">
        <v>2876</v>
      </c>
      <c r="E916" s="175">
        <v>1</v>
      </c>
      <c r="F916" s="151" t="s">
        <v>1128</v>
      </c>
      <c r="G916" s="152">
        <v>4.2180014000000003</v>
      </c>
      <c r="H916" s="152">
        <v>2.6037045679012345</v>
      </c>
      <c r="I916" s="175">
        <v>69</v>
      </c>
      <c r="J916" s="266">
        <f>_xlfn.XLOOKUP($I916,Inputs!$C$6:$C$23,Inputs!$D$6:$D$23)*$G916</f>
        <v>1.6209176808571431</v>
      </c>
      <c r="K916" s="255"/>
      <c r="L916" s="186">
        <v>435</v>
      </c>
      <c r="M916" s="186">
        <v>822</v>
      </c>
      <c r="N916" s="99">
        <f t="shared" si="199"/>
        <v>51.987504989179847</v>
      </c>
      <c r="O916" s="99">
        <f t="shared" si="200"/>
        <v>98.238457703691566</v>
      </c>
      <c r="P916" s="131">
        <v>0.9</v>
      </c>
      <c r="Q916" s="186">
        <f t="shared" si="202"/>
        <v>46.788754490261866</v>
      </c>
      <c r="R916" s="186">
        <f t="shared" si="203"/>
        <v>88.414611933322405</v>
      </c>
      <c r="S916" s="151" t="s">
        <v>1819</v>
      </c>
      <c r="T916" s="51" t="s">
        <v>3299</v>
      </c>
      <c r="U916" s="151" t="s">
        <v>179</v>
      </c>
      <c r="V916" s="51" t="s">
        <v>3491</v>
      </c>
      <c r="W916" s="19"/>
      <c r="X916" s="19"/>
      <c r="Y916" s="99">
        <v>869</v>
      </c>
    </row>
    <row r="917" spans="2:25" ht="20" x14ac:dyDescent="0.2">
      <c r="B917" s="150" t="s">
        <v>1308</v>
      </c>
      <c r="C917" s="33" t="s">
        <v>106</v>
      </c>
      <c r="D917" s="33" t="s">
        <v>2876</v>
      </c>
      <c r="E917" s="175">
        <v>1</v>
      </c>
      <c r="F917" s="151" t="s">
        <v>1128</v>
      </c>
      <c r="G917" s="152">
        <v>28.93</v>
      </c>
      <c r="H917" s="152">
        <v>17.858024691358022</v>
      </c>
      <c r="I917" s="175">
        <v>69</v>
      </c>
      <c r="J917" s="266">
        <f>_xlfn.XLOOKUP($I917,Inputs!$C$6:$C$23,Inputs!$D$6:$D$23)*$G917</f>
        <v>11.117385714285714</v>
      </c>
      <c r="K917" s="255"/>
      <c r="L917" s="186">
        <v>435</v>
      </c>
      <c r="M917" s="186">
        <v>822</v>
      </c>
      <c r="N917" s="99">
        <f t="shared" si="199"/>
        <v>51.987504989179847</v>
      </c>
      <c r="O917" s="99">
        <f t="shared" si="200"/>
        <v>98.238457703691566</v>
      </c>
      <c r="P917" s="131">
        <v>0.9</v>
      </c>
      <c r="Q917" s="186">
        <f t="shared" si="202"/>
        <v>46.788754490261866</v>
      </c>
      <c r="R917" s="186">
        <f t="shared" si="203"/>
        <v>88.414611933322405</v>
      </c>
      <c r="S917" s="151" t="s">
        <v>1681</v>
      </c>
      <c r="T917" s="51" t="s">
        <v>3250</v>
      </c>
      <c r="U917" s="151" t="s">
        <v>2558</v>
      </c>
      <c r="V917" s="51" t="s">
        <v>2215</v>
      </c>
      <c r="W917" s="19"/>
      <c r="X917" s="19"/>
      <c r="Y917" s="99">
        <v>859</v>
      </c>
    </row>
    <row r="918" spans="2:25" ht="20" x14ac:dyDescent="0.2">
      <c r="B918" s="150" t="s">
        <v>546</v>
      </c>
      <c r="C918" s="33" t="s">
        <v>106</v>
      </c>
      <c r="D918" s="33" t="s">
        <v>2876</v>
      </c>
      <c r="E918" s="175">
        <v>1</v>
      </c>
      <c r="F918" s="151" t="s">
        <v>1128</v>
      </c>
      <c r="G918" s="152">
        <v>5.9992681000000001</v>
      </c>
      <c r="H918" s="152">
        <v>3.7032519135802469</v>
      </c>
      <c r="I918" s="175">
        <v>230</v>
      </c>
      <c r="J918" s="266">
        <f>_xlfn.XLOOKUP($I918,Inputs!$C$6:$C$23,Inputs!$D$6:$D$23)*$G918</f>
        <v>2.8796486880000001</v>
      </c>
      <c r="K918" s="255"/>
      <c r="L918" s="186">
        <v>665</v>
      </c>
      <c r="M918" s="186">
        <v>825</v>
      </c>
      <c r="N918" s="99">
        <f t="shared" si="199"/>
        <v>264.91717101765977</v>
      </c>
      <c r="O918" s="99">
        <f t="shared" si="200"/>
        <v>328.65664073619445</v>
      </c>
      <c r="P918" s="131">
        <v>0.9</v>
      </c>
      <c r="Q918" s="186">
        <f t="shared" si="202"/>
        <v>238.4254539158938</v>
      </c>
      <c r="R918" s="186">
        <f t="shared" si="203"/>
        <v>295.79097666257502</v>
      </c>
      <c r="S918" s="151" t="s">
        <v>1638</v>
      </c>
      <c r="T918" s="51" t="s">
        <v>3211</v>
      </c>
      <c r="U918" s="151" t="s">
        <v>1895</v>
      </c>
      <c r="V918" s="51" t="s">
        <v>3332</v>
      </c>
      <c r="W918" s="19"/>
      <c r="X918" s="19"/>
      <c r="Y918" s="99">
        <v>388</v>
      </c>
    </row>
    <row r="919" spans="2:25" ht="20" x14ac:dyDescent="0.2">
      <c r="B919" s="150" t="s">
        <v>562</v>
      </c>
      <c r="C919" s="33" t="s">
        <v>106</v>
      </c>
      <c r="D919" s="33" t="s">
        <v>2876</v>
      </c>
      <c r="E919" s="175">
        <v>1</v>
      </c>
      <c r="F919" s="151" t="s">
        <v>1128</v>
      </c>
      <c r="G919" s="152">
        <v>7.9070717999999998</v>
      </c>
      <c r="H919" s="152">
        <v>4.8809085185185177</v>
      </c>
      <c r="I919" s="175">
        <v>230</v>
      </c>
      <c r="J919" s="266">
        <f>_xlfn.XLOOKUP($I919,Inputs!$C$6:$C$23,Inputs!$D$6:$D$23)*$G919</f>
        <v>3.7953944639999997</v>
      </c>
      <c r="K919" s="255"/>
      <c r="L919" s="186">
        <v>605</v>
      </c>
      <c r="M919" s="186">
        <v>765</v>
      </c>
      <c r="N919" s="99">
        <f t="shared" si="199"/>
        <v>241.01486987320925</v>
      </c>
      <c r="O919" s="99">
        <f t="shared" si="200"/>
        <v>304.75433959174393</v>
      </c>
      <c r="P919" s="131">
        <v>0.9</v>
      </c>
      <c r="Q919" s="186">
        <f t="shared" si="202"/>
        <v>216.91338288588832</v>
      </c>
      <c r="R919" s="186">
        <f t="shared" si="203"/>
        <v>274.27890563256955</v>
      </c>
      <c r="S919" s="151" t="s">
        <v>1750</v>
      </c>
      <c r="T919" s="51" t="s">
        <v>3280</v>
      </c>
      <c r="U919" s="151" t="s">
        <v>1895</v>
      </c>
      <c r="V919" s="51" t="s">
        <v>3332</v>
      </c>
      <c r="W919" s="19"/>
      <c r="X919" s="19"/>
      <c r="Y919" s="99">
        <v>411</v>
      </c>
    </row>
    <row r="920" spans="2:25" ht="20" x14ac:dyDescent="0.2">
      <c r="B920" s="150" t="s">
        <v>1172</v>
      </c>
      <c r="C920" s="33" t="s">
        <v>106</v>
      </c>
      <c r="D920" s="33" t="s">
        <v>2876</v>
      </c>
      <c r="E920" s="175">
        <v>1</v>
      </c>
      <c r="F920" s="151" t="s">
        <v>1128</v>
      </c>
      <c r="G920" s="152">
        <v>6.9430605999999999</v>
      </c>
      <c r="H920" s="152">
        <v>4.2858398765432097</v>
      </c>
      <c r="I920" s="175">
        <v>69</v>
      </c>
      <c r="J920" s="266">
        <f>_xlfn.XLOOKUP($I920,Inputs!$C$6:$C$23,Inputs!$D$6:$D$23)*$G920</f>
        <v>2.6681190020000001</v>
      </c>
      <c r="K920" s="267">
        <f>IF((42.4*(H920)^(-0.6595))&gt;=3,3,(IF(42.4*(H920)^(-0.6595)&lt;=0.5,0.5,(42.4*(H920)^(-0.6595)))))</f>
        <v>3</v>
      </c>
      <c r="L920" s="99"/>
      <c r="M920" s="99"/>
      <c r="N920" s="99">
        <f t="shared" si="199"/>
        <v>0</v>
      </c>
      <c r="O920" s="99">
        <f t="shared" si="200"/>
        <v>0</v>
      </c>
      <c r="P920" s="131">
        <v>0.9</v>
      </c>
      <c r="Q920" s="305">
        <f>_xlfn.XLOOKUP($I920,Inputs!$G$6:$G$23,Inputs!J$6:J$23)*$K920</f>
        <v>36</v>
      </c>
      <c r="R920" s="305">
        <f>_xlfn.XLOOKUP($I920,Inputs!$G$6:$G$23,Inputs!K$6:K$23)*$K920</f>
        <v>39</v>
      </c>
      <c r="S920" s="151" t="s">
        <v>1798</v>
      </c>
      <c r="T920" s="51" t="s">
        <v>3294</v>
      </c>
      <c r="U920" s="151" t="s">
        <v>1895</v>
      </c>
      <c r="V920" s="51" t="s">
        <v>3332</v>
      </c>
      <c r="W920" s="19"/>
      <c r="X920" s="19"/>
      <c r="Y920" s="99">
        <v>626</v>
      </c>
    </row>
    <row r="921" spans="2:25" ht="20" x14ac:dyDescent="0.2">
      <c r="B921" s="150" t="s">
        <v>1174</v>
      </c>
      <c r="C921" s="33" t="s">
        <v>106</v>
      </c>
      <c r="D921" s="33" t="s">
        <v>2876</v>
      </c>
      <c r="E921" s="175">
        <v>1</v>
      </c>
      <c r="F921" s="151" t="s">
        <v>1128</v>
      </c>
      <c r="G921" s="152">
        <v>7.9666953000000005</v>
      </c>
      <c r="H921" s="152">
        <v>4.917713148148148</v>
      </c>
      <c r="I921" s="175">
        <v>69</v>
      </c>
      <c r="J921" s="266">
        <f>_xlfn.XLOOKUP($I921,Inputs!$C$6:$C$23,Inputs!$D$6:$D$23)*$G921</f>
        <v>3.0614871938571429</v>
      </c>
      <c r="K921" s="255"/>
      <c r="L921" s="186">
        <v>710</v>
      </c>
      <c r="M921" s="186">
        <v>755</v>
      </c>
      <c r="N921" s="99">
        <f t="shared" si="199"/>
        <v>84.853169062799296</v>
      </c>
      <c r="O921" s="99">
        <f t="shared" si="200"/>
        <v>90.23118682030065</v>
      </c>
      <c r="P921" s="131">
        <v>0.9</v>
      </c>
      <c r="Q921" s="186">
        <f t="shared" ref="Q921:R927" si="204">N921*$P921</f>
        <v>76.367852156519362</v>
      </c>
      <c r="R921" s="186">
        <f t="shared" si="204"/>
        <v>81.20806813827059</v>
      </c>
      <c r="S921" s="151" t="s">
        <v>1749</v>
      </c>
      <c r="T921" s="51" t="s">
        <v>3279</v>
      </c>
      <c r="U921" s="151" t="s">
        <v>1895</v>
      </c>
      <c r="V921" s="51" t="s">
        <v>3332</v>
      </c>
      <c r="W921" s="19"/>
      <c r="X921" s="19"/>
      <c r="Y921" s="99">
        <v>628</v>
      </c>
    </row>
    <row r="922" spans="2:25" ht="20" x14ac:dyDescent="0.2">
      <c r="B922" s="150" t="s">
        <v>1175</v>
      </c>
      <c r="C922" s="33" t="s">
        <v>106</v>
      </c>
      <c r="D922" s="33" t="s">
        <v>2876</v>
      </c>
      <c r="E922" s="175">
        <v>1</v>
      </c>
      <c r="F922" s="151" t="s">
        <v>1128</v>
      </c>
      <c r="G922" s="152">
        <v>2.7401896999999997</v>
      </c>
      <c r="H922" s="152">
        <v>1.6914751234567897</v>
      </c>
      <c r="I922" s="175">
        <v>69</v>
      </c>
      <c r="J922" s="266">
        <f>_xlfn.XLOOKUP($I922,Inputs!$C$6:$C$23,Inputs!$D$6:$D$23)*$G922</f>
        <v>1.053015756142857</v>
      </c>
      <c r="K922" s="255"/>
      <c r="L922" s="186">
        <v>670</v>
      </c>
      <c r="M922" s="186">
        <v>715</v>
      </c>
      <c r="N922" s="99">
        <f t="shared" si="199"/>
        <v>80.072708833909189</v>
      </c>
      <c r="O922" s="99">
        <f t="shared" si="200"/>
        <v>85.450726591410572</v>
      </c>
      <c r="P922" s="131">
        <v>0.9</v>
      </c>
      <c r="Q922" s="186">
        <f t="shared" si="204"/>
        <v>72.065437950518273</v>
      </c>
      <c r="R922" s="186">
        <f t="shared" si="204"/>
        <v>76.905653932269516</v>
      </c>
      <c r="S922" s="151" t="s">
        <v>1693</v>
      </c>
      <c r="T922" s="51" t="s">
        <v>3252</v>
      </c>
      <c r="U922" s="151" t="s">
        <v>1895</v>
      </c>
      <c r="V922" s="51" t="s">
        <v>3332</v>
      </c>
      <c r="W922" s="19"/>
      <c r="X922" s="19"/>
      <c r="Y922" s="99">
        <v>629</v>
      </c>
    </row>
    <row r="923" spans="2:25" ht="20" x14ac:dyDescent="0.2">
      <c r="B923" s="150" t="s">
        <v>1323</v>
      </c>
      <c r="C923" s="33" t="s">
        <v>106</v>
      </c>
      <c r="D923" s="33" t="s">
        <v>2876</v>
      </c>
      <c r="E923" s="175">
        <v>1</v>
      </c>
      <c r="F923" s="151" t="s">
        <v>1128</v>
      </c>
      <c r="G923" s="152">
        <v>0.35</v>
      </c>
      <c r="H923" s="152">
        <v>0.21604938271604934</v>
      </c>
      <c r="I923" s="175">
        <v>69</v>
      </c>
      <c r="J923" s="266">
        <f>_xlfn.XLOOKUP($I923,Inputs!$C$6:$C$23,Inputs!$D$6:$D$23)*$G923</f>
        <v>0.13449999999999998</v>
      </c>
      <c r="K923" s="255"/>
      <c r="L923" s="186">
        <v>545</v>
      </c>
      <c r="M923" s="186">
        <v>1041</v>
      </c>
      <c r="N923" s="99">
        <f t="shared" si="199"/>
        <v>65.133770618627622</v>
      </c>
      <c r="O923" s="99">
        <f t="shared" si="200"/>
        <v>124.41147745686489</v>
      </c>
      <c r="P923" s="131">
        <v>0.9</v>
      </c>
      <c r="Q923" s="186">
        <f t="shared" si="204"/>
        <v>58.62039355676486</v>
      </c>
      <c r="R923" s="186">
        <f t="shared" si="204"/>
        <v>111.97032971117839</v>
      </c>
      <c r="S923" s="151" t="s">
        <v>2567</v>
      </c>
      <c r="T923" s="51" t="s">
        <v>2226</v>
      </c>
      <c r="U923" s="151" t="s">
        <v>1896</v>
      </c>
      <c r="V923" s="51" t="s">
        <v>3527</v>
      </c>
      <c r="W923" s="19"/>
      <c r="X923" s="19"/>
      <c r="Y923" s="99">
        <v>888</v>
      </c>
    </row>
    <row r="924" spans="2:25" ht="20" x14ac:dyDescent="0.2">
      <c r="B924" s="150" t="s">
        <v>1306</v>
      </c>
      <c r="C924" s="33" t="s">
        <v>106</v>
      </c>
      <c r="D924" s="33" t="s">
        <v>2876</v>
      </c>
      <c r="E924" s="175">
        <v>1</v>
      </c>
      <c r="F924" s="151" t="s">
        <v>1128</v>
      </c>
      <c r="G924" s="152">
        <v>3.7803898</v>
      </c>
      <c r="H924" s="152">
        <v>2.3335739506172839</v>
      </c>
      <c r="I924" s="175">
        <v>69</v>
      </c>
      <c r="J924" s="266">
        <f>_xlfn.XLOOKUP($I924,Inputs!$C$6:$C$23,Inputs!$D$6:$D$23)*$G924</f>
        <v>1.4527497945714285</v>
      </c>
      <c r="K924" s="255"/>
      <c r="L924" s="186">
        <v>265</v>
      </c>
      <c r="M924" s="186">
        <v>492</v>
      </c>
      <c r="N924" s="99">
        <f t="shared" si="199"/>
        <v>31.670549016396919</v>
      </c>
      <c r="O924" s="99">
        <f t="shared" si="200"/>
        <v>58.79966081534824</v>
      </c>
      <c r="P924" s="131">
        <v>0.9</v>
      </c>
      <c r="Q924" s="186">
        <f t="shared" si="204"/>
        <v>28.503494114757228</v>
      </c>
      <c r="R924" s="186">
        <f t="shared" si="204"/>
        <v>52.919694733813415</v>
      </c>
      <c r="S924" s="151" t="s">
        <v>2556</v>
      </c>
      <c r="T924" s="51" t="s">
        <v>2214</v>
      </c>
      <c r="U924" s="151" t="s">
        <v>1897</v>
      </c>
      <c r="V924" s="51" t="s">
        <v>3726</v>
      </c>
      <c r="W924" s="19"/>
      <c r="X924" s="19"/>
      <c r="Y924" s="99">
        <v>854</v>
      </c>
    </row>
    <row r="925" spans="2:25" ht="20" x14ac:dyDescent="0.2">
      <c r="B925" s="150" t="s">
        <v>1302</v>
      </c>
      <c r="C925" s="33" t="s">
        <v>106</v>
      </c>
      <c r="D925" s="33" t="s">
        <v>2876</v>
      </c>
      <c r="E925" s="175">
        <v>1</v>
      </c>
      <c r="F925" s="151" t="s">
        <v>1128</v>
      </c>
      <c r="G925" s="152">
        <v>45</v>
      </c>
      <c r="H925" s="152">
        <v>27.777777777777775</v>
      </c>
      <c r="I925" s="175">
        <v>69</v>
      </c>
      <c r="J925" s="266">
        <f>_xlfn.XLOOKUP($I925,Inputs!$C$6:$C$23,Inputs!$D$6:$D$23)*$G925</f>
        <v>17.292857142857144</v>
      </c>
      <c r="K925" s="255"/>
      <c r="L925" s="186">
        <v>401</v>
      </c>
      <c r="M925" s="186">
        <v>567</v>
      </c>
      <c r="N925" s="99">
        <f t="shared" si="199"/>
        <v>47.92411379462326</v>
      </c>
      <c r="O925" s="99">
        <f t="shared" si="200"/>
        <v>67.763023744517184</v>
      </c>
      <c r="P925" s="131">
        <v>0.9</v>
      </c>
      <c r="Q925" s="186">
        <f t="shared" si="204"/>
        <v>43.131702415160937</v>
      </c>
      <c r="R925" s="186">
        <f t="shared" si="204"/>
        <v>60.986721370065467</v>
      </c>
      <c r="S925" s="151" t="s">
        <v>2555</v>
      </c>
      <c r="T925" s="51" t="s">
        <v>2213</v>
      </c>
      <c r="U925" s="151" t="s">
        <v>2556</v>
      </c>
      <c r="V925" s="51" t="s">
        <v>2214</v>
      </c>
      <c r="W925" s="19"/>
      <c r="X925" s="19"/>
      <c r="Y925" s="99">
        <v>853</v>
      </c>
    </row>
    <row r="926" spans="2:25" ht="20" x14ac:dyDescent="0.2">
      <c r="B926" s="150" t="s">
        <v>1236</v>
      </c>
      <c r="C926" s="33" t="s">
        <v>106</v>
      </c>
      <c r="D926" s="33" t="s">
        <v>2876</v>
      </c>
      <c r="E926" s="175">
        <v>1</v>
      </c>
      <c r="F926" s="151" t="s">
        <v>1128</v>
      </c>
      <c r="G926" s="152">
        <v>3</v>
      </c>
      <c r="H926" s="152">
        <v>1.8518518518518516</v>
      </c>
      <c r="I926" s="175">
        <v>69</v>
      </c>
      <c r="J926" s="266">
        <f>_xlfn.XLOOKUP($I926,Inputs!$C$6:$C$23,Inputs!$D$6:$D$23)*$G926</f>
        <v>1.1528571428571428</v>
      </c>
      <c r="K926" s="255"/>
      <c r="L926" s="186">
        <v>440</v>
      </c>
      <c r="M926" s="186">
        <v>555</v>
      </c>
      <c r="N926" s="99">
        <f t="shared" si="199"/>
        <v>52.585062517791116</v>
      </c>
      <c r="O926" s="99">
        <f t="shared" si="200"/>
        <v>66.328885675850145</v>
      </c>
      <c r="P926" s="131">
        <v>0.9</v>
      </c>
      <c r="Q926" s="186">
        <f t="shared" si="204"/>
        <v>47.326556266012005</v>
      </c>
      <c r="R926" s="186">
        <f t="shared" si="204"/>
        <v>59.695997108265132</v>
      </c>
      <c r="S926" s="151" t="s">
        <v>2522</v>
      </c>
      <c r="T926" s="51" t="s">
        <v>2181</v>
      </c>
      <c r="U926" s="151" t="s">
        <v>120</v>
      </c>
      <c r="V926" s="51" t="s">
        <v>3333</v>
      </c>
      <c r="W926" s="19"/>
      <c r="X926" s="19"/>
      <c r="Y926" s="99">
        <v>733</v>
      </c>
    </row>
    <row r="927" spans="2:25" ht="20" x14ac:dyDescent="0.2">
      <c r="B927" s="150" t="s">
        <v>1242</v>
      </c>
      <c r="C927" s="33" t="s">
        <v>106</v>
      </c>
      <c r="D927" s="33" t="s">
        <v>2876</v>
      </c>
      <c r="E927" s="175">
        <v>1</v>
      </c>
      <c r="F927" s="151" t="s">
        <v>1128</v>
      </c>
      <c r="G927" s="152">
        <v>3</v>
      </c>
      <c r="H927" s="152">
        <v>1.8518518518518516</v>
      </c>
      <c r="I927" s="175">
        <v>69</v>
      </c>
      <c r="J927" s="266">
        <f>_xlfn.XLOOKUP($I927,Inputs!$C$6:$C$23,Inputs!$D$6:$D$23)*$G927</f>
        <v>1.1528571428571428</v>
      </c>
      <c r="K927" s="255"/>
      <c r="L927" s="186">
        <v>440</v>
      </c>
      <c r="M927" s="186">
        <v>555</v>
      </c>
      <c r="N927" s="99">
        <f t="shared" si="199"/>
        <v>52.585062517791116</v>
      </c>
      <c r="O927" s="99">
        <f t="shared" si="200"/>
        <v>66.328885675850145</v>
      </c>
      <c r="P927" s="131">
        <v>0.9</v>
      </c>
      <c r="Q927" s="186">
        <f t="shared" si="204"/>
        <v>47.326556266012005</v>
      </c>
      <c r="R927" s="186">
        <f t="shared" si="204"/>
        <v>59.695997108265132</v>
      </c>
      <c r="S927" s="151" t="s">
        <v>2522</v>
      </c>
      <c r="T927" s="51" t="s">
        <v>2181</v>
      </c>
      <c r="U927" s="151" t="s">
        <v>120</v>
      </c>
      <c r="V927" s="51" t="s">
        <v>3333</v>
      </c>
      <c r="W927" s="19"/>
      <c r="X927" s="19"/>
      <c r="Y927" s="99">
        <v>747</v>
      </c>
    </row>
    <row r="928" spans="2:25" ht="20" x14ac:dyDescent="0.2">
      <c r="B928" s="151" t="s">
        <v>1518</v>
      </c>
      <c r="C928" s="33" t="s">
        <v>106</v>
      </c>
      <c r="D928" s="33" t="s">
        <v>2876</v>
      </c>
      <c r="E928" s="175">
        <v>1</v>
      </c>
      <c r="F928" s="151" t="s">
        <v>1128</v>
      </c>
      <c r="G928" s="174">
        <v>10</v>
      </c>
      <c r="H928" s="152">
        <v>6.1728395061728394</v>
      </c>
      <c r="I928" s="175">
        <v>230</v>
      </c>
      <c r="J928" s="266">
        <f>_xlfn.XLOOKUP($I928,Inputs!$C$6:$C$23,Inputs!$D$6:$D$23)*$G928</f>
        <v>4.8</v>
      </c>
      <c r="K928" s="267">
        <f>IF((42.4*(H928)^(-0.6595))&gt;=3,3,(IF(42.4*(H928)^(-0.6595)&lt;=0.5,0.5,(42.4*(H928)^(-0.6595)))))</f>
        <v>3</v>
      </c>
      <c r="L928" s="99"/>
      <c r="M928" s="99"/>
      <c r="N928" s="99">
        <f t="shared" si="199"/>
        <v>0</v>
      </c>
      <c r="O928" s="99">
        <f t="shared" si="200"/>
        <v>0</v>
      </c>
      <c r="P928" s="131">
        <v>0.9</v>
      </c>
      <c r="Q928" s="305">
        <f>_xlfn.XLOOKUP($I928,Inputs!$G$6:$G$23,Inputs!J$6:J$23)*$K928</f>
        <v>402</v>
      </c>
      <c r="R928" s="305">
        <f>_xlfn.XLOOKUP($I928,Inputs!$G$6:$G$23,Inputs!K$6:K$23)*$K928</f>
        <v>435</v>
      </c>
      <c r="S928" s="151" t="s">
        <v>2480</v>
      </c>
      <c r="T928" s="51" t="s">
        <v>2135</v>
      </c>
      <c r="U928" s="151" t="s">
        <v>2278</v>
      </c>
      <c r="V928" s="179" t="s">
        <v>3679</v>
      </c>
      <c r="W928" s="19"/>
      <c r="X928" s="19"/>
      <c r="Y928" s="99">
        <v>499</v>
      </c>
    </row>
    <row r="929" spans="2:25" ht="20" x14ac:dyDescent="0.2">
      <c r="B929" s="151" t="s">
        <v>1517</v>
      </c>
      <c r="C929" s="33" t="s">
        <v>106</v>
      </c>
      <c r="D929" s="33" t="s">
        <v>2876</v>
      </c>
      <c r="E929" s="175">
        <v>1</v>
      </c>
      <c r="F929" s="151" t="s">
        <v>1128</v>
      </c>
      <c r="G929" s="174">
        <v>25</v>
      </c>
      <c r="H929" s="152">
        <v>15.432098765432098</v>
      </c>
      <c r="I929" s="175">
        <v>230</v>
      </c>
      <c r="J929" s="266">
        <f>_xlfn.XLOOKUP($I929,Inputs!$C$6:$C$23,Inputs!$D$6:$D$23)*$G929</f>
        <v>12</v>
      </c>
      <c r="K929" s="267">
        <f>IF((42.4*(H929)^(-0.6595))&gt;=3,3,(IF(42.4*(H929)^(-0.6595)&lt;=0.5,0.5,(42.4*(H929)^(-0.6595)))))</f>
        <v>3</v>
      </c>
      <c r="L929" s="99"/>
      <c r="M929" s="99"/>
      <c r="N929" s="99">
        <f t="shared" si="199"/>
        <v>0</v>
      </c>
      <c r="O929" s="99">
        <f t="shared" si="200"/>
        <v>0</v>
      </c>
      <c r="P929" s="131">
        <v>0.9</v>
      </c>
      <c r="Q929" s="305">
        <f>_xlfn.XLOOKUP($I929,Inputs!$G$6:$G$23,Inputs!J$6:J$23)*$K929</f>
        <v>402</v>
      </c>
      <c r="R929" s="305">
        <f>_xlfn.XLOOKUP($I929,Inputs!$G$6:$G$23,Inputs!K$6:K$23)*$K929</f>
        <v>435</v>
      </c>
      <c r="S929" s="151" t="s">
        <v>1881</v>
      </c>
      <c r="T929" s="51" t="s">
        <v>3678</v>
      </c>
      <c r="U929" s="151" t="s">
        <v>2480</v>
      </c>
      <c r="V929" s="51" t="s">
        <v>2135</v>
      </c>
      <c r="W929" s="19"/>
      <c r="X929" s="19"/>
      <c r="Y929" s="99">
        <v>498</v>
      </c>
    </row>
    <row r="930" spans="2:25" ht="20" x14ac:dyDescent="0.2">
      <c r="B930" s="150" t="s">
        <v>512</v>
      </c>
      <c r="C930" s="33" t="s">
        <v>106</v>
      </c>
      <c r="D930" s="33" t="s">
        <v>2876</v>
      </c>
      <c r="E930" s="175">
        <v>1</v>
      </c>
      <c r="F930" s="151" t="s">
        <v>1128</v>
      </c>
      <c r="G930" s="152">
        <v>40.115756500000003</v>
      </c>
      <c r="H930" s="152">
        <v>24.762812654320989</v>
      </c>
      <c r="I930" s="175">
        <v>138</v>
      </c>
      <c r="J930" s="266">
        <f>_xlfn.XLOOKUP($I930,Inputs!$C$6:$C$23,Inputs!$D$6:$D$23)*$G930</f>
        <v>17.393045853928573</v>
      </c>
      <c r="K930" s="255"/>
      <c r="L930" s="186">
        <v>280</v>
      </c>
      <c r="M930" s="186">
        <v>450</v>
      </c>
      <c r="N930" s="99">
        <f t="shared" si="199"/>
        <v>66.926443204461421</v>
      </c>
      <c r="O930" s="99">
        <f t="shared" si="200"/>
        <v>107.56035515002728</v>
      </c>
      <c r="P930" s="131">
        <v>0.9</v>
      </c>
      <c r="Q930" s="186">
        <f t="shared" ref="Q930:R934" si="205">N930*$P930</f>
        <v>60.233798884015279</v>
      </c>
      <c r="R930" s="186">
        <f t="shared" si="205"/>
        <v>96.804319635024555</v>
      </c>
      <c r="S930" s="151" t="s">
        <v>1914</v>
      </c>
      <c r="T930" s="51" t="s">
        <v>3342</v>
      </c>
      <c r="U930" s="151" t="s">
        <v>1898</v>
      </c>
      <c r="V930" s="51" t="s">
        <v>3334</v>
      </c>
      <c r="W930" s="19"/>
      <c r="X930" s="19"/>
      <c r="Y930" s="99">
        <v>325</v>
      </c>
    </row>
    <row r="931" spans="2:25" ht="20" x14ac:dyDescent="0.2">
      <c r="B931" s="150" t="s">
        <v>1247</v>
      </c>
      <c r="C931" s="33" t="s">
        <v>106</v>
      </c>
      <c r="D931" s="33" t="s">
        <v>2876</v>
      </c>
      <c r="E931" s="175">
        <v>1</v>
      </c>
      <c r="F931" s="151" t="s">
        <v>1128</v>
      </c>
      <c r="G931" s="152">
        <v>2.4560383999999997</v>
      </c>
      <c r="H931" s="152">
        <v>1.5160730864197529</v>
      </c>
      <c r="I931" s="175">
        <v>69</v>
      </c>
      <c r="J931" s="266">
        <f>_xlfn.XLOOKUP($I931,Inputs!$C$6:$C$23,Inputs!$D$6:$D$23)*$G931</f>
        <v>0.94382047085714271</v>
      </c>
      <c r="K931" s="255"/>
      <c r="L931" s="186">
        <v>215</v>
      </c>
      <c r="M931" s="186">
        <v>290</v>
      </c>
      <c r="N931" s="99">
        <f t="shared" si="199"/>
        <v>25.694973730284296</v>
      </c>
      <c r="O931" s="99">
        <f t="shared" si="200"/>
        <v>34.658336659453234</v>
      </c>
      <c r="P931" s="131">
        <v>0.9</v>
      </c>
      <c r="Q931" s="186">
        <f t="shared" si="205"/>
        <v>23.125476357255867</v>
      </c>
      <c r="R931" s="186">
        <f t="shared" si="205"/>
        <v>31.192502993507912</v>
      </c>
      <c r="S931" s="151" t="s">
        <v>2528</v>
      </c>
      <c r="T931" s="51" t="s">
        <v>2187</v>
      </c>
      <c r="U931" s="151" t="s">
        <v>1899</v>
      </c>
      <c r="V931" s="51" t="s">
        <v>3529</v>
      </c>
      <c r="W931" s="19"/>
      <c r="X931" s="19"/>
      <c r="Y931" s="99">
        <v>755</v>
      </c>
    </row>
    <row r="932" spans="2:25" ht="20" x14ac:dyDescent="0.2">
      <c r="B932" s="150" t="s">
        <v>1250</v>
      </c>
      <c r="C932" s="33" t="s">
        <v>106</v>
      </c>
      <c r="D932" s="33" t="s">
        <v>2876</v>
      </c>
      <c r="E932" s="175">
        <v>1</v>
      </c>
      <c r="F932" s="151" t="s">
        <v>1128</v>
      </c>
      <c r="G932" s="152">
        <v>2.4458656999999997</v>
      </c>
      <c r="H932" s="152">
        <v>1.5097936419753084</v>
      </c>
      <c r="I932" s="175">
        <v>69</v>
      </c>
      <c r="J932" s="266">
        <f>_xlfn.XLOOKUP($I932,Inputs!$C$6:$C$23,Inputs!$D$6:$D$23)*$G932</f>
        <v>0.93991124757142841</v>
      </c>
      <c r="K932" s="255"/>
      <c r="L932" s="186">
        <v>215</v>
      </c>
      <c r="M932" s="186">
        <v>290</v>
      </c>
      <c r="N932" s="99">
        <f t="shared" si="199"/>
        <v>25.694973730284296</v>
      </c>
      <c r="O932" s="99">
        <f t="shared" si="200"/>
        <v>34.658336659453234</v>
      </c>
      <c r="P932" s="131">
        <v>0.9</v>
      </c>
      <c r="Q932" s="186">
        <f t="shared" si="205"/>
        <v>23.125476357255867</v>
      </c>
      <c r="R932" s="186">
        <f t="shared" si="205"/>
        <v>31.192502993507912</v>
      </c>
      <c r="S932" s="151" t="s">
        <v>2528</v>
      </c>
      <c r="T932" s="51" t="s">
        <v>2187</v>
      </c>
      <c r="U932" s="151" t="s">
        <v>1899</v>
      </c>
      <c r="V932" s="51" t="s">
        <v>3529</v>
      </c>
      <c r="W932" s="19"/>
      <c r="X932" s="19"/>
      <c r="Y932" s="99">
        <v>758</v>
      </c>
    </row>
    <row r="933" spans="2:25" ht="20" x14ac:dyDescent="0.2">
      <c r="B933" s="150" t="s">
        <v>1246</v>
      </c>
      <c r="C933" s="33" t="s">
        <v>106</v>
      </c>
      <c r="D933" s="33" t="s">
        <v>2876</v>
      </c>
      <c r="E933" s="175">
        <v>1</v>
      </c>
      <c r="F933" s="151" t="s">
        <v>1128</v>
      </c>
      <c r="G933" s="152">
        <v>6.04</v>
      </c>
      <c r="H933" s="152">
        <v>3.7283950617283947</v>
      </c>
      <c r="I933" s="175">
        <v>69</v>
      </c>
      <c r="J933" s="266">
        <f>_xlfn.XLOOKUP($I933,Inputs!$C$6:$C$23,Inputs!$D$6:$D$23)*$G933</f>
        <v>2.3210857142857142</v>
      </c>
      <c r="K933" s="255"/>
      <c r="L933" s="186">
        <v>1050</v>
      </c>
      <c r="M933" s="3">
        <v>1300</v>
      </c>
      <c r="N933" s="99">
        <f t="shared" si="199"/>
        <v>125.48708100836515</v>
      </c>
      <c r="O933" s="99">
        <f t="shared" si="200"/>
        <v>155.36495743892829</v>
      </c>
      <c r="P933" s="131">
        <v>0.9</v>
      </c>
      <c r="Q933" s="186">
        <f t="shared" si="205"/>
        <v>112.93837290752865</v>
      </c>
      <c r="R933" s="186">
        <f t="shared" si="205"/>
        <v>139.82846169503546</v>
      </c>
      <c r="S933" s="151" t="s">
        <v>1730</v>
      </c>
      <c r="T933" s="51" t="s">
        <v>3204</v>
      </c>
      <c r="U933" s="151" t="s">
        <v>2528</v>
      </c>
      <c r="V933" s="51" t="s">
        <v>2187</v>
      </c>
      <c r="W933" s="19"/>
      <c r="X933" s="19"/>
      <c r="Y933" s="99">
        <v>754</v>
      </c>
    </row>
    <row r="934" spans="2:25" ht="20" x14ac:dyDescent="0.2">
      <c r="B934" s="150" t="s">
        <v>1248</v>
      </c>
      <c r="C934" s="33" t="s">
        <v>106</v>
      </c>
      <c r="D934" s="33" t="s">
        <v>2876</v>
      </c>
      <c r="E934" s="175">
        <v>1</v>
      </c>
      <c r="F934" s="151" t="s">
        <v>1128</v>
      </c>
      <c r="G934" s="152">
        <v>6.04</v>
      </c>
      <c r="H934" s="152">
        <v>3.7283950617283947</v>
      </c>
      <c r="I934" s="175">
        <v>69</v>
      </c>
      <c r="J934" s="266">
        <f>_xlfn.XLOOKUP($I934,Inputs!$C$6:$C$23,Inputs!$D$6:$D$23)*$G934</f>
        <v>2.3210857142857142</v>
      </c>
      <c r="K934" s="255"/>
      <c r="L934" s="186">
        <v>1050</v>
      </c>
      <c r="M934" s="186">
        <v>1300</v>
      </c>
      <c r="N934" s="99">
        <f t="shared" si="199"/>
        <v>125.48708100836515</v>
      </c>
      <c r="O934" s="99">
        <f t="shared" si="200"/>
        <v>155.36495743892829</v>
      </c>
      <c r="P934" s="131">
        <v>0.9</v>
      </c>
      <c r="Q934" s="186">
        <f t="shared" si="205"/>
        <v>112.93837290752865</v>
      </c>
      <c r="R934" s="186">
        <f t="shared" si="205"/>
        <v>139.82846169503546</v>
      </c>
      <c r="S934" s="151" t="s">
        <v>1730</v>
      </c>
      <c r="T934" s="51" t="s">
        <v>3204</v>
      </c>
      <c r="U934" s="151" t="s">
        <v>2528</v>
      </c>
      <c r="V934" s="51" t="s">
        <v>2187</v>
      </c>
      <c r="W934" s="19"/>
      <c r="X934" s="19"/>
      <c r="Y934" s="99">
        <v>757</v>
      </c>
    </row>
    <row r="935" spans="2:25" ht="20" x14ac:dyDescent="0.2">
      <c r="B935" s="150" t="s">
        <v>1285</v>
      </c>
      <c r="C935" s="33" t="s">
        <v>106</v>
      </c>
      <c r="D935" s="33" t="s">
        <v>2876</v>
      </c>
      <c r="E935" s="175">
        <v>1</v>
      </c>
      <c r="F935" s="151" t="s">
        <v>1128</v>
      </c>
      <c r="G935" s="152">
        <v>0.52189079999999999</v>
      </c>
      <c r="H935" s="152">
        <v>0.32215481481481478</v>
      </c>
      <c r="I935" s="175">
        <v>69</v>
      </c>
      <c r="J935" s="266">
        <f>_xlfn.XLOOKUP($I935,Inputs!$C$6:$C$23,Inputs!$D$6:$D$23)*$G935</f>
        <v>0.20055517885714286</v>
      </c>
      <c r="K935" s="267">
        <f>IF((42.4*(H935)^(-0.6595))&gt;=3,3,(IF(42.4*(H935)^(-0.6595)&lt;=0.5,0.5,(42.4*(H935)^(-0.6595)))))</f>
        <v>3</v>
      </c>
      <c r="L935" s="99"/>
      <c r="M935" s="99"/>
      <c r="N935" s="99">
        <f t="shared" si="199"/>
        <v>0</v>
      </c>
      <c r="O935" s="99">
        <f t="shared" si="200"/>
        <v>0</v>
      </c>
      <c r="P935" s="131">
        <v>0.9</v>
      </c>
      <c r="Q935" s="305">
        <f>_xlfn.XLOOKUP($I935,Inputs!$G$6:$G$23,Inputs!J$6:J$23)*$K935</f>
        <v>36</v>
      </c>
      <c r="R935" s="305">
        <f>_xlfn.XLOOKUP($I935,Inputs!$G$6:$G$23,Inputs!K$6:K$23)*$K935</f>
        <v>39</v>
      </c>
      <c r="S935" s="151" t="s">
        <v>2539</v>
      </c>
      <c r="T935" s="51" t="s">
        <v>2199</v>
      </c>
      <c r="U935" s="151" t="s">
        <v>2385</v>
      </c>
      <c r="V935" s="51" t="s">
        <v>3163</v>
      </c>
      <c r="W935" s="19"/>
      <c r="X935" s="19"/>
      <c r="Y935" s="99">
        <v>809</v>
      </c>
    </row>
    <row r="936" spans="2:25" ht="20" x14ac:dyDescent="0.2">
      <c r="B936" s="150" t="s">
        <v>1280</v>
      </c>
      <c r="C936" s="33" t="s">
        <v>106</v>
      </c>
      <c r="D936" s="33" t="s">
        <v>2876</v>
      </c>
      <c r="E936" s="175">
        <v>1</v>
      </c>
      <c r="F936" s="151" t="s">
        <v>1128</v>
      </c>
      <c r="G936" s="152">
        <v>6</v>
      </c>
      <c r="H936" s="152">
        <v>3.7037037037037033</v>
      </c>
      <c r="I936" s="175">
        <v>69</v>
      </c>
      <c r="J936" s="266">
        <f>_xlfn.XLOOKUP($I936,Inputs!$C$6:$C$23,Inputs!$D$6:$D$23)*$G936</f>
        <v>2.3057142857142856</v>
      </c>
      <c r="K936" s="255"/>
      <c r="L936" s="186">
        <v>505</v>
      </c>
      <c r="M936" s="186">
        <v>601</v>
      </c>
      <c r="N936" s="99">
        <f t="shared" si="199"/>
        <v>60.353310389737523</v>
      </c>
      <c r="O936" s="99">
        <f t="shared" si="200"/>
        <v>71.826414939073771</v>
      </c>
      <c r="P936" s="131">
        <v>0.9</v>
      </c>
      <c r="Q936" s="186">
        <f>N936*$P936</f>
        <v>54.317979350763771</v>
      </c>
      <c r="R936" s="186">
        <f>O936*$P936</f>
        <v>64.643773445166403</v>
      </c>
      <c r="S936" s="151" t="s">
        <v>2538</v>
      </c>
      <c r="T936" s="51" t="s">
        <v>2197</v>
      </c>
      <c r="U936" s="151" t="s">
        <v>2539</v>
      </c>
      <c r="V936" s="51" t="s">
        <v>2199</v>
      </c>
      <c r="W936" s="19"/>
      <c r="X936" s="19"/>
      <c r="Y936" s="99">
        <v>808</v>
      </c>
    </row>
    <row r="937" spans="2:25" ht="20" x14ac:dyDescent="0.2">
      <c r="B937" s="151" t="s">
        <v>1517</v>
      </c>
      <c r="C937" s="33" t="s">
        <v>106</v>
      </c>
      <c r="D937" s="33" t="s">
        <v>2876</v>
      </c>
      <c r="E937" s="175">
        <v>1</v>
      </c>
      <c r="F937" s="151" t="s">
        <v>1128</v>
      </c>
      <c r="G937" s="174">
        <v>15</v>
      </c>
      <c r="H937" s="152">
        <v>9.2592592592592595</v>
      </c>
      <c r="I937" s="175">
        <v>230</v>
      </c>
      <c r="J937" s="266">
        <f>_xlfn.XLOOKUP($I937,Inputs!$C$6:$C$23,Inputs!$D$6:$D$23)*$G937</f>
        <v>7.1999999999999993</v>
      </c>
      <c r="K937" s="267">
        <f>IF((42.4*(H937)^(-0.6595))&gt;=3,3,(IF(42.4*(H937)^(-0.6595)&lt;=0.5,0.5,(42.4*(H937)^(-0.6595)))))</f>
        <v>3</v>
      </c>
      <c r="L937" s="99"/>
      <c r="M937" s="99"/>
      <c r="N937" s="99">
        <f t="shared" si="199"/>
        <v>0</v>
      </c>
      <c r="O937" s="99">
        <f t="shared" si="200"/>
        <v>0</v>
      </c>
      <c r="P937" s="131">
        <v>0.9</v>
      </c>
      <c r="Q937" s="305">
        <f>_xlfn.XLOOKUP($I937,Inputs!$G$6:$G$23,Inputs!J$6:J$23)*$K937</f>
        <v>402</v>
      </c>
      <c r="R937" s="305">
        <f>_xlfn.XLOOKUP($I937,Inputs!$G$6:$G$23,Inputs!K$6:K$23)*$K937</f>
        <v>435</v>
      </c>
      <c r="S937" s="151" t="s">
        <v>2480</v>
      </c>
      <c r="T937" s="51" t="s">
        <v>2135</v>
      </c>
      <c r="U937" s="151" t="s">
        <v>2279</v>
      </c>
      <c r="V937" s="51" t="s">
        <v>3680</v>
      </c>
      <c r="W937" s="19"/>
      <c r="X937" s="19"/>
      <c r="Y937" s="99">
        <v>500</v>
      </c>
    </row>
    <row r="938" spans="2:25" ht="20" x14ac:dyDescent="0.2">
      <c r="B938" s="150" t="s">
        <v>1508</v>
      </c>
      <c r="C938" s="33" t="s">
        <v>106</v>
      </c>
      <c r="D938" s="33" t="s">
        <v>2876</v>
      </c>
      <c r="E938" s="175">
        <v>1</v>
      </c>
      <c r="F938" s="151" t="s">
        <v>1128</v>
      </c>
      <c r="G938" s="152">
        <v>2</v>
      </c>
      <c r="H938" s="152">
        <v>1.2345679012345678</v>
      </c>
      <c r="I938" s="175">
        <v>138</v>
      </c>
      <c r="J938" s="266">
        <f>_xlfn.XLOOKUP($I938,Inputs!$C$6:$C$23,Inputs!$D$6:$D$23)*$G938</f>
        <v>0.86714285714285722</v>
      </c>
      <c r="K938" s="255"/>
      <c r="L938" s="186">
        <v>560</v>
      </c>
      <c r="M938" s="186">
        <v>674</v>
      </c>
      <c r="N938" s="99">
        <f t="shared" si="199"/>
        <v>133.85288640892284</v>
      </c>
      <c r="O938" s="99">
        <f t="shared" si="200"/>
        <v>161.10150971359641</v>
      </c>
      <c r="P938" s="131">
        <v>0.9</v>
      </c>
      <c r="Q938" s="186">
        <f t="shared" ref="Q938:R942" si="206">N938*$P938</f>
        <v>120.46759776803056</v>
      </c>
      <c r="R938" s="186">
        <f t="shared" si="206"/>
        <v>144.99135874223677</v>
      </c>
      <c r="S938" s="151" t="s">
        <v>2453</v>
      </c>
      <c r="T938" s="51" t="s">
        <v>2106</v>
      </c>
      <c r="U938" s="151" t="s">
        <v>2327</v>
      </c>
      <c r="V938" s="51" t="s">
        <v>3164</v>
      </c>
      <c r="W938" s="19"/>
      <c r="X938" s="19" t="s">
        <v>1509</v>
      </c>
      <c r="Y938" s="99">
        <v>279</v>
      </c>
    </row>
    <row r="939" spans="2:25" ht="20" x14ac:dyDescent="0.2">
      <c r="B939" s="150" t="s">
        <v>1511</v>
      </c>
      <c r="C939" s="33" t="s">
        <v>106</v>
      </c>
      <c r="D939" s="33" t="s">
        <v>2876</v>
      </c>
      <c r="E939" s="175">
        <v>1</v>
      </c>
      <c r="F939" s="151" t="s">
        <v>1128</v>
      </c>
      <c r="G939" s="152">
        <v>8.7352700000000005E-2</v>
      </c>
      <c r="H939" s="152">
        <v>5.3921419753086418E-2</v>
      </c>
      <c r="I939" s="175">
        <v>138</v>
      </c>
      <c r="J939" s="266">
        <f>_xlfn.XLOOKUP($I939,Inputs!$C$6:$C$23,Inputs!$D$6:$D$23)*$G939</f>
        <v>3.7873634928571431E-2</v>
      </c>
      <c r="K939" s="255"/>
      <c r="L939" s="186">
        <v>560</v>
      </c>
      <c r="M939" s="186">
        <v>674</v>
      </c>
      <c r="N939" s="99">
        <f t="shared" si="199"/>
        <v>133.85288640892284</v>
      </c>
      <c r="O939" s="99">
        <f t="shared" si="200"/>
        <v>161.10150971359641</v>
      </c>
      <c r="P939" s="131">
        <v>0.9</v>
      </c>
      <c r="Q939" s="186">
        <f t="shared" si="206"/>
        <v>120.46759776803056</v>
      </c>
      <c r="R939" s="186">
        <f t="shared" si="206"/>
        <v>144.99135874223677</v>
      </c>
      <c r="S939" s="151" t="s">
        <v>2453</v>
      </c>
      <c r="T939" s="51" t="s">
        <v>2106</v>
      </c>
      <c r="U939" s="151" t="s">
        <v>2327</v>
      </c>
      <c r="V939" s="51" t="s">
        <v>3164</v>
      </c>
      <c r="W939" s="19"/>
      <c r="X939" s="19"/>
      <c r="Y939" s="99">
        <v>300</v>
      </c>
    </row>
    <row r="940" spans="2:25" ht="20" x14ac:dyDescent="0.2">
      <c r="B940" s="150" t="s">
        <v>498</v>
      </c>
      <c r="C940" s="33" t="s">
        <v>106</v>
      </c>
      <c r="D940" s="33" t="s">
        <v>2876</v>
      </c>
      <c r="E940" s="175">
        <v>1</v>
      </c>
      <c r="F940" s="151" t="s">
        <v>1128</v>
      </c>
      <c r="G940" s="152">
        <v>90.22</v>
      </c>
      <c r="H940" s="152">
        <v>55.691358024691354</v>
      </c>
      <c r="I940" s="175">
        <v>138</v>
      </c>
      <c r="J940" s="266">
        <f>_xlfn.XLOOKUP($I940,Inputs!$C$6:$C$23,Inputs!$D$6:$D$23)*$G940</f>
        <v>39.116814285714291</v>
      </c>
      <c r="K940" s="255"/>
      <c r="L940" s="186">
        <v>560</v>
      </c>
      <c r="M940" s="186">
        <v>675</v>
      </c>
      <c r="N940" s="99">
        <f t="shared" si="199"/>
        <v>133.85288640892284</v>
      </c>
      <c r="O940" s="99">
        <f t="shared" si="200"/>
        <v>161.34053272504093</v>
      </c>
      <c r="P940" s="131">
        <v>0.9</v>
      </c>
      <c r="Q940" s="186">
        <f t="shared" si="206"/>
        <v>120.46759776803056</v>
      </c>
      <c r="R940" s="186">
        <f t="shared" si="206"/>
        <v>145.20647945253685</v>
      </c>
      <c r="S940" s="151" t="s">
        <v>1699</v>
      </c>
      <c r="T940" s="51" t="s">
        <v>3126</v>
      </c>
      <c r="U940" s="151" t="s">
        <v>2453</v>
      </c>
      <c r="V940" s="51" t="s">
        <v>2106</v>
      </c>
      <c r="W940" s="19"/>
      <c r="X940" s="19"/>
      <c r="Y940" s="99">
        <v>278</v>
      </c>
    </row>
    <row r="941" spans="2:25" ht="20" x14ac:dyDescent="0.2">
      <c r="B941" s="150" t="s">
        <v>507</v>
      </c>
      <c r="C941" s="33" t="s">
        <v>106</v>
      </c>
      <c r="D941" s="33" t="s">
        <v>2876</v>
      </c>
      <c r="E941" s="175">
        <v>1</v>
      </c>
      <c r="F941" s="151" t="s">
        <v>1128</v>
      </c>
      <c r="G941" s="152">
        <v>88.97</v>
      </c>
      <c r="H941" s="152">
        <v>54.919753086419746</v>
      </c>
      <c r="I941" s="175">
        <v>138</v>
      </c>
      <c r="J941" s="266">
        <f>_xlfn.XLOOKUP($I941,Inputs!$C$6:$C$23,Inputs!$D$6:$D$23)*$G941</f>
        <v>38.574850000000005</v>
      </c>
      <c r="K941" s="255"/>
      <c r="L941" s="186">
        <v>560</v>
      </c>
      <c r="M941" s="186">
        <v>675</v>
      </c>
      <c r="N941" s="99">
        <f t="shared" si="199"/>
        <v>133.85288640892284</v>
      </c>
      <c r="O941" s="99">
        <f t="shared" si="200"/>
        <v>161.34053272504093</v>
      </c>
      <c r="P941" s="131">
        <v>0.9</v>
      </c>
      <c r="Q941" s="186">
        <f t="shared" si="206"/>
        <v>120.46759776803056</v>
      </c>
      <c r="R941" s="186">
        <f t="shared" si="206"/>
        <v>145.20647945253685</v>
      </c>
      <c r="S941" s="151" t="s">
        <v>1699</v>
      </c>
      <c r="T941" s="51" t="s">
        <v>3126</v>
      </c>
      <c r="U941" s="151" t="s">
        <v>2453</v>
      </c>
      <c r="V941" s="51" t="s">
        <v>2106</v>
      </c>
      <c r="W941" s="19"/>
      <c r="X941" s="19"/>
      <c r="Y941" s="99">
        <v>299</v>
      </c>
    </row>
    <row r="942" spans="2:25" ht="20" x14ac:dyDescent="0.2">
      <c r="B942" s="150" t="s">
        <v>431</v>
      </c>
      <c r="C942" s="33" t="s">
        <v>106</v>
      </c>
      <c r="D942" s="33" t="s">
        <v>2876</v>
      </c>
      <c r="E942" s="175">
        <v>1</v>
      </c>
      <c r="F942" s="151" t="s">
        <v>1128</v>
      </c>
      <c r="G942" s="152">
        <v>12.85</v>
      </c>
      <c r="H942" s="152">
        <v>7.932098765432098</v>
      </c>
      <c r="I942" s="175">
        <v>138</v>
      </c>
      <c r="J942" s="266">
        <f>_xlfn.XLOOKUP($I942,Inputs!$C$6:$C$23,Inputs!$D$6:$D$23)*$G942</f>
        <v>5.5713928571428575</v>
      </c>
      <c r="K942" s="255"/>
      <c r="L942" s="186">
        <v>254</v>
      </c>
      <c r="M942" s="3">
        <v>488</v>
      </c>
      <c r="N942" s="99">
        <f t="shared" si="199"/>
        <v>60.711844906904282</v>
      </c>
      <c r="O942" s="99">
        <f t="shared" si="200"/>
        <v>116.64322958491846</v>
      </c>
      <c r="P942" s="131">
        <v>0.9</v>
      </c>
      <c r="Q942" s="186">
        <f t="shared" si="206"/>
        <v>54.640660416213855</v>
      </c>
      <c r="R942" s="186">
        <f t="shared" si="206"/>
        <v>104.97890662642662</v>
      </c>
      <c r="S942" s="151" t="s">
        <v>1766</v>
      </c>
      <c r="T942" s="51" t="s">
        <v>3660</v>
      </c>
      <c r="U942" s="151" t="s">
        <v>1900</v>
      </c>
      <c r="V942" s="51" t="s">
        <v>3472</v>
      </c>
      <c r="W942" s="19"/>
      <c r="X942" s="19"/>
      <c r="Y942" s="99">
        <v>61</v>
      </c>
    </row>
    <row r="943" spans="2:25" ht="20" x14ac:dyDescent="0.2">
      <c r="B943" s="151" t="s">
        <v>1500</v>
      </c>
      <c r="C943" s="33" t="s">
        <v>106</v>
      </c>
      <c r="D943" s="33" t="s">
        <v>2876</v>
      </c>
      <c r="E943" s="175">
        <v>1</v>
      </c>
      <c r="F943" s="151" t="s">
        <v>1128</v>
      </c>
      <c r="G943" s="174">
        <v>0.2546194</v>
      </c>
      <c r="H943" s="152">
        <v>0.15717246913580246</v>
      </c>
      <c r="I943" s="175">
        <v>138</v>
      </c>
      <c r="J943" s="266">
        <f>_xlfn.XLOOKUP($I943,Inputs!$C$6:$C$23,Inputs!$D$6:$D$23)*$G943</f>
        <v>0.110395697</v>
      </c>
      <c r="K943" s="267">
        <f>IF((42.4*(H943)^(-0.6595))&gt;=3,3,(IF(42.4*(H943)^(-0.6595)&lt;=0.5,0.5,(42.4*(H943)^(-0.6595)))))</f>
        <v>3</v>
      </c>
      <c r="L943" s="99"/>
      <c r="M943" s="99"/>
      <c r="N943" s="99">
        <f t="shared" si="199"/>
        <v>0</v>
      </c>
      <c r="O943" s="99">
        <f t="shared" si="200"/>
        <v>0</v>
      </c>
      <c r="P943" s="131">
        <v>0.9</v>
      </c>
      <c r="Q943" s="305">
        <f>_xlfn.XLOOKUP($I943,Inputs!$G$6:$G$23,Inputs!J$6:J$23)*$K943</f>
        <v>141</v>
      </c>
      <c r="R943" s="305">
        <f>_xlfn.XLOOKUP($I943,Inputs!$G$6:$G$23,Inputs!K$6:K$23)*$K943</f>
        <v>156</v>
      </c>
      <c r="S943" s="151" t="s">
        <v>2422</v>
      </c>
      <c r="T943" s="51" t="s">
        <v>2073</v>
      </c>
      <c r="U943" s="151" t="s">
        <v>1901</v>
      </c>
      <c r="V943" s="51" t="s">
        <v>3530</v>
      </c>
      <c r="W943" s="19"/>
      <c r="X943" s="19"/>
      <c r="Y943" s="99">
        <v>184</v>
      </c>
    </row>
    <row r="944" spans="2:25" ht="20" x14ac:dyDescent="0.2">
      <c r="B944" s="150" t="s">
        <v>474</v>
      </c>
      <c r="C944" s="33" t="s">
        <v>106</v>
      </c>
      <c r="D944" s="33" t="s">
        <v>2876</v>
      </c>
      <c r="E944" s="175">
        <v>1</v>
      </c>
      <c r="F944" s="151" t="s">
        <v>1128</v>
      </c>
      <c r="G944" s="152">
        <v>18.89</v>
      </c>
      <c r="H944" s="152">
        <v>11.660493827160494</v>
      </c>
      <c r="I944" s="175">
        <v>138</v>
      </c>
      <c r="J944" s="266">
        <f>_xlfn.XLOOKUP($I944,Inputs!$C$6:$C$23,Inputs!$D$6:$D$23)*$G944</f>
        <v>8.1901642857142871</v>
      </c>
      <c r="K944" s="255"/>
      <c r="L944" s="186">
        <v>472</v>
      </c>
      <c r="M944" s="186">
        <v>658</v>
      </c>
      <c r="N944" s="99">
        <f t="shared" si="199"/>
        <v>112.8188614018064</v>
      </c>
      <c r="O944" s="99">
        <f t="shared" si="200"/>
        <v>157.2771415304843</v>
      </c>
      <c r="P944" s="131">
        <v>0.9</v>
      </c>
      <c r="Q944" s="186">
        <f t="shared" ref="Q944:R946" si="207">N944*$P944</f>
        <v>101.53697526162577</v>
      </c>
      <c r="R944" s="186">
        <f t="shared" si="207"/>
        <v>141.54942737743588</v>
      </c>
      <c r="S944" s="151" t="s">
        <v>2421</v>
      </c>
      <c r="T944" s="51" t="s">
        <v>2071</v>
      </c>
      <c r="U944" s="151" t="s">
        <v>2422</v>
      </c>
      <c r="V944" s="51" t="s">
        <v>2073</v>
      </c>
      <c r="W944" s="19"/>
      <c r="X944" s="19"/>
      <c r="Y944" s="99">
        <v>183</v>
      </c>
    </row>
    <row r="945" spans="2:25" ht="20" x14ac:dyDescent="0.2">
      <c r="B945" s="150" t="s">
        <v>560</v>
      </c>
      <c r="C945" s="33" t="s">
        <v>106</v>
      </c>
      <c r="D945" s="33" t="s">
        <v>2876</v>
      </c>
      <c r="E945" s="175">
        <v>1</v>
      </c>
      <c r="F945" s="151" t="s">
        <v>1128</v>
      </c>
      <c r="G945" s="152">
        <v>12.432458500000001</v>
      </c>
      <c r="H945" s="152">
        <v>7.6743570987654319</v>
      </c>
      <c r="I945" s="175">
        <v>230</v>
      </c>
      <c r="J945" s="266">
        <f>_xlfn.XLOOKUP($I945,Inputs!$C$6:$C$23,Inputs!$D$6:$D$23)*$G945</f>
        <v>5.9675800800000003</v>
      </c>
      <c r="K945" s="255"/>
      <c r="L945" s="186">
        <v>830</v>
      </c>
      <c r="M945" s="186">
        <v>1000</v>
      </c>
      <c r="N945" s="99">
        <f t="shared" si="199"/>
        <v>330.64849916489862</v>
      </c>
      <c r="O945" s="99">
        <f t="shared" si="200"/>
        <v>398.37168574084171</v>
      </c>
      <c r="P945" s="131">
        <v>0.9</v>
      </c>
      <c r="Q945" s="186">
        <f t="shared" si="207"/>
        <v>297.58364924840879</v>
      </c>
      <c r="R945" s="186">
        <f t="shared" si="207"/>
        <v>358.53451716675755</v>
      </c>
      <c r="S945" s="151" t="s">
        <v>1572</v>
      </c>
      <c r="T945" s="51" t="s">
        <v>3194</v>
      </c>
      <c r="U945" s="151" t="s">
        <v>1902</v>
      </c>
      <c r="V945" s="51" t="s">
        <v>3335</v>
      </c>
      <c r="W945" s="19"/>
      <c r="X945" s="19"/>
      <c r="Y945" s="99">
        <v>407</v>
      </c>
    </row>
    <row r="946" spans="2:25" ht="20" x14ac:dyDescent="0.2">
      <c r="B946" s="150" t="s">
        <v>520</v>
      </c>
      <c r="C946" s="33" t="s">
        <v>106</v>
      </c>
      <c r="D946" s="33" t="s">
        <v>2876</v>
      </c>
      <c r="E946" s="175">
        <v>1</v>
      </c>
      <c r="F946" s="151" t="s">
        <v>1128</v>
      </c>
      <c r="G946" s="152">
        <v>1</v>
      </c>
      <c r="H946" s="152">
        <v>0.61728395061728392</v>
      </c>
      <c r="I946" s="175">
        <v>138</v>
      </c>
      <c r="J946" s="266">
        <f>_xlfn.XLOOKUP($I946,Inputs!$C$6:$C$23,Inputs!$D$6:$D$23)*$G946</f>
        <v>0.43357142857142861</v>
      </c>
      <c r="K946" s="255"/>
      <c r="L946" s="186">
        <v>430</v>
      </c>
      <c r="M946" s="186">
        <v>545</v>
      </c>
      <c r="N946" s="99">
        <f t="shared" si="199"/>
        <v>102.77989492113718</v>
      </c>
      <c r="O946" s="99">
        <f t="shared" si="200"/>
        <v>130.26754123725524</v>
      </c>
      <c r="P946" s="131">
        <v>0.9</v>
      </c>
      <c r="Q946" s="186">
        <f t="shared" si="207"/>
        <v>92.501905429023466</v>
      </c>
      <c r="R946" s="186">
        <f t="shared" si="207"/>
        <v>117.24078711352972</v>
      </c>
      <c r="S946" s="151" t="s">
        <v>2468</v>
      </c>
      <c r="T946" s="51" t="s">
        <v>2120</v>
      </c>
      <c r="U946" s="151" t="s">
        <v>204</v>
      </c>
      <c r="V946" s="51" t="s">
        <v>3555</v>
      </c>
      <c r="W946" s="19"/>
      <c r="X946" s="19"/>
      <c r="Y946" s="99">
        <v>336</v>
      </c>
    </row>
    <row r="947" spans="2:25" ht="20" x14ac:dyDescent="0.2">
      <c r="B947" s="230" t="s">
        <v>2699</v>
      </c>
      <c r="C947" s="51" t="s">
        <v>173</v>
      </c>
      <c r="D947" s="33" t="s">
        <v>2876</v>
      </c>
      <c r="E947" s="231">
        <v>1</v>
      </c>
      <c r="F947" s="230" t="s">
        <v>1128</v>
      </c>
      <c r="G947" s="232">
        <v>1</v>
      </c>
      <c r="H947" s="232">
        <v>0.61728395061728392</v>
      </c>
      <c r="I947" s="231">
        <v>63</v>
      </c>
      <c r="J947" s="266">
        <f>_xlfn.XLOOKUP($I947,Inputs!$C$6:$C$23,Inputs!$D$6:$D$23)*$G947</f>
        <v>0.38</v>
      </c>
      <c r="K947" s="267">
        <f>IF((42.4*(H947)^(-0.6595))&gt;=3,3,(IF(42.4*(H947)^(-0.6595)&lt;=0.5,0.5,(42.4*(H947)^(-0.6595)))))</f>
        <v>3</v>
      </c>
      <c r="L947" s="99"/>
      <c r="M947" s="99"/>
      <c r="N947" s="99"/>
      <c r="O947" s="99"/>
      <c r="P947" s="69"/>
      <c r="Q947" s="305">
        <f>_xlfn.XLOOKUP($I947,Inputs!$G$6:$G$23,Inputs!J$6:J$23)*$K947</f>
        <v>29.767499999999998</v>
      </c>
      <c r="R947" s="305">
        <f>_xlfn.XLOOKUP($I947,Inputs!$G$6:$G$23,Inputs!K$6:K$23)*$K947</f>
        <v>32.532786885245905</v>
      </c>
      <c r="S947" s="230" t="s">
        <v>1936</v>
      </c>
      <c r="T947" s="51" t="s">
        <v>3356</v>
      </c>
      <c r="U947" s="230" t="s">
        <v>2700</v>
      </c>
      <c r="V947" s="51" t="s">
        <v>3707</v>
      </c>
      <c r="W947" s="19"/>
      <c r="X947" s="19" t="s">
        <v>3706</v>
      </c>
      <c r="Y947" s="99">
        <v>1014</v>
      </c>
    </row>
    <row r="948" spans="2:25" ht="20" x14ac:dyDescent="0.2">
      <c r="B948" s="230" t="s">
        <v>2679</v>
      </c>
      <c r="C948" s="51" t="s">
        <v>173</v>
      </c>
      <c r="D948" s="33" t="s">
        <v>2876</v>
      </c>
      <c r="E948" s="231">
        <v>1</v>
      </c>
      <c r="F948" s="230" t="s">
        <v>1128</v>
      </c>
      <c r="G948" s="232">
        <v>3.5</v>
      </c>
      <c r="H948" s="232">
        <v>2.1604938271604937</v>
      </c>
      <c r="I948" s="231">
        <v>63</v>
      </c>
      <c r="J948" s="266">
        <f>_xlfn.XLOOKUP($I948,Inputs!$C$6:$C$23,Inputs!$D$6:$D$23)*$G948</f>
        <v>1.33</v>
      </c>
      <c r="K948" s="267">
        <f>IF((42.4*(H948)^(-0.6595))&gt;=3,3,(IF(42.4*(H948)^(-0.6595)&lt;=0.5,0.5,(42.4*(H948)^(-0.6595)))))</f>
        <v>3</v>
      </c>
      <c r="L948" s="99"/>
      <c r="M948" s="99"/>
      <c r="N948" s="99"/>
      <c r="O948" s="99"/>
      <c r="P948" s="69"/>
      <c r="Q948" s="305">
        <f>_xlfn.XLOOKUP($I948,Inputs!$G$6:$G$23,Inputs!J$6:J$23)*$K948</f>
        <v>29.767499999999998</v>
      </c>
      <c r="R948" s="305">
        <f>_xlfn.XLOOKUP($I948,Inputs!$G$6:$G$23,Inputs!K$6:K$23)*$K948</f>
        <v>32.532786885245905</v>
      </c>
      <c r="S948" s="230" t="s">
        <v>2681</v>
      </c>
      <c r="T948" s="51" t="s">
        <v>3345</v>
      </c>
      <c r="U948" s="230" t="s">
        <v>308</v>
      </c>
      <c r="V948" s="179" t="s">
        <v>3542</v>
      </c>
      <c r="W948" s="19"/>
      <c r="X948" s="19"/>
      <c r="Y948" s="99">
        <v>1108</v>
      </c>
    </row>
    <row r="949" spans="2:25" ht="20" x14ac:dyDescent="0.2">
      <c r="B949" s="150" t="s">
        <v>572</v>
      </c>
      <c r="C949" s="33" t="s">
        <v>106</v>
      </c>
      <c r="D949" s="33" t="s">
        <v>2876</v>
      </c>
      <c r="E949" s="175">
        <v>1</v>
      </c>
      <c r="F949" s="151" t="s">
        <v>1128</v>
      </c>
      <c r="G949" s="152">
        <v>89.592951799999994</v>
      </c>
      <c r="H949" s="152">
        <v>55.304291234567891</v>
      </c>
      <c r="I949" s="175">
        <v>230</v>
      </c>
      <c r="J949" s="266">
        <f>_xlfn.XLOOKUP($I949,Inputs!$C$6:$C$23,Inputs!$D$6:$D$23)*$G949</f>
        <v>43.004616863999999</v>
      </c>
      <c r="K949" s="255"/>
      <c r="L949" s="186">
        <v>512</v>
      </c>
      <c r="M949" s="186">
        <v>1940</v>
      </c>
      <c r="N949" s="99">
        <f t="shared" ref="N949:N968" si="208">(SQRT(3)*L949*$I949)/1000</f>
        <v>203.96630309931098</v>
      </c>
      <c r="O949" s="99">
        <f t="shared" ref="O949:O968" si="209">(SQRT(3)*M949*$I949)/1000</f>
        <v>772.84107033723296</v>
      </c>
      <c r="P949" s="131">
        <v>0.9</v>
      </c>
      <c r="Q949" s="186">
        <f t="shared" ref="Q949:Q958" si="210">N949*$P949</f>
        <v>183.56967278937989</v>
      </c>
      <c r="R949" s="186">
        <f t="shared" ref="R949:R958" si="211">O949*$P949</f>
        <v>695.55696330350963</v>
      </c>
      <c r="S949" s="151" t="s">
        <v>1753</v>
      </c>
      <c r="T949" s="51" t="s">
        <v>3282</v>
      </c>
      <c r="U949" s="184" t="s">
        <v>2817</v>
      </c>
      <c r="V949" s="291" t="s">
        <v>3725</v>
      </c>
      <c r="W949" s="19"/>
      <c r="X949" s="19"/>
      <c r="Y949" s="99">
        <v>421</v>
      </c>
    </row>
    <row r="950" spans="2:25" ht="20" x14ac:dyDescent="0.2">
      <c r="B950" s="150" t="s">
        <v>573</v>
      </c>
      <c r="C950" s="33" t="s">
        <v>106</v>
      </c>
      <c r="D950" s="33" t="s">
        <v>2876</v>
      </c>
      <c r="E950" s="175">
        <v>1</v>
      </c>
      <c r="F950" s="151" t="s">
        <v>1128</v>
      </c>
      <c r="G950" s="152">
        <v>90.80482889999999</v>
      </c>
      <c r="H950" s="152">
        <v>56.052363518518511</v>
      </c>
      <c r="I950" s="175">
        <v>230</v>
      </c>
      <c r="J950" s="266">
        <f>_xlfn.XLOOKUP($I950,Inputs!$C$6:$C$23,Inputs!$D$6:$D$23)*$G950</f>
        <v>43.586317871999995</v>
      </c>
      <c r="K950" s="255"/>
      <c r="L950" s="186">
        <v>512</v>
      </c>
      <c r="M950" s="186">
        <v>1940</v>
      </c>
      <c r="N950" s="99">
        <f t="shared" si="208"/>
        <v>203.96630309931098</v>
      </c>
      <c r="O950" s="99">
        <f t="shared" si="209"/>
        <v>772.84107033723296</v>
      </c>
      <c r="P950" s="131">
        <v>0.9</v>
      </c>
      <c r="Q950" s="186">
        <f t="shared" si="210"/>
        <v>183.56967278937989</v>
      </c>
      <c r="R950" s="186">
        <f t="shared" si="211"/>
        <v>695.55696330350963</v>
      </c>
      <c r="S950" s="151" t="s">
        <v>1753</v>
      </c>
      <c r="T950" s="51" t="s">
        <v>3282</v>
      </c>
      <c r="U950" s="298" t="s">
        <v>2817</v>
      </c>
      <c r="V950" s="291" t="s">
        <v>3725</v>
      </c>
      <c r="W950" s="19"/>
      <c r="X950" s="19"/>
      <c r="Y950" s="99">
        <v>422</v>
      </c>
    </row>
    <row r="951" spans="2:25" ht="20" x14ac:dyDescent="0.2">
      <c r="B951" s="150" t="s">
        <v>1259</v>
      </c>
      <c r="C951" s="33" t="s">
        <v>106</v>
      </c>
      <c r="D951" s="33" t="s">
        <v>2876</v>
      </c>
      <c r="E951" s="175">
        <v>1</v>
      </c>
      <c r="F951" s="151" t="s">
        <v>1128</v>
      </c>
      <c r="G951" s="152">
        <v>8.8812330999999993</v>
      </c>
      <c r="H951" s="152">
        <v>5.482242654320987</v>
      </c>
      <c r="I951" s="175">
        <v>69</v>
      </c>
      <c r="J951" s="266">
        <f>_xlfn.XLOOKUP($I951,Inputs!$C$6:$C$23,Inputs!$D$6:$D$23)*$G951</f>
        <v>3.4129310055714281</v>
      </c>
      <c r="K951" s="255"/>
      <c r="L951" s="186">
        <v>731</v>
      </c>
      <c r="M951" s="186">
        <v>880</v>
      </c>
      <c r="N951" s="99">
        <f t="shared" si="208"/>
        <v>87.3629106829666</v>
      </c>
      <c r="O951" s="99">
        <f t="shared" si="209"/>
        <v>105.17012503558223</v>
      </c>
      <c r="P951" s="131">
        <v>0.9</v>
      </c>
      <c r="Q951" s="186">
        <f t="shared" si="210"/>
        <v>78.626619614669949</v>
      </c>
      <c r="R951" s="186">
        <f t="shared" si="211"/>
        <v>94.653112532024011</v>
      </c>
      <c r="S951" s="151" t="s">
        <v>1863</v>
      </c>
      <c r="T951" s="51" t="s">
        <v>3154</v>
      </c>
      <c r="U951" s="151" t="s">
        <v>1903</v>
      </c>
      <c r="V951" s="51" t="s">
        <v>3336</v>
      </c>
      <c r="W951" s="19"/>
      <c r="X951" s="19"/>
      <c r="Y951" s="99">
        <v>775</v>
      </c>
    </row>
    <row r="952" spans="2:25" ht="20" x14ac:dyDescent="0.2">
      <c r="B952" s="150" t="s">
        <v>577</v>
      </c>
      <c r="C952" s="33" t="s">
        <v>106</v>
      </c>
      <c r="D952" s="33" t="s">
        <v>2876</v>
      </c>
      <c r="E952" s="175">
        <v>1</v>
      </c>
      <c r="F952" s="151" t="s">
        <v>1128</v>
      </c>
      <c r="G952" s="152">
        <v>33.308880700000003</v>
      </c>
      <c r="H952" s="152">
        <v>20.561037469135805</v>
      </c>
      <c r="I952" s="175">
        <v>230</v>
      </c>
      <c r="J952" s="266">
        <f>_xlfn.XLOOKUP($I952,Inputs!$C$6:$C$23,Inputs!$D$6:$D$23)*$G952</f>
        <v>15.988262736000001</v>
      </c>
      <c r="K952" s="255"/>
      <c r="L952" s="186">
        <v>950</v>
      </c>
      <c r="M952" s="186">
        <v>1180</v>
      </c>
      <c r="N952" s="99">
        <f t="shared" si="208"/>
        <v>378.45310145379972</v>
      </c>
      <c r="O952" s="99">
        <f t="shared" si="209"/>
        <v>470.07858917419327</v>
      </c>
      <c r="P952" s="131">
        <v>0.9</v>
      </c>
      <c r="Q952" s="186">
        <f t="shared" si="210"/>
        <v>340.60779130841973</v>
      </c>
      <c r="R952" s="186">
        <f t="shared" si="211"/>
        <v>423.07073025677397</v>
      </c>
      <c r="S952" s="151" t="s">
        <v>365</v>
      </c>
      <c r="T952" s="51" t="s">
        <v>3355</v>
      </c>
      <c r="U952" s="151" t="s">
        <v>1904</v>
      </c>
      <c r="V952" s="51" t="s">
        <v>3337</v>
      </c>
      <c r="W952" s="19"/>
      <c r="X952" s="19"/>
      <c r="Y952" s="99">
        <v>426</v>
      </c>
    </row>
    <row r="953" spans="2:25" ht="20" x14ac:dyDescent="0.2">
      <c r="B953" s="151" t="s">
        <v>1496</v>
      </c>
      <c r="C953" s="33" t="s">
        <v>106</v>
      </c>
      <c r="D953" s="33" t="s">
        <v>2876</v>
      </c>
      <c r="E953" s="175">
        <v>1</v>
      </c>
      <c r="F953" s="151" t="s">
        <v>1128</v>
      </c>
      <c r="G953" s="174">
        <v>0.9</v>
      </c>
      <c r="H953" s="152">
        <v>0.55555555555555558</v>
      </c>
      <c r="I953" s="175">
        <v>138</v>
      </c>
      <c r="J953" s="266">
        <f>_xlfn.XLOOKUP($I953,Inputs!$C$6:$C$23,Inputs!$D$6:$D$23)*$G953</f>
        <v>0.39021428571428574</v>
      </c>
      <c r="K953" s="255"/>
      <c r="L953" s="186">
        <v>650</v>
      </c>
      <c r="M953" s="186">
        <v>780</v>
      </c>
      <c r="N953" s="99">
        <f t="shared" si="208"/>
        <v>155.36495743892829</v>
      </c>
      <c r="O953" s="99">
        <f t="shared" si="209"/>
        <v>186.43794892671391</v>
      </c>
      <c r="P953" s="131">
        <v>0.9</v>
      </c>
      <c r="Q953" s="186">
        <f t="shared" si="210"/>
        <v>139.82846169503546</v>
      </c>
      <c r="R953" s="186">
        <f t="shared" si="211"/>
        <v>167.79415403404252</v>
      </c>
      <c r="S953" s="151" t="s">
        <v>2402</v>
      </c>
      <c r="T953" s="51" t="s">
        <v>2052</v>
      </c>
      <c r="U953" s="151" t="s">
        <v>1905</v>
      </c>
      <c r="V953" s="51" t="s">
        <v>3531</v>
      </c>
      <c r="W953" s="19"/>
      <c r="X953" s="19"/>
      <c r="Y953" s="99">
        <v>84</v>
      </c>
    </row>
    <row r="954" spans="2:25" ht="20" x14ac:dyDescent="0.2">
      <c r="B954" s="151" t="s">
        <v>1497</v>
      </c>
      <c r="C954" s="33" t="s">
        <v>106</v>
      </c>
      <c r="D954" s="33" t="s">
        <v>2876</v>
      </c>
      <c r="E954" s="175">
        <v>1</v>
      </c>
      <c r="F954" s="151" t="s">
        <v>1128</v>
      </c>
      <c r="G954" s="174">
        <v>0.93</v>
      </c>
      <c r="H954" s="152">
        <v>0.57407407407407407</v>
      </c>
      <c r="I954" s="175">
        <v>138</v>
      </c>
      <c r="J954" s="266">
        <f>_xlfn.XLOOKUP($I954,Inputs!$C$6:$C$23,Inputs!$D$6:$D$23)*$G954</f>
        <v>0.40322142857142862</v>
      </c>
      <c r="K954" s="255"/>
      <c r="L954" s="186">
        <v>650</v>
      </c>
      <c r="M954" s="186">
        <v>780</v>
      </c>
      <c r="N954" s="99">
        <f t="shared" si="208"/>
        <v>155.36495743892829</v>
      </c>
      <c r="O954" s="99">
        <f t="shared" si="209"/>
        <v>186.43794892671391</v>
      </c>
      <c r="P954" s="131">
        <v>0.9</v>
      </c>
      <c r="Q954" s="186">
        <f t="shared" si="210"/>
        <v>139.82846169503546</v>
      </c>
      <c r="R954" s="186">
        <f t="shared" si="211"/>
        <v>167.79415403404252</v>
      </c>
      <c r="S954" s="151" t="s">
        <v>2402</v>
      </c>
      <c r="T954" s="51" t="s">
        <v>2052</v>
      </c>
      <c r="U954" s="151" t="s">
        <v>1905</v>
      </c>
      <c r="V954" s="51" t="s">
        <v>3531</v>
      </c>
      <c r="W954" s="19"/>
      <c r="X954" s="19"/>
      <c r="Y954" s="99">
        <v>142</v>
      </c>
    </row>
    <row r="955" spans="2:25" ht="20" x14ac:dyDescent="0.2">
      <c r="B955" s="150" t="s">
        <v>439</v>
      </c>
      <c r="C955" s="33" t="s">
        <v>106</v>
      </c>
      <c r="D955" s="33" t="s">
        <v>2876</v>
      </c>
      <c r="E955" s="175">
        <v>1</v>
      </c>
      <c r="F955" s="151" t="s">
        <v>1128</v>
      </c>
      <c r="G955" s="152">
        <v>7</v>
      </c>
      <c r="H955" s="152">
        <v>4.3209876543209873</v>
      </c>
      <c r="I955" s="175">
        <v>138</v>
      </c>
      <c r="J955" s="266">
        <f>_xlfn.XLOOKUP($I955,Inputs!$C$6:$C$23,Inputs!$D$6:$D$23)*$G955</f>
        <v>3.0350000000000001</v>
      </c>
      <c r="K955" s="255"/>
      <c r="L955" s="186">
        <v>520</v>
      </c>
      <c r="M955" s="186">
        <v>735</v>
      </c>
      <c r="N955" s="99">
        <f t="shared" si="208"/>
        <v>124.29196595114263</v>
      </c>
      <c r="O955" s="99">
        <f t="shared" si="209"/>
        <v>175.68191341171124</v>
      </c>
      <c r="P955" s="131">
        <v>0.9</v>
      </c>
      <c r="Q955" s="186">
        <f t="shared" si="210"/>
        <v>111.86276935602837</v>
      </c>
      <c r="R955" s="186">
        <f t="shared" si="211"/>
        <v>158.11372207054012</v>
      </c>
      <c r="S955" s="151" t="s">
        <v>1726</v>
      </c>
      <c r="T955" s="51" t="s">
        <v>3269</v>
      </c>
      <c r="U955" s="151" t="s">
        <v>2402</v>
      </c>
      <c r="V955" s="51" t="s">
        <v>2052</v>
      </c>
      <c r="W955" s="19"/>
      <c r="X955" s="19"/>
      <c r="Y955" s="99">
        <v>83</v>
      </c>
    </row>
    <row r="956" spans="2:25" ht="20" x14ac:dyDescent="0.2">
      <c r="B956" s="150" t="s">
        <v>460</v>
      </c>
      <c r="C956" s="33" t="s">
        <v>106</v>
      </c>
      <c r="D956" s="33" t="s">
        <v>2876</v>
      </c>
      <c r="E956" s="175">
        <v>1</v>
      </c>
      <c r="F956" s="151" t="s">
        <v>1128</v>
      </c>
      <c r="G956" s="152">
        <v>7</v>
      </c>
      <c r="H956" s="152">
        <v>4.3209876543209873</v>
      </c>
      <c r="I956" s="175">
        <v>138</v>
      </c>
      <c r="J956" s="266">
        <f>_xlfn.XLOOKUP($I956,Inputs!$C$6:$C$23,Inputs!$D$6:$D$23)*$G956</f>
        <v>3.0350000000000001</v>
      </c>
      <c r="K956" s="255"/>
      <c r="L956" s="186">
        <v>591</v>
      </c>
      <c r="M956" s="186">
        <v>781</v>
      </c>
      <c r="N956" s="99">
        <f t="shared" si="208"/>
        <v>141.2625997637025</v>
      </c>
      <c r="O956" s="99">
        <f t="shared" si="209"/>
        <v>186.67697193815843</v>
      </c>
      <c r="P956" s="131">
        <v>0.9</v>
      </c>
      <c r="Q956" s="186">
        <f t="shared" si="210"/>
        <v>127.13633978733225</v>
      </c>
      <c r="R956" s="186">
        <f t="shared" si="211"/>
        <v>168.0092747443426</v>
      </c>
      <c r="S956" s="151" t="s">
        <v>1726</v>
      </c>
      <c r="T956" s="51" t="s">
        <v>3269</v>
      </c>
      <c r="U956" s="151" t="s">
        <v>2402</v>
      </c>
      <c r="V956" s="51" t="s">
        <v>2052</v>
      </c>
      <c r="W956" s="19"/>
      <c r="X956" s="19"/>
      <c r="Y956" s="99">
        <v>141</v>
      </c>
    </row>
    <row r="957" spans="2:25" ht="20" x14ac:dyDescent="0.2">
      <c r="B957" s="150" t="s">
        <v>1226</v>
      </c>
      <c r="C957" s="33" t="s">
        <v>106</v>
      </c>
      <c r="D957" s="33" t="s">
        <v>2876</v>
      </c>
      <c r="E957" s="175">
        <v>1</v>
      </c>
      <c r="F957" s="151" t="s">
        <v>1128</v>
      </c>
      <c r="G957" s="152">
        <v>0.4258168</v>
      </c>
      <c r="H957" s="152">
        <v>0.26284987654320985</v>
      </c>
      <c r="I957" s="175">
        <v>69</v>
      </c>
      <c r="J957" s="266">
        <f>_xlfn.XLOOKUP($I957,Inputs!$C$6:$C$23,Inputs!$D$6:$D$23)*$G957</f>
        <v>0.16363531314285715</v>
      </c>
      <c r="K957" s="255"/>
      <c r="L957" s="186">
        <v>730</v>
      </c>
      <c r="M957" s="186">
        <v>940</v>
      </c>
      <c r="N957" s="99">
        <f t="shared" si="208"/>
        <v>87.243399177244342</v>
      </c>
      <c r="O957" s="99">
        <f t="shared" si="209"/>
        <v>112.34081537891738</v>
      </c>
      <c r="P957" s="131">
        <v>0.9</v>
      </c>
      <c r="Q957" s="186">
        <f t="shared" si="210"/>
        <v>78.519059259519906</v>
      </c>
      <c r="R957" s="186">
        <f t="shared" si="211"/>
        <v>101.10673384102564</v>
      </c>
      <c r="S957" s="151" t="s">
        <v>2514</v>
      </c>
      <c r="T957" s="51" t="s">
        <v>2173</v>
      </c>
      <c r="U957" s="151" t="s">
        <v>1906</v>
      </c>
      <c r="V957" s="51" t="s">
        <v>3677</v>
      </c>
      <c r="W957" s="19"/>
      <c r="X957" s="19"/>
      <c r="Y957" s="99">
        <v>712</v>
      </c>
    </row>
    <row r="958" spans="2:25" ht="20" x14ac:dyDescent="0.2">
      <c r="B958" s="150" t="s">
        <v>1224</v>
      </c>
      <c r="C958" s="33" t="s">
        <v>106</v>
      </c>
      <c r="D958" s="33" t="s">
        <v>2876</v>
      </c>
      <c r="E958" s="175">
        <v>1</v>
      </c>
      <c r="F958" s="151" t="s">
        <v>1128</v>
      </c>
      <c r="G958" s="152">
        <v>0.5</v>
      </c>
      <c r="H958" s="152">
        <v>0.30864197530864196</v>
      </c>
      <c r="I958" s="175">
        <v>69</v>
      </c>
      <c r="J958" s="266">
        <f>_xlfn.XLOOKUP($I958,Inputs!$C$6:$C$23,Inputs!$D$6:$D$23)*$G958</f>
        <v>0.19214285714285714</v>
      </c>
      <c r="K958" s="255"/>
      <c r="L958" s="186">
        <v>847</v>
      </c>
      <c r="M958" s="186">
        <v>1020</v>
      </c>
      <c r="N958" s="99">
        <f t="shared" si="208"/>
        <v>101.22624534674789</v>
      </c>
      <c r="O958" s="99">
        <f t="shared" si="209"/>
        <v>121.90173583669757</v>
      </c>
      <c r="P958" s="131">
        <v>0.9</v>
      </c>
      <c r="Q958" s="186">
        <f t="shared" si="210"/>
        <v>91.103620812073103</v>
      </c>
      <c r="R958" s="186">
        <f t="shared" si="211"/>
        <v>109.71156225302781</v>
      </c>
      <c r="S958" s="151" t="s">
        <v>2513</v>
      </c>
      <c r="T958" s="51" t="s">
        <v>2172</v>
      </c>
      <c r="U958" s="151" t="s">
        <v>2514</v>
      </c>
      <c r="V958" s="51" t="s">
        <v>2173</v>
      </c>
      <c r="W958" s="19"/>
      <c r="X958" s="19"/>
      <c r="Y958" s="99">
        <v>711</v>
      </c>
    </row>
    <row r="959" spans="2:25" ht="20" x14ac:dyDescent="0.2">
      <c r="B959" s="150" t="s">
        <v>1457</v>
      </c>
      <c r="C959" s="33" t="s">
        <v>106</v>
      </c>
      <c r="D959" s="33" t="s">
        <v>2876</v>
      </c>
      <c r="E959" s="175">
        <v>1</v>
      </c>
      <c r="F959" s="151" t="s">
        <v>1128</v>
      </c>
      <c r="G959" s="152">
        <v>4.4051199999999999E-2</v>
      </c>
      <c r="H959" s="152">
        <v>2.7192098765432098E-2</v>
      </c>
      <c r="I959" s="175">
        <v>230</v>
      </c>
      <c r="J959" s="266">
        <f>_xlfn.XLOOKUP($I959,Inputs!$C$6:$C$23,Inputs!$D$6:$D$23)*$G959</f>
        <v>2.1144575999999998E-2</v>
      </c>
      <c r="K959" s="267">
        <f>IF((42.4*(H959)^(-0.6595))&gt;=3,3,(IF(42.4*(H959)^(-0.6595)&lt;=0.5,0.5,(42.4*(H959)^(-0.6595)))))</f>
        <v>3</v>
      </c>
      <c r="L959" s="99"/>
      <c r="M959" s="99"/>
      <c r="N959" s="99">
        <f t="shared" si="208"/>
        <v>0</v>
      </c>
      <c r="O959" s="99">
        <f t="shared" si="209"/>
        <v>0</v>
      </c>
      <c r="P959" s="131">
        <v>0.9</v>
      </c>
      <c r="Q959" s="305">
        <f>_xlfn.XLOOKUP($I959,Inputs!$G$6:$G$23,Inputs!J$6:J$23)*$K959</f>
        <v>402</v>
      </c>
      <c r="R959" s="305">
        <f>_xlfn.XLOOKUP($I959,Inputs!$G$6:$G$23,Inputs!K$6:K$23)*$K959</f>
        <v>435</v>
      </c>
      <c r="S959" s="151" t="s">
        <v>2473</v>
      </c>
      <c r="T959" s="51" t="s">
        <v>2125</v>
      </c>
      <c r="U959" s="151" t="s">
        <v>1907</v>
      </c>
      <c r="V959" s="51" t="s">
        <v>3532</v>
      </c>
      <c r="W959" s="19"/>
      <c r="X959" s="19"/>
      <c r="Y959" s="99">
        <v>357</v>
      </c>
    </row>
    <row r="960" spans="2:25" ht="20" x14ac:dyDescent="0.2">
      <c r="B960" s="150" t="s">
        <v>1460</v>
      </c>
      <c r="C960" s="33" t="s">
        <v>106</v>
      </c>
      <c r="D960" s="33" t="s">
        <v>2876</v>
      </c>
      <c r="E960" s="175">
        <v>1</v>
      </c>
      <c r="F960" s="151" t="s">
        <v>1128</v>
      </c>
      <c r="G960" s="152">
        <v>7.7579400000000007E-2</v>
      </c>
      <c r="H960" s="152">
        <v>4.7888518518518518E-2</v>
      </c>
      <c r="I960" s="175">
        <v>230</v>
      </c>
      <c r="J960" s="266">
        <f>_xlfn.XLOOKUP($I960,Inputs!$C$6:$C$23,Inputs!$D$6:$D$23)*$G960</f>
        <v>3.7238112000000004E-2</v>
      </c>
      <c r="K960" s="267">
        <f>IF((42.4*(H960)^(-0.6595))&gt;=3,3,(IF(42.4*(H960)^(-0.6595)&lt;=0.5,0.5,(42.4*(H960)^(-0.6595)))))</f>
        <v>3</v>
      </c>
      <c r="L960" s="99"/>
      <c r="M960" s="99"/>
      <c r="N960" s="99">
        <f t="shared" si="208"/>
        <v>0</v>
      </c>
      <c r="O960" s="99">
        <f t="shared" si="209"/>
        <v>0</v>
      </c>
      <c r="P960" s="131">
        <v>0.9</v>
      </c>
      <c r="Q960" s="305">
        <f>_xlfn.XLOOKUP($I960,Inputs!$G$6:$G$23,Inputs!J$6:J$23)*$K960</f>
        <v>402</v>
      </c>
      <c r="R960" s="305">
        <f>_xlfn.XLOOKUP($I960,Inputs!$G$6:$G$23,Inputs!K$6:K$23)*$K960</f>
        <v>435</v>
      </c>
      <c r="S960" s="151" t="s">
        <v>2473</v>
      </c>
      <c r="T960" s="51" t="s">
        <v>2125</v>
      </c>
      <c r="U960" s="151" t="s">
        <v>1907</v>
      </c>
      <c r="V960" s="51" t="s">
        <v>3532</v>
      </c>
      <c r="W960" s="19"/>
      <c r="X960" s="19"/>
      <c r="Y960" s="99">
        <v>403</v>
      </c>
    </row>
    <row r="961" spans="2:25" ht="20" x14ac:dyDescent="0.2">
      <c r="B961" s="150" t="s">
        <v>1461</v>
      </c>
      <c r="C961" s="33" t="s">
        <v>106</v>
      </c>
      <c r="D961" s="33" t="s">
        <v>2876</v>
      </c>
      <c r="E961" s="175">
        <v>1</v>
      </c>
      <c r="F961" s="151" t="s">
        <v>1128</v>
      </c>
      <c r="G961" s="152">
        <v>5.0114600000000002E-2</v>
      </c>
      <c r="H961" s="152">
        <v>3.0934938271604939E-2</v>
      </c>
      <c r="I961" s="175">
        <v>230</v>
      </c>
      <c r="J961" s="266">
        <f>_xlfn.XLOOKUP($I961,Inputs!$C$6:$C$23,Inputs!$D$6:$D$23)*$G961</f>
        <v>2.4055007999999999E-2</v>
      </c>
      <c r="K961" s="267">
        <f>IF((42.4*(H961)^(-0.6595))&gt;=3,3,(IF(42.4*(H961)^(-0.6595)&lt;=0.5,0.5,(42.4*(H961)^(-0.6595)))))</f>
        <v>3</v>
      </c>
      <c r="L961" s="99"/>
      <c r="M961" s="99"/>
      <c r="N961" s="99">
        <f t="shared" si="208"/>
        <v>0</v>
      </c>
      <c r="O961" s="99">
        <f t="shared" si="209"/>
        <v>0</v>
      </c>
      <c r="P961" s="131">
        <v>0.9</v>
      </c>
      <c r="Q961" s="305">
        <f>_xlfn.XLOOKUP($I961,Inputs!$G$6:$G$23,Inputs!J$6:J$23)*$K961</f>
        <v>402</v>
      </c>
      <c r="R961" s="305">
        <f>_xlfn.XLOOKUP($I961,Inputs!$G$6:$G$23,Inputs!K$6:K$23)*$K961</f>
        <v>435</v>
      </c>
      <c r="S961" s="151" t="s">
        <v>2473</v>
      </c>
      <c r="T961" s="51" t="s">
        <v>2125</v>
      </c>
      <c r="U961" s="151" t="s">
        <v>1907</v>
      </c>
      <c r="V961" s="51" t="s">
        <v>3532</v>
      </c>
      <c r="W961" s="19"/>
      <c r="X961" s="19"/>
      <c r="Y961" s="99">
        <v>409</v>
      </c>
    </row>
    <row r="962" spans="2:25" ht="20" x14ac:dyDescent="0.2">
      <c r="B962" s="150" t="s">
        <v>526</v>
      </c>
      <c r="C962" s="33" t="s">
        <v>106</v>
      </c>
      <c r="D962" s="33" t="s">
        <v>2876</v>
      </c>
      <c r="E962" s="175">
        <v>1</v>
      </c>
      <c r="F962" s="151" t="s">
        <v>1128</v>
      </c>
      <c r="G962" s="152">
        <v>2.85</v>
      </c>
      <c r="H962" s="152">
        <v>1.7592592592592593</v>
      </c>
      <c r="I962" s="175">
        <v>230</v>
      </c>
      <c r="J962" s="266">
        <f>_xlfn.XLOOKUP($I962,Inputs!$C$6:$C$23,Inputs!$D$6:$D$23)*$G962</f>
        <v>1.3679999999999999</v>
      </c>
      <c r="K962" s="255"/>
      <c r="L962" s="186">
        <v>2084</v>
      </c>
      <c r="M962" s="3">
        <v>2540</v>
      </c>
      <c r="N962" s="99">
        <f t="shared" si="208"/>
        <v>830.2065930839143</v>
      </c>
      <c r="O962" s="99">
        <f t="shared" si="209"/>
        <v>1011.8640817817379</v>
      </c>
      <c r="P962" s="131">
        <v>0.9</v>
      </c>
      <c r="Q962" s="186">
        <f t="shared" ref="Q962:R968" si="212">N962*$P962</f>
        <v>747.18593377552293</v>
      </c>
      <c r="R962" s="186">
        <f t="shared" si="212"/>
        <v>910.67767360356413</v>
      </c>
      <c r="S962" s="151" t="s">
        <v>1730</v>
      </c>
      <c r="T962" s="51" t="s">
        <v>3204</v>
      </c>
      <c r="U962" s="151" t="s">
        <v>2473</v>
      </c>
      <c r="V962" s="51" t="s">
        <v>2125</v>
      </c>
      <c r="W962" s="19"/>
      <c r="X962" s="19"/>
      <c r="Y962" s="99">
        <v>356</v>
      </c>
    </row>
    <row r="963" spans="2:25" ht="20" x14ac:dyDescent="0.2">
      <c r="B963" s="150" t="s">
        <v>557</v>
      </c>
      <c r="C963" s="33" t="s">
        <v>106</v>
      </c>
      <c r="D963" s="33" t="s">
        <v>2876</v>
      </c>
      <c r="E963" s="175">
        <v>1</v>
      </c>
      <c r="F963" s="151" t="s">
        <v>1128</v>
      </c>
      <c r="G963" s="152">
        <v>2.88</v>
      </c>
      <c r="H963" s="152">
        <v>1.7777777777777777</v>
      </c>
      <c r="I963" s="175">
        <v>230</v>
      </c>
      <c r="J963" s="266">
        <f>_xlfn.XLOOKUP($I963,Inputs!$C$6:$C$23,Inputs!$D$6:$D$23)*$G963</f>
        <v>1.3823999999999999</v>
      </c>
      <c r="K963" s="255"/>
      <c r="L963" s="186">
        <v>585</v>
      </c>
      <c r="M963" s="186">
        <v>933</v>
      </c>
      <c r="N963" s="99">
        <f t="shared" si="208"/>
        <v>233.04743615839243</v>
      </c>
      <c r="O963" s="99">
        <f t="shared" si="209"/>
        <v>371.68078279620539</v>
      </c>
      <c r="P963" s="131">
        <v>0.9</v>
      </c>
      <c r="Q963" s="186">
        <f t="shared" si="212"/>
        <v>209.74269254255319</v>
      </c>
      <c r="R963" s="186">
        <f t="shared" si="212"/>
        <v>334.51270451658485</v>
      </c>
      <c r="S963" s="151" t="s">
        <v>1730</v>
      </c>
      <c r="T963" s="51" t="s">
        <v>3204</v>
      </c>
      <c r="U963" s="151" t="s">
        <v>2473</v>
      </c>
      <c r="V963" s="51" t="s">
        <v>2125</v>
      </c>
      <c r="W963" s="19"/>
      <c r="X963" s="19"/>
      <c r="Y963" s="99">
        <v>402</v>
      </c>
    </row>
    <row r="964" spans="2:25" ht="20" x14ac:dyDescent="0.2">
      <c r="B964" s="150" t="s">
        <v>561</v>
      </c>
      <c r="C964" s="33" t="s">
        <v>106</v>
      </c>
      <c r="D964" s="33" t="s">
        <v>2876</v>
      </c>
      <c r="E964" s="175">
        <v>1</v>
      </c>
      <c r="F964" s="151" t="s">
        <v>1128</v>
      </c>
      <c r="G964" s="152">
        <v>2.85</v>
      </c>
      <c r="H964" s="152">
        <v>1.7592592592592593</v>
      </c>
      <c r="I964" s="175">
        <v>230</v>
      </c>
      <c r="J964" s="266">
        <f>_xlfn.XLOOKUP($I964,Inputs!$C$6:$C$23,Inputs!$D$6:$D$23)*$G964</f>
        <v>1.3679999999999999</v>
      </c>
      <c r="K964" s="255"/>
      <c r="L964" s="186">
        <v>2084</v>
      </c>
      <c r="M964" s="186">
        <v>2540</v>
      </c>
      <c r="N964" s="99">
        <f t="shared" si="208"/>
        <v>830.2065930839143</v>
      </c>
      <c r="O964" s="99">
        <f t="shared" si="209"/>
        <v>1011.8640817817379</v>
      </c>
      <c r="P964" s="131">
        <v>0.9</v>
      </c>
      <c r="Q964" s="186">
        <f t="shared" si="212"/>
        <v>747.18593377552293</v>
      </c>
      <c r="R964" s="186">
        <f t="shared" si="212"/>
        <v>910.67767360356413</v>
      </c>
      <c r="S964" s="151" t="s">
        <v>1730</v>
      </c>
      <c r="T964" s="51" t="s">
        <v>3204</v>
      </c>
      <c r="U964" s="151" t="s">
        <v>2473</v>
      </c>
      <c r="V964" s="179" t="s">
        <v>2125</v>
      </c>
      <c r="W964" s="19"/>
      <c r="X964" s="19"/>
      <c r="Y964" s="99">
        <v>408</v>
      </c>
    </row>
    <row r="965" spans="2:25" ht="20" x14ac:dyDescent="0.2">
      <c r="B965" s="150" t="s">
        <v>1143</v>
      </c>
      <c r="C965" s="33" t="s">
        <v>106</v>
      </c>
      <c r="D965" s="33" t="s">
        <v>2876</v>
      </c>
      <c r="E965" s="175">
        <v>1</v>
      </c>
      <c r="F965" s="151" t="s">
        <v>1128</v>
      </c>
      <c r="G965" s="152">
        <v>35</v>
      </c>
      <c r="H965" s="152">
        <v>21.604938271604937</v>
      </c>
      <c r="I965" s="175">
        <v>69</v>
      </c>
      <c r="J965" s="266">
        <f>_xlfn.XLOOKUP($I965,Inputs!$C$6:$C$23,Inputs!$D$6:$D$23)*$G965</f>
        <v>13.45</v>
      </c>
      <c r="K965" s="255"/>
      <c r="L965" s="186">
        <v>440</v>
      </c>
      <c r="M965" s="186">
        <v>555</v>
      </c>
      <c r="N965" s="99">
        <f t="shared" si="208"/>
        <v>52.585062517791116</v>
      </c>
      <c r="O965" s="99">
        <f t="shared" si="209"/>
        <v>66.328885675850145</v>
      </c>
      <c r="P965" s="131">
        <v>0.9</v>
      </c>
      <c r="Q965" s="186">
        <f t="shared" si="212"/>
        <v>47.326556266012005</v>
      </c>
      <c r="R965" s="186">
        <f t="shared" si="212"/>
        <v>59.695997108265132</v>
      </c>
      <c r="S965" s="151" t="s">
        <v>2486</v>
      </c>
      <c r="T965" s="51" t="s">
        <v>2344</v>
      </c>
      <c r="U965" s="151" t="s">
        <v>1908</v>
      </c>
      <c r="V965" s="51" t="s">
        <v>3338</v>
      </c>
      <c r="W965" s="19"/>
      <c r="X965" s="19"/>
      <c r="Y965" s="99">
        <v>582</v>
      </c>
    </row>
    <row r="966" spans="2:25" ht="20" x14ac:dyDescent="0.2">
      <c r="B966" s="150" t="s">
        <v>629</v>
      </c>
      <c r="C966" s="33" t="s">
        <v>106</v>
      </c>
      <c r="D966" s="33" t="s">
        <v>2876</v>
      </c>
      <c r="E966" s="175">
        <v>1</v>
      </c>
      <c r="F966" s="151" t="s">
        <v>1128</v>
      </c>
      <c r="G966" s="152">
        <v>64.328077199999996</v>
      </c>
      <c r="H966" s="152">
        <v>39.708689629629625</v>
      </c>
      <c r="I966" s="175">
        <v>230</v>
      </c>
      <c r="J966" s="266">
        <f>_xlfn.XLOOKUP($I966,Inputs!$C$6:$C$23,Inputs!$D$6:$D$23)*$G966</f>
        <v>30.877477055999996</v>
      </c>
      <c r="K966" s="255"/>
      <c r="L966" s="186">
        <v>1055</v>
      </c>
      <c r="M966" s="186">
        <v>1280</v>
      </c>
      <c r="N966" s="99">
        <f t="shared" si="208"/>
        <v>420.282128456588</v>
      </c>
      <c r="O966" s="99">
        <f t="shared" si="209"/>
        <v>509.91575774827737</v>
      </c>
      <c r="P966" s="131">
        <v>0.9</v>
      </c>
      <c r="Q966" s="186">
        <f t="shared" si="212"/>
        <v>378.2539156109292</v>
      </c>
      <c r="R966" s="186">
        <f t="shared" si="212"/>
        <v>458.92418197344966</v>
      </c>
      <c r="S966" s="151" t="s">
        <v>1695</v>
      </c>
      <c r="T966" s="51" t="s">
        <v>3256</v>
      </c>
      <c r="U966" s="151" t="s">
        <v>1909</v>
      </c>
      <c r="V966" s="51" t="s">
        <v>3200</v>
      </c>
      <c r="W966" s="19"/>
      <c r="X966" s="19"/>
      <c r="Y966" s="99">
        <v>502</v>
      </c>
    </row>
    <row r="967" spans="2:25" ht="20" x14ac:dyDescent="0.2">
      <c r="B967" s="150" t="s">
        <v>1350</v>
      </c>
      <c r="C967" s="33" t="s">
        <v>106</v>
      </c>
      <c r="D967" s="33" t="s">
        <v>2876</v>
      </c>
      <c r="E967" s="175">
        <v>1</v>
      </c>
      <c r="F967" s="151" t="s">
        <v>1128</v>
      </c>
      <c r="G967" s="152">
        <v>1.7361415999999998</v>
      </c>
      <c r="H967" s="152">
        <v>1.0716923456790122</v>
      </c>
      <c r="I967" s="175">
        <v>69</v>
      </c>
      <c r="J967" s="266">
        <f>_xlfn.XLOOKUP($I967,Inputs!$C$6:$C$23,Inputs!$D$6:$D$23)*$G967</f>
        <v>0.66717441485714279</v>
      </c>
      <c r="K967" s="255"/>
      <c r="L967" s="186">
        <v>828</v>
      </c>
      <c r="M967" s="186">
        <v>1060</v>
      </c>
      <c r="N967" s="99">
        <f t="shared" si="208"/>
        <v>98.955526738025085</v>
      </c>
      <c r="O967" s="99">
        <f t="shared" si="209"/>
        <v>126.68219606558768</v>
      </c>
      <c r="P967" s="131">
        <v>0.9</v>
      </c>
      <c r="Q967" s="186">
        <f t="shared" si="212"/>
        <v>89.059974064222573</v>
      </c>
      <c r="R967" s="186">
        <f t="shared" si="212"/>
        <v>114.01397645902891</v>
      </c>
      <c r="S967" s="151" t="s">
        <v>2584</v>
      </c>
      <c r="T967" s="51" t="s">
        <v>2244</v>
      </c>
      <c r="U967" s="151" t="s">
        <v>1909</v>
      </c>
      <c r="V967" s="51" t="s">
        <v>3200</v>
      </c>
      <c r="W967" s="19"/>
      <c r="X967" s="19"/>
      <c r="Y967" s="99">
        <v>933</v>
      </c>
    </row>
    <row r="968" spans="2:25" ht="20" x14ac:dyDescent="0.2">
      <c r="B968" s="150" t="s">
        <v>1347</v>
      </c>
      <c r="C968" s="33" t="s">
        <v>106</v>
      </c>
      <c r="D968" s="33" t="s">
        <v>2876</v>
      </c>
      <c r="E968" s="175">
        <v>1</v>
      </c>
      <c r="F968" s="151" t="s">
        <v>1128</v>
      </c>
      <c r="G968" s="152">
        <v>19</v>
      </c>
      <c r="H968" s="152">
        <v>11.728395061728394</v>
      </c>
      <c r="I968" s="175">
        <v>69</v>
      </c>
      <c r="J968" s="266">
        <f>_xlfn.XLOOKUP($I968,Inputs!$C$6:$C$23,Inputs!$D$6:$D$23)*$G968</f>
        <v>7.3014285714285716</v>
      </c>
      <c r="K968" s="255"/>
      <c r="L968" s="186">
        <v>401</v>
      </c>
      <c r="M968" s="3">
        <v>567</v>
      </c>
      <c r="N968" s="99">
        <f t="shared" si="208"/>
        <v>47.92411379462326</v>
      </c>
      <c r="O968" s="99">
        <f t="shared" si="209"/>
        <v>67.763023744517184</v>
      </c>
      <c r="P968" s="131">
        <v>0.9</v>
      </c>
      <c r="Q968" s="186">
        <f t="shared" si="212"/>
        <v>43.131702415160937</v>
      </c>
      <c r="R968" s="186">
        <f t="shared" si="212"/>
        <v>60.986721370065467</v>
      </c>
      <c r="S968" s="151" t="s">
        <v>2583</v>
      </c>
      <c r="T968" s="51" t="s">
        <v>2243</v>
      </c>
      <c r="U968" s="151" t="s">
        <v>2584</v>
      </c>
      <c r="V968" s="51" t="s">
        <v>2244</v>
      </c>
      <c r="W968" s="19"/>
      <c r="X968" s="19"/>
      <c r="Y968" s="99">
        <v>932</v>
      </c>
    </row>
    <row r="969" spans="2:25" ht="20" x14ac:dyDescent="0.2">
      <c r="B969" s="230" t="s">
        <v>2742</v>
      </c>
      <c r="C969" s="51" t="s">
        <v>173</v>
      </c>
      <c r="D969" s="33" t="s">
        <v>2876</v>
      </c>
      <c r="E969" s="231">
        <v>1</v>
      </c>
      <c r="F969" s="230" t="s">
        <v>1128</v>
      </c>
      <c r="G969" s="232">
        <v>9</v>
      </c>
      <c r="H969" s="232">
        <v>5.5555555555555554</v>
      </c>
      <c r="I969" s="231">
        <v>63</v>
      </c>
      <c r="J969" s="266">
        <f>_xlfn.XLOOKUP($I969,Inputs!$C$6:$C$23,Inputs!$D$6:$D$23)*$G969</f>
        <v>3.42</v>
      </c>
      <c r="K969" s="267">
        <f>IF((42.4*(H969)^(-0.6595))&gt;=3,3,(IF(42.4*(H969)^(-0.6595)&lt;=0.5,0.5,(42.4*(H969)^(-0.6595)))))</f>
        <v>3</v>
      </c>
      <c r="L969" s="99"/>
      <c r="M969" s="99"/>
      <c r="N969" s="99"/>
      <c r="O969" s="99"/>
      <c r="P969" s="69"/>
      <c r="Q969" s="305">
        <f>_xlfn.XLOOKUP($I969,Inputs!$G$6:$G$23,Inputs!J$6:J$23)*$K969</f>
        <v>29.767499999999998</v>
      </c>
      <c r="R969" s="305">
        <f>_xlfn.XLOOKUP($I969,Inputs!$G$6:$G$23,Inputs!K$6:K$23)*$K969</f>
        <v>32.532786885245905</v>
      </c>
      <c r="S969" s="230" t="s">
        <v>3570</v>
      </c>
      <c r="T969" s="51" t="s">
        <v>3571</v>
      </c>
      <c r="U969" s="230" t="s">
        <v>2741</v>
      </c>
      <c r="V969" s="51" t="s">
        <v>3339</v>
      </c>
      <c r="W969" s="19"/>
      <c r="X969" s="19"/>
      <c r="Y969" s="99">
        <v>1067</v>
      </c>
    </row>
    <row r="970" spans="2:25" ht="20" x14ac:dyDescent="0.2">
      <c r="B970" s="150" t="s">
        <v>631</v>
      </c>
      <c r="C970" s="33" t="s">
        <v>106</v>
      </c>
      <c r="D970" s="33" t="s">
        <v>2876</v>
      </c>
      <c r="E970" s="175">
        <v>1</v>
      </c>
      <c r="F970" s="151" t="s">
        <v>1128</v>
      </c>
      <c r="G970" s="152">
        <v>95.757674100000003</v>
      </c>
      <c r="H970" s="152">
        <v>59.109675370370368</v>
      </c>
      <c r="I970" s="175">
        <v>287</v>
      </c>
      <c r="J970" s="266">
        <f>_xlfn.XLOOKUP($I970,Inputs!$C$6:$C$23,Inputs!$D$6:$D$23)*$G970</f>
        <v>44.245365304983338</v>
      </c>
      <c r="K970" s="255"/>
      <c r="L970" s="186">
        <v>1736</v>
      </c>
      <c r="M970" s="186">
        <v>2228</v>
      </c>
      <c r="N970" s="99">
        <f t="shared" ref="N970:N997" si="213">(SQRT(3)*L970*$I970)/1000</f>
        <v>862.96313795665685</v>
      </c>
      <c r="O970" s="99">
        <f t="shared" ref="O970:O997" si="214">(SQRT(3)*M970*$I970)/1000</f>
        <v>1107.5356401886124</v>
      </c>
      <c r="P970" s="131">
        <v>0.9</v>
      </c>
      <c r="Q970" s="186">
        <f t="shared" ref="Q970:R972" si="215">N970*$P970</f>
        <v>776.66682416099115</v>
      </c>
      <c r="R970" s="186">
        <f t="shared" si="215"/>
        <v>996.78207616975124</v>
      </c>
      <c r="S970" s="151" t="s">
        <v>1600</v>
      </c>
      <c r="T970" s="51" t="s">
        <v>3227</v>
      </c>
      <c r="U970" s="151" t="s">
        <v>1953</v>
      </c>
      <c r="V970" s="51" t="s">
        <v>3379</v>
      </c>
      <c r="W970" s="19"/>
      <c r="X970" s="19"/>
      <c r="Y970" s="99">
        <v>504</v>
      </c>
    </row>
    <row r="971" spans="2:25" ht="20" x14ac:dyDescent="0.2">
      <c r="B971" s="150" t="s">
        <v>498</v>
      </c>
      <c r="C971" s="33" t="s">
        <v>106</v>
      </c>
      <c r="D971" s="33" t="s">
        <v>2876</v>
      </c>
      <c r="E971" s="175">
        <v>1</v>
      </c>
      <c r="F971" s="151" t="s">
        <v>1128</v>
      </c>
      <c r="G971" s="152">
        <v>10</v>
      </c>
      <c r="H971" s="152">
        <v>6.1728395061728394</v>
      </c>
      <c r="I971" s="175">
        <v>138</v>
      </c>
      <c r="J971" s="266">
        <f>_xlfn.XLOOKUP($I971,Inputs!$C$6:$C$23,Inputs!$D$6:$D$23)*$G971</f>
        <v>4.3357142857142863</v>
      </c>
      <c r="K971" s="255"/>
      <c r="L971" s="186">
        <v>560</v>
      </c>
      <c r="M971" s="3">
        <v>675</v>
      </c>
      <c r="N971" s="99">
        <f t="shared" si="213"/>
        <v>133.85288640892284</v>
      </c>
      <c r="O971" s="99">
        <f t="shared" si="214"/>
        <v>161.34053272504093</v>
      </c>
      <c r="P971" s="131">
        <v>0.9</v>
      </c>
      <c r="Q971" s="186">
        <f t="shared" si="215"/>
        <v>120.46759776803056</v>
      </c>
      <c r="R971" s="186">
        <f t="shared" si="215"/>
        <v>145.20647945253685</v>
      </c>
      <c r="S971" s="151" t="s">
        <v>2453</v>
      </c>
      <c r="T971" s="51" t="s">
        <v>2106</v>
      </c>
      <c r="U971" s="151" t="s">
        <v>270</v>
      </c>
      <c r="V971" s="51" t="s">
        <v>3340</v>
      </c>
      <c r="W971" s="19"/>
      <c r="X971" s="19"/>
      <c r="Y971" s="99">
        <v>280</v>
      </c>
    </row>
    <row r="972" spans="2:25" ht="20" x14ac:dyDescent="0.2">
      <c r="B972" s="150" t="s">
        <v>503</v>
      </c>
      <c r="C972" s="33" t="s">
        <v>106</v>
      </c>
      <c r="D972" s="33" t="s">
        <v>2876</v>
      </c>
      <c r="E972" s="175">
        <v>1</v>
      </c>
      <c r="F972" s="151" t="s">
        <v>1128</v>
      </c>
      <c r="G972" s="152">
        <v>10.1198575</v>
      </c>
      <c r="H972" s="152">
        <v>6.2468256172839505</v>
      </c>
      <c r="I972" s="175">
        <v>138</v>
      </c>
      <c r="J972" s="266">
        <f>_xlfn.XLOOKUP($I972,Inputs!$C$6:$C$23,Inputs!$D$6:$D$23)*$G972</f>
        <v>4.3876810732142859</v>
      </c>
      <c r="K972" s="255"/>
      <c r="L972" s="186">
        <v>520</v>
      </c>
      <c r="M972" s="186">
        <v>650</v>
      </c>
      <c r="N972" s="99">
        <f t="shared" si="213"/>
        <v>124.29196595114263</v>
      </c>
      <c r="O972" s="99">
        <f t="shared" si="214"/>
        <v>155.36495743892829</v>
      </c>
      <c r="P972" s="131">
        <v>0.9</v>
      </c>
      <c r="Q972" s="186">
        <f t="shared" si="215"/>
        <v>111.86276935602837</v>
      </c>
      <c r="R972" s="186">
        <f t="shared" si="215"/>
        <v>139.82846169503546</v>
      </c>
      <c r="S972" s="151" t="s">
        <v>1675</v>
      </c>
      <c r="T972" s="51" t="s">
        <v>3247</v>
      </c>
      <c r="U972" s="151" t="s">
        <v>270</v>
      </c>
      <c r="V972" s="51" t="s">
        <v>3340</v>
      </c>
      <c r="W972" s="19"/>
      <c r="X972" s="19"/>
      <c r="Y972" s="99">
        <v>293</v>
      </c>
    </row>
    <row r="973" spans="2:25" ht="20" x14ac:dyDescent="0.2">
      <c r="B973" s="150" t="s">
        <v>1451</v>
      </c>
      <c r="C973" s="33" t="s">
        <v>106</v>
      </c>
      <c r="D973" s="33" t="s">
        <v>2876</v>
      </c>
      <c r="E973" s="175">
        <v>1</v>
      </c>
      <c r="F973" s="151" t="s">
        <v>1128</v>
      </c>
      <c r="G973" s="152">
        <v>0.40219549999999998</v>
      </c>
      <c r="H973" s="152">
        <v>0.24826882716049381</v>
      </c>
      <c r="I973" s="175">
        <v>138</v>
      </c>
      <c r="J973" s="266">
        <f>_xlfn.XLOOKUP($I973,Inputs!$C$6:$C$23,Inputs!$D$6:$D$23)*$G973</f>
        <v>0.17438047750000002</v>
      </c>
      <c r="K973" s="267">
        <f>IF((42.4*(H973)^(-0.6595))&gt;=3,3,(IF(42.4*(H973)^(-0.6595)&lt;=0.5,0.5,(42.4*(H973)^(-0.6595)))))</f>
        <v>3</v>
      </c>
      <c r="L973" s="99"/>
      <c r="M973" s="99"/>
      <c r="N973" s="99">
        <f t="shared" si="213"/>
        <v>0</v>
      </c>
      <c r="O973" s="99">
        <f t="shared" si="214"/>
        <v>0</v>
      </c>
      <c r="P973" s="131">
        <v>0.9</v>
      </c>
      <c r="Q973" s="305">
        <f>_xlfn.XLOOKUP($I973,Inputs!$G$6:$G$23,Inputs!J$6:J$23)*$K973</f>
        <v>141</v>
      </c>
      <c r="R973" s="305">
        <f>_xlfn.XLOOKUP($I973,Inputs!$G$6:$G$23,Inputs!K$6:K$23)*$K973</f>
        <v>156</v>
      </c>
      <c r="S973" s="151" t="s">
        <v>2457</v>
      </c>
      <c r="T973" s="51" t="s">
        <v>2109</v>
      </c>
      <c r="U973" s="151" t="s">
        <v>1910</v>
      </c>
      <c r="V973" s="51" t="s">
        <v>3533</v>
      </c>
      <c r="W973" s="19"/>
      <c r="X973" s="19"/>
      <c r="Y973" s="99">
        <v>291</v>
      </c>
    </row>
    <row r="974" spans="2:25" ht="20" x14ac:dyDescent="0.2">
      <c r="B974" s="150" t="s">
        <v>502</v>
      </c>
      <c r="C974" s="33" t="s">
        <v>106</v>
      </c>
      <c r="D974" s="33" t="s">
        <v>2876</v>
      </c>
      <c r="E974" s="175">
        <v>1</v>
      </c>
      <c r="F974" s="151" t="s">
        <v>1128</v>
      </c>
      <c r="G974" s="152">
        <v>2.31</v>
      </c>
      <c r="H974" s="152">
        <v>1.4259259259259258</v>
      </c>
      <c r="I974" s="175">
        <v>138</v>
      </c>
      <c r="J974" s="266">
        <f>_xlfn.XLOOKUP($I974,Inputs!$C$6:$C$23,Inputs!$D$6:$D$23)*$G974</f>
        <v>1.0015500000000002</v>
      </c>
      <c r="K974" s="255"/>
      <c r="L974" s="186">
        <v>265</v>
      </c>
      <c r="M974" s="186">
        <v>440</v>
      </c>
      <c r="N974" s="99">
        <f t="shared" si="213"/>
        <v>63.341098032793838</v>
      </c>
      <c r="O974" s="99">
        <f t="shared" si="214"/>
        <v>105.17012503558223</v>
      </c>
      <c r="P974" s="131">
        <v>0.9</v>
      </c>
      <c r="Q974" s="186">
        <f t="shared" ref="Q974:Q988" si="216">N974*$P974</f>
        <v>57.006988229514455</v>
      </c>
      <c r="R974" s="186">
        <f t="shared" ref="R974:R988" si="217">O974*$P974</f>
        <v>94.653112532024011</v>
      </c>
      <c r="S974" s="151" t="s">
        <v>1781</v>
      </c>
      <c r="T974" s="51" t="s">
        <v>3289</v>
      </c>
      <c r="U974" s="151" t="s">
        <v>2457</v>
      </c>
      <c r="V974" s="51" t="s">
        <v>2109</v>
      </c>
      <c r="W974" s="19"/>
      <c r="X974" s="19"/>
      <c r="Y974" s="99">
        <v>290</v>
      </c>
    </row>
    <row r="975" spans="2:25" ht="20" x14ac:dyDescent="0.2">
      <c r="B975" s="150" t="s">
        <v>1382</v>
      </c>
      <c r="C975" s="33" t="s">
        <v>106</v>
      </c>
      <c r="D975" s="33" t="s">
        <v>2876</v>
      </c>
      <c r="E975" s="175">
        <v>1</v>
      </c>
      <c r="F975" s="151" t="s">
        <v>1128</v>
      </c>
      <c r="G975" s="152">
        <v>5</v>
      </c>
      <c r="H975" s="152">
        <v>3.0864197530864197</v>
      </c>
      <c r="I975" s="175">
        <v>69</v>
      </c>
      <c r="J975" s="266">
        <f>_xlfn.XLOOKUP($I975,Inputs!$C$6:$C$23,Inputs!$D$6:$D$23)*$G975</f>
        <v>1.9214285714285715</v>
      </c>
      <c r="K975" s="255"/>
      <c r="L975" s="186">
        <v>450</v>
      </c>
      <c r="M975" s="186">
        <v>760</v>
      </c>
      <c r="N975" s="99">
        <f t="shared" si="213"/>
        <v>53.780177575013639</v>
      </c>
      <c r="O975" s="99">
        <f t="shared" si="214"/>
        <v>90.828744348911911</v>
      </c>
      <c r="P975" s="131">
        <v>0.9</v>
      </c>
      <c r="Q975" s="186">
        <f t="shared" si="216"/>
        <v>48.402159817512278</v>
      </c>
      <c r="R975" s="186">
        <f t="shared" si="217"/>
        <v>81.745869914020716</v>
      </c>
      <c r="S975" s="151" t="s">
        <v>1884</v>
      </c>
      <c r="T975" s="51" t="s">
        <v>3328</v>
      </c>
      <c r="U975" s="151" t="s">
        <v>185</v>
      </c>
      <c r="V975" s="51" t="s">
        <v>3341</v>
      </c>
      <c r="W975" s="19"/>
      <c r="X975" s="19"/>
      <c r="Y975" s="99">
        <v>989</v>
      </c>
    </row>
    <row r="976" spans="2:25" ht="20" x14ac:dyDescent="0.2">
      <c r="B976" s="150" t="s">
        <v>2367</v>
      </c>
      <c r="C976" s="33" t="s">
        <v>106</v>
      </c>
      <c r="D976" s="33" t="s">
        <v>2876</v>
      </c>
      <c r="E976" s="175">
        <v>1</v>
      </c>
      <c r="F976" s="151" t="s">
        <v>1128</v>
      </c>
      <c r="G976" s="152">
        <v>2.35</v>
      </c>
      <c r="H976" s="152">
        <v>1.4506172839506173</v>
      </c>
      <c r="I976" s="175">
        <v>69</v>
      </c>
      <c r="J976" s="266">
        <f>_xlfn.XLOOKUP($I976,Inputs!$C$6:$C$23,Inputs!$D$6:$D$23)*$G976</f>
        <v>0.90307142857142864</v>
      </c>
      <c r="K976" s="255"/>
      <c r="L976" s="186">
        <v>360</v>
      </c>
      <c r="M976" s="186">
        <v>535</v>
      </c>
      <c r="N976" s="99">
        <f t="shared" si="213"/>
        <v>43.024142060010909</v>
      </c>
      <c r="O976" s="99">
        <f t="shared" si="214"/>
        <v>63.938655561405106</v>
      </c>
      <c r="P976" s="131">
        <v>0.9</v>
      </c>
      <c r="Q976" s="186">
        <f t="shared" si="216"/>
        <v>38.721727854009821</v>
      </c>
      <c r="R976" s="186">
        <f t="shared" si="217"/>
        <v>57.544790005264595</v>
      </c>
      <c r="S976" s="151" t="s">
        <v>2601</v>
      </c>
      <c r="T976" s="51" t="s">
        <v>2260</v>
      </c>
      <c r="U976" s="151" t="s">
        <v>1911</v>
      </c>
      <c r="V976" s="51" t="s">
        <v>3360</v>
      </c>
      <c r="W976" s="19"/>
      <c r="X976" s="19"/>
      <c r="Y976" s="99">
        <v>987</v>
      </c>
    </row>
    <row r="977" spans="2:25" ht="20" x14ac:dyDescent="0.2">
      <c r="B977" s="150" t="s">
        <v>1181</v>
      </c>
      <c r="C977" s="33" t="s">
        <v>106</v>
      </c>
      <c r="D977" s="33" t="s">
        <v>2876</v>
      </c>
      <c r="E977" s="175">
        <v>1</v>
      </c>
      <c r="F977" s="151" t="s">
        <v>1128</v>
      </c>
      <c r="G977" s="152">
        <v>1.5010235999999999</v>
      </c>
      <c r="H977" s="152">
        <v>0.9265577777777777</v>
      </c>
      <c r="I977" s="175">
        <v>69</v>
      </c>
      <c r="J977" s="266">
        <f>_xlfn.XLOOKUP($I977,Inputs!$C$6:$C$23,Inputs!$D$6:$D$23)*$G977</f>
        <v>0.57682192628571427</v>
      </c>
      <c r="K977" s="255"/>
      <c r="L977" s="186">
        <v>500</v>
      </c>
      <c r="M977" s="186">
        <v>525</v>
      </c>
      <c r="N977" s="99">
        <f t="shared" si="213"/>
        <v>59.755752861126261</v>
      </c>
      <c r="O977" s="99">
        <f t="shared" si="214"/>
        <v>62.743540504182576</v>
      </c>
      <c r="P977" s="131">
        <v>0.9</v>
      </c>
      <c r="Q977" s="186">
        <f t="shared" si="216"/>
        <v>53.780177575013639</v>
      </c>
      <c r="R977" s="186">
        <f t="shared" si="217"/>
        <v>56.469186453764323</v>
      </c>
      <c r="S977" s="151" t="s">
        <v>2500</v>
      </c>
      <c r="T977" s="51" t="s">
        <v>2161</v>
      </c>
      <c r="U977" s="151" t="s">
        <v>1912</v>
      </c>
      <c r="V977" s="51" t="s">
        <v>3534</v>
      </c>
      <c r="W977" s="19"/>
      <c r="X977" s="19"/>
      <c r="Y977" s="99">
        <v>637</v>
      </c>
    </row>
    <row r="978" spans="2:25" ht="20" x14ac:dyDescent="0.2">
      <c r="B978" s="150" t="s">
        <v>1178</v>
      </c>
      <c r="C978" s="33" t="s">
        <v>106</v>
      </c>
      <c r="D978" s="33" t="s">
        <v>2876</v>
      </c>
      <c r="E978" s="175">
        <v>1</v>
      </c>
      <c r="F978" s="151" t="s">
        <v>1128</v>
      </c>
      <c r="G978" s="152">
        <v>1.5</v>
      </c>
      <c r="H978" s="152">
        <v>0.92592592592592582</v>
      </c>
      <c r="I978" s="175">
        <v>69</v>
      </c>
      <c r="J978" s="266">
        <f>_xlfn.XLOOKUP($I978,Inputs!$C$6:$C$23,Inputs!$D$6:$D$23)*$G978</f>
        <v>0.5764285714285714</v>
      </c>
      <c r="K978" s="255"/>
      <c r="L978" s="186">
        <v>500</v>
      </c>
      <c r="M978" s="186">
        <v>525</v>
      </c>
      <c r="N978" s="99">
        <f t="shared" si="213"/>
        <v>59.755752861126261</v>
      </c>
      <c r="O978" s="99">
        <f t="shared" si="214"/>
        <v>62.743540504182576</v>
      </c>
      <c r="P978" s="131">
        <v>0.9</v>
      </c>
      <c r="Q978" s="186">
        <f t="shared" si="216"/>
        <v>53.780177575013639</v>
      </c>
      <c r="R978" s="186">
        <f t="shared" si="217"/>
        <v>56.469186453764323</v>
      </c>
      <c r="S978" s="151" t="s">
        <v>1582</v>
      </c>
      <c r="T978" s="51" t="s">
        <v>3216</v>
      </c>
      <c r="U978" s="151" t="s">
        <v>2500</v>
      </c>
      <c r="V978" s="51" t="s">
        <v>2161</v>
      </c>
      <c r="W978" s="19"/>
      <c r="X978" s="19"/>
      <c r="Y978" s="99">
        <v>636</v>
      </c>
    </row>
    <row r="979" spans="2:25" ht="20" x14ac:dyDescent="0.2">
      <c r="B979" s="150" t="s">
        <v>1426</v>
      </c>
      <c r="C979" s="33" t="s">
        <v>106</v>
      </c>
      <c r="D979" s="33" t="s">
        <v>2876</v>
      </c>
      <c r="E979" s="175">
        <v>1</v>
      </c>
      <c r="F979" s="151" t="s">
        <v>1128</v>
      </c>
      <c r="G979" s="152">
        <v>0.31820370000000003</v>
      </c>
      <c r="H979" s="152">
        <v>0.19642203703703703</v>
      </c>
      <c r="I979" s="175">
        <v>138</v>
      </c>
      <c r="J979" s="266">
        <f>_xlfn.XLOOKUP($I979,Inputs!$C$6:$C$23,Inputs!$D$6:$D$23)*$G979</f>
        <v>0.13796403278571431</v>
      </c>
      <c r="K979" s="255"/>
      <c r="L979" s="186">
        <v>571</v>
      </c>
      <c r="M979" s="186">
        <v>728</v>
      </c>
      <c r="N979" s="99">
        <f t="shared" si="213"/>
        <v>136.4821395348124</v>
      </c>
      <c r="O979" s="99">
        <f t="shared" si="214"/>
        <v>174.00875233159968</v>
      </c>
      <c r="P979" s="131">
        <v>0.9</v>
      </c>
      <c r="Q979" s="186">
        <f t="shared" si="216"/>
        <v>122.83392558133117</v>
      </c>
      <c r="R979" s="186">
        <f t="shared" si="217"/>
        <v>156.60787709843973</v>
      </c>
      <c r="S979" s="151" t="s">
        <v>2417</v>
      </c>
      <c r="T979" s="51" t="s">
        <v>2068</v>
      </c>
      <c r="U979" s="151" t="s">
        <v>2276</v>
      </c>
      <c r="V979" s="51" t="s">
        <v>3535</v>
      </c>
      <c r="W979" s="19"/>
      <c r="X979" s="19"/>
      <c r="Y979" s="99">
        <v>166</v>
      </c>
    </row>
    <row r="980" spans="2:25" ht="20" x14ac:dyDescent="0.2">
      <c r="B980" s="150" t="s">
        <v>468</v>
      </c>
      <c r="C980" s="33" t="s">
        <v>106</v>
      </c>
      <c r="D980" s="33" t="s">
        <v>2876</v>
      </c>
      <c r="E980" s="175">
        <v>1</v>
      </c>
      <c r="F980" s="151" t="s">
        <v>1128</v>
      </c>
      <c r="G980" s="152">
        <v>8</v>
      </c>
      <c r="H980" s="152">
        <v>4.9382716049382713</v>
      </c>
      <c r="I980" s="175">
        <v>138</v>
      </c>
      <c r="J980" s="266">
        <f>_xlfn.XLOOKUP($I980,Inputs!$C$6:$C$23,Inputs!$D$6:$D$23)*$G980</f>
        <v>3.4685714285714289</v>
      </c>
      <c r="K980" s="255"/>
      <c r="L980" s="186">
        <v>411</v>
      </c>
      <c r="M980" s="186">
        <v>625</v>
      </c>
      <c r="N980" s="99">
        <f t="shared" si="213"/>
        <v>98.238457703691566</v>
      </c>
      <c r="O980" s="99">
        <f t="shared" si="214"/>
        <v>149.38938215281567</v>
      </c>
      <c r="P980" s="131">
        <v>0.9</v>
      </c>
      <c r="Q980" s="186">
        <f t="shared" si="216"/>
        <v>88.414611933322405</v>
      </c>
      <c r="R980" s="186">
        <f t="shared" si="217"/>
        <v>134.45044393753412</v>
      </c>
      <c r="S980" s="151" t="s">
        <v>2416</v>
      </c>
      <c r="T980" s="51" t="s">
        <v>2067</v>
      </c>
      <c r="U980" s="151" t="s">
        <v>2417</v>
      </c>
      <c r="V980" s="51" t="s">
        <v>2068</v>
      </c>
      <c r="W980" s="19"/>
      <c r="X980" s="19"/>
      <c r="Y980" s="99">
        <v>165</v>
      </c>
    </row>
    <row r="981" spans="2:25" ht="20" x14ac:dyDescent="0.2">
      <c r="B981" s="150" t="s">
        <v>521</v>
      </c>
      <c r="C981" s="33" t="s">
        <v>106</v>
      </c>
      <c r="D981" s="33" t="s">
        <v>2876</v>
      </c>
      <c r="E981" s="175">
        <v>1</v>
      </c>
      <c r="F981" s="151" t="s">
        <v>1128</v>
      </c>
      <c r="G981" s="152">
        <v>15</v>
      </c>
      <c r="H981" s="152">
        <v>9.2592592592592595</v>
      </c>
      <c r="I981" s="175">
        <v>230</v>
      </c>
      <c r="J981" s="266">
        <f>_xlfn.XLOOKUP($I981,Inputs!$C$6:$C$23,Inputs!$D$6:$D$23)*$G981</f>
        <v>7.1999999999999993</v>
      </c>
      <c r="K981" s="255"/>
      <c r="L981" s="186">
        <v>505</v>
      </c>
      <c r="M981" s="186">
        <v>884</v>
      </c>
      <c r="N981" s="99">
        <f t="shared" si="213"/>
        <v>201.17770129912509</v>
      </c>
      <c r="O981" s="99">
        <f t="shared" si="214"/>
        <v>352.1605701949041</v>
      </c>
      <c r="P981" s="131">
        <v>0.9</v>
      </c>
      <c r="Q981" s="186">
        <f t="shared" si="216"/>
        <v>181.05993116921258</v>
      </c>
      <c r="R981" s="186">
        <f t="shared" si="217"/>
        <v>316.9445131754137</v>
      </c>
      <c r="S981" s="151" t="s">
        <v>2469</v>
      </c>
      <c r="T981" s="51" t="s">
        <v>2121</v>
      </c>
      <c r="U981" s="151" t="s">
        <v>1913</v>
      </c>
      <c r="V981" s="51" t="s">
        <v>3198</v>
      </c>
      <c r="W981" s="19"/>
      <c r="X981" s="19"/>
      <c r="Y981" s="99">
        <v>342</v>
      </c>
    </row>
    <row r="982" spans="2:25" ht="20" x14ac:dyDescent="0.2">
      <c r="B982" s="150" t="s">
        <v>544</v>
      </c>
      <c r="C982" s="33" t="s">
        <v>106</v>
      </c>
      <c r="D982" s="33" t="s">
        <v>2876</v>
      </c>
      <c r="E982" s="175">
        <v>1</v>
      </c>
      <c r="F982" s="151" t="s">
        <v>1128</v>
      </c>
      <c r="G982" s="152">
        <v>70.072499800000003</v>
      </c>
      <c r="H982" s="152">
        <v>43.25462950617284</v>
      </c>
      <c r="I982" s="175">
        <v>230</v>
      </c>
      <c r="J982" s="266">
        <f>_xlfn.XLOOKUP($I982,Inputs!$C$6:$C$23,Inputs!$D$6:$D$23)*$G982</f>
        <v>33.634799903999998</v>
      </c>
      <c r="K982" s="255"/>
      <c r="L982" s="186">
        <v>1020</v>
      </c>
      <c r="M982" s="186">
        <v>1780</v>
      </c>
      <c r="N982" s="99">
        <f t="shared" si="213"/>
        <v>406.33911945565859</v>
      </c>
      <c r="O982" s="99">
        <f t="shared" si="214"/>
        <v>709.1016006186984</v>
      </c>
      <c r="P982" s="131">
        <v>0.9</v>
      </c>
      <c r="Q982" s="186">
        <f t="shared" si="216"/>
        <v>365.70520751009275</v>
      </c>
      <c r="R982" s="186">
        <f t="shared" si="217"/>
        <v>638.19144055682852</v>
      </c>
      <c r="S982" s="151" t="s">
        <v>3569</v>
      </c>
      <c r="T982" s="51" t="s">
        <v>3568</v>
      </c>
      <c r="U982" s="151" t="s">
        <v>1913</v>
      </c>
      <c r="V982" s="51" t="s">
        <v>3198</v>
      </c>
      <c r="W982" s="19"/>
      <c r="X982" s="19"/>
      <c r="Y982" s="99">
        <v>383</v>
      </c>
    </row>
    <row r="983" spans="2:25" ht="20" x14ac:dyDescent="0.2">
      <c r="B983" s="150" t="s">
        <v>518</v>
      </c>
      <c r="C983" s="33" t="s">
        <v>106</v>
      </c>
      <c r="D983" s="33" t="s">
        <v>2876</v>
      </c>
      <c r="E983" s="175">
        <v>1</v>
      </c>
      <c r="F983" s="151" t="s">
        <v>1128</v>
      </c>
      <c r="G983" s="152">
        <v>18.108933</v>
      </c>
      <c r="H983" s="152">
        <v>11.178353703703703</v>
      </c>
      <c r="I983" s="175">
        <v>138</v>
      </c>
      <c r="J983" s="266">
        <f>_xlfn.XLOOKUP($I983,Inputs!$C$6:$C$23,Inputs!$D$6:$D$23)*$G983</f>
        <v>7.8515159507142869</v>
      </c>
      <c r="K983" s="255"/>
      <c r="L983" s="186">
        <v>503</v>
      </c>
      <c r="M983" s="186">
        <v>618</v>
      </c>
      <c r="N983" s="99">
        <f t="shared" si="213"/>
        <v>120.22857475658604</v>
      </c>
      <c r="O983" s="99">
        <f t="shared" si="214"/>
        <v>147.71622107270412</v>
      </c>
      <c r="P983" s="131">
        <v>0.9</v>
      </c>
      <c r="Q983" s="186">
        <f t="shared" si="216"/>
        <v>108.20571728092744</v>
      </c>
      <c r="R983" s="186">
        <f t="shared" si="217"/>
        <v>132.9445989654337</v>
      </c>
      <c r="S983" s="151" t="s">
        <v>1723</v>
      </c>
      <c r="T983" s="51" t="s">
        <v>3267</v>
      </c>
      <c r="U983" s="151" t="s">
        <v>1914</v>
      </c>
      <c r="V983" s="51" t="s">
        <v>3342</v>
      </c>
      <c r="W983" s="19"/>
      <c r="X983" s="19"/>
      <c r="Y983" s="99">
        <v>332</v>
      </c>
    </row>
    <row r="984" spans="2:25" ht="20" x14ac:dyDescent="0.2">
      <c r="B984" s="150" t="s">
        <v>661</v>
      </c>
      <c r="C984" s="33" t="s">
        <v>106</v>
      </c>
      <c r="D984" s="33" t="s">
        <v>2876</v>
      </c>
      <c r="E984" s="175">
        <v>1</v>
      </c>
      <c r="F984" s="151" t="s">
        <v>1128</v>
      </c>
      <c r="G984" s="152">
        <v>130.72619209999999</v>
      </c>
      <c r="H984" s="152">
        <v>80.695180308641966</v>
      </c>
      <c r="I984" s="175">
        <v>500</v>
      </c>
      <c r="J984" s="266">
        <f>_xlfn.XLOOKUP($I984,Inputs!$C$6:$C$23,Inputs!$D$6:$D$23)*$G984</f>
        <v>51.636845879500001</v>
      </c>
      <c r="K984" s="255"/>
      <c r="L984" s="186">
        <v>2000</v>
      </c>
      <c r="M984" s="186">
        <v>3140</v>
      </c>
      <c r="N984" s="99">
        <f t="shared" si="213"/>
        <v>1732.0508075688772</v>
      </c>
      <c r="O984" s="99">
        <f t="shared" si="214"/>
        <v>2719.319767883137</v>
      </c>
      <c r="P984" s="131">
        <v>0.9</v>
      </c>
      <c r="Q984" s="186">
        <f t="shared" si="216"/>
        <v>1558.8457268119896</v>
      </c>
      <c r="R984" s="186">
        <f t="shared" si="217"/>
        <v>2447.3877910948236</v>
      </c>
      <c r="S984" s="151" t="s">
        <v>1695</v>
      </c>
      <c r="T984" s="51" t="s">
        <v>3256</v>
      </c>
      <c r="U984" s="151" t="s">
        <v>1914</v>
      </c>
      <c r="V984" s="51" t="s">
        <v>3342</v>
      </c>
      <c r="W984" s="19"/>
      <c r="X984" s="19"/>
      <c r="Y984" s="99">
        <v>537</v>
      </c>
    </row>
    <row r="985" spans="2:25" ht="20" x14ac:dyDescent="0.2">
      <c r="B985" s="150" t="s">
        <v>624</v>
      </c>
      <c r="C985" s="33" t="s">
        <v>106</v>
      </c>
      <c r="D985" s="33" t="s">
        <v>2876</v>
      </c>
      <c r="E985" s="175">
        <v>1</v>
      </c>
      <c r="F985" s="151" t="s">
        <v>1128</v>
      </c>
      <c r="G985" s="152">
        <v>15.17</v>
      </c>
      <c r="H985" s="152">
        <v>9.364197530864196</v>
      </c>
      <c r="I985" s="175">
        <v>230</v>
      </c>
      <c r="J985" s="266">
        <f>_xlfn.XLOOKUP($I985,Inputs!$C$6:$C$23,Inputs!$D$6:$D$23)*$G985</f>
        <v>7.2816000000000001</v>
      </c>
      <c r="K985" s="255"/>
      <c r="L985" s="186">
        <v>1055</v>
      </c>
      <c r="M985" s="186">
        <v>1280</v>
      </c>
      <c r="N985" s="99">
        <f t="shared" si="213"/>
        <v>420.282128456588</v>
      </c>
      <c r="O985" s="99">
        <f t="shared" si="214"/>
        <v>509.91575774827737</v>
      </c>
      <c r="P985" s="131">
        <v>0.9</v>
      </c>
      <c r="Q985" s="186">
        <f t="shared" si="216"/>
        <v>378.2539156109292</v>
      </c>
      <c r="R985" s="186">
        <f t="shared" si="217"/>
        <v>458.92418197344966</v>
      </c>
      <c r="S985" s="151" t="s">
        <v>2479</v>
      </c>
      <c r="T985" s="51" t="s">
        <v>2134</v>
      </c>
      <c r="U985" s="151" t="s">
        <v>274</v>
      </c>
      <c r="V985" s="51" t="s">
        <v>3343</v>
      </c>
      <c r="W985" s="19"/>
      <c r="X985" s="19"/>
      <c r="Y985" s="99">
        <v>494</v>
      </c>
    </row>
    <row r="986" spans="2:25" ht="20" x14ac:dyDescent="0.2">
      <c r="B986" s="150" t="s">
        <v>1436</v>
      </c>
      <c r="C986" s="33" t="s">
        <v>106</v>
      </c>
      <c r="D986" s="33" t="s">
        <v>2876</v>
      </c>
      <c r="E986" s="175">
        <v>1</v>
      </c>
      <c r="F986" s="151" t="s">
        <v>1128</v>
      </c>
      <c r="G986" s="152">
        <v>0.11652999999999999</v>
      </c>
      <c r="H986" s="152">
        <v>7.1932098765432093E-2</v>
      </c>
      <c r="I986" s="175">
        <v>138</v>
      </c>
      <c r="J986" s="266">
        <f>_xlfn.XLOOKUP($I986,Inputs!$C$6:$C$23,Inputs!$D$6:$D$23)*$G986</f>
        <v>5.0524078571428571E-2</v>
      </c>
      <c r="K986" s="255"/>
      <c r="L986" s="186">
        <v>254</v>
      </c>
      <c r="M986" s="186">
        <v>488</v>
      </c>
      <c r="N986" s="99">
        <f t="shared" si="213"/>
        <v>60.711844906904282</v>
      </c>
      <c r="O986" s="99">
        <f t="shared" si="214"/>
        <v>116.64322958491846</v>
      </c>
      <c r="P986" s="131">
        <v>0.9</v>
      </c>
      <c r="Q986" s="186">
        <f t="shared" si="216"/>
        <v>54.640660416213855</v>
      </c>
      <c r="R986" s="186">
        <f t="shared" si="217"/>
        <v>104.97890662642662</v>
      </c>
      <c r="S986" s="151" t="s">
        <v>2430</v>
      </c>
      <c r="T986" s="51" t="s">
        <v>2079</v>
      </c>
      <c r="U986" s="151" t="s">
        <v>1915</v>
      </c>
      <c r="V986" s="51" t="s">
        <v>3537</v>
      </c>
      <c r="W986" s="19"/>
      <c r="X986" s="19"/>
      <c r="Y986" s="99">
        <v>202</v>
      </c>
    </row>
    <row r="987" spans="2:25" ht="20" x14ac:dyDescent="0.2">
      <c r="B987" s="150" t="s">
        <v>475</v>
      </c>
      <c r="C987" s="33" t="s">
        <v>106</v>
      </c>
      <c r="D987" s="33" t="s">
        <v>2876</v>
      </c>
      <c r="E987" s="175">
        <v>1</v>
      </c>
      <c r="F987" s="151" t="s">
        <v>1128</v>
      </c>
      <c r="G987" s="152">
        <v>20</v>
      </c>
      <c r="H987" s="152">
        <v>12.345679012345679</v>
      </c>
      <c r="I987" s="175">
        <v>138</v>
      </c>
      <c r="J987" s="266">
        <f>_xlfn.XLOOKUP($I987,Inputs!$C$6:$C$23,Inputs!$D$6:$D$23)*$G987</f>
        <v>8.6714285714285726</v>
      </c>
      <c r="K987" s="255"/>
      <c r="L987" s="186">
        <v>254</v>
      </c>
      <c r="M987" s="186">
        <v>488</v>
      </c>
      <c r="N987" s="99">
        <f t="shared" si="213"/>
        <v>60.711844906904282</v>
      </c>
      <c r="O987" s="99">
        <f t="shared" si="214"/>
        <v>116.64322958491846</v>
      </c>
      <c r="P987" s="131">
        <v>0.9</v>
      </c>
      <c r="Q987" s="186">
        <f t="shared" si="216"/>
        <v>54.640660416213855</v>
      </c>
      <c r="R987" s="186">
        <f t="shared" si="217"/>
        <v>104.97890662642662</v>
      </c>
      <c r="S987" s="151" t="s">
        <v>2429</v>
      </c>
      <c r="T987" s="51" t="s">
        <v>2081</v>
      </c>
      <c r="U987" s="151" t="s">
        <v>2430</v>
      </c>
      <c r="V987" s="51" t="s">
        <v>2079</v>
      </c>
      <c r="W987" s="19"/>
      <c r="X987" s="19"/>
      <c r="Y987" s="99">
        <v>200</v>
      </c>
    </row>
    <row r="988" spans="2:25" ht="20" x14ac:dyDescent="0.2">
      <c r="B988" s="150" t="s">
        <v>1204</v>
      </c>
      <c r="C988" s="33" t="s">
        <v>106</v>
      </c>
      <c r="D988" s="33" t="s">
        <v>2876</v>
      </c>
      <c r="E988" s="175">
        <v>1</v>
      </c>
      <c r="F988" s="151" t="s">
        <v>1128</v>
      </c>
      <c r="G988" s="152">
        <v>6.7905424999999999</v>
      </c>
      <c r="H988" s="152">
        <v>4.1916929012345676</v>
      </c>
      <c r="I988" s="175">
        <v>69</v>
      </c>
      <c r="J988" s="266">
        <f>_xlfn.XLOOKUP($I988,Inputs!$C$6:$C$23,Inputs!$D$6:$D$23)*$G988</f>
        <v>2.6095084750000002</v>
      </c>
      <c r="K988" s="255"/>
      <c r="L988" s="186">
        <v>440</v>
      </c>
      <c r="M988" s="186">
        <v>555</v>
      </c>
      <c r="N988" s="99">
        <f t="shared" si="213"/>
        <v>52.585062517791116</v>
      </c>
      <c r="O988" s="99">
        <f t="shared" si="214"/>
        <v>66.328885675850145</v>
      </c>
      <c r="P988" s="131">
        <v>0.9</v>
      </c>
      <c r="Q988" s="186">
        <f t="shared" si="216"/>
        <v>47.326556266012005</v>
      </c>
      <c r="R988" s="186">
        <f t="shared" si="217"/>
        <v>59.695997108265132</v>
      </c>
      <c r="S988" s="151" t="s">
        <v>2507</v>
      </c>
      <c r="T988" s="51" t="s">
        <v>2167</v>
      </c>
      <c r="U988" s="151" t="s">
        <v>1916</v>
      </c>
      <c r="V988" s="51" t="s">
        <v>3538</v>
      </c>
      <c r="W988" s="19"/>
      <c r="X988" s="19"/>
      <c r="Y988" s="99">
        <v>672</v>
      </c>
    </row>
    <row r="989" spans="2:25" ht="20" x14ac:dyDescent="0.2">
      <c r="B989" s="150" t="s">
        <v>1207</v>
      </c>
      <c r="C989" s="33" t="s">
        <v>106</v>
      </c>
      <c r="D989" s="33" t="s">
        <v>2876</v>
      </c>
      <c r="E989" s="175">
        <v>1</v>
      </c>
      <c r="F989" s="151" t="s">
        <v>1128</v>
      </c>
      <c r="G989" s="152">
        <v>6.7905424999999999</v>
      </c>
      <c r="H989" s="152">
        <v>4.1916929012345676</v>
      </c>
      <c r="I989" s="175">
        <v>69</v>
      </c>
      <c r="J989" s="266">
        <f>_xlfn.XLOOKUP($I989,Inputs!$C$6:$C$23,Inputs!$D$6:$D$23)*$G989</f>
        <v>2.6095084750000002</v>
      </c>
      <c r="K989" s="267">
        <f>IF((42.4*(H989)^(-0.6595))&gt;=3,3,(IF(42.4*(H989)^(-0.6595)&lt;=0.5,0.5,(42.4*(H989)^(-0.6595)))))</f>
        <v>3</v>
      </c>
      <c r="L989" s="99"/>
      <c r="M989" s="99"/>
      <c r="N989" s="99">
        <f t="shared" si="213"/>
        <v>0</v>
      </c>
      <c r="O989" s="99">
        <f t="shared" si="214"/>
        <v>0</v>
      </c>
      <c r="P989" s="131">
        <v>0.9</v>
      </c>
      <c r="Q989" s="305">
        <f>_xlfn.XLOOKUP($I989,Inputs!$G$6:$G$23,Inputs!J$6:J$23)*$K989</f>
        <v>36</v>
      </c>
      <c r="R989" s="305">
        <f>_xlfn.XLOOKUP($I989,Inputs!$G$6:$G$23,Inputs!K$6:K$23)*$K989</f>
        <v>39</v>
      </c>
      <c r="S989" s="151" t="s">
        <v>2507</v>
      </c>
      <c r="T989" s="51" t="s">
        <v>2167</v>
      </c>
      <c r="U989" s="151" t="s">
        <v>1916</v>
      </c>
      <c r="V989" s="51" t="s">
        <v>3538</v>
      </c>
      <c r="W989" s="19"/>
      <c r="X989" s="19"/>
      <c r="Y989" s="99">
        <v>677</v>
      </c>
    </row>
    <row r="990" spans="2:25" ht="20" x14ac:dyDescent="0.2">
      <c r="B990" s="150" t="s">
        <v>1202</v>
      </c>
      <c r="C990" s="33" t="s">
        <v>106</v>
      </c>
      <c r="D990" s="33" t="s">
        <v>2876</v>
      </c>
      <c r="E990" s="175">
        <v>1</v>
      </c>
      <c r="F990" s="151" t="s">
        <v>1128</v>
      </c>
      <c r="G990" s="152">
        <v>10</v>
      </c>
      <c r="H990" s="152">
        <v>6.1728395061728394</v>
      </c>
      <c r="I990" s="175">
        <v>69</v>
      </c>
      <c r="J990" s="266">
        <f>_xlfn.XLOOKUP($I990,Inputs!$C$6:$C$23,Inputs!$D$6:$D$23)*$G990</f>
        <v>3.842857142857143</v>
      </c>
      <c r="K990" s="255"/>
      <c r="L990" s="186">
        <v>900</v>
      </c>
      <c r="M990" s="186">
        <v>1190</v>
      </c>
      <c r="N990" s="99">
        <f t="shared" si="213"/>
        <v>107.56035515002728</v>
      </c>
      <c r="O990" s="99">
        <f t="shared" si="214"/>
        <v>142.2186918094805</v>
      </c>
      <c r="P990" s="131">
        <v>0.9</v>
      </c>
      <c r="Q990" s="186">
        <f t="shared" ref="Q990:R995" si="218">N990*$P990</f>
        <v>96.804319635024555</v>
      </c>
      <c r="R990" s="186">
        <f t="shared" si="218"/>
        <v>127.99682262853246</v>
      </c>
      <c r="S990" s="151" t="s">
        <v>1570</v>
      </c>
      <c r="T990" s="51" t="s">
        <v>3214</v>
      </c>
      <c r="U990" s="151" t="s">
        <v>2507</v>
      </c>
      <c r="V990" s="51" t="s">
        <v>2167</v>
      </c>
      <c r="W990" s="19"/>
      <c r="X990" s="19"/>
      <c r="Y990" s="99">
        <v>671</v>
      </c>
    </row>
    <row r="991" spans="2:25" ht="20" x14ac:dyDescent="0.2">
      <c r="B991" s="150" t="s">
        <v>1205</v>
      </c>
      <c r="C991" s="33" t="s">
        <v>106</v>
      </c>
      <c r="D991" s="33" t="s">
        <v>2876</v>
      </c>
      <c r="E991" s="175">
        <v>1</v>
      </c>
      <c r="F991" s="151" t="s">
        <v>1128</v>
      </c>
      <c r="G991" s="152">
        <v>10</v>
      </c>
      <c r="H991" s="152">
        <v>6.1728395061728394</v>
      </c>
      <c r="I991" s="175">
        <v>69</v>
      </c>
      <c r="J991" s="266">
        <f>_xlfn.XLOOKUP($I991,Inputs!$C$6:$C$23,Inputs!$D$6:$D$23)*$G991</f>
        <v>3.842857142857143</v>
      </c>
      <c r="K991" s="255"/>
      <c r="L991" s="186">
        <v>900</v>
      </c>
      <c r="M991" s="186">
        <v>1190</v>
      </c>
      <c r="N991" s="99">
        <f t="shared" si="213"/>
        <v>107.56035515002728</v>
      </c>
      <c r="O991" s="99">
        <f t="shared" si="214"/>
        <v>142.2186918094805</v>
      </c>
      <c r="P991" s="131">
        <v>0.9</v>
      </c>
      <c r="Q991" s="186">
        <f t="shared" si="218"/>
        <v>96.804319635024555</v>
      </c>
      <c r="R991" s="186">
        <f t="shared" si="218"/>
        <v>127.99682262853246</v>
      </c>
      <c r="S991" s="151" t="s">
        <v>1570</v>
      </c>
      <c r="T991" s="51" t="s">
        <v>3214</v>
      </c>
      <c r="U991" s="151" t="s">
        <v>2507</v>
      </c>
      <c r="V991" s="51" t="s">
        <v>2167</v>
      </c>
      <c r="W991" s="19"/>
      <c r="X991" s="19"/>
      <c r="Y991" s="99">
        <v>676</v>
      </c>
    </row>
    <row r="992" spans="2:25" ht="20" x14ac:dyDescent="0.2">
      <c r="B992" s="150" t="s">
        <v>1428</v>
      </c>
      <c r="C992" s="33" t="s">
        <v>106</v>
      </c>
      <c r="D992" s="33" t="s">
        <v>2876</v>
      </c>
      <c r="E992" s="175">
        <v>1</v>
      </c>
      <c r="F992" s="151" t="s">
        <v>1128</v>
      </c>
      <c r="G992" s="152">
        <v>0.90912550000000003</v>
      </c>
      <c r="H992" s="152">
        <v>0.56118858024691354</v>
      </c>
      <c r="I992" s="175">
        <v>138</v>
      </c>
      <c r="J992" s="266">
        <f>_xlfn.XLOOKUP($I992,Inputs!$C$6:$C$23,Inputs!$D$6:$D$23)*$G992</f>
        <v>0.39417084178571432</v>
      </c>
      <c r="K992" s="255"/>
      <c r="L992" s="186">
        <v>493</v>
      </c>
      <c r="M992" s="186">
        <v>627</v>
      </c>
      <c r="N992" s="99">
        <f t="shared" si="213"/>
        <v>117.838344642141</v>
      </c>
      <c r="O992" s="99">
        <f t="shared" si="214"/>
        <v>149.86742817570467</v>
      </c>
      <c r="P992" s="131">
        <v>0.9</v>
      </c>
      <c r="Q992" s="186">
        <f t="shared" si="218"/>
        <v>106.0545101779269</v>
      </c>
      <c r="R992" s="186">
        <f t="shared" si="218"/>
        <v>134.8806853581342</v>
      </c>
      <c r="S992" s="151" t="s">
        <v>2419</v>
      </c>
      <c r="T992" s="51" t="s">
        <v>2070</v>
      </c>
      <c r="U992" s="151" t="s">
        <v>1917</v>
      </c>
      <c r="V992" s="51" t="s">
        <v>3539</v>
      </c>
      <c r="W992" s="19"/>
      <c r="X992" s="19"/>
      <c r="Y992" s="99">
        <v>175</v>
      </c>
    </row>
    <row r="993" spans="2:25" ht="20" x14ac:dyDescent="0.2">
      <c r="B993" s="150" t="s">
        <v>471</v>
      </c>
      <c r="C993" s="33" t="s">
        <v>106</v>
      </c>
      <c r="D993" s="33" t="s">
        <v>2876</v>
      </c>
      <c r="E993" s="175">
        <v>1</v>
      </c>
      <c r="F993" s="151" t="s">
        <v>1128</v>
      </c>
      <c r="G993" s="152">
        <v>5</v>
      </c>
      <c r="H993" s="152">
        <v>3.0864197530864197</v>
      </c>
      <c r="I993" s="175">
        <v>138</v>
      </c>
      <c r="J993" s="266">
        <f>_xlfn.XLOOKUP($I993,Inputs!$C$6:$C$23,Inputs!$D$6:$D$23)*$G993</f>
        <v>2.1678571428571431</v>
      </c>
      <c r="K993" s="255"/>
      <c r="L993" s="186">
        <v>714</v>
      </c>
      <c r="M993" s="3">
        <v>912</v>
      </c>
      <c r="N993" s="99">
        <f t="shared" si="213"/>
        <v>170.66243017137663</v>
      </c>
      <c r="O993" s="99">
        <f t="shared" si="214"/>
        <v>217.9889864373886</v>
      </c>
      <c r="P993" s="131">
        <v>0.9</v>
      </c>
      <c r="Q993" s="186">
        <f t="shared" si="218"/>
        <v>153.59618715423898</v>
      </c>
      <c r="R993" s="186">
        <f t="shared" si="218"/>
        <v>196.19008779364975</v>
      </c>
      <c r="S993" s="151" t="s">
        <v>2418</v>
      </c>
      <c r="T993" s="51" t="s">
        <v>2069</v>
      </c>
      <c r="U993" s="151" t="s">
        <v>2419</v>
      </c>
      <c r="V993" s="51" t="s">
        <v>2070</v>
      </c>
      <c r="W993" s="19"/>
      <c r="X993" s="19"/>
      <c r="Y993" s="99">
        <v>174</v>
      </c>
    </row>
    <row r="994" spans="2:25" ht="20" x14ac:dyDescent="0.2">
      <c r="B994" s="150" t="s">
        <v>1437</v>
      </c>
      <c r="C994" s="33" t="s">
        <v>106</v>
      </c>
      <c r="D994" s="33" t="s">
        <v>2876</v>
      </c>
      <c r="E994" s="175">
        <v>1</v>
      </c>
      <c r="F994" s="151" t="s">
        <v>1128</v>
      </c>
      <c r="G994" s="152">
        <v>0.25023339999999999</v>
      </c>
      <c r="H994" s="152">
        <v>0.15446506172839505</v>
      </c>
      <c r="I994" s="175">
        <v>138</v>
      </c>
      <c r="J994" s="266">
        <f>_xlfn.XLOOKUP($I994,Inputs!$C$6:$C$23,Inputs!$D$6:$D$23)*$G994</f>
        <v>0.10849405271428572</v>
      </c>
      <c r="K994" s="255"/>
      <c r="L994" s="186">
        <v>493</v>
      </c>
      <c r="M994" s="186">
        <v>627</v>
      </c>
      <c r="N994" s="99">
        <f t="shared" si="213"/>
        <v>117.838344642141</v>
      </c>
      <c r="O994" s="99">
        <f t="shared" si="214"/>
        <v>149.86742817570467</v>
      </c>
      <c r="P994" s="131">
        <v>0.9</v>
      </c>
      <c r="Q994" s="186">
        <f t="shared" si="218"/>
        <v>106.0545101779269</v>
      </c>
      <c r="R994" s="186">
        <f t="shared" si="218"/>
        <v>134.8806853581342</v>
      </c>
      <c r="S994" s="151" t="s">
        <v>2423</v>
      </c>
      <c r="T994" s="51" t="s">
        <v>2080</v>
      </c>
      <c r="U994" s="151" t="s">
        <v>2277</v>
      </c>
      <c r="V994" s="51" t="s">
        <v>3540</v>
      </c>
      <c r="W994" s="19"/>
      <c r="X994" s="19"/>
      <c r="Y994" s="99">
        <v>187</v>
      </c>
    </row>
    <row r="995" spans="2:25" ht="20" x14ac:dyDescent="0.2">
      <c r="B995" s="150" t="s">
        <v>475</v>
      </c>
      <c r="C995" s="33" t="s">
        <v>106</v>
      </c>
      <c r="D995" s="33" t="s">
        <v>2876</v>
      </c>
      <c r="E995" s="175">
        <v>1</v>
      </c>
      <c r="F995" s="151" t="s">
        <v>1128</v>
      </c>
      <c r="G995" s="152">
        <v>17</v>
      </c>
      <c r="H995" s="152">
        <v>10.493827160493826</v>
      </c>
      <c r="I995" s="175">
        <v>138</v>
      </c>
      <c r="J995" s="266">
        <f>_xlfn.XLOOKUP($I995,Inputs!$C$6:$C$23,Inputs!$D$6:$D$23)*$G995</f>
        <v>7.3707142857142864</v>
      </c>
      <c r="K995" s="255"/>
      <c r="L995" s="186">
        <v>493</v>
      </c>
      <c r="M995" s="186">
        <v>627</v>
      </c>
      <c r="N995" s="99">
        <f t="shared" si="213"/>
        <v>117.838344642141</v>
      </c>
      <c r="O995" s="99">
        <f t="shared" si="214"/>
        <v>149.86742817570467</v>
      </c>
      <c r="P995" s="131">
        <v>0.9</v>
      </c>
      <c r="Q995" s="186">
        <f t="shared" si="218"/>
        <v>106.0545101779269</v>
      </c>
      <c r="R995" s="186">
        <f t="shared" si="218"/>
        <v>134.8806853581342</v>
      </c>
      <c r="S995" s="151" t="s">
        <v>1589</v>
      </c>
      <c r="T995" s="51" t="s">
        <v>3221</v>
      </c>
      <c r="U995" s="151" t="s">
        <v>2423</v>
      </c>
      <c r="V995" s="51" t="s">
        <v>2080</v>
      </c>
      <c r="W995" s="19"/>
      <c r="X995" s="19"/>
      <c r="Y995" s="99">
        <v>186</v>
      </c>
    </row>
    <row r="996" spans="2:25" ht="20" x14ac:dyDescent="0.2">
      <c r="B996" s="151" t="s">
        <v>1108</v>
      </c>
      <c r="C996" s="33" t="s">
        <v>106</v>
      </c>
      <c r="D996" s="33" t="s">
        <v>2876</v>
      </c>
      <c r="E996" s="175">
        <v>1</v>
      </c>
      <c r="F996" s="151" t="s">
        <v>1128</v>
      </c>
      <c r="G996" s="174">
        <v>18</v>
      </c>
      <c r="H996" s="152">
        <v>11.111111111111111</v>
      </c>
      <c r="I996" s="175">
        <v>138</v>
      </c>
      <c r="J996" s="266">
        <f>_xlfn.XLOOKUP($I996,Inputs!$C$6:$C$23,Inputs!$D$6:$D$23)*$G996</f>
        <v>7.8042857142857152</v>
      </c>
      <c r="K996" s="267">
        <f>IF((42.4*(H996)^(-0.6595))&gt;=3,3,(IF(42.4*(H996)^(-0.6595)&lt;=0.5,0.5,(42.4*(H996)^(-0.6595)))))</f>
        <v>3</v>
      </c>
      <c r="L996" s="99"/>
      <c r="M996" s="99"/>
      <c r="N996" s="99">
        <f t="shared" si="213"/>
        <v>0</v>
      </c>
      <c r="O996" s="99">
        <f t="shared" si="214"/>
        <v>0</v>
      </c>
      <c r="P996" s="131">
        <v>0.9</v>
      </c>
      <c r="Q996" s="305">
        <f>_xlfn.XLOOKUP($I996,Inputs!$G$6:$G$23,Inputs!J$6:J$23)*$K996</f>
        <v>141</v>
      </c>
      <c r="R996" s="305">
        <f>_xlfn.XLOOKUP($I996,Inputs!$G$6:$G$23,Inputs!K$6:K$23)*$K996</f>
        <v>156</v>
      </c>
      <c r="S996" s="151" t="s">
        <v>2319</v>
      </c>
      <c r="T996" s="51" t="s">
        <v>3148</v>
      </c>
      <c r="U996" s="151" t="s">
        <v>2328</v>
      </c>
      <c r="V996" s="51" t="s">
        <v>3166</v>
      </c>
      <c r="W996" s="19"/>
      <c r="X996" s="19"/>
      <c r="Y996" s="99">
        <v>3</v>
      </c>
    </row>
    <row r="997" spans="2:25" ht="20" x14ac:dyDescent="0.2">
      <c r="B997" s="150" t="s">
        <v>511</v>
      </c>
      <c r="C997" s="33" t="s">
        <v>106</v>
      </c>
      <c r="D997" s="33" t="s">
        <v>2876</v>
      </c>
      <c r="E997" s="175">
        <v>1</v>
      </c>
      <c r="F997" s="151" t="s">
        <v>1128</v>
      </c>
      <c r="G997" s="152">
        <v>50</v>
      </c>
      <c r="H997" s="152">
        <v>30.864197530864196</v>
      </c>
      <c r="I997" s="175">
        <v>138</v>
      </c>
      <c r="J997" s="266">
        <f>_xlfn.XLOOKUP($I997,Inputs!$C$6:$C$23,Inputs!$D$6:$D$23)*$G997</f>
        <v>21.678571428571431</v>
      </c>
      <c r="K997" s="255"/>
      <c r="L997" s="186">
        <v>280</v>
      </c>
      <c r="M997" s="186">
        <v>450</v>
      </c>
      <c r="N997" s="99">
        <f t="shared" si="213"/>
        <v>66.926443204461421</v>
      </c>
      <c r="O997" s="99">
        <f t="shared" si="214"/>
        <v>107.56035515002728</v>
      </c>
      <c r="P997" s="131">
        <v>0.9</v>
      </c>
      <c r="Q997" s="186">
        <f>N997*$P997</f>
        <v>60.233798884015279</v>
      </c>
      <c r="R997" s="186">
        <f>O997*$P997</f>
        <v>96.804319635024555</v>
      </c>
      <c r="S997" s="151" t="s">
        <v>2467</v>
      </c>
      <c r="T997" s="51" t="s">
        <v>2118</v>
      </c>
      <c r="U997" s="151" t="s">
        <v>1918</v>
      </c>
      <c r="V997" s="51" t="s">
        <v>3344</v>
      </c>
      <c r="W997" s="19"/>
      <c r="X997" s="19"/>
      <c r="Y997" s="99">
        <v>324</v>
      </c>
    </row>
    <row r="998" spans="2:25" ht="20" x14ac:dyDescent="0.2">
      <c r="B998" s="230" t="s">
        <v>2679</v>
      </c>
      <c r="C998" s="51" t="s">
        <v>173</v>
      </c>
      <c r="D998" s="33" t="s">
        <v>2876</v>
      </c>
      <c r="E998" s="231">
        <v>1</v>
      </c>
      <c r="F998" s="230" t="s">
        <v>1128</v>
      </c>
      <c r="G998" s="232">
        <v>7.5</v>
      </c>
      <c r="H998" s="232">
        <v>4.6296296296296298</v>
      </c>
      <c r="I998" s="231">
        <v>63</v>
      </c>
      <c r="J998" s="266">
        <f>_xlfn.XLOOKUP($I998,Inputs!$C$6:$C$23,Inputs!$D$6:$D$23)*$G998</f>
        <v>2.85</v>
      </c>
      <c r="K998" s="267">
        <f>IF((42.4*(H998)^(-0.6595))&gt;=3,3,(IF(42.4*(H998)^(-0.6595)&lt;=0.5,0.5,(42.4*(H998)^(-0.6595)))))</f>
        <v>3</v>
      </c>
      <c r="L998" s="99"/>
      <c r="M998" s="99"/>
      <c r="N998" s="99"/>
      <c r="O998" s="99"/>
      <c r="P998" s="69"/>
      <c r="Q998" s="305">
        <f>_xlfn.XLOOKUP($I998,Inputs!$G$6:$G$23,Inputs!J$6:J$23)*$K998</f>
        <v>29.767499999999998</v>
      </c>
      <c r="R998" s="305">
        <f>_xlfn.XLOOKUP($I998,Inputs!$G$6:$G$23,Inputs!K$6:K$23)*$K998</f>
        <v>32.532786885245905</v>
      </c>
      <c r="S998" s="230" t="s">
        <v>2680</v>
      </c>
      <c r="T998" s="51" t="s">
        <v>3351</v>
      </c>
      <c r="U998" s="230" t="s">
        <v>2681</v>
      </c>
      <c r="V998" s="179" t="s">
        <v>3345</v>
      </c>
      <c r="W998" s="19"/>
      <c r="X998" s="19"/>
      <c r="Y998" s="99">
        <v>1107</v>
      </c>
    </row>
    <row r="999" spans="2:25" ht="20" x14ac:dyDescent="0.2">
      <c r="B999" s="151" t="s">
        <v>1963</v>
      </c>
      <c r="C999" s="33" t="s">
        <v>106</v>
      </c>
      <c r="D999" s="33" t="s">
        <v>2876</v>
      </c>
      <c r="E999" s="175">
        <v>1</v>
      </c>
      <c r="F999" s="151" t="s">
        <v>1128</v>
      </c>
      <c r="G999" s="174">
        <v>5</v>
      </c>
      <c r="H999" s="152">
        <v>3.0864197530864197</v>
      </c>
      <c r="I999" s="175">
        <v>138</v>
      </c>
      <c r="J999" s="266">
        <f>_xlfn.XLOOKUP($I999,Inputs!$C$6:$C$23,Inputs!$D$6:$D$23)*$G999</f>
        <v>2.1678571428571431</v>
      </c>
      <c r="K999" s="267">
        <f>IF((42.4*(H999)^(-0.6595))&gt;=3,3,(IF(42.4*(H999)^(-0.6595)&lt;=0.5,0.5,(42.4*(H999)^(-0.6595)))))</f>
        <v>3</v>
      </c>
      <c r="L999" s="99"/>
      <c r="M999" s="99"/>
      <c r="N999" s="99">
        <f t="shared" ref="N999:N1014" si="219">(SQRT(3)*L999*$I999)/1000</f>
        <v>0</v>
      </c>
      <c r="O999" s="99">
        <f t="shared" ref="O999:O1014" si="220">(SQRT(3)*M999*$I999)/1000</f>
        <v>0</v>
      </c>
      <c r="P999" s="131">
        <v>0.9</v>
      </c>
      <c r="Q999" s="305">
        <f>_xlfn.XLOOKUP($I999,Inputs!$G$6:$G$23,Inputs!J$6:J$23)*$K999</f>
        <v>141</v>
      </c>
      <c r="R999" s="305">
        <f>_xlfn.XLOOKUP($I999,Inputs!$G$6:$G$23,Inputs!K$6:K$23)*$K999</f>
        <v>156</v>
      </c>
      <c r="S999" s="151" t="s">
        <v>2294</v>
      </c>
      <c r="T999" s="51" t="s">
        <v>3580</v>
      </c>
      <c r="U999" s="151" t="s">
        <v>2611</v>
      </c>
      <c r="V999" s="51" t="s">
        <v>3167</v>
      </c>
      <c r="W999" s="19"/>
      <c r="X999" s="19" t="s">
        <v>1964</v>
      </c>
      <c r="Y999" s="99">
        <v>12</v>
      </c>
    </row>
    <row r="1000" spans="2:25" ht="20" x14ac:dyDescent="0.2">
      <c r="B1000" s="150" t="s">
        <v>1286</v>
      </c>
      <c r="C1000" s="33" t="s">
        <v>106</v>
      </c>
      <c r="D1000" s="33" t="s">
        <v>2876</v>
      </c>
      <c r="E1000" s="175">
        <v>1</v>
      </c>
      <c r="F1000" s="151" t="s">
        <v>1128</v>
      </c>
      <c r="G1000" s="152">
        <v>1.51851E-2</v>
      </c>
      <c r="H1000" s="152">
        <v>9.3735185185185171E-3</v>
      </c>
      <c r="I1000" s="175">
        <v>69</v>
      </c>
      <c r="J1000" s="266">
        <f>_xlfn.XLOOKUP($I1000,Inputs!$C$6:$C$23,Inputs!$D$6:$D$23)*$G1000</f>
        <v>5.8354169999999999E-3</v>
      </c>
      <c r="K1000" s="267">
        <f>IF((42.4*(H1000)^(-0.6595))&gt;=3,3,(IF(42.4*(H1000)^(-0.6595)&lt;=0.5,0.5,(42.4*(H1000)^(-0.6595)))))</f>
        <v>3</v>
      </c>
      <c r="L1000" s="99"/>
      <c r="M1000" s="99"/>
      <c r="N1000" s="99">
        <f t="shared" si="219"/>
        <v>0</v>
      </c>
      <c r="O1000" s="99">
        <f t="shared" si="220"/>
        <v>0</v>
      </c>
      <c r="P1000" s="131">
        <v>0.9</v>
      </c>
      <c r="Q1000" s="305">
        <f>_xlfn.XLOOKUP($I1000,Inputs!$G$6:$G$23,Inputs!J$6:J$23)*$K1000</f>
        <v>36</v>
      </c>
      <c r="R1000" s="305">
        <f>_xlfn.XLOOKUP($I1000,Inputs!$G$6:$G$23,Inputs!K$6:K$23)*$K1000</f>
        <v>39</v>
      </c>
      <c r="S1000" s="151" t="s">
        <v>2540</v>
      </c>
      <c r="T1000" s="51" t="s">
        <v>2200</v>
      </c>
      <c r="U1000" s="151" t="s">
        <v>1919</v>
      </c>
      <c r="V1000" s="51" t="s">
        <v>3543</v>
      </c>
      <c r="W1000" s="19"/>
      <c r="X1000" s="19"/>
      <c r="Y1000" s="99">
        <v>811</v>
      </c>
    </row>
    <row r="1001" spans="2:25" ht="20" x14ac:dyDescent="0.2">
      <c r="B1001" s="150" t="s">
        <v>1280</v>
      </c>
      <c r="C1001" s="33" t="s">
        <v>106</v>
      </c>
      <c r="D1001" s="33" t="s">
        <v>2876</v>
      </c>
      <c r="E1001" s="175">
        <v>1</v>
      </c>
      <c r="F1001" s="151" t="s">
        <v>1128</v>
      </c>
      <c r="G1001" s="152">
        <v>1</v>
      </c>
      <c r="H1001" s="152">
        <v>0.61728395061728392</v>
      </c>
      <c r="I1001" s="175">
        <v>69</v>
      </c>
      <c r="J1001" s="266">
        <f>_xlfn.XLOOKUP($I1001,Inputs!$C$6:$C$23,Inputs!$D$6:$D$23)*$G1001</f>
        <v>0.38428571428571429</v>
      </c>
      <c r="K1001" s="255"/>
      <c r="L1001" s="186">
        <v>505</v>
      </c>
      <c r="M1001" s="186">
        <v>601</v>
      </c>
      <c r="N1001" s="99">
        <f t="shared" si="219"/>
        <v>60.353310389737523</v>
      </c>
      <c r="O1001" s="99">
        <f t="shared" si="220"/>
        <v>71.826414939073771</v>
      </c>
      <c r="P1001" s="131">
        <v>0.9</v>
      </c>
      <c r="Q1001" s="186">
        <f>N1001*$P1001</f>
        <v>54.317979350763771</v>
      </c>
      <c r="R1001" s="186">
        <f>O1001*$P1001</f>
        <v>64.643773445166403</v>
      </c>
      <c r="S1001" s="151" t="s">
        <v>2539</v>
      </c>
      <c r="T1001" s="51" t="s">
        <v>2199</v>
      </c>
      <c r="U1001" s="151" t="s">
        <v>2540</v>
      </c>
      <c r="V1001" s="51" t="s">
        <v>2200</v>
      </c>
      <c r="W1001" s="19"/>
      <c r="X1001" s="19"/>
      <c r="Y1001" s="99">
        <v>810</v>
      </c>
    </row>
    <row r="1002" spans="2:25" ht="20" x14ac:dyDescent="0.2">
      <c r="B1002" s="150" t="s">
        <v>1400</v>
      </c>
      <c r="C1002" s="33" t="s">
        <v>106</v>
      </c>
      <c r="D1002" s="33" t="s">
        <v>2876</v>
      </c>
      <c r="E1002" s="175">
        <v>1</v>
      </c>
      <c r="F1002" s="151" t="s">
        <v>1128</v>
      </c>
      <c r="G1002" s="152">
        <v>4.8199453999999999</v>
      </c>
      <c r="H1002" s="152">
        <v>2.9752749382716046</v>
      </c>
      <c r="I1002" s="175">
        <v>69</v>
      </c>
      <c r="J1002" s="266">
        <f>_xlfn.XLOOKUP($I1002,Inputs!$C$6:$C$23,Inputs!$D$6:$D$23)*$G1002</f>
        <v>1.8522361608571429</v>
      </c>
      <c r="K1002" s="267">
        <f>IF((42.4*(H1002)^(-0.6595))&gt;=3,3,(IF(42.4*(H1002)^(-0.6595)&lt;=0.5,0.5,(42.4*(H1002)^(-0.6595)))))</f>
        <v>3</v>
      </c>
      <c r="L1002" s="99"/>
      <c r="M1002" s="99"/>
      <c r="N1002" s="99">
        <f t="shared" si="219"/>
        <v>0</v>
      </c>
      <c r="O1002" s="99">
        <f t="shared" si="220"/>
        <v>0</v>
      </c>
      <c r="P1002" s="131">
        <v>0.9</v>
      </c>
      <c r="Q1002" s="305">
        <f>_xlfn.XLOOKUP($I1002,Inputs!$G$6:$G$23,Inputs!J$6:J$23)*$K1002</f>
        <v>36</v>
      </c>
      <c r="R1002" s="305">
        <f>_xlfn.XLOOKUP($I1002,Inputs!$G$6:$G$23,Inputs!K$6:K$23)*$K1002</f>
        <v>39</v>
      </c>
      <c r="S1002" s="151" t="s">
        <v>2602</v>
      </c>
      <c r="T1002" s="51" t="s">
        <v>2261</v>
      </c>
      <c r="U1002" s="151" t="s">
        <v>1920</v>
      </c>
      <c r="V1002" s="51" t="s">
        <v>3544</v>
      </c>
      <c r="W1002" s="19"/>
      <c r="X1002" s="19"/>
      <c r="Y1002" s="99">
        <v>991</v>
      </c>
    </row>
    <row r="1003" spans="2:25" ht="20" x14ac:dyDescent="0.2">
      <c r="B1003" s="150" t="s">
        <v>1382</v>
      </c>
      <c r="C1003" s="33" t="s">
        <v>106</v>
      </c>
      <c r="D1003" s="33" t="s">
        <v>2876</v>
      </c>
      <c r="E1003" s="175">
        <v>1</v>
      </c>
      <c r="F1003" s="151" t="s">
        <v>1128</v>
      </c>
      <c r="G1003" s="152">
        <v>4.53</v>
      </c>
      <c r="H1003" s="152">
        <v>2.7962962962962963</v>
      </c>
      <c r="I1003" s="175">
        <v>69</v>
      </c>
      <c r="J1003" s="266">
        <f>_xlfn.XLOOKUP($I1003,Inputs!$C$6:$C$23,Inputs!$D$6:$D$23)*$G1003</f>
        <v>1.7408142857142859</v>
      </c>
      <c r="K1003" s="255"/>
      <c r="L1003" s="186">
        <v>280</v>
      </c>
      <c r="M1003" s="186">
        <v>450</v>
      </c>
      <c r="N1003" s="99">
        <f t="shared" si="219"/>
        <v>33.463221602230711</v>
      </c>
      <c r="O1003" s="99">
        <f t="shared" si="220"/>
        <v>53.780177575013639</v>
      </c>
      <c r="P1003" s="131">
        <v>0.9</v>
      </c>
      <c r="Q1003" s="186">
        <f t="shared" ref="Q1003:R1008" si="221">N1003*$P1003</f>
        <v>30.116899442007639</v>
      </c>
      <c r="R1003" s="186">
        <f t="shared" si="221"/>
        <v>48.402159817512278</v>
      </c>
      <c r="S1003" s="151" t="s">
        <v>185</v>
      </c>
      <c r="T1003" s="51" t="s">
        <v>3341</v>
      </c>
      <c r="U1003" s="151" t="s">
        <v>2602</v>
      </c>
      <c r="V1003" s="51" t="s">
        <v>2261</v>
      </c>
      <c r="W1003" s="19"/>
      <c r="X1003" s="19"/>
      <c r="Y1003" s="99">
        <v>990</v>
      </c>
    </row>
    <row r="1004" spans="2:25" ht="20" x14ac:dyDescent="0.2">
      <c r="B1004" s="150" t="s">
        <v>457</v>
      </c>
      <c r="C1004" s="33" t="s">
        <v>106</v>
      </c>
      <c r="D1004" s="33" t="s">
        <v>2876</v>
      </c>
      <c r="E1004" s="175">
        <v>1</v>
      </c>
      <c r="F1004" s="151" t="s">
        <v>1128</v>
      </c>
      <c r="G1004" s="152">
        <v>29.43</v>
      </c>
      <c r="H1004" s="152">
        <v>18.166666666666664</v>
      </c>
      <c r="I1004" s="175">
        <v>138</v>
      </c>
      <c r="J1004" s="266">
        <f>_xlfn.XLOOKUP($I1004,Inputs!$C$6:$C$23,Inputs!$D$6:$D$23)*$G1004</f>
        <v>12.760007142857145</v>
      </c>
      <c r="K1004" s="255"/>
      <c r="L1004" s="186">
        <v>585</v>
      </c>
      <c r="M1004" s="186">
        <v>780</v>
      </c>
      <c r="N1004" s="99">
        <f t="shared" si="219"/>
        <v>139.82846169503546</v>
      </c>
      <c r="O1004" s="99">
        <f t="shared" si="220"/>
        <v>186.43794892671391</v>
      </c>
      <c r="P1004" s="131">
        <v>0.9</v>
      </c>
      <c r="Q1004" s="186">
        <f t="shared" si="221"/>
        <v>125.84561552553191</v>
      </c>
      <c r="R1004" s="186">
        <f t="shared" si="221"/>
        <v>167.79415403404252</v>
      </c>
      <c r="S1004" s="151" t="s">
        <v>2411</v>
      </c>
      <c r="T1004" s="51" t="s">
        <v>2062</v>
      </c>
      <c r="U1004" s="151" t="s">
        <v>1921</v>
      </c>
      <c r="V1004" s="51" t="s">
        <v>3181</v>
      </c>
      <c r="W1004" s="19"/>
      <c r="X1004" s="19"/>
      <c r="Y1004" s="99">
        <v>136</v>
      </c>
    </row>
    <row r="1005" spans="2:25" ht="20" x14ac:dyDescent="0.2">
      <c r="B1005" s="150" t="s">
        <v>1523</v>
      </c>
      <c r="C1005" s="33" t="s">
        <v>106</v>
      </c>
      <c r="D1005" s="33" t="s">
        <v>2876</v>
      </c>
      <c r="E1005" s="175">
        <v>1</v>
      </c>
      <c r="F1005" s="151" t="s">
        <v>1128</v>
      </c>
      <c r="G1005" s="152">
        <v>2</v>
      </c>
      <c r="H1005" s="152">
        <v>1.2345679012345678</v>
      </c>
      <c r="I1005" s="175">
        <v>69</v>
      </c>
      <c r="J1005" s="266">
        <f>_xlfn.XLOOKUP($I1005,Inputs!$C$6:$C$23,Inputs!$D$6:$D$23)*$G1005</f>
        <v>0.76857142857142857</v>
      </c>
      <c r="K1005" s="255"/>
      <c r="L1005" s="186">
        <v>730</v>
      </c>
      <c r="M1005" s="186">
        <v>940</v>
      </c>
      <c r="N1005" s="99">
        <f t="shared" si="219"/>
        <v>87.243399177244342</v>
      </c>
      <c r="O1005" s="99">
        <f t="shared" si="220"/>
        <v>112.34081537891738</v>
      </c>
      <c r="P1005" s="131">
        <v>0.9</v>
      </c>
      <c r="Q1005" s="186">
        <f t="shared" si="221"/>
        <v>78.519059259519906</v>
      </c>
      <c r="R1005" s="186">
        <f t="shared" si="221"/>
        <v>101.10673384102564</v>
      </c>
      <c r="S1005" s="151" t="s">
        <v>2510</v>
      </c>
      <c r="T1005" s="51" t="s">
        <v>2170</v>
      </c>
      <c r="U1005" s="151" t="s">
        <v>1922</v>
      </c>
      <c r="V1005" s="51" t="s">
        <v>3545</v>
      </c>
      <c r="W1005" s="19"/>
      <c r="X1005" s="19"/>
      <c r="Y1005" s="99">
        <v>695</v>
      </c>
    </row>
    <row r="1006" spans="2:25" ht="20" x14ac:dyDescent="0.2">
      <c r="B1006" s="150" t="s">
        <v>2345</v>
      </c>
      <c r="C1006" s="33" t="s">
        <v>106</v>
      </c>
      <c r="D1006" s="33" t="s">
        <v>2876</v>
      </c>
      <c r="E1006" s="175">
        <v>1</v>
      </c>
      <c r="F1006" s="151" t="s">
        <v>1128</v>
      </c>
      <c r="G1006" s="152">
        <v>2</v>
      </c>
      <c r="H1006" s="152">
        <v>1.2345679012345678</v>
      </c>
      <c r="I1006" s="175">
        <v>69</v>
      </c>
      <c r="J1006" s="266">
        <f>_xlfn.XLOOKUP($I1006,Inputs!$C$6:$C$23,Inputs!$D$6:$D$23)*$G1006</f>
        <v>0.76857142857142857</v>
      </c>
      <c r="K1006" s="255"/>
      <c r="L1006" s="186">
        <v>730</v>
      </c>
      <c r="M1006" s="186">
        <v>940</v>
      </c>
      <c r="N1006" s="99">
        <f t="shared" si="219"/>
        <v>87.243399177244342</v>
      </c>
      <c r="O1006" s="99">
        <f t="shared" si="220"/>
        <v>112.34081537891738</v>
      </c>
      <c r="P1006" s="131">
        <v>0.9</v>
      </c>
      <c r="Q1006" s="186">
        <f t="shared" si="221"/>
        <v>78.519059259519906</v>
      </c>
      <c r="R1006" s="186">
        <f t="shared" si="221"/>
        <v>101.10673384102564</v>
      </c>
      <c r="S1006" s="151" t="s">
        <v>2510</v>
      </c>
      <c r="T1006" s="51" t="s">
        <v>2170</v>
      </c>
      <c r="U1006" s="151" t="s">
        <v>1922</v>
      </c>
      <c r="V1006" s="51" t="s">
        <v>3545</v>
      </c>
      <c r="W1006" s="19"/>
      <c r="X1006" s="19"/>
      <c r="Y1006" s="99">
        <v>705</v>
      </c>
    </row>
    <row r="1007" spans="2:25" ht="20" x14ac:dyDescent="0.2">
      <c r="B1007" s="150" t="s">
        <v>1218</v>
      </c>
      <c r="C1007" s="33" t="s">
        <v>106</v>
      </c>
      <c r="D1007" s="33" t="s">
        <v>2876</v>
      </c>
      <c r="E1007" s="175">
        <v>1</v>
      </c>
      <c r="F1007" s="151" t="s">
        <v>1128</v>
      </c>
      <c r="G1007" s="152">
        <v>4</v>
      </c>
      <c r="H1007" s="152">
        <v>2.4691358024691357</v>
      </c>
      <c r="I1007" s="175">
        <v>69</v>
      </c>
      <c r="J1007" s="266">
        <f>_xlfn.XLOOKUP($I1007,Inputs!$C$6:$C$23,Inputs!$D$6:$D$23)*$G1007</f>
        <v>1.5371428571428571</v>
      </c>
      <c r="K1007" s="255"/>
      <c r="L1007" s="186">
        <v>730</v>
      </c>
      <c r="M1007" s="186">
        <v>940</v>
      </c>
      <c r="N1007" s="99">
        <f t="shared" si="219"/>
        <v>87.243399177244342</v>
      </c>
      <c r="O1007" s="99">
        <f t="shared" si="220"/>
        <v>112.34081537891738</v>
      </c>
      <c r="P1007" s="131">
        <v>0.9</v>
      </c>
      <c r="Q1007" s="186">
        <f t="shared" si="221"/>
        <v>78.519059259519906</v>
      </c>
      <c r="R1007" s="186">
        <f t="shared" si="221"/>
        <v>101.10673384102564</v>
      </c>
      <c r="S1007" s="151" t="s">
        <v>1572</v>
      </c>
      <c r="T1007" s="51" t="s">
        <v>3194</v>
      </c>
      <c r="U1007" s="151" t="s">
        <v>2510</v>
      </c>
      <c r="V1007" s="51" t="s">
        <v>2170</v>
      </c>
      <c r="W1007" s="19"/>
      <c r="X1007" s="19"/>
      <c r="Y1007" s="99">
        <v>694</v>
      </c>
    </row>
    <row r="1008" spans="2:25" ht="20" x14ac:dyDescent="0.2">
      <c r="B1008" s="150" t="s">
        <v>1221</v>
      </c>
      <c r="C1008" s="33" t="s">
        <v>106</v>
      </c>
      <c r="D1008" s="33" t="s">
        <v>2876</v>
      </c>
      <c r="E1008" s="175">
        <v>1</v>
      </c>
      <c r="F1008" s="151" t="s">
        <v>1128</v>
      </c>
      <c r="G1008" s="152">
        <v>4</v>
      </c>
      <c r="H1008" s="152">
        <v>2.4691358024691357</v>
      </c>
      <c r="I1008" s="175">
        <v>69</v>
      </c>
      <c r="J1008" s="266">
        <f>_xlfn.XLOOKUP($I1008,Inputs!$C$6:$C$23,Inputs!$D$6:$D$23)*$G1008</f>
        <v>1.5371428571428571</v>
      </c>
      <c r="K1008" s="255"/>
      <c r="L1008" s="186">
        <v>730</v>
      </c>
      <c r="M1008" s="186">
        <v>940</v>
      </c>
      <c r="N1008" s="99">
        <f t="shared" si="219"/>
        <v>87.243399177244342</v>
      </c>
      <c r="O1008" s="99">
        <f t="shared" si="220"/>
        <v>112.34081537891738</v>
      </c>
      <c r="P1008" s="131">
        <v>0.9</v>
      </c>
      <c r="Q1008" s="186">
        <f t="shared" si="221"/>
        <v>78.519059259519906</v>
      </c>
      <c r="R1008" s="186">
        <f t="shared" si="221"/>
        <v>101.10673384102564</v>
      </c>
      <c r="S1008" s="151" t="s">
        <v>1572</v>
      </c>
      <c r="T1008" s="51" t="s">
        <v>3194</v>
      </c>
      <c r="U1008" s="151" t="s">
        <v>2510</v>
      </c>
      <c r="V1008" s="51" t="s">
        <v>2170</v>
      </c>
      <c r="W1008" s="19"/>
      <c r="X1008" s="19"/>
      <c r="Y1008" s="99">
        <v>704</v>
      </c>
    </row>
    <row r="1009" spans="2:25" ht="20" x14ac:dyDescent="0.2">
      <c r="B1009" s="150" t="s">
        <v>1336</v>
      </c>
      <c r="C1009" s="33" t="s">
        <v>106</v>
      </c>
      <c r="D1009" s="33" t="s">
        <v>2876</v>
      </c>
      <c r="E1009" s="175">
        <v>1</v>
      </c>
      <c r="F1009" s="151" t="s">
        <v>1128</v>
      </c>
      <c r="G1009" s="152">
        <v>8.6507000000000008E-3</v>
      </c>
      <c r="H1009" s="152">
        <v>5.339938271604938E-3</v>
      </c>
      <c r="I1009" s="175">
        <v>69</v>
      </c>
      <c r="J1009" s="266">
        <f>_xlfn.XLOOKUP($I1009,Inputs!$C$6:$C$23,Inputs!$D$6:$D$23)*$G1009</f>
        <v>3.3243404285714291E-3</v>
      </c>
      <c r="K1009" s="267">
        <f>IF((42.4*(H1009)^(-0.6595))&gt;=3,3,(IF(42.4*(H1009)^(-0.6595)&lt;=0.5,0.5,(42.4*(H1009)^(-0.6595)))))</f>
        <v>3</v>
      </c>
      <c r="L1009" s="99"/>
      <c r="M1009" s="99"/>
      <c r="N1009" s="99">
        <f t="shared" si="219"/>
        <v>0</v>
      </c>
      <c r="O1009" s="99">
        <f t="shared" si="220"/>
        <v>0</v>
      </c>
      <c r="P1009" s="131">
        <v>0.9</v>
      </c>
      <c r="Q1009" s="305">
        <f>_xlfn.XLOOKUP($I1009,Inputs!$G$6:$G$23,Inputs!J$6:J$23)*$K1009</f>
        <v>36</v>
      </c>
      <c r="R1009" s="305">
        <f>_xlfn.XLOOKUP($I1009,Inputs!$G$6:$G$23,Inputs!K$6:K$23)*$K1009</f>
        <v>39</v>
      </c>
      <c r="S1009" s="151" t="s">
        <v>2575</v>
      </c>
      <c r="T1009" s="51" t="s">
        <v>2235</v>
      </c>
      <c r="U1009" s="151" t="s">
        <v>2274</v>
      </c>
      <c r="V1009" s="51" t="s">
        <v>3546</v>
      </c>
      <c r="W1009" s="19"/>
      <c r="X1009" s="19"/>
      <c r="Y1009" s="99">
        <v>910</v>
      </c>
    </row>
    <row r="1010" spans="2:25" ht="20" x14ac:dyDescent="0.2">
      <c r="B1010" s="150" t="s">
        <v>1334</v>
      </c>
      <c r="C1010" s="33" t="s">
        <v>106</v>
      </c>
      <c r="D1010" s="33" t="s">
        <v>2876</v>
      </c>
      <c r="E1010" s="175">
        <v>1</v>
      </c>
      <c r="F1010" s="151" t="s">
        <v>1128</v>
      </c>
      <c r="G1010" s="152">
        <v>18</v>
      </c>
      <c r="H1010" s="152">
        <v>11.111111111111111</v>
      </c>
      <c r="I1010" s="175">
        <v>69</v>
      </c>
      <c r="J1010" s="266">
        <f>_xlfn.XLOOKUP($I1010,Inputs!$C$6:$C$23,Inputs!$D$6:$D$23)*$G1010</f>
        <v>6.9171428571428573</v>
      </c>
      <c r="K1010" s="255"/>
      <c r="L1010" s="186">
        <v>450</v>
      </c>
      <c r="M1010" s="186">
        <v>760</v>
      </c>
      <c r="N1010" s="99">
        <f t="shared" si="219"/>
        <v>53.780177575013639</v>
      </c>
      <c r="O1010" s="99">
        <f t="shared" si="220"/>
        <v>90.828744348911911</v>
      </c>
      <c r="P1010" s="131">
        <v>0.9</v>
      </c>
      <c r="Q1010" s="186">
        <f>N1010*$P1010</f>
        <v>48.402159817512278</v>
      </c>
      <c r="R1010" s="186">
        <f>O1010*$P1010</f>
        <v>81.745869914020716</v>
      </c>
      <c r="S1010" s="151" t="s">
        <v>1872</v>
      </c>
      <c r="T1010" s="51" t="s">
        <v>3180</v>
      </c>
      <c r="U1010" s="151" t="s">
        <v>2575</v>
      </c>
      <c r="V1010" s="51" t="s">
        <v>2235</v>
      </c>
      <c r="W1010" s="19"/>
      <c r="X1010" s="19"/>
      <c r="Y1010" s="99">
        <v>909</v>
      </c>
    </row>
    <row r="1011" spans="2:25" ht="20" x14ac:dyDescent="0.2">
      <c r="B1011" s="151" t="s">
        <v>1963</v>
      </c>
      <c r="C1011" s="33" t="s">
        <v>106</v>
      </c>
      <c r="D1011" s="33" t="s">
        <v>2876</v>
      </c>
      <c r="E1011" s="175">
        <v>1</v>
      </c>
      <c r="F1011" s="151" t="s">
        <v>1128</v>
      </c>
      <c r="G1011" s="174">
        <v>10</v>
      </c>
      <c r="H1011" s="152">
        <v>6.1728395061728394</v>
      </c>
      <c r="I1011" s="175">
        <v>138</v>
      </c>
      <c r="J1011" s="266">
        <f>_xlfn.XLOOKUP($I1011,Inputs!$C$6:$C$23,Inputs!$D$6:$D$23)*$G1011</f>
        <v>4.3357142857142863</v>
      </c>
      <c r="K1011" s="267">
        <f>IF((42.4*(H1011)^(-0.6595))&gt;=3,3,(IF(42.4*(H1011)^(-0.6595)&lt;=0.5,0.5,(42.4*(H1011)^(-0.6595)))))</f>
        <v>3</v>
      </c>
      <c r="L1011" s="99"/>
      <c r="M1011" s="99"/>
      <c r="N1011" s="99">
        <f t="shared" si="219"/>
        <v>0</v>
      </c>
      <c r="O1011" s="99">
        <f t="shared" si="220"/>
        <v>0</v>
      </c>
      <c r="P1011" s="131">
        <v>0.9</v>
      </c>
      <c r="Q1011" s="305">
        <f>_xlfn.XLOOKUP($I1011,Inputs!$G$6:$G$23,Inputs!J$6:J$23)*$K1011</f>
        <v>141</v>
      </c>
      <c r="R1011" s="305">
        <f>_xlfn.XLOOKUP($I1011,Inputs!$G$6:$G$23,Inputs!K$6:K$23)*$K1011</f>
        <v>156</v>
      </c>
      <c r="S1011" s="151" t="s">
        <v>1926</v>
      </c>
      <c r="T1011" s="51" t="s">
        <v>3346</v>
      </c>
      <c r="U1011" s="151" t="s">
        <v>2329</v>
      </c>
      <c r="V1011" s="51" t="s">
        <v>3168</v>
      </c>
      <c r="W1011" s="19"/>
      <c r="X1011" s="19" t="s">
        <v>1964</v>
      </c>
      <c r="Y1011" s="99">
        <v>10</v>
      </c>
    </row>
    <row r="1012" spans="2:25" ht="20" x14ac:dyDescent="0.2">
      <c r="B1012" s="150" t="s">
        <v>505</v>
      </c>
      <c r="C1012" s="33" t="s">
        <v>106</v>
      </c>
      <c r="D1012" s="33" t="s">
        <v>2876</v>
      </c>
      <c r="E1012" s="175">
        <v>1</v>
      </c>
      <c r="F1012" s="151" t="s">
        <v>1128</v>
      </c>
      <c r="G1012" s="152">
        <v>47.211523700000001</v>
      </c>
      <c r="H1012" s="152">
        <v>29.14291586419753</v>
      </c>
      <c r="I1012" s="175">
        <v>138</v>
      </c>
      <c r="J1012" s="266">
        <f>_xlfn.XLOOKUP($I1012,Inputs!$C$6:$C$23,Inputs!$D$6:$D$23)*$G1012</f>
        <v>20.469567775642858</v>
      </c>
      <c r="K1012" s="255"/>
      <c r="L1012" s="186">
        <v>520</v>
      </c>
      <c r="M1012" s="186">
        <v>650</v>
      </c>
      <c r="N1012" s="99">
        <f t="shared" si="219"/>
        <v>124.29196595114263</v>
      </c>
      <c r="O1012" s="99">
        <f t="shared" si="220"/>
        <v>155.36495743892829</v>
      </c>
      <c r="P1012" s="131">
        <v>0.9</v>
      </c>
      <c r="Q1012" s="186">
        <f t="shared" ref="Q1012:R1014" si="222">N1012*$P1012</f>
        <v>111.86276935602837</v>
      </c>
      <c r="R1012" s="186">
        <f t="shared" si="222"/>
        <v>139.82846169503546</v>
      </c>
      <c r="S1012" s="151" t="s">
        <v>1675</v>
      </c>
      <c r="T1012" s="51" t="s">
        <v>3247</v>
      </c>
      <c r="U1012" s="151" t="s">
        <v>1923</v>
      </c>
      <c r="V1012" s="51" t="s">
        <v>3424</v>
      </c>
      <c r="W1012" s="19"/>
      <c r="X1012" s="19"/>
      <c r="Y1012" s="99">
        <v>297</v>
      </c>
    </row>
    <row r="1013" spans="2:25" ht="20" x14ac:dyDescent="0.2">
      <c r="B1013" s="150" t="s">
        <v>1170</v>
      </c>
      <c r="C1013" s="33" t="s">
        <v>106</v>
      </c>
      <c r="D1013" s="33" t="s">
        <v>2876</v>
      </c>
      <c r="E1013" s="175">
        <v>1</v>
      </c>
      <c r="F1013" s="151" t="s">
        <v>1128</v>
      </c>
      <c r="G1013" s="152">
        <v>6.5312700000000001E-2</v>
      </c>
      <c r="H1013" s="152">
        <v>4.0316481481481481E-2</v>
      </c>
      <c r="I1013" s="175">
        <v>69</v>
      </c>
      <c r="J1013" s="266">
        <f>_xlfn.XLOOKUP($I1013,Inputs!$C$6:$C$23,Inputs!$D$6:$D$23)*$G1013</f>
        <v>2.5098737571428571E-2</v>
      </c>
      <c r="K1013" s="255"/>
      <c r="L1013" s="186">
        <v>380</v>
      </c>
      <c r="M1013" s="186">
        <v>640</v>
      </c>
      <c r="N1013" s="99">
        <f t="shared" si="219"/>
        <v>45.414372174455956</v>
      </c>
      <c r="O1013" s="99">
        <f t="shared" si="220"/>
        <v>76.487363662241606</v>
      </c>
      <c r="P1013" s="131">
        <v>0.9</v>
      </c>
      <c r="Q1013" s="186">
        <f t="shared" si="222"/>
        <v>40.872934957010358</v>
      </c>
      <c r="R1013" s="186">
        <f t="shared" si="222"/>
        <v>68.838627296017449</v>
      </c>
      <c r="S1013" s="151" t="s">
        <v>2497</v>
      </c>
      <c r="T1013" s="51" t="s">
        <v>2156</v>
      </c>
      <c r="U1013" s="151" t="s">
        <v>1924</v>
      </c>
      <c r="V1013" s="51" t="s">
        <v>3547</v>
      </c>
      <c r="W1013" s="19"/>
      <c r="X1013" s="19"/>
      <c r="Y1013" s="99">
        <v>623</v>
      </c>
    </row>
    <row r="1014" spans="2:25" ht="20" x14ac:dyDescent="0.2">
      <c r="B1014" s="150" t="s">
        <v>1169</v>
      </c>
      <c r="C1014" s="33" t="s">
        <v>106</v>
      </c>
      <c r="D1014" s="33" t="s">
        <v>2876</v>
      </c>
      <c r="E1014" s="175">
        <v>1</v>
      </c>
      <c r="F1014" s="151" t="s">
        <v>1128</v>
      </c>
      <c r="G1014" s="152">
        <v>10</v>
      </c>
      <c r="H1014" s="152">
        <v>6.1728395061728394</v>
      </c>
      <c r="I1014" s="175">
        <v>69</v>
      </c>
      <c r="J1014" s="266">
        <f>_xlfn.XLOOKUP($I1014,Inputs!$C$6:$C$23,Inputs!$D$6:$D$23)*$G1014</f>
        <v>3.842857142857143</v>
      </c>
      <c r="K1014" s="255"/>
      <c r="L1014" s="186">
        <v>380</v>
      </c>
      <c r="M1014" s="186">
        <v>640</v>
      </c>
      <c r="N1014" s="99">
        <f t="shared" si="219"/>
        <v>45.414372174455956</v>
      </c>
      <c r="O1014" s="99">
        <f t="shared" si="220"/>
        <v>76.487363662241606</v>
      </c>
      <c r="P1014" s="131">
        <v>0.9</v>
      </c>
      <c r="Q1014" s="186">
        <f t="shared" si="222"/>
        <v>40.872934957010358</v>
      </c>
      <c r="R1014" s="186">
        <f t="shared" si="222"/>
        <v>68.838627296017449</v>
      </c>
      <c r="S1014" s="151" t="s">
        <v>1758</v>
      </c>
      <c r="T1014" s="51" t="s">
        <v>3728</v>
      </c>
      <c r="U1014" s="151" t="s">
        <v>2497</v>
      </c>
      <c r="V1014" s="179" t="s">
        <v>2156</v>
      </c>
      <c r="W1014" s="19"/>
      <c r="X1014" s="19"/>
      <c r="Y1014" s="99">
        <v>622</v>
      </c>
    </row>
    <row r="1015" spans="2:25" ht="20" x14ac:dyDescent="0.2">
      <c r="B1015" s="230" t="s">
        <v>2736</v>
      </c>
      <c r="C1015" s="51" t="s">
        <v>173</v>
      </c>
      <c r="D1015" s="33" t="s">
        <v>2876</v>
      </c>
      <c r="E1015" s="231">
        <v>1</v>
      </c>
      <c r="F1015" s="230" t="s">
        <v>1128</v>
      </c>
      <c r="G1015" s="232">
        <v>0.5</v>
      </c>
      <c r="H1015" s="232">
        <v>0.30864197530864196</v>
      </c>
      <c r="I1015" s="231">
        <v>63</v>
      </c>
      <c r="J1015" s="266">
        <f>_xlfn.XLOOKUP($I1015,Inputs!$C$6:$C$23,Inputs!$D$6:$D$23)*$G1015</f>
        <v>0.19</v>
      </c>
      <c r="K1015" s="267">
        <f>IF((42.4*(H1015)^(-0.6595))&gt;=3,3,(IF(42.4*(H1015)^(-0.6595)&lt;=0.5,0.5,(42.4*(H1015)^(-0.6595)))))</f>
        <v>3</v>
      </c>
      <c r="L1015" s="99"/>
      <c r="M1015" s="99"/>
      <c r="N1015" s="99"/>
      <c r="O1015" s="99"/>
      <c r="P1015" s="69"/>
      <c r="Q1015" s="305">
        <f>_xlfn.XLOOKUP($I1015,Inputs!$G$6:$G$23,Inputs!J$6:J$23)*$K1015</f>
        <v>29.767499999999998</v>
      </c>
      <c r="R1015" s="305">
        <f>_xlfn.XLOOKUP($I1015,Inputs!$G$6:$G$23,Inputs!K$6:K$23)*$K1015</f>
        <v>32.532786885245905</v>
      </c>
      <c r="S1015" s="230" t="s">
        <v>3584</v>
      </c>
      <c r="T1015" s="51" t="s">
        <v>3585</v>
      </c>
      <c r="U1015" s="230" t="s">
        <v>2723</v>
      </c>
      <c r="V1015" s="51" t="s">
        <v>3169</v>
      </c>
      <c r="W1015" s="19"/>
      <c r="X1015" s="19"/>
      <c r="Y1015" s="99">
        <v>1086</v>
      </c>
    </row>
    <row r="1016" spans="2:25" ht="20" x14ac:dyDescent="0.2">
      <c r="B1016" s="150" t="s">
        <v>429</v>
      </c>
      <c r="C1016" s="33" t="s">
        <v>106</v>
      </c>
      <c r="D1016" s="33" t="s">
        <v>2876</v>
      </c>
      <c r="E1016" s="175">
        <v>1</v>
      </c>
      <c r="F1016" s="151" t="s">
        <v>1128</v>
      </c>
      <c r="G1016" s="152">
        <v>1</v>
      </c>
      <c r="H1016" s="152">
        <v>0.61728395061728392</v>
      </c>
      <c r="I1016" s="175">
        <v>138</v>
      </c>
      <c r="J1016" s="266">
        <f>_xlfn.XLOOKUP($I1016,Inputs!$C$6:$C$23,Inputs!$D$6:$D$23)*$G1016</f>
        <v>0.43357142857142861</v>
      </c>
      <c r="K1016" s="255"/>
      <c r="L1016" s="186">
        <v>490</v>
      </c>
      <c r="M1016" s="186">
        <v>590</v>
      </c>
      <c r="N1016" s="99">
        <f t="shared" ref="N1016:N1029" si="223">(SQRT(3)*L1016*$I1016)/1000</f>
        <v>117.12127560780748</v>
      </c>
      <c r="O1016" s="99">
        <f t="shared" ref="O1016:O1029" si="224">(SQRT(3)*M1016*$I1016)/1000</f>
        <v>141.02357675225798</v>
      </c>
      <c r="P1016" s="131">
        <v>0.9</v>
      </c>
      <c r="Q1016" s="186">
        <f>N1016*$P1016</f>
        <v>105.40914804702673</v>
      </c>
      <c r="R1016" s="186">
        <f>O1016*$P1016</f>
        <v>126.92121907703219</v>
      </c>
      <c r="S1016" s="151" t="s">
        <v>3699</v>
      </c>
      <c r="T1016" s="51" t="s">
        <v>3138</v>
      </c>
      <c r="U1016" s="151" t="s">
        <v>3698</v>
      </c>
      <c r="V1016" s="51" t="s">
        <v>3170</v>
      </c>
      <c r="W1016" s="19"/>
      <c r="X1016" s="19" t="s">
        <v>1964</v>
      </c>
      <c r="Y1016" s="99">
        <v>54</v>
      </c>
    </row>
    <row r="1017" spans="2:25" s="193" customFormat="1" ht="20" x14ac:dyDescent="0.2">
      <c r="B1017" s="150" t="s">
        <v>1359</v>
      </c>
      <c r="C1017" s="33" t="s">
        <v>106</v>
      </c>
      <c r="D1017" s="33" t="s">
        <v>2876</v>
      </c>
      <c r="E1017" s="175">
        <v>1</v>
      </c>
      <c r="F1017" s="151" t="s">
        <v>1128</v>
      </c>
      <c r="G1017" s="152">
        <v>30</v>
      </c>
      <c r="H1017" s="152">
        <v>18.518518518518519</v>
      </c>
      <c r="I1017" s="175">
        <v>69</v>
      </c>
      <c r="J1017" s="266">
        <f>_xlfn.XLOOKUP($I1017,Inputs!$C$6:$C$23,Inputs!$D$6:$D$23)*$G1017</f>
        <v>11.528571428571428</v>
      </c>
      <c r="K1017" s="255"/>
      <c r="L1017" s="186">
        <v>280</v>
      </c>
      <c r="M1017" s="186">
        <v>450</v>
      </c>
      <c r="N1017" s="99">
        <f t="shared" si="223"/>
        <v>33.463221602230711</v>
      </c>
      <c r="O1017" s="99">
        <f t="shared" si="224"/>
        <v>53.780177575013639</v>
      </c>
      <c r="P1017" s="131">
        <v>0.9</v>
      </c>
      <c r="Q1017" s="186">
        <f>N1017*$P1017</f>
        <v>30.116899442007639</v>
      </c>
      <c r="R1017" s="186">
        <f>O1017*$P1017</f>
        <v>48.402159817512278</v>
      </c>
      <c r="S1017" s="151" t="s">
        <v>2591</v>
      </c>
      <c r="T1017" s="51" t="s">
        <v>2250</v>
      </c>
      <c r="U1017" s="151" t="s">
        <v>1925</v>
      </c>
      <c r="V1017" s="51" t="s">
        <v>3393</v>
      </c>
      <c r="W1017" s="19"/>
      <c r="X1017" s="19"/>
      <c r="Y1017" s="99">
        <v>952</v>
      </c>
    </row>
    <row r="1018" spans="2:25" s="193" customFormat="1" ht="20" x14ac:dyDescent="0.2">
      <c r="B1018" s="151" t="s">
        <v>1108</v>
      </c>
      <c r="C1018" s="33" t="s">
        <v>106</v>
      </c>
      <c r="D1018" s="33" t="s">
        <v>2876</v>
      </c>
      <c r="E1018" s="175">
        <v>1</v>
      </c>
      <c r="F1018" s="151" t="s">
        <v>1128</v>
      </c>
      <c r="G1018" s="174">
        <v>1</v>
      </c>
      <c r="H1018" s="152">
        <v>0.61728395061728392</v>
      </c>
      <c r="I1018" s="175">
        <v>138</v>
      </c>
      <c r="J1018" s="266">
        <f>_xlfn.XLOOKUP($I1018,Inputs!$C$6:$C$23,Inputs!$D$6:$D$23)*$G1018</f>
        <v>0.43357142857142861</v>
      </c>
      <c r="K1018" s="267">
        <f>IF((42.4*(H1018)^(-0.6595))&gt;=3,3,(IF(42.4*(H1018)^(-0.6595)&lt;=0.5,0.5,(42.4*(H1018)^(-0.6595)))))</f>
        <v>3</v>
      </c>
      <c r="L1018" s="99"/>
      <c r="M1018" s="99"/>
      <c r="N1018" s="99">
        <f t="shared" si="223"/>
        <v>0</v>
      </c>
      <c r="O1018" s="99">
        <f t="shared" si="224"/>
        <v>0</v>
      </c>
      <c r="P1018" s="131">
        <v>0.9</v>
      </c>
      <c r="Q1018" s="305">
        <f>_xlfn.XLOOKUP($I1018,Inputs!$G$6:$G$23,Inputs!J$6:J$23)*$K1018</f>
        <v>141</v>
      </c>
      <c r="R1018" s="305">
        <f>_xlfn.XLOOKUP($I1018,Inputs!$G$6:$G$23,Inputs!K$6:K$23)*$K1018</f>
        <v>156</v>
      </c>
      <c r="S1018" s="151" t="s">
        <v>2313</v>
      </c>
      <c r="T1018" s="51" t="s">
        <v>3589</v>
      </c>
      <c r="U1018" s="151" t="s">
        <v>1926</v>
      </c>
      <c r="V1018" s="51" t="s">
        <v>3346</v>
      </c>
      <c r="W1018" s="19"/>
      <c r="X1018" s="19"/>
      <c r="Y1018" s="99">
        <v>5</v>
      </c>
    </row>
    <row r="1019" spans="2:25" s="193" customFormat="1" ht="20" x14ac:dyDescent="0.2">
      <c r="B1019" s="150" t="s">
        <v>632</v>
      </c>
      <c r="C1019" s="33" t="s">
        <v>106</v>
      </c>
      <c r="D1019" s="33" t="s">
        <v>2876</v>
      </c>
      <c r="E1019" s="175">
        <v>1</v>
      </c>
      <c r="F1019" s="151" t="s">
        <v>1128</v>
      </c>
      <c r="G1019" s="152">
        <v>30</v>
      </c>
      <c r="H1019" s="152">
        <v>18.518518518518519</v>
      </c>
      <c r="I1019" s="175">
        <v>360</v>
      </c>
      <c r="J1019" s="266">
        <f>_xlfn.XLOOKUP($I1019,Inputs!$C$6:$C$23,Inputs!$D$6:$D$23)*$G1019</f>
        <v>13.172222222222222</v>
      </c>
      <c r="K1019" s="255"/>
      <c r="L1019" s="186">
        <v>960</v>
      </c>
      <c r="M1019" s="186">
        <v>1782</v>
      </c>
      <c r="N1019" s="99">
        <f t="shared" si="223"/>
        <v>598.59675909580392</v>
      </c>
      <c r="O1019" s="99">
        <f t="shared" si="224"/>
        <v>1111.1452340715859</v>
      </c>
      <c r="P1019" s="131">
        <v>0.9</v>
      </c>
      <c r="Q1019" s="186">
        <f t="shared" ref="Q1019:Q1028" si="225">N1019*$P1019</f>
        <v>538.73708318622357</v>
      </c>
      <c r="R1019" s="186">
        <f t="shared" ref="R1019:R1028" si="226">O1019*$P1019</f>
        <v>1000.0307106644274</v>
      </c>
      <c r="S1019" s="151" t="s">
        <v>2616</v>
      </c>
      <c r="T1019" s="51" t="s">
        <v>3319</v>
      </c>
      <c r="U1019" s="151" t="s">
        <v>1926</v>
      </c>
      <c r="V1019" s="51" t="s">
        <v>3346</v>
      </c>
      <c r="W1019" s="19"/>
      <c r="X1019" s="19"/>
      <c r="Y1019" s="99">
        <v>507</v>
      </c>
    </row>
    <row r="1020" spans="2:25" s="193" customFormat="1" ht="20" x14ac:dyDescent="0.2">
      <c r="B1020" s="150" t="s">
        <v>634</v>
      </c>
      <c r="C1020" s="33" t="s">
        <v>106</v>
      </c>
      <c r="D1020" s="33" t="s">
        <v>2876</v>
      </c>
      <c r="E1020" s="175">
        <v>1</v>
      </c>
      <c r="F1020" s="151" t="s">
        <v>1128</v>
      </c>
      <c r="G1020" s="152">
        <v>78.2805666</v>
      </c>
      <c r="H1020" s="152">
        <v>48.321337407407405</v>
      </c>
      <c r="I1020" s="175">
        <v>360</v>
      </c>
      <c r="J1020" s="266">
        <f>_xlfn.XLOOKUP($I1020,Inputs!$C$6:$C$23,Inputs!$D$6:$D$23)*$G1020</f>
        <v>34.370967297888889</v>
      </c>
      <c r="K1020" s="255"/>
      <c r="L1020" s="186">
        <v>960</v>
      </c>
      <c r="M1020" s="186">
        <v>1782</v>
      </c>
      <c r="N1020" s="99">
        <f t="shared" si="223"/>
        <v>598.59675909580392</v>
      </c>
      <c r="O1020" s="99">
        <f t="shared" si="224"/>
        <v>1111.1452340715859</v>
      </c>
      <c r="P1020" s="131">
        <v>0.9</v>
      </c>
      <c r="Q1020" s="186">
        <f t="shared" si="225"/>
        <v>538.73708318622357</v>
      </c>
      <c r="R1020" s="186">
        <f t="shared" si="226"/>
        <v>1000.0307106644274</v>
      </c>
      <c r="S1020" s="151" t="s">
        <v>1858</v>
      </c>
      <c r="T1020" s="51" t="s">
        <v>3203</v>
      </c>
      <c r="U1020" s="151" t="s">
        <v>1926</v>
      </c>
      <c r="V1020" s="51" t="s">
        <v>3346</v>
      </c>
      <c r="W1020" s="19"/>
      <c r="X1020" s="19"/>
      <c r="Y1020" s="99">
        <v>509</v>
      </c>
    </row>
    <row r="1021" spans="2:25" s="193" customFormat="1" ht="20" x14ac:dyDescent="0.2">
      <c r="B1021" s="150" t="s">
        <v>2376</v>
      </c>
      <c r="C1021" s="33" t="s">
        <v>106</v>
      </c>
      <c r="D1021" s="33" t="s">
        <v>2876</v>
      </c>
      <c r="E1021" s="175">
        <v>1</v>
      </c>
      <c r="F1021" s="151" t="s">
        <v>1128</v>
      </c>
      <c r="G1021" s="152">
        <v>9.6999999999999993</v>
      </c>
      <c r="H1021" s="152">
        <v>5.9876543209876534</v>
      </c>
      <c r="I1021" s="175">
        <v>230</v>
      </c>
      <c r="J1021" s="266">
        <f>_xlfn.XLOOKUP($I1021,Inputs!$C$6:$C$23,Inputs!$D$6:$D$23)*$G1021</f>
        <v>4.6559999999999997</v>
      </c>
      <c r="K1021" s="255"/>
      <c r="L1021" s="186">
        <v>1047</v>
      </c>
      <c r="M1021" s="186">
        <v>1274</v>
      </c>
      <c r="N1021" s="99">
        <f t="shared" si="223"/>
        <v>417.09515497066133</v>
      </c>
      <c r="O1021" s="99">
        <f t="shared" si="224"/>
        <v>507.52552763383244</v>
      </c>
      <c r="P1021" s="131">
        <v>0.9</v>
      </c>
      <c r="Q1021" s="186">
        <f t="shared" si="225"/>
        <v>375.38563947359518</v>
      </c>
      <c r="R1021" s="186">
        <f t="shared" si="226"/>
        <v>456.77297487044922</v>
      </c>
      <c r="S1021" s="151" t="s">
        <v>2474</v>
      </c>
      <c r="T1021" s="51" t="s">
        <v>2377</v>
      </c>
      <c r="U1021" s="151" t="s">
        <v>2330</v>
      </c>
      <c r="V1021" s="51" t="s">
        <v>3171</v>
      </c>
      <c r="W1021" s="19"/>
      <c r="X1021" s="19"/>
      <c r="Y1021" s="99">
        <v>386</v>
      </c>
    </row>
    <row r="1022" spans="2:25" s="193" customFormat="1" ht="20" x14ac:dyDescent="0.2">
      <c r="B1022" s="151" t="s">
        <v>1525</v>
      </c>
      <c r="C1022" s="33" t="s">
        <v>106</v>
      </c>
      <c r="D1022" s="33" t="s">
        <v>2876</v>
      </c>
      <c r="E1022" s="175">
        <v>1</v>
      </c>
      <c r="F1022" s="151" t="s">
        <v>1128</v>
      </c>
      <c r="G1022" s="174">
        <v>1</v>
      </c>
      <c r="H1022" s="152">
        <v>0.61728395061728392</v>
      </c>
      <c r="I1022" s="175">
        <v>69</v>
      </c>
      <c r="J1022" s="266">
        <f>_xlfn.XLOOKUP($I1022,Inputs!$C$6:$C$23,Inputs!$D$6:$D$23)*$G1022</f>
        <v>0.38428571428571429</v>
      </c>
      <c r="K1022" s="255"/>
      <c r="L1022" s="186">
        <v>433</v>
      </c>
      <c r="M1022" s="186">
        <v>744</v>
      </c>
      <c r="N1022" s="99">
        <f t="shared" si="223"/>
        <v>51.748481977735345</v>
      </c>
      <c r="O1022" s="99">
        <f t="shared" si="224"/>
        <v>88.916560257355883</v>
      </c>
      <c r="P1022" s="131">
        <v>0.9</v>
      </c>
      <c r="Q1022" s="186">
        <f t="shared" si="225"/>
        <v>46.57363377996181</v>
      </c>
      <c r="R1022" s="186">
        <f t="shared" si="226"/>
        <v>80.024904231620297</v>
      </c>
      <c r="S1022" s="151" t="s">
        <v>2522</v>
      </c>
      <c r="T1022" s="51" t="s">
        <v>2181</v>
      </c>
      <c r="U1022" s="151" t="s">
        <v>1927</v>
      </c>
      <c r="V1022" s="51" t="s">
        <v>3172</v>
      </c>
      <c r="W1022" s="19"/>
      <c r="X1022" s="19"/>
      <c r="Y1022" s="99">
        <v>764</v>
      </c>
    </row>
    <row r="1023" spans="2:25" s="193" customFormat="1" ht="20" x14ac:dyDescent="0.2">
      <c r="B1023" s="150" t="s">
        <v>1236</v>
      </c>
      <c r="C1023" s="33" t="s">
        <v>106</v>
      </c>
      <c r="D1023" s="33" t="s">
        <v>2876</v>
      </c>
      <c r="E1023" s="175">
        <v>1</v>
      </c>
      <c r="F1023" s="151" t="s">
        <v>1128</v>
      </c>
      <c r="G1023" s="152">
        <v>2</v>
      </c>
      <c r="H1023" s="152">
        <v>1.2345679012345678</v>
      </c>
      <c r="I1023" s="175">
        <v>69</v>
      </c>
      <c r="J1023" s="266">
        <f>_xlfn.XLOOKUP($I1023,Inputs!$C$6:$C$23,Inputs!$D$6:$D$23)*$G1023</f>
        <v>0.76857142857142857</v>
      </c>
      <c r="K1023" s="255"/>
      <c r="L1023" s="186">
        <v>845</v>
      </c>
      <c r="M1023" s="186">
        <v>1021</v>
      </c>
      <c r="N1023" s="99">
        <f t="shared" si="223"/>
        <v>100.98722233530337</v>
      </c>
      <c r="O1023" s="99">
        <f t="shared" si="224"/>
        <v>122.02124734241984</v>
      </c>
      <c r="P1023" s="131">
        <v>0.9</v>
      </c>
      <c r="Q1023" s="186">
        <f t="shared" si="225"/>
        <v>90.888500101773033</v>
      </c>
      <c r="R1023" s="186">
        <f t="shared" si="226"/>
        <v>109.81912260817786</v>
      </c>
      <c r="S1023" s="151" t="s">
        <v>2521</v>
      </c>
      <c r="T1023" s="51" t="s">
        <v>2180</v>
      </c>
      <c r="U1023" s="151" t="s">
        <v>2522</v>
      </c>
      <c r="V1023" s="51" t="s">
        <v>2181</v>
      </c>
      <c r="W1023" s="19"/>
      <c r="X1023" s="19"/>
      <c r="Y1023" s="99">
        <v>732</v>
      </c>
    </row>
    <row r="1024" spans="2:25" s="193" customFormat="1" ht="20" x14ac:dyDescent="0.2">
      <c r="B1024" s="150" t="s">
        <v>1242</v>
      </c>
      <c r="C1024" s="33" t="s">
        <v>106</v>
      </c>
      <c r="D1024" s="33" t="s">
        <v>2876</v>
      </c>
      <c r="E1024" s="175">
        <v>1</v>
      </c>
      <c r="F1024" s="151" t="s">
        <v>1128</v>
      </c>
      <c r="G1024" s="152">
        <v>2</v>
      </c>
      <c r="H1024" s="152">
        <v>1.2345679012345678</v>
      </c>
      <c r="I1024" s="175">
        <v>69</v>
      </c>
      <c r="J1024" s="266">
        <f>_xlfn.XLOOKUP($I1024,Inputs!$C$6:$C$23,Inputs!$D$6:$D$23)*$G1024</f>
        <v>0.76857142857142857</v>
      </c>
      <c r="K1024" s="255"/>
      <c r="L1024" s="186">
        <v>730</v>
      </c>
      <c r="M1024" s="186">
        <v>940</v>
      </c>
      <c r="N1024" s="99">
        <f t="shared" si="223"/>
        <v>87.243399177244342</v>
      </c>
      <c r="O1024" s="99">
        <f t="shared" si="224"/>
        <v>112.34081537891738</v>
      </c>
      <c r="P1024" s="131">
        <v>0.9</v>
      </c>
      <c r="Q1024" s="186">
        <f t="shared" si="225"/>
        <v>78.519059259519906</v>
      </c>
      <c r="R1024" s="186">
        <f t="shared" si="226"/>
        <v>101.10673384102564</v>
      </c>
      <c r="S1024" s="151" t="s">
        <v>2521</v>
      </c>
      <c r="T1024" s="51" t="s">
        <v>2180</v>
      </c>
      <c r="U1024" s="151" t="s">
        <v>2522</v>
      </c>
      <c r="V1024" s="51" t="s">
        <v>2181</v>
      </c>
      <c r="W1024" s="19"/>
      <c r="X1024" s="19"/>
      <c r="Y1024" s="99">
        <v>746</v>
      </c>
    </row>
    <row r="1025" spans="2:25" s="193" customFormat="1" ht="20" x14ac:dyDescent="0.2">
      <c r="B1025" s="150" t="s">
        <v>1217</v>
      </c>
      <c r="C1025" s="33" t="s">
        <v>106</v>
      </c>
      <c r="D1025" s="33" t="s">
        <v>2876</v>
      </c>
      <c r="E1025" s="175">
        <v>1</v>
      </c>
      <c r="F1025" s="151" t="s">
        <v>1128</v>
      </c>
      <c r="G1025" s="152">
        <v>0.41198239999999997</v>
      </c>
      <c r="H1025" s="152">
        <v>0.2543101234567901</v>
      </c>
      <c r="I1025" s="175">
        <v>69</v>
      </c>
      <c r="J1025" s="266">
        <f>_xlfn.XLOOKUP($I1025,Inputs!$C$6:$C$23,Inputs!$D$6:$D$23)*$G1025</f>
        <v>0.15831895085714284</v>
      </c>
      <c r="K1025" s="255"/>
      <c r="L1025" s="186">
        <v>440</v>
      </c>
      <c r="M1025" s="186">
        <v>555</v>
      </c>
      <c r="N1025" s="99">
        <f t="shared" si="223"/>
        <v>52.585062517791116</v>
      </c>
      <c r="O1025" s="99">
        <f t="shared" si="224"/>
        <v>66.328885675850145</v>
      </c>
      <c r="P1025" s="131">
        <v>0.9</v>
      </c>
      <c r="Q1025" s="186">
        <f t="shared" si="225"/>
        <v>47.326556266012005</v>
      </c>
      <c r="R1025" s="186">
        <f t="shared" si="226"/>
        <v>59.695997108265132</v>
      </c>
      <c r="S1025" s="151" t="s">
        <v>2509</v>
      </c>
      <c r="T1025" s="51" t="s">
        <v>2168</v>
      </c>
      <c r="U1025" s="151" t="s">
        <v>1928</v>
      </c>
      <c r="V1025" s="51" t="s">
        <v>3548</v>
      </c>
      <c r="W1025" s="19"/>
      <c r="X1025" s="19"/>
      <c r="Y1025" s="99">
        <v>692</v>
      </c>
    </row>
    <row r="1026" spans="2:25" s="193" customFormat="1" ht="20" x14ac:dyDescent="0.2">
      <c r="B1026" s="150" t="s">
        <v>1216</v>
      </c>
      <c r="C1026" s="33" t="s">
        <v>106</v>
      </c>
      <c r="D1026" s="33" t="s">
        <v>2876</v>
      </c>
      <c r="E1026" s="175">
        <v>1</v>
      </c>
      <c r="F1026" s="151" t="s">
        <v>1128</v>
      </c>
      <c r="G1026" s="152">
        <v>2</v>
      </c>
      <c r="H1026" s="152">
        <v>1.2345679012345678</v>
      </c>
      <c r="I1026" s="175">
        <v>69</v>
      </c>
      <c r="J1026" s="266">
        <f>_xlfn.XLOOKUP($I1026,Inputs!$C$6:$C$23,Inputs!$D$6:$D$23)*$G1026</f>
        <v>0.76857142857142857</v>
      </c>
      <c r="K1026" s="255"/>
      <c r="L1026" s="186">
        <v>845</v>
      </c>
      <c r="M1026" s="186">
        <v>1010</v>
      </c>
      <c r="N1026" s="99">
        <f t="shared" si="223"/>
        <v>100.98722233530337</v>
      </c>
      <c r="O1026" s="99">
        <f t="shared" si="224"/>
        <v>120.70662077947505</v>
      </c>
      <c r="P1026" s="131">
        <v>0.9</v>
      </c>
      <c r="Q1026" s="186">
        <f t="shared" si="225"/>
        <v>90.888500101773033</v>
      </c>
      <c r="R1026" s="186">
        <f t="shared" si="226"/>
        <v>108.63595870152754</v>
      </c>
      <c r="S1026" s="151" t="s">
        <v>1638</v>
      </c>
      <c r="T1026" s="51" t="s">
        <v>3211</v>
      </c>
      <c r="U1026" s="151" t="s">
        <v>2509</v>
      </c>
      <c r="V1026" s="51" t="s">
        <v>2168</v>
      </c>
      <c r="W1026" s="19"/>
      <c r="X1026" s="19"/>
      <c r="Y1026" s="99">
        <v>691</v>
      </c>
    </row>
    <row r="1027" spans="2:25" s="193" customFormat="1" ht="20" x14ac:dyDescent="0.2">
      <c r="B1027" s="150" t="s">
        <v>1215</v>
      </c>
      <c r="C1027" s="33" t="s">
        <v>106</v>
      </c>
      <c r="D1027" s="33" t="s">
        <v>2876</v>
      </c>
      <c r="E1027" s="175">
        <v>1</v>
      </c>
      <c r="F1027" s="151" t="s">
        <v>1128</v>
      </c>
      <c r="G1027" s="152">
        <v>8.41</v>
      </c>
      <c r="H1027" s="152">
        <v>5.1913580246913575</v>
      </c>
      <c r="I1027" s="175">
        <v>69</v>
      </c>
      <c r="J1027" s="266">
        <f>_xlfn.XLOOKUP($I1027,Inputs!$C$6:$C$23,Inputs!$D$6:$D$23)*$G1027</f>
        <v>3.231842857142857</v>
      </c>
      <c r="K1027" s="255"/>
      <c r="L1027" s="186">
        <v>590</v>
      </c>
      <c r="M1027" s="186">
        <v>610</v>
      </c>
      <c r="N1027" s="99">
        <f t="shared" si="223"/>
        <v>70.51178837612899</v>
      </c>
      <c r="O1027" s="99">
        <f t="shared" si="224"/>
        <v>72.902018490574036</v>
      </c>
      <c r="P1027" s="131">
        <v>0.9</v>
      </c>
      <c r="Q1027" s="186">
        <f t="shared" si="225"/>
        <v>63.460609538516096</v>
      </c>
      <c r="R1027" s="186">
        <f t="shared" si="226"/>
        <v>65.61181664151664</v>
      </c>
      <c r="S1027" s="151" t="s">
        <v>1895</v>
      </c>
      <c r="T1027" s="51" t="s">
        <v>3332</v>
      </c>
      <c r="U1027" s="151" t="s">
        <v>1929</v>
      </c>
      <c r="V1027" s="51" t="s">
        <v>3526</v>
      </c>
      <c r="W1027" s="19"/>
      <c r="X1027" s="19"/>
      <c r="Y1027" s="99">
        <v>689</v>
      </c>
    </row>
    <row r="1028" spans="2:25" s="193" customFormat="1" ht="20" x14ac:dyDescent="0.2">
      <c r="B1028" s="150" t="s">
        <v>1216</v>
      </c>
      <c r="C1028" s="33" t="s">
        <v>106</v>
      </c>
      <c r="D1028" s="33" t="s">
        <v>2876</v>
      </c>
      <c r="E1028" s="175">
        <v>1</v>
      </c>
      <c r="F1028" s="151" t="s">
        <v>1128</v>
      </c>
      <c r="G1028" s="152">
        <v>1.95</v>
      </c>
      <c r="H1028" s="152">
        <v>1.2037037037037035</v>
      </c>
      <c r="I1028" s="175">
        <v>69</v>
      </c>
      <c r="J1028" s="266">
        <f>_xlfn.XLOOKUP($I1028,Inputs!$C$6:$C$23,Inputs!$D$6:$D$23)*$G1028</f>
        <v>0.74935714285714283</v>
      </c>
      <c r="K1028" s="255"/>
      <c r="L1028" s="186">
        <v>463</v>
      </c>
      <c r="M1028" s="3">
        <v>490</v>
      </c>
      <c r="N1028" s="99">
        <f t="shared" si="223"/>
        <v>55.333827149402921</v>
      </c>
      <c r="O1028" s="99">
        <f t="shared" si="224"/>
        <v>58.560637803903738</v>
      </c>
      <c r="P1028" s="131">
        <v>0.9</v>
      </c>
      <c r="Q1028" s="186">
        <f t="shared" si="225"/>
        <v>49.800444434462634</v>
      </c>
      <c r="R1028" s="186">
        <f t="shared" si="226"/>
        <v>52.704574023513366</v>
      </c>
      <c r="S1028" s="151" t="s">
        <v>2509</v>
      </c>
      <c r="T1028" s="51" t="s">
        <v>2168</v>
      </c>
      <c r="U1028" s="151" t="s">
        <v>1929</v>
      </c>
      <c r="V1028" s="51" t="s">
        <v>3526</v>
      </c>
      <c r="W1028" s="19"/>
      <c r="X1028" s="19"/>
      <c r="Y1028" s="99">
        <v>693</v>
      </c>
    </row>
    <row r="1029" spans="2:25" s="193" customFormat="1" ht="20" x14ac:dyDescent="0.2">
      <c r="B1029" s="151" t="s">
        <v>1108</v>
      </c>
      <c r="C1029" s="33" t="s">
        <v>106</v>
      </c>
      <c r="D1029" s="33" t="s">
        <v>2876</v>
      </c>
      <c r="E1029" s="175">
        <v>1</v>
      </c>
      <c r="F1029" s="151" t="s">
        <v>1128</v>
      </c>
      <c r="G1029" s="174">
        <v>1</v>
      </c>
      <c r="H1029" s="152">
        <v>0.61728395061728392</v>
      </c>
      <c r="I1029" s="175">
        <v>138</v>
      </c>
      <c r="J1029" s="266">
        <f>_xlfn.XLOOKUP($I1029,Inputs!$C$6:$C$23,Inputs!$D$6:$D$23)*$G1029</f>
        <v>0.43357142857142861</v>
      </c>
      <c r="K1029" s="267">
        <f>IF((42.4*(H1029)^(-0.6595))&gt;=3,3,(IF(42.4*(H1029)^(-0.6595)&lt;=0.5,0.5,(42.4*(H1029)^(-0.6595)))))</f>
        <v>3</v>
      </c>
      <c r="L1029" s="99"/>
      <c r="M1029" s="99"/>
      <c r="N1029" s="99">
        <f t="shared" si="223"/>
        <v>0</v>
      </c>
      <c r="O1029" s="99">
        <f t="shared" si="224"/>
        <v>0</v>
      </c>
      <c r="P1029" s="131">
        <v>0.9</v>
      </c>
      <c r="Q1029" s="305">
        <f>_xlfn.XLOOKUP($I1029,Inputs!$G$6:$G$23,Inputs!J$6:J$23)*$K1029</f>
        <v>141</v>
      </c>
      <c r="R1029" s="305">
        <f>_xlfn.XLOOKUP($I1029,Inputs!$G$6:$G$23,Inputs!K$6:K$23)*$K1029</f>
        <v>156</v>
      </c>
      <c r="S1029" s="151" t="s">
        <v>1968</v>
      </c>
      <c r="T1029" s="51" t="s">
        <v>3590</v>
      </c>
      <c r="U1029" s="151" t="s">
        <v>2331</v>
      </c>
      <c r="V1029" s="51" t="s">
        <v>3173</v>
      </c>
      <c r="W1029" s="19"/>
      <c r="X1029" s="19"/>
      <c r="Y1029" s="99">
        <v>1</v>
      </c>
    </row>
    <row r="1030" spans="2:25" s="193" customFormat="1" ht="20" x14ac:dyDescent="0.2">
      <c r="B1030" s="230" t="s">
        <v>2738</v>
      </c>
      <c r="C1030" s="51" t="s">
        <v>173</v>
      </c>
      <c r="D1030" s="33" t="s">
        <v>2876</v>
      </c>
      <c r="E1030" s="231">
        <v>1</v>
      </c>
      <c r="F1030" s="230" t="s">
        <v>1128</v>
      </c>
      <c r="G1030" s="232">
        <v>2.5</v>
      </c>
      <c r="H1030" s="232">
        <v>1.5432098765432098</v>
      </c>
      <c r="I1030" s="231">
        <v>63</v>
      </c>
      <c r="J1030" s="266">
        <f>_xlfn.XLOOKUP($I1030,Inputs!$C$6:$C$23,Inputs!$D$6:$D$23)*$G1030</f>
        <v>0.95</v>
      </c>
      <c r="K1030" s="267">
        <f>IF((42.4*(H1030)^(-0.6595))&gt;=3,3,(IF(42.4*(H1030)^(-0.6595)&lt;=0.5,0.5,(42.4*(H1030)^(-0.6595)))))</f>
        <v>3</v>
      </c>
      <c r="L1030" s="99"/>
      <c r="M1030" s="99"/>
      <c r="N1030" s="99"/>
      <c r="O1030" s="99"/>
      <c r="P1030" s="69"/>
      <c r="Q1030" s="305">
        <f>_xlfn.XLOOKUP($I1030,Inputs!$G$6:$G$23,Inputs!J$6:J$23)*$K1030</f>
        <v>29.767499999999998</v>
      </c>
      <c r="R1030" s="305">
        <f>_xlfn.XLOOKUP($I1030,Inputs!$G$6:$G$23,Inputs!K$6:K$23)*$K1030</f>
        <v>32.532786885245905</v>
      </c>
      <c r="S1030" s="230" t="s">
        <v>2326</v>
      </c>
      <c r="T1030" s="51" t="s">
        <v>3162</v>
      </c>
      <c r="U1030" s="230" t="s">
        <v>3584</v>
      </c>
      <c r="V1030" s="51" t="s">
        <v>3585</v>
      </c>
      <c r="W1030" s="19"/>
      <c r="X1030" s="19"/>
      <c r="Y1030" s="99">
        <v>1062</v>
      </c>
    </row>
    <row r="1031" spans="2:25" s="193" customFormat="1" ht="20" x14ac:dyDescent="0.2">
      <c r="B1031" s="230" t="s">
        <v>2734</v>
      </c>
      <c r="C1031" s="51" t="s">
        <v>173</v>
      </c>
      <c r="D1031" s="33" t="s">
        <v>2876</v>
      </c>
      <c r="E1031" s="231">
        <v>1</v>
      </c>
      <c r="F1031" s="230" t="s">
        <v>1128</v>
      </c>
      <c r="G1031" s="232">
        <v>1</v>
      </c>
      <c r="H1031" s="232">
        <v>0.61728395061728392</v>
      </c>
      <c r="I1031" s="231">
        <v>63</v>
      </c>
      <c r="J1031" s="266">
        <f>_xlfn.XLOOKUP($I1031,Inputs!$C$6:$C$23,Inputs!$D$6:$D$23)*$G1031</f>
        <v>0.38</v>
      </c>
      <c r="K1031" s="267">
        <f>IF((42.4*(H1031)^(-0.6595))&gt;=3,3,(IF(42.4*(H1031)^(-0.6595)&lt;=0.5,0.5,(42.4*(H1031)^(-0.6595)))))</f>
        <v>3</v>
      </c>
      <c r="L1031" s="99"/>
      <c r="M1031" s="99"/>
      <c r="N1031" s="99"/>
      <c r="O1031" s="99"/>
      <c r="P1031" s="69"/>
      <c r="Q1031" s="305">
        <f>_xlfn.XLOOKUP($I1031,Inputs!$G$6:$G$23,Inputs!J$6:J$23)*$K1031</f>
        <v>29.767499999999998</v>
      </c>
      <c r="R1031" s="305">
        <f>_xlfn.XLOOKUP($I1031,Inputs!$G$6:$G$23,Inputs!K$6:K$23)*$K1031</f>
        <v>32.532786885245905</v>
      </c>
      <c r="S1031" s="230" t="s">
        <v>2735</v>
      </c>
      <c r="T1031" s="51" t="s">
        <v>3137</v>
      </c>
      <c r="U1031" s="230" t="s">
        <v>3584</v>
      </c>
      <c r="V1031" s="51" t="s">
        <v>3585</v>
      </c>
      <c r="W1031" s="19"/>
      <c r="X1031" s="19"/>
      <c r="Y1031" s="99">
        <v>1064</v>
      </c>
    </row>
    <row r="1032" spans="2:25" s="193" customFormat="1" ht="20" x14ac:dyDescent="0.2">
      <c r="B1032" s="230" t="s">
        <v>2744</v>
      </c>
      <c r="C1032" s="51" t="s">
        <v>173</v>
      </c>
      <c r="D1032" s="33" t="s">
        <v>2876</v>
      </c>
      <c r="E1032" s="231">
        <v>1</v>
      </c>
      <c r="F1032" s="230" t="s">
        <v>1128</v>
      </c>
      <c r="G1032" s="232">
        <v>27.5</v>
      </c>
      <c r="H1032" s="232">
        <v>16.975308641975307</v>
      </c>
      <c r="I1032" s="231">
        <v>63</v>
      </c>
      <c r="J1032" s="266">
        <f>_xlfn.XLOOKUP($I1032,Inputs!$C$6:$C$23,Inputs!$D$6:$D$23)*$G1032</f>
        <v>10.45</v>
      </c>
      <c r="K1032" s="267">
        <f>IF((42.4*(H1032)^(-0.6595))&gt;=3,3,(IF(42.4*(H1032)^(-0.6595)&lt;=0.5,0.5,(42.4*(H1032)^(-0.6595)))))</f>
        <v>3</v>
      </c>
      <c r="L1032" s="99"/>
      <c r="M1032" s="99"/>
      <c r="N1032" s="99"/>
      <c r="O1032" s="99"/>
      <c r="P1032" s="69"/>
      <c r="Q1032" s="305">
        <f>_xlfn.XLOOKUP($I1032,Inputs!$G$6:$G$23,Inputs!J$6:J$23)*$K1032</f>
        <v>29.767499999999998</v>
      </c>
      <c r="R1032" s="305">
        <f>_xlfn.XLOOKUP($I1032,Inputs!$G$6:$G$23,Inputs!K$6:K$23)*$K1032</f>
        <v>32.532786885245905</v>
      </c>
      <c r="S1032" s="230" t="s">
        <v>2745</v>
      </c>
      <c r="T1032" s="51" t="s">
        <v>3306</v>
      </c>
      <c r="U1032" s="230" t="s">
        <v>2746</v>
      </c>
      <c r="V1032" s="51" t="s">
        <v>3495</v>
      </c>
      <c r="W1032" s="19"/>
      <c r="X1032" s="19"/>
      <c r="Y1032" s="99">
        <v>1055</v>
      </c>
    </row>
    <row r="1033" spans="2:25" s="193" customFormat="1" ht="20" x14ac:dyDescent="0.2">
      <c r="B1033" s="150" t="s">
        <v>677</v>
      </c>
      <c r="C1033" s="33" t="s">
        <v>106</v>
      </c>
      <c r="D1033" s="33" t="s">
        <v>2876</v>
      </c>
      <c r="E1033" s="175">
        <v>1</v>
      </c>
      <c r="F1033" s="151" t="s">
        <v>1128</v>
      </c>
      <c r="G1033" s="152">
        <v>139.11077799999998</v>
      </c>
      <c r="H1033" s="152">
        <v>85.870850617283935</v>
      </c>
      <c r="I1033" s="175">
        <v>500</v>
      </c>
      <c r="J1033" s="266">
        <f>_xlfn.XLOOKUP($I1033,Inputs!$C$6:$C$23,Inputs!$D$6:$D$23)*$G1033</f>
        <v>54.948757309999998</v>
      </c>
      <c r="K1033" s="255"/>
      <c r="L1033" s="186">
        <v>3506</v>
      </c>
      <c r="M1033" s="186">
        <v>4241</v>
      </c>
      <c r="N1033" s="99">
        <f>(SQRT(3)*L1033*$I1033)/1000</f>
        <v>3036.2850656682417</v>
      </c>
      <c r="O1033" s="99">
        <f>(SQRT(3)*M1033*$I1033)/1000</f>
        <v>3672.8137374498042</v>
      </c>
      <c r="P1033" s="131">
        <v>0.9</v>
      </c>
      <c r="Q1033" s="186">
        <f>N1033*$P1033</f>
        <v>2732.6565591014178</v>
      </c>
      <c r="R1033" s="186">
        <f>O1033*$P1033</f>
        <v>3305.5323637048236</v>
      </c>
      <c r="S1033" s="151" t="s">
        <v>1809</v>
      </c>
      <c r="T1033" s="51" t="s">
        <v>3296</v>
      </c>
      <c r="U1033" s="151" t="s">
        <v>1930</v>
      </c>
      <c r="V1033" s="51" t="s">
        <v>3347</v>
      </c>
      <c r="W1033" s="19"/>
      <c r="X1033" s="19"/>
      <c r="Y1033" s="99">
        <v>553</v>
      </c>
    </row>
    <row r="1034" spans="2:25" s="193" customFormat="1" ht="20" x14ac:dyDescent="0.2">
      <c r="B1034" s="230" t="s">
        <v>1115</v>
      </c>
      <c r="C1034" s="51" t="s">
        <v>173</v>
      </c>
      <c r="D1034" s="33" t="s">
        <v>2876</v>
      </c>
      <c r="E1034" s="231">
        <v>1</v>
      </c>
      <c r="F1034" s="230" t="s">
        <v>1128</v>
      </c>
      <c r="G1034" s="232">
        <v>7.5</v>
      </c>
      <c r="H1034" s="232">
        <v>4.6296296296296298</v>
      </c>
      <c r="I1034" s="231">
        <v>230</v>
      </c>
      <c r="J1034" s="266">
        <f>_xlfn.XLOOKUP($I1034,Inputs!$C$6:$C$23,Inputs!$D$6:$D$23)*$G1034</f>
        <v>3.5999999999999996</v>
      </c>
      <c r="K1034" s="267">
        <f>IF((42.4*(H1034)^(-0.6595))&gt;=3,3,(IF(42.4*(H1034)^(-0.6595)&lt;=0.5,0.5,(42.4*(H1034)^(-0.6595)))))</f>
        <v>3</v>
      </c>
      <c r="L1034" s="99"/>
      <c r="M1034" s="99"/>
      <c r="N1034" s="99"/>
      <c r="O1034" s="99"/>
      <c r="P1034" s="69"/>
      <c r="Q1034" s="305">
        <f>_xlfn.XLOOKUP($I1034,Inputs!$G$6:$G$23,Inputs!J$6:J$23)*$K1034</f>
        <v>402</v>
      </c>
      <c r="R1034" s="305">
        <f>_xlfn.XLOOKUP($I1034,Inputs!$G$6:$G$23,Inputs!K$6:K$23)*$K1034</f>
        <v>435</v>
      </c>
      <c r="S1034" s="230" t="s">
        <v>3562</v>
      </c>
      <c r="T1034" s="51" t="s">
        <v>3563</v>
      </c>
      <c r="U1034" s="230" t="s">
        <v>1930</v>
      </c>
      <c r="V1034" s="51" t="s">
        <v>3347</v>
      </c>
      <c r="W1034" s="19"/>
      <c r="X1034" s="19"/>
      <c r="Y1034" s="99">
        <v>1090</v>
      </c>
    </row>
    <row r="1035" spans="2:25" s="193" customFormat="1" ht="20" x14ac:dyDescent="0.2">
      <c r="B1035" s="230" t="s">
        <v>1113</v>
      </c>
      <c r="C1035" s="51" t="s">
        <v>173</v>
      </c>
      <c r="D1035" s="33" t="s">
        <v>2876</v>
      </c>
      <c r="E1035" s="231">
        <v>1</v>
      </c>
      <c r="F1035" s="230" t="s">
        <v>1128</v>
      </c>
      <c r="G1035" s="232">
        <v>25</v>
      </c>
      <c r="H1035" s="232">
        <v>15.432098765432098</v>
      </c>
      <c r="I1035" s="231">
        <v>230</v>
      </c>
      <c r="J1035" s="266">
        <f>_xlfn.XLOOKUP($I1035,Inputs!$C$6:$C$23,Inputs!$D$6:$D$23)*$G1035</f>
        <v>12</v>
      </c>
      <c r="K1035" s="267">
        <f>IF((42.4*(H1035)^(-0.6595))&gt;=3,3,(IF(42.4*(H1035)^(-0.6595)&lt;=0.5,0.5,(42.4*(H1035)^(-0.6595)))))</f>
        <v>3</v>
      </c>
      <c r="L1035" s="99"/>
      <c r="M1035" s="99"/>
      <c r="N1035" s="99"/>
      <c r="O1035" s="99"/>
      <c r="P1035" s="69"/>
      <c r="Q1035" s="305">
        <f>_xlfn.XLOOKUP($I1035,Inputs!$G$6:$G$23,Inputs!J$6:J$23)*$K1035</f>
        <v>402</v>
      </c>
      <c r="R1035" s="305">
        <f>_xlfn.XLOOKUP($I1035,Inputs!$G$6:$G$23,Inputs!K$6:K$23)*$K1035</f>
        <v>435</v>
      </c>
      <c r="S1035" s="230" t="s">
        <v>1856</v>
      </c>
      <c r="T1035" s="51" t="s">
        <v>3205</v>
      </c>
      <c r="U1035" s="230" t="s">
        <v>1930</v>
      </c>
      <c r="V1035" s="51" t="s">
        <v>3347</v>
      </c>
      <c r="W1035" s="19"/>
      <c r="X1035" s="19"/>
      <c r="Y1035" s="99">
        <v>1137</v>
      </c>
    </row>
    <row r="1036" spans="2:25" s="193" customFormat="1" ht="20" x14ac:dyDescent="0.2">
      <c r="B1036" s="230" t="s">
        <v>1114</v>
      </c>
      <c r="C1036" s="51" t="s">
        <v>173</v>
      </c>
      <c r="D1036" s="33" t="s">
        <v>2876</v>
      </c>
      <c r="E1036" s="231">
        <v>1</v>
      </c>
      <c r="F1036" s="230" t="s">
        <v>1128</v>
      </c>
      <c r="G1036" s="232">
        <v>25</v>
      </c>
      <c r="H1036" s="232">
        <v>15.432098765432098</v>
      </c>
      <c r="I1036" s="231">
        <v>230</v>
      </c>
      <c r="J1036" s="266">
        <f>_xlfn.XLOOKUP($I1036,Inputs!$C$6:$C$23,Inputs!$D$6:$D$23)*$G1036</f>
        <v>12</v>
      </c>
      <c r="K1036" s="267">
        <f>IF((42.4*(H1036)^(-0.6595))&gt;=3,3,(IF(42.4*(H1036)^(-0.6595)&lt;=0.5,0.5,(42.4*(H1036)^(-0.6595)))))</f>
        <v>3</v>
      </c>
      <c r="L1036" s="99"/>
      <c r="M1036" s="99"/>
      <c r="N1036" s="99"/>
      <c r="O1036" s="99"/>
      <c r="P1036" s="69"/>
      <c r="Q1036" s="305">
        <f>_xlfn.XLOOKUP($I1036,Inputs!$G$6:$G$23,Inputs!J$6:J$23)*$K1036</f>
        <v>402</v>
      </c>
      <c r="R1036" s="305">
        <f>_xlfn.XLOOKUP($I1036,Inputs!$G$6:$G$23,Inputs!K$6:K$23)*$K1036</f>
        <v>435</v>
      </c>
      <c r="S1036" s="230" t="s">
        <v>1856</v>
      </c>
      <c r="T1036" s="51" t="s">
        <v>3205</v>
      </c>
      <c r="U1036" s="230" t="s">
        <v>1930</v>
      </c>
      <c r="V1036" s="51" t="s">
        <v>3347</v>
      </c>
      <c r="W1036" s="19"/>
      <c r="X1036" s="19"/>
      <c r="Y1036" s="99">
        <v>1138</v>
      </c>
    </row>
    <row r="1037" spans="2:25" s="193" customFormat="1" ht="20" x14ac:dyDescent="0.2">
      <c r="B1037" s="150" t="s">
        <v>1438</v>
      </c>
      <c r="C1037" s="33" t="s">
        <v>106</v>
      </c>
      <c r="D1037" s="33" t="s">
        <v>2876</v>
      </c>
      <c r="E1037" s="175">
        <v>1</v>
      </c>
      <c r="F1037" s="151" t="s">
        <v>1128</v>
      </c>
      <c r="G1037" s="152">
        <v>4.83361E-2</v>
      </c>
      <c r="H1037" s="152">
        <v>2.9837098765432096E-2</v>
      </c>
      <c r="I1037" s="175">
        <v>138</v>
      </c>
      <c r="J1037" s="266">
        <f>_xlfn.XLOOKUP($I1037,Inputs!$C$6:$C$23,Inputs!$D$6:$D$23)*$G1037</f>
        <v>2.0957151928571432E-2</v>
      </c>
      <c r="K1037" s="255"/>
      <c r="L1037" s="186">
        <v>254</v>
      </c>
      <c r="M1037" s="186">
        <v>488</v>
      </c>
      <c r="N1037" s="99">
        <f t="shared" ref="N1037:N1056" si="227">(SQRT(3)*L1037*$I1037)/1000</f>
        <v>60.711844906904282</v>
      </c>
      <c r="O1037" s="99">
        <f t="shared" ref="O1037:O1056" si="228">(SQRT(3)*M1037*$I1037)/1000</f>
        <v>116.64322958491846</v>
      </c>
      <c r="P1037" s="131">
        <v>0.9</v>
      </c>
      <c r="Q1037" s="186">
        <f t="shared" ref="Q1037:R1041" si="229">N1037*$P1037</f>
        <v>54.640660416213855</v>
      </c>
      <c r="R1037" s="186">
        <f t="shared" si="229"/>
        <v>104.97890662642662</v>
      </c>
      <c r="S1037" s="151" t="s">
        <v>2429</v>
      </c>
      <c r="T1037" s="51" t="s">
        <v>2081</v>
      </c>
      <c r="U1037" s="151" t="s">
        <v>1931</v>
      </c>
      <c r="V1037" s="51" t="s">
        <v>3549</v>
      </c>
      <c r="W1037" s="19"/>
      <c r="X1037" s="19"/>
      <c r="Y1037" s="99">
        <v>199</v>
      </c>
    </row>
    <row r="1038" spans="2:25" s="193" customFormat="1" ht="20" x14ac:dyDescent="0.2">
      <c r="B1038" s="150" t="s">
        <v>475</v>
      </c>
      <c r="C1038" s="33" t="s">
        <v>106</v>
      </c>
      <c r="D1038" s="33" t="s">
        <v>2876</v>
      </c>
      <c r="E1038" s="175">
        <v>1</v>
      </c>
      <c r="F1038" s="151" t="s">
        <v>1128</v>
      </c>
      <c r="G1038" s="152">
        <v>25</v>
      </c>
      <c r="H1038" s="152">
        <v>15.432098765432098</v>
      </c>
      <c r="I1038" s="175">
        <v>138</v>
      </c>
      <c r="J1038" s="266">
        <f>_xlfn.XLOOKUP($I1038,Inputs!$C$6:$C$23,Inputs!$D$6:$D$23)*$G1038</f>
        <v>10.839285714285715</v>
      </c>
      <c r="K1038" s="255"/>
      <c r="L1038" s="186">
        <v>493</v>
      </c>
      <c r="M1038" s="186">
        <v>627</v>
      </c>
      <c r="N1038" s="99">
        <f t="shared" si="227"/>
        <v>117.838344642141</v>
      </c>
      <c r="O1038" s="99">
        <f t="shared" si="228"/>
        <v>149.86742817570467</v>
      </c>
      <c r="P1038" s="131">
        <v>0.9</v>
      </c>
      <c r="Q1038" s="186">
        <f t="shared" si="229"/>
        <v>106.0545101779269</v>
      </c>
      <c r="R1038" s="186">
        <f t="shared" si="229"/>
        <v>134.8806853581342</v>
      </c>
      <c r="S1038" s="151" t="s">
        <v>2428</v>
      </c>
      <c r="T1038" s="51" t="s">
        <v>2076</v>
      </c>
      <c r="U1038" s="151" t="s">
        <v>2429</v>
      </c>
      <c r="V1038" s="51" t="s">
        <v>2081</v>
      </c>
      <c r="W1038" s="19"/>
      <c r="X1038" s="19"/>
      <c r="Y1038" s="99">
        <v>198</v>
      </c>
    </row>
    <row r="1039" spans="2:25" s="193" customFormat="1" ht="20" x14ac:dyDescent="0.2">
      <c r="B1039" s="150" t="s">
        <v>1537</v>
      </c>
      <c r="C1039" s="33" t="s">
        <v>106</v>
      </c>
      <c r="D1039" s="33" t="s">
        <v>2876</v>
      </c>
      <c r="E1039" s="175">
        <v>1</v>
      </c>
      <c r="F1039" s="151" t="s">
        <v>1128</v>
      </c>
      <c r="G1039" s="152">
        <v>1.3852999999999999E-2</v>
      </c>
      <c r="H1039" s="152">
        <v>8.5512345679012326E-3</v>
      </c>
      <c r="I1039" s="175">
        <v>69</v>
      </c>
      <c r="J1039" s="266">
        <f>_xlfn.XLOOKUP($I1039,Inputs!$C$6:$C$23,Inputs!$D$6:$D$23)*$G1039</f>
        <v>5.32351E-3</v>
      </c>
      <c r="K1039" s="255"/>
      <c r="L1039" s="186">
        <v>347</v>
      </c>
      <c r="M1039" s="186">
        <v>488</v>
      </c>
      <c r="N1039" s="99">
        <f t="shared" si="227"/>
        <v>41.470492485621627</v>
      </c>
      <c r="O1039" s="99">
        <f t="shared" si="228"/>
        <v>58.321614792459229</v>
      </c>
      <c r="P1039" s="131">
        <v>0.9</v>
      </c>
      <c r="Q1039" s="186">
        <f t="shared" si="229"/>
        <v>37.323443237059465</v>
      </c>
      <c r="R1039" s="186">
        <f t="shared" si="229"/>
        <v>52.489453313213311</v>
      </c>
      <c r="S1039" s="151" t="s">
        <v>2586</v>
      </c>
      <c r="T1039" s="51" t="s">
        <v>2245</v>
      </c>
      <c r="U1039" s="151" t="s">
        <v>813</v>
      </c>
      <c r="V1039" s="51" t="s">
        <v>3550</v>
      </c>
      <c r="W1039" s="19"/>
      <c r="X1039" s="19"/>
      <c r="Y1039" s="99">
        <v>937</v>
      </c>
    </row>
    <row r="1040" spans="2:25" s="193" customFormat="1" ht="20" x14ac:dyDescent="0.2">
      <c r="B1040" s="150" t="s">
        <v>1347</v>
      </c>
      <c r="C1040" s="33" t="s">
        <v>106</v>
      </c>
      <c r="D1040" s="33" t="s">
        <v>2876</v>
      </c>
      <c r="E1040" s="175">
        <v>1</v>
      </c>
      <c r="F1040" s="151" t="s">
        <v>1128</v>
      </c>
      <c r="G1040" s="152">
        <v>1</v>
      </c>
      <c r="H1040" s="152">
        <v>0.61728395061728392</v>
      </c>
      <c r="I1040" s="175">
        <v>69</v>
      </c>
      <c r="J1040" s="266">
        <f>_xlfn.XLOOKUP($I1040,Inputs!$C$6:$C$23,Inputs!$D$6:$D$23)*$G1040</f>
        <v>0.38428571428571429</v>
      </c>
      <c r="K1040" s="255"/>
      <c r="L1040" s="186">
        <v>347</v>
      </c>
      <c r="M1040" s="186">
        <v>488</v>
      </c>
      <c r="N1040" s="99">
        <f t="shared" si="227"/>
        <v>41.470492485621627</v>
      </c>
      <c r="O1040" s="99">
        <f t="shared" si="228"/>
        <v>58.321614792459229</v>
      </c>
      <c r="P1040" s="131">
        <v>0.9</v>
      </c>
      <c r="Q1040" s="186">
        <f t="shared" si="229"/>
        <v>37.323443237059465</v>
      </c>
      <c r="R1040" s="186">
        <f t="shared" si="229"/>
        <v>52.489453313213311</v>
      </c>
      <c r="S1040" s="151" t="s">
        <v>2585</v>
      </c>
      <c r="T1040" s="51" t="s">
        <v>2242</v>
      </c>
      <c r="U1040" s="151" t="s">
        <v>2586</v>
      </c>
      <c r="V1040" s="51" t="s">
        <v>2245</v>
      </c>
      <c r="W1040" s="19"/>
      <c r="X1040" s="19"/>
      <c r="Y1040" s="99">
        <v>936</v>
      </c>
    </row>
    <row r="1041" spans="2:25" s="193" customFormat="1" ht="20" x14ac:dyDescent="0.2">
      <c r="B1041" s="150" t="s">
        <v>1379</v>
      </c>
      <c r="C1041" s="33" t="s">
        <v>106</v>
      </c>
      <c r="D1041" s="33" t="s">
        <v>2876</v>
      </c>
      <c r="E1041" s="175">
        <v>1</v>
      </c>
      <c r="F1041" s="151" t="s">
        <v>1128</v>
      </c>
      <c r="G1041" s="152">
        <v>60</v>
      </c>
      <c r="H1041" s="152">
        <v>37.037037037037038</v>
      </c>
      <c r="I1041" s="175">
        <v>69</v>
      </c>
      <c r="J1041" s="266">
        <f>_xlfn.XLOOKUP($I1041,Inputs!$C$6:$C$23,Inputs!$D$6:$D$23)*$G1041</f>
        <v>23.057142857142857</v>
      </c>
      <c r="K1041" s="255"/>
      <c r="L1041" s="186">
        <v>280</v>
      </c>
      <c r="M1041" s="186">
        <v>450</v>
      </c>
      <c r="N1041" s="99">
        <f t="shared" si="227"/>
        <v>33.463221602230711</v>
      </c>
      <c r="O1041" s="99">
        <f t="shared" si="228"/>
        <v>53.780177575013639</v>
      </c>
      <c r="P1041" s="131">
        <v>0.9</v>
      </c>
      <c r="Q1041" s="186">
        <f t="shared" si="229"/>
        <v>30.116899442007639</v>
      </c>
      <c r="R1041" s="186">
        <f t="shared" si="229"/>
        <v>48.402159817512278</v>
      </c>
      <c r="S1041" s="151" t="s">
        <v>2600</v>
      </c>
      <c r="T1041" s="51" t="s">
        <v>2259</v>
      </c>
      <c r="U1041" s="151" t="s">
        <v>2586</v>
      </c>
      <c r="V1041" s="51" t="s">
        <v>2245</v>
      </c>
      <c r="W1041" s="19"/>
      <c r="X1041" s="19"/>
      <c r="Y1041" s="99">
        <v>984</v>
      </c>
    </row>
    <row r="1042" spans="2:25" s="193" customFormat="1" ht="20" x14ac:dyDescent="0.2">
      <c r="B1042" s="150" t="s">
        <v>1229</v>
      </c>
      <c r="C1042" s="33" t="s">
        <v>106</v>
      </c>
      <c r="D1042" s="33" t="s">
        <v>2876</v>
      </c>
      <c r="E1042" s="175">
        <v>1</v>
      </c>
      <c r="F1042" s="151" t="s">
        <v>1128</v>
      </c>
      <c r="G1042" s="152">
        <v>0.38844790000000001</v>
      </c>
      <c r="H1042" s="152">
        <v>0.23978265432098764</v>
      </c>
      <c r="I1042" s="175">
        <v>69</v>
      </c>
      <c r="J1042" s="266">
        <f>_xlfn.XLOOKUP($I1042,Inputs!$C$6:$C$23,Inputs!$D$6:$D$23)*$G1042</f>
        <v>0.14927497871428572</v>
      </c>
      <c r="K1042" s="267">
        <f>IF((42.4*(H1042)^(-0.6595))&gt;=3,3,(IF(42.4*(H1042)^(-0.6595)&lt;=0.5,0.5,(42.4*(H1042)^(-0.6595)))))</f>
        <v>3</v>
      </c>
      <c r="L1042" s="99"/>
      <c r="M1042" s="99"/>
      <c r="N1042" s="99">
        <f t="shared" si="227"/>
        <v>0</v>
      </c>
      <c r="O1042" s="99">
        <f t="shared" si="228"/>
        <v>0</v>
      </c>
      <c r="P1042" s="131">
        <v>0.9</v>
      </c>
      <c r="Q1042" s="305">
        <f>_xlfn.XLOOKUP($I1042,Inputs!$G$6:$G$23,Inputs!J$6:J$23)*$K1042</f>
        <v>36</v>
      </c>
      <c r="R1042" s="305">
        <f>_xlfn.XLOOKUP($I1042,Inputs!$G$6:$G$23,Inputs!K$6:K$23)*$K1042</f>
        <v>39</v>
      </c>
      <c r="S1042" s="151" t="s">
        <v>2516</v>
      </c>
      <c r="T1042" s="51" t="s">
        <v>2175</v>
      </c>
      <c r="U1042" s="151" t="s">
        <v>1932</v>
      </c>
      <c r="V1042" s="51" t="s">
        <v>3683</v>
      </c>
      <c r="W1042" s="19"/>
      <c r="X1042" s="19"/>
      <c r="Y1042" s="99">
        <v>717</v>
      </c>
    </row>
    <row r="1043" spans="2:25" s="193" customFormat="1" ht="20" x14ac:dyDescent="0.2">
      <c r="B1043" s="150" t="s">
        <v>1227</v>
      </c>
      <c r="C1043" s="33" t="s">
        <v>106</v>
      </c>
      <c r="D1043" s="33" t="s">
        <v>2876</v>
      </c>
      <c r="E1043" s="175">
        <v>1</v>
      </c>
      <c r="F1043" s="151" t="s">
        <v>1128</v>
      </c>
      <c r="G1043" s="152">
        <v>1</v>
      </c>
      <c r="H1043" s="152">
        <v>0.61728395061728392</v>
      </c>
      <c r="I1043" s="175">
        <v>69</v>
      </c>
      <c r="J1043" s="266">
        <f>_xlfn.XLOOKUP($I1043,Inputs!$C$6:$C$23,Inputs!$D$6:$D$23)*$G1043</f>
        <v>0.38428571428571429</v>
      </c>
      <c r="K1043" s="255"/>
      <c r="L1043" s="186">
        <v>870</v>
      </c>
      <c r="M1043" s="186">
        <v>1050</v>
      </c>
      <c r="N1043" s="99">
        <f t="shared" si="227"/>
        <v>103.97500997835969</v>
      </c>
      <c r="O1043" s="99">
        <f t="shared" si="228"/>
        <v>125.48708100836515</v>
      </c>
      <c r="P1043" s="131">
        <v>0.9</v>
      </c>
      <c r="Q1043" s="186">
        <f t="shared" ref="Q1043:Q1056" si="230">N1043*$P1043</f>
        <v>93.577508980523731</v>
      </c>
      <c r="R1043" s="186">
        <f t="shared" ref="R1043:R1056" si="231">O1043*$P1043</f>
        <v>112.93837290752865</v>
      </c>
      <c r="S1043" s="151" t="s">
        <v>2515</v>
      </c>
      <c r="T1043" s="51" t="s">
        <v>2174</v>
      </c>
      <c r="U1043" s="151" t="s">
        <v>2516</v>
      </c>
      <c r="V1043" s="51" t="s">
        <v>2175</v>
      </c>
      <c r="W1043" s="19"/>
      <c r="X1043" s="19"/>
      <c r="Y1043" s="99">
        <v>716</v>
      </c>
    </row>
    <row r="1044" spans="2:25" ht="20" x14ac:dyDescent="0.2">
      <c r="B1044" s="150" t="s">
        <v>422</v>
      </c>
      <c r="C1044" s="33" t="s">
        <v>106</v>
      </c>
      <c r="D1044" s="33" t="s">
        <v>2876</v>
      </c>
      <c r="E1044" s="175">
        <v>1</v>
      </c>
      <c r="F1044" s="151" t="s">
        <v>1128</v>
      </c>
      <c r="G1044" s="152">
        <v>15</v>
      </c>
      <c r="H1044" s="152">
        <v>9.2592592592592595</v>
      </c>
      <c r="I1044" s="175">
        <v>138</v>
      </c>
      <c r="J1044" s="266">
        <f>_xlfn.XLOOKUP($I1044,Inputs!$C$6:$C$23,Inputs!$D$6:$D$23)*$G1044</f>
        <v>6.503571428571429</v>
      </c>
      <c r="K1044" s="255"/>
      <c r="L1044" s="186">
        <v>375</v>
      </c>
      <c r="M1044" s="186">
        <v>530</v>
      </c>
      <c r="N1044" s="99">
        <f t="shared" si="227"/>
        <v>89.633629291689402</v>
      </c>
      <c r="O1044" s="99">
        <f t="shared" si="228"/>
        <v>126.68219606558768</v>
      </c>
      <c r="P1044" s="131">
        <v>0.9</v>
      </c>
      <c r="Q1044" s="186">
        <f t="shared" si="230"/>
        <v>80.670266362520465</v>
      </c>
      <c r="R1044" s="186">
        <f t="shared" si="231"/>
        <v>114.01397645902891</v>
      </c>
      <c r="S1044" s="151" t="s">
        <v>2389</v>
      </c>
      <c r="T1044" s="51" t="s">
        <v>2038</v>
      </c>
      <c r="U1044" s="151" t="s">
        <v>3576</v>
      </c>
      <c r="V1044" s="51" t="s">
        <v>3577</v>
      </c>
      <c r="W1044" s="19"/>
      <c r="X1044" s="19"/>
      <c r="Y1044" s="99">
        <v>29</v>
      </c>
    </row>
    <row r="1045" spans="2:25" s="193" customFormat="1" ht="20" x14ac:dyDescent="0.2">
      <c r="B1045" s="150" t="s">
        <v>439</v>
      </c>
      <c r="C1045" s="33" t="s">
        <v>106</v>
      </c>
      <c r="D1045" s="33" t="s">
        <v>2876</v>
      </c>
      <c r="E1045" s="175">
        <v>1</v>
      </c>
      <c r="F1045" s="151" t="s">
        <v>1128</v>
      </c>
      <c r="G1045" s="152">
        <v>4.57</v>
      </c>
      <c r="H1045" s="152">
        <v>2.8209876543209877</v>
      </c>
      <c r="I1045" s="175">
        <v>138</v>
      </c>
      <c r="J1045" s="266">
        <f>_xlfn.XLOOKUP($I1045,Inputs!$C$6:$C$23,Inputs!$D$6:$D$23)*$G1045</f>
        <v>1.9814214285714289</v>
      </c>
      <c r="K1045" s="255"/>
      <c r="L1045" s="186">
        <v>1060</v>
      </c>
      <c r="M1045" s="186">
        <v>1355</v>
      </c>
      <c r="N1045" s="99">
        <f t="shared" si="227"/>
        <v>253.36439213117535</v>
      </c>
      <c r="O1045" s="99">
        <f t="shared" si="228"/>
        <v>323.8761805073043</v>
      </c>
      <c r="P1045" s="131">
        <v>0.9</v>
      </c>
      <c r="Q1045" s="186">
        <f t="shared" si="230"/>
        <v>228.02795291805782</v>
      </c>
      <c r="R1045" s="186">
        <f t="shared" si="231"/>
        <v>291.4885624565739</v>
      </c>
      <c r="S1045" s="151" t="s">
        <v>1846</v>
      </c>
      <c r="T1045" s="51" t="s">
        <v>3313</v>
      </c>
      <c r="U1045" s="151" t="s">
        <v>3576</v>
      </c>
      <c r="V1045" s="51" t="s">
        <v>3577</v>
      </c>
      <c r="W1045" s="19"/>
      <c r="X1045" s="19"/>
      <c r="Y1045" s="99">
        <v>86</v>
      </c>
    </row>
    <row r="1046" spans="2:25" s="165" customFormat="1" ht="20" x14ac:dyDescent="0.2">
      <c r="B1046" s="150" t="s">
        <v>450</v>
      </c>
      <c r="C1046" s="33" t="s">
        <v>106</v>
      </c>
      <c r="D1046" s="33" t="s">
        <v>2876</v>
      </c>
      <c r="E1046" s="175">
        <v>1</v>
      </c>
      <c r="F1046" s="151" t="s">
        <v>1128</v>
      </c>
      <c r="G1046" s="152">
        <v>4.5599999999999996</v>
      </c>
      <c r="H1046" s="152">
        <v>2.8148148148148144</v>
      </c>
      <c r="I1046" s="175">
        <v>138</v>
      </c>
      <c r="J1046" s="266">
        <f>_xlfn.XLOOKUP($I1046,Inputs!$C$6:$C$23,Inputs!$D$6:$D$23)*$G1046</f>
        <v>1.9770857142857143</v>
      </c>
      <c r="K1046" s="255"/>
      <c r="L1046" s="186">
        <v>1060</v>
      </c>
      <c r="M1046" s="186">
        <v>1355</v>
      </c>
      <c r="N1046" s="99">
        <f t="shared" si="227"/>
        <v>253.36439213117535</v>
      </c>
      <c r="O1046" s="99">
        <f t="shared" si="228"/>
        <v>323.8761805073043</v>
      </c>
      <c r="P1046" s="131">
        <v>0.9</v>
      </c>
      <c r="Q1046" s="186">
        <f t="shared" si="230"/>
        <v>228.02795291805782</v>
      </c>
      <c r="R1046" s="186">
        <f t="shared" si="231"/>
        <v>291.4885624565739</v>
      </c>
      <c r="S1046" s="151" t="s">
        <v>1846</v>
      </c>
      <c r="T1046" s="51" t="s">
        <v>3313</v>
      </c>
      <c r="U1046" s="151" t="s">
        <v>3576</v>
      </c>
      <c r="V1046" s="51" t="s">
        <v>3577</v>
      </c>
      <c r="W1046" s="19"/>
      <c r="X1046" s="19"/>
      <c r="Y1046" s="99">
        <v>121</v>
      </c>
    </row>
    <row r="1047" spans="2:25" s="165" customFormat="1" ht="20" x14ac:dyDescent="0.2">
      <c r="B1047" s="150" t="s">
        <v>460</v>
      </c>
      <c r="C1047" s="33" t="s">
        <v>106</v>
      </c>
      <c r="D1047" s="33" t="s">
        <v>2876</v>
      </c>
      <c r="E1047" s="175">
        <v>1</v>
      </c>
      <c r="F1047" s="151" t="s">
        <v>1128</v>
      </c>
      <c r="G1047" s="152">
        <v>21.67</v>
      </c>
      <c r="H1047" s="152">
        <v>13.376543209876543</v>
      </c>
      <c r="I1047" s="175">
        <v>138</v>
      </c>
      <c r="J1047" s="266">
        <f>_xlfn.XLOOKUP($I1047,Inputs!$C$6:$C$23,Inputs!$D$6:$D$23)*$G1047</f>
        <v>9.3954928571428589</v>
      </c>
      <c r="K1047" s="255"/>
      <c r="L1047" s="186">
        <v>591</v>
      </c>
      <c r="M1047" s="186">
        <v>781</v>
      </c>
      <c r="N1047" s="99">
        <f t="shared" si="227"/>
        <v>141.2625997637025</v>
      </c>
      <c r="O1047" s="99">
        <f t="shared" si="228"/>
        <v>186.67697193815843</v>
      </c>
      <c r="P1047" s="131">
        <v>0.9</v>
      </c>
      <c r="Q1047" s="186">
        <f t="shared" si="230"/>
        <v>127.13633978733225</v>
      </c>
      <c r="R1047" s="186">
        <f t="shared" si="231"/>
        <v>168.0092747443426</v>
      </c>
      <c r="S1047" s="151" t="s">
        <v>2408</v>
      </c>
      <c r="T1047" s="51" t="s">
        <v>2059</v>
      </c>
      <c r="U1047" s="151" t="s">
        <v>3576</v>
      </c>
      <c r="V1047" s="51" t="s">
        <v>3577</v>
      </c>
      <c r="W1047" s="19"/>
      <c r="X1047" s="19"/>
      <c r="Y1047" s="99">
        <v>147</v>
      </c>
    </row>
    <row r="1048" spans="2:25" s="193" customFormat="1" ht="20" x14ac:dyDescent="0.2">
      <c r="B1048" s="150" t="s">
        <v>586</v>
      </c>
      <c r="C1048" s="33" t="s">
        <v>106</v>
      </c>
      <c r="D1048" s="33" t="s">
        <v>2876</v>
      </c>
      <c r="E1048" s="175">
        <v>1</v>
      </c>
      <c r="F1048" s="151" t="s">
        <v>1128</v>
      </c>
      <c r="G1048" s="152">
        <v>6.9912749000000005</v>
      </c>
      <c r="H1048" s="152">
        <v>4.3156017901234565</v>
      </c>
      <c r="I1048" s="175">
        <v>230</v>
      </c>
      <c r="J1048" s="266">
        <f>_xlfn.XLOOKUP($I1048,Inputs!$C$6:$C$23,Inputs!$D$6:$D$23)*$G1048</f>
        <v>3.3558119520000003</v>
      </c>
      <c r="K1048" s="255"/>
      <c r="L1048" s="186">
        <v>2085</v>
      </c>
      <c r="M1048" s="186">
        <v>3289</v>
      </c>
      <c r="N1048" s="99">
        <f t="shared" si="227"/>
        <v>830.60496476965511</v>
      </c>
      <c r="O1048" s="99">
        <f t="shared" si="228"/>
        <v>1310.2444744016284</v>
      </c>
      <c r="P1048" s="131">
        <v>0.9</v>
      </c>
      <c r="Q1048" s="186">
        <f t="shared" si="230"/>
        <v>747.54446829268966</v>
      </c>
      <c r="R1048" s="186">
        <f t="shared" si="231"/>
        <v>1179.2200269614657</v>
      </c>
      <c r="S1048" s="151" t="s">
        <v>1958</v>
      </c>
      <c r="T1048" s="51" t="s">
        <v>3321</v>
      </c>
      <c r="U1048" s="151" t="s">
        <v>3576</v>
      </c>
      <c r="V1048" s="51" t="s">
        <v>3577</v>
      </c>
      <c r="W1048" s="19"/>
      <c r="X1048" s="19"/>
      <c r="Y1048" s="99">
        <v>439</v>
      </c>
    </row>
    <row r="1049" spans="2:25" s="193" customFormat="1" ht="20" x14ac:dyDescent="0.2">
      <c r="B1049" s="150" t="s">
        <v>589</v>
      </c>
      <c r="C1049" s="33" t="s">
        <v>106</v>
      </c>
      <c r="D1049" s="33" t="s">
        <v>2876</v>
      </c>
      <c r="E1049" s="175">
        <v>1</v>
      </c>
      <c r="F1049" s="151" t="s">
        <v>1128</v>
      </c>
      <c r="G1049" s="152">
        <v>67.236264500000004</v>
      </c>
      <c r="H1049" s="152">
        <v>41.50386697530864</v>
      </c>
      <c r="I1049" s="175">
        <v>230</v>
      </c>
      <c r="J1049" s="266">
        <f>_xlfn.XLOOKUP($I1049,Inputs!$C$6:$C$23,Inputs!$D$6:$D$23)*$G1049</f>
        <v>32.273406960000003</v>
      </c>
      <c r="K1049" s="255"/>
      <c r="L1049" s="186">
        <v>1619</v>
      </c>
      <c r="M1049" s="3">
        <v>1925</v>
      </c>
      <c r="N1049" s="99">
        <f t="shared" si="227"/>
        <v>644.96375921442279</v>
      </c>
      <c r="O1049" s="99">
        <f t="shared" si="228"/>
        <v>766.86549505112032</v>
      </c>
      <c r="P1049" s="131">
        <v>0.9</v>
      </c>
      <c r="Q1049" s="186">
        <f t="shared" si="230"/>
        <v>580.46738329298057</v>
      </c>
      <c r="R1049" s="186">
        <f t="shared" si="231"/>
        <v>690.17894554600832</v>
      </c>
      <c r="S1049" s="151" t="s">
        <v>1572</v>
      </c>
      <c r="T1049" s="51" t="s">
        <v>3194</v>
      </c>
      <c r="U1049" s="151" t="s">
        <v>3576</v>
      </c>
      <c r="V1049" s="51" t="s">
        <v>3577</v>
      </c>
      <c r="W1049" s="19"/>
      <c r="X1049" s="19"/>
      <c r="Y1049" s="99">
        <v>444</v>
      </c>
    </row>
    <row r="1050" spans="2:25" s="193" customFormat="1" ht="20" x14ac:dyDescent="0.2">
      <c r="B1050" s="150" t="s">
        <v>590</v>
      </c>
      <c r="C1050" s="33" t="s">
        <v>106</v>
      </c>
      <c r="D1050" s="33" t="s">
        <v>2876</v>
      </c>
      <c r="E1050" s="175">
        <v>1</v>
      </c>
      <c r="F1050" s="151" t="s">
        <v>1128</v>
      </c>
      <c r="G1050" s="152">
        <v>6.9775155999999994</v>
      </c>
      <c r="H1050" s="152">
        <v>4.3071083950617277</v>
      </c>
      <c r="I1050" s="175">
        <v>230</v>
      </c>
      <c r="J1050" s="266">
        <f>_xlfn.XLOOKUP($I1050,Inputs!$C$6:$C$23,Inputs!$D$6:$D$23)*$G1050</f>
        <v>3.3492074879999998</v>
      </c>
      <c r="K1050" s="255"/>
      <c r="L1050" s="186">
        <v>2085</v>
      </c>
      <c r="M1050" s="186">
        <v>2682</v>
      </c>
      <c r="N1050" s="99">
        <f t="shared" si="227"/>
        <v>830.60496476965511</v>
      </c>
      <c r="O1050" s="99">
        <f t="shared" si="228"/>
        <v>1068.4328611569376</v>
      </c>
      <c r="P1050" s="131">
        <v>0.9</v>
      </c>
      <c r="Q1050" s="186">
        <f t="shared" si="230"/>
        <v>747.54446829268966</v>
      </c>
      <c r="R1050" s="186">
        <f t="shared" si="231"/>
        <v>961.58957504124385</v>
      </c>
      <c r="S1050" s="151" t="s">
        <v>1958</v>
      </c>
      <c r="T1050" s="51" t="s">
        <v>3321</v>
      </c>
      <c r="U1050" s="151" t="s">
        <v>3576</v>
      </c>
      <c r="V1050" s="51" t="s">
        <v>3577</v>
      </c>
      <c r="W1050" s="19"/>
      <c r="X1050" s="19"/>
      <c r="Y1050" s="99">
        <v>445</v>
      </c>
    </row>
    <row r="1051" spans="2:25" s="193" customFormat="1" ht="20" x14ac:dyDescent="0.2">
      <c r="B1051" s="150" t="s">
        <v>481</v>
      </c>
      <c r="C1051" s="33" t="s">
        <v>106</v>
      </c>
      <c r="D1051" s="33" t="s">
        <v>2876</v>
      </c>
      <c r="E1051" s="175">
        <v>1</v>
      </c>
      <c r="F1051" s="151" t="s">
        <v>1128</v>
      </c>
      <c r="G1051" s="152">
        <v>20</v>
      </c>
      <c r="H1051" s="152">
        <v>12.345679012345679</v>
      </c>
      <c r="I1051" s="175">
        <v>138</v>
      </c>
      <c r="J1051" s="266">
        <f>_xlfn.XLOOKUP($I1051,Inputs!$C$6:$C$23,Inputs!$D$6:$D$23)*$G1051</f>
        <v>8.6714285714285726</v>
      </c>
      <c r="K1051" s="255"/>
      <c r="L1051" s="186">
        <v>1055</v>
      </c>
      <c r="M1051" s="186">
        <v>1351</v>
      </c>
      <c r="N1051" s="99">
        <f t="shared" si="227"/>
        <v>252.16927707395283</v>
      </c>
      <c r="O1051" s="99">
        <f t="shared" si="228"/>
        <v>322.92008846152635</v>
      </c>
      <c r="P1051" s="131">
        <v>0.9</v>
      </c>
      <c r="Q1051" s="186">
        <f t="shared" si="230"/>
        <v>226.95234936655754</v>
      </c>
      <c r="R1051" s="186">
        <f t="shared" si="231"/>
        <v>290.62807961537374</v>
      </c>
      <c r="S1051" s="151" t="s">
        <v>2439</v>
      </c>
      <c r="T1051" s="51" t="s">
        <v>2090</v>
      </c>
      <c r="U1051" s="151" t="s">
        <v>223</v>
      </c>
      <c r="V1051" s="51" t="s">
        <v>3348</v>
      </c>
      <c r="W1051" s="19"/>
      <c r="X1051" s="19"/>
      <c r="Y1051" s="99">
        <v>232</v>
      </c>
    </row>
    <row r="1052" spans="2:25" s="193" customFormat="1" ht="20" x14ac:dyDescent="0.2">
      <c r="B1052" s="150" t="s">
        <v>468</v>
      </c>
      <c r="C1052" s="33" t="s">
        <v>106</v>
      </c>
      <c r="D1052" s="33" t="s">
        <v>2876</v>
      </c>
      <c r="E1052" s="175">
        <v>1</v>
      </c>
      <c r="F1052" s="151" t="s">
        <v>1128</v>
      </c>
      <c r="G1052" s="152">
        <v>9.32</v>
      </c>
      <c r="H1052" s="152">
        <v>5.7530864197530862</v>
      </c>
      <c r="I1052" s="175">
        <v>138</v>
      </c>
      <c r="J1052" s="266">
        <f>_xlfn.XLOOKUP($I1052,Inputs!$C$6:$C$23,Inputs!$D$6:$D$23)*$G1052</f>
        <v>4.0408857142857144</v>
      </c>
      <c r="K1052" s="255"/>
      <c r="L1052" s="186">
        <v>411</v>
      </c>
      <c r="M1052" s="186">
        <v>625</v>
      </c>
      <c r="N1052" s="99">
        <f t="shared" si="227"/>
        <v>98.238457703691566</v>
      </c>
      <c r="O1052" s="99">
        <f t="shared" si="228"/>
        <v>149.38938215281567</v>
      </c>
      <c r="P1052" s="131">
        <v>0.9</v>
      </c>
      <c r="Q1052" s="186">
        <f t="shared" si="230"/>
        <v>88.414611933322405</v>
      </c>
      <c r="R1052" s="186">
        <f t="shared" si="231"/>
        <v>134.45044393753412</v>
      </c>
      <c r="S1052" s="151" t="s">
        <v>2417</v>
      </c>
      <c r="T1052" s="51" t="s">
        <v>2068</v>
      </c>
      <c r="U1052" s="151" t="s">
        <v>1933</v>
      </c>
      <c r="V1052" s="51" t="s">
        <v>3349</v>
      </c>
      <c r="W1052" s="19"/>
      <c r="X1052" s="19"/>
      <c r="Y1052" s="99">
        <v>167</v>
      </c>
    </row>
    <row r="1053" spans="2:25" s="193" customFormat="1" ht="20" x14ac:dyDescent="0.2">
      <c r="B1053" s="150" t="s">
        <v>469</v>
      </c>
      <c r="C1053" s="33" t="s">
        <v>106</v>
      </c>
      <c r="D1053" s="33" t="s">
        <v>2876</v>
      </c>
      <c r="E1053" s="175">
        <v>1</v>
      </c>
      <c r="F1053" s="151" t="s">
        <v>1128</v>
      </c>
      <c r="G1053" s="152">
        <v>17.25</v>
      </c>
      <c r="H1053" s="152">
        <v>10.648148148148147</v>
      </c>
      <c r="I1053" s="175">
        <v>138</v>
      </c>
      <c r="J1053" s="266">
        <f>_xlfn.XLOOKUP($I1053,Inputs!$C$6:$C$23,Inputs!$D$6:$D$23)*$G1053</f>
        <v>7.4791071428571438</v>
      </c>
      <c r="K1053" s="255"/>
      <c r="L1053" s="186">
        <v>411</v>
      </c>
      <c r="M1053" s="186">
        <v>625</v>
      </c>
      <c r="N1053" s="99">
        <f t="shared" si="227"/>
        <v>98.238457703691566</v>
      </c>
      <c r="O1053" s="99">
        <f t="shared" si="228"/>
        <v>149.38938215281567</v>
      </c>
      <c r="P1053" s="131">
        <v>0.9</v>
      </c>
      <c r="Q1053" s="186">
        <f t="shared" si="230"/>
        <v>88.414611933322405</v>
      </c>
      <c r="R1053" s="186">
        <f t="shared" si="231"/>
        <v>134.45044393753412</v>
      </c>
      <c r="S1053" s="151" t="s">
        <v>2416</v>
      </c>
      <c r="T1053" s="51" t="s">
        <v>2067</v>
      </c>
      <c r="U1053" s="151" t="s">
        <v>1933</v>
      </c>
      <c r="V1053" s="51" t="s">
        <v>3349</v>
      </c>
      <c r="W1053" s="19"/>
      <c r="X1053" s="19"/>
      <c r="Y1053" s="99">
        <v>170</v>
      </c>
    </row>
    <row r="1054" spans="2:25" s="193" customFormat="1" ht="20" x14ac:dyDescent="0.2">
      <c r="B1054" s="150" t="s">
        <v>479</v>
      </c>
      <c r="C1054" s="33" t="s">
        <v>106</v>
      </c>
      <c r="D1054" s="33" t="s">
        <v>2876</v>
      </c>
      <c r="E1054" s="175">
        <v>1</v>
      </c>
      <c r="F1054" s="151" t="s">
        <v>1128</v>
      </c>
      <c r="G1054" s="152">
        <v>20</v>
      </c>
      <c r="H1054" s="152">
        <v>12.345679012345679</v>
      </c>
      <c r="I1054" s="175">
        <v>138</v>
      </c>
      <c r="J1054" s="266">
        <f>_xlfn.XLOOKUP($I1054,Inputs!$C$6:$C$23,Inputs!$D$6:$D$23)*$G1054</f>
        <v>8.6714285714285726</v>
      </c>
      <c r="K1054" s="255"/>
      <c r="L1054" s="186">
        <v>571</v>
      </c>
      <c r="M1054" s="186">
        <v>728</v>
      </c>
      <c r="N1054" s="99">
        <f t="shared" si="227"/>
        <v>136.4821395348124</v>
      </c>
      <c r="O1054" s="99">
        <f t="shared" si="228"/>
        <v>174.00875233159968</v>
      </c>
      <c r="P1054" s="131">
        <v>0.9</v>
      </c>
      <c r="Q1054" s="186">
        <f t="shared" si="230"/>
        <v>122.83392558133117</v>
      </c>
      <c r="R1054" s="186">
        <f t="shared" si="231"/>
        <v>156.60787709843973</v>
      </c>
      <c r="S1054" s="151" t="s">
        <v>2437</v>
      </c>
      <c r="T1054" s="51" t="s">
        <v>2089</v>
      </c>
      <c r="U1054" s="151" t="s">
        <v>1933</v>
      </c>
      <c r="V1054" s="51" t="s">
        <v>3349</v>
      </c>
      <c r="W1054" s="19"/>
      <c r="X1054" s="19"/>
      <c r="Y1054" s="99">
        <v>222</v>
      </c>
    </row>
    <row r="1055" spans="2:25" s="193" customFormat="1" ht="20" x14ac:dyDescent="0.2">
      <c r="B1055" s="150" t="s">
        <v>604</v>
      </c>
      <c r="C1055" s="33" t="s">
        <v>106</v>
      </c>
      <c r="D1055" s="33" t="s">
        <v>2876</v>
      </c>
      <c r="E1055" s="175">
        <v>1</v>
      </c>
      <c r="F1055" s="151" t="s">
        <v>1128</v>
      </c>
      <c r="G1055" s="152">
        <v>49.956882</v>
      </c>
      <c r="H1055" s="152">
        <v>30.837581481481479</v>
      </c>
      <c r="I1055" s="175">
        <v>230</v>
      </c>
      <c r="J1055" s="266">
        <f>_xlfn.XLOOKUP($I1055,Inputs!$C$6:$C$23,Inputs!$D$6:$D$23)*$G1055</f>
        <v>23.979303359999999</v>
      </c>
      <c r="K1055" s="255"/>
      <c r="L1055" s="186">
        <v>1053</v>
      </c>
      <c r="M1055" s="186">
        <v>1277</v>
      </c>
      <c r="N1055" s="99">
        <f t="shared" si="227"/>
        <v>419.48538508510637</v>
      </c>
      <c r="O1055" s="99">
        <f t="shared" si="228"/>
        <v>508.72064269105499</v>
      </c>
      <c r="P1055" s="131">
        <v>0.9</v>
      </c>
      <c r="Q1055" s="186">
        <f t="shared" si="230"/>
        <v>377.53684657659574</v>
      </c>
      <c r="R1055" s="186">
        <f t="shared" si="231"/>
        <v>457.84857842194953</v>
      </c>
      <c r="S1055" s="151" t="s">
        <v>1565</v>
      </c>
      <c r="T1055" s="51" t="s">
        <v>3206</v>
      </c>
      <c r="U1055" s="151" t="s">
        <v>1933</v>
      </c>
      <c r="V1055" s="51" t="s">
        <v>3349</v>
      </c>
      <c r="W1055" s="19"/>
      <c r="X1055" s="19"/>
      <c r="Y1055" s="99">
        <v>460</v>
      </c>
    </row>
    <row r="1056" spans="2:25" s="193" customFormat="1" ht="20" x14ac:dyDescent="0.2">
      <c r="B1056" s="150" t="s">
        <v>605</v>
      </c>
      <c r="C1056" s="33" t="s">
        <v>106</v>
      </c>
      <c r="D1056" s="33" t="s">
        <v>2876</v>
      </c>
      <c r="E1056" s="175">
        <v>1</v>
      </c>
      <c r="F1056" s="151" t="s">
        <v>1128</v>
      </c>
      <c r="G1056" s="152">
        <v>49.908591000000001</v>
      </c>
      <c r="H1056" s="152">
        <v>30.807772222222219</v>
      </c>
      <c r="I1056" s="175">
        <v>230</v>
      </c>
      <c r="J1056" s="266">
        <f>_xlfn.XLOOKUP($I1056,Inputs!$C$6:$C$23,Inputs!$D$6:$D$23)*$G1056</f>
        <v>23.956123680000001</v>
      </c>
      <c r="K1056" s="255"/>
      <c r="L1056" s="186">
        <v>1053</v>
      </c>
      <c r="M1056" s="186">
        <v>1277</v>
      </c>
      <c r="N1056" s="99">
        <f t="shared" si="227"/>
        <v>419.48538508510637</v>
      </c>
      <c r="O1056" s="99">
        <f t="shared" si="228"/>
        <v>508.72064269105499</v>
      </c>
      <c r="P1056" s="131">
        <v>0.9</v>
      </c>
      <c r="Q1056" s="186">
        <f t="shared" si="230"/>
        <v>377.53684657659574</v>
      </c>
      <c r="R1056" s="186">
        <f t="shared" si="231"/>
        <v>457.84857842194953</v>
      </c>
      <c r="S1056" s="151" t="s">
        <v>1565</v>
      </c>
      <c r="T1056" s="51" t="s">
        <v>3206</v>
      </c>
      <c r="U1056" s="151" t="s">
        <v>1933</v>
      </c>
      <c r="V1056" s="51" t="s">
        <v>3349</v>
      </c>
      <c r="W1056" s="19"/>
      <c r="X1056" s="19"/>
      <c r="Y1056" s="99">
        <v>461</v>
      </c>
    </row>
    <row r="1057" spans="2:25" s="193" customFormat="1" ht="20" x14ac:dyDescent="0.2">
      <c r="B1057" s="230" t="s">
        <v>1123</v>
      </c>
      <c r="C1057" s="51" t="s">
        <v>173</v>
      </c>
      <c r="D1057" s="33" t="s">
        <v>2876</v>
      </c>
      <c r="E1057" s="231">
        <v>1</v>
      </c>
      <c r="F1057" s="230" t="s">
        <v>1128</v>
      </c>
      <c r="G1057" s="232">
        <v>42.5</v>
      </c>
      <c r="H1057" s="232">
        <v>26.234567901234566</v>
      </c>
      <c r="I1057" s="231">
        <v>230</v>
      </c>
      <c r="J1057" s="266">
        <f>_xlfn.XLOOKUP($I1057,Inputs!$C$6:$C$23,Inputs!$D$6:$D$23)*$G1057</f>
        <v>20.399999999999999</v>
      </c>
      <c r="K1057" s="267">
        <f>IF((42.4*(H1057)^(-0.6595))&gt;=3,3,(IF(42.4*(H1057)^(-0.6595)&lt;=0.5,0.5,(42.4*(H1057)^(-0.6595)))))</f>
        <v>3</v>
      </c>
      <c r="L1057" s="99"/>
      <c r="M1057" s="99"/>
      <c r="N1057" s="99"/>
      <c r="O1057" s="99"/>
      <c r="P1057" s="69"/>
      <c r="Q1057" s="305">
        <f>_xlfn.XLOOKUP($I1057,Inputs!$G$6:$G$23,Inputs!J$6:J$23)*$K1057</f>
        <v>402</v>
      </c>
      <c r="R1057" s="305">
        <f>_xlfn.XLOOKUP($I1057,Inputs!$G$6:$G$23,Inputs!K$6:K$23)*$K1057</f>
        <v>435</v>
      </c>
      <c r="S1057" s="230" t="s">
        <v>3574</v>
      </c>
      <c r="T1057" s="51" t="s">
        <v>3575</v>
      </c>
      <c r="U1057" s="230" t="s">
        <v>1933</v>
      </c>
      <c r="V1057" s="51" t="s">
        <v>3349</v>
      </c>
      <c r="W1057" s="19"/>
      <c r="X1057" s="19"/>
      <c r="Y1057" s="99">
        <v>1133</v>
      </c>
    </row>
    <row r="1058" spans="2:25" s="193" customFormat="1" ht="20" x14ac:dyDescent="0.2">
      <c r="B1058" s="230" t="s">
        <v>1110</v>
      </c>
      <c r="C1058" s="51" t="s">
        <v>173</v>
      </c>
      <c r="D1058" s="33" t="s">
        <v>2876</v>
      </c>
      <c r="E1058" s="231">
        <v>1</v>
      </c>
      <c r="F1058" s="230" t="s">
        <v>1128</v>
      </c>
      <c r="G1058" s="232">
        <v>42.5</v>
      </c>
      <c r="H1058" s="232">
        <v>26.234567901234566</v>
      </c>
      <c r="I1058" s="231">
        <v>230</v>
      </c>
      <c r="J1058" s="266">
        <f>_xlfn.XLOOKUP($I1058,Inputs!$C$6:$C$23,Inputs!$D$6:$D$23)*$G1058</f>
        <v>20.399999999999999</v>
      </c>
      <c r="K1058" s="267">
        <f>IF((42.4*(H1058)^(-0.6595))&gt;=3,3,(IF(42.4*(H1058)^(-0.6595)&lt;=0.5,0.5,(42.4*(H1058)^(-0.6595)))))</f>
        <v>3</v>
      </c>
      <c r="L1058" s="99"/>
      <c r="M1058" s="99"/>
      <c r="N1058" s="99"/>
      <c r="O1058" s="99"/>
      <c r="P1058" s="69"/>
      <c r="Q1058" s="305">
        <f>_xlfn.XLOOKUP($I1058,Inputs!$G$6:$G$23,Inputs!J$6:J$23)*$K1058</f>
        <v>402</v>
      </c>
      <c r="R1058" s="305">
        <f>_xlfn.XLOOKUP($I1058,Inputs!$G$6:$G$23,Inputs!K$6:K$23)*$K1058</f>
        <v>435</v>
      </c>
      <c r="S1058" s="230" t="s">
        <v>3574</v>
      </c>
      <c r="T1058" s="51" t="s">
        <v>3575</v>
      </c>
      <c r="U1058" s="230" t="s">
        <v>1933</v>
      </c>
      <c r="V1058" s="51" t="s">
        <v>3349</v>
      </c>
      <c r="W1058" s="19"/>
      <c r="X1058" s="19"/>
      <c r="Y1058" s="99">
        <v>1136</v>
      </c>
    </row>
    <row r="1059" spans="2:25" s="193" customFormat="1" ht="20" x14ac:dyDescent="0.2">
      <c r="B1059" s="150" t="s">
        <v>2381</v>
      </c>
      <c r="C1059" s="33" t="s">
        <v>106</v>
      </c>
      <c r="D1059" s="33" t="s">
        <v>2876</v>
      </c>
      <c r="E1059" s="175">
        <v>1</v>
      </c>
      <c r="F1059" s="151" t="s">
        <v>1128</v>
      </c>
      <c r="G1059" s="152">
        <v>9.7913899999999998E-2</v>
      </c>
      <c r="H1059" s="152">
        <v>6.0440679012345677E-2</v>
      </c>
      <c r="I1059" s="175">
        <v>69</v>
      </c>
      <c r="J1059" s="266">
        <f>_xlfn.XLOOKUP($I1059,Inputs!$C$6:$C$23,Inputs!$D$6:$D$23)*$G1059</f>
        <v>3.7626912999999998E-2</v>
      </c>
      <c r="K1059" s="267">
        <f>IF((42.4*(H1059)^(-0.6595))&gt;=3,3,(IF(42.4*(H1059)^(-0.6595)&lt;=0.5,0.5,(42.4*(H1059)^(-0.6595)))))</f>
        <v>3</v>
      </c>
      <c r="L1059" s="99"/>
      <c r="M1059" s="99"/>
      <c r="N1059" s="99">
        <f t="shared" ref="N1059:O1066" si="232">(SQRT(3)*L1059*$I1059)/1000</f>
        <v>0</v>
      </c>
      <c r="O1059" s="99">
        <f t="shared" si="232"/>
        <v>0</v>
      </c>
      <c r="P1059" s="131">
        <v>0.9</v>
      </c>
      <c r="Q1059" s="305">
        <f>_xlfn.XLOOKUP($I1059,Inputs!$G$6:$G$23,Inputs!J$6:J$23)*$K1059</f>
        <v>36</v>
      </c>
      <c r="R1059" s="305">
        <f>_xlfn.XLOOKUP($I1059,Inputs!$G$6:$G$23,Inputs!K$6:K$23)*$K1059</f>
        <v>39</v>
      </c>
      <c r="S1059" s="151" t="s">
        <v>2517</v>
      </c>
      <c r="T1059" s="51" t="s">
        <v>2176</v>
      </c>
      <c r="U1059" s="151" t="s">
        <v>1954</v>
      </c>
      <c r="V1059" s="51" t="s">
        <v>3685</v>
      </c>
      <c r="W1059" s="19"/>
      <c r="X1059" s="19"/>
      <c r="Y1059" s="99">
        <v>719</v>
      </c>
    </row>
    <row r="1060" spans="2:25" s="193" customFormat="1" ht="20" x14ac:dyDescent="0.2">
      <c r="B1060" s="150" t="s">
        <v>1227</v>
      </c>
      <c r="C1060" s="33" t="s">
        <v>106</v>
      </c>
      <c r="D1060" s="33" t="s">
        <v>2876</v>
      </c>
      <c r="E1060" s="175">
        <v>1</v>
      </c>
      <c r="F1060" s="151" t="s">
        <v>1128</v>
      </c>
      <c r="G1060" s="152">
        <v>1.88</v>
      </c>
      <c r="H1060" s="152">
        <v>1.1604938271604937</v>
      </c>
      <c r="I1060" s="175">
        <v>69</v>
      </c>
      <c r="J1060" s="266">
        <f>_xlfn.XLOOKUP($I1060,Inputs!$C$6:$C$23,Inputs!$D$6:$D$23)*$G1060</f>
        <v>0.7224571428571428</v>
      </c>
      <c r="K1060" s="255"/>
      <c r="L1060" s="186">
        <v>870</v>
      </c>
      <c r="M1060" s="186">
        <v>1050</v>
      </c>
      <c r="N1060" s="99">
        <f t="shared" si="232"/>
        <v>103.97500997835969</v>
      </c>
      <c r="O1060" s="99">
        <f t="shared" si="232"/>
        <v>125.48708100836515</v>
      </c>
      <c r="P1060" s="131">
        <v>0.9</v>
      </c>
      <c r="Q1060" s="186">
        <f t="shared" ref="Q1060:R1066" si="233">N1060*$P1060</f>
        <v>93.577508980523731</v>
      </c>
      <c r="R1060" s="186">
        <f t="shared" si="233"/>
        <v>112.93837290752865</v>
      </c>
      <c r="S1060" s="151" t="s">
        <v>2516</v>
      </c>
      <c r="T1060" s="51" t="s">
        <v>2175</v>
      </c>
      <c r="U1060" s="151" t="s">
        <v>2517</v>
      </c>
      <c r="V1060" s="51" t="s">
        <v>2176</v>
      </c>
      <c r="W1060" s="19"/>
      <c r="X1060" s="19"/>
      <c r="Y1060" s="99">
        <v>718</v>
      </c>
    </row>
    <row r="1061" spans="2:25" s="193" customFormat="1" ht="20" x14ac:dyDescent="0.2">
      <c r="B1061" s="150" t="s">
        <v>478</v>
      </c>
      <c r="C1061" s="33" t="s">
        <v>106</v>
      </c>
      <c r="D1061" s="33" t="s">
        <v>2876</v>
      </c>
      <c r="E1061" s="175">
        <v>1</v>
      </c>
      <c r="F1061" s="151" t="s">
        <v>1128</v>
      </c>
      <c r="G1061" s="152">
        <v>111.5691618</v>
      </c>
      <c r="H1061" s="152">
        <v>68.869852962962966</v>
      </c>
      <c r="I1061" s="175">
        <v>138</v>
      </c>
      <c r="J1061" s="266">
        <f>_xlfn.XLOOKUP($I1061,Inputs!$C$6:$C$23,Inputs!$D$6:$D$23)*$G1061</f>
        <v>48.373200866142859</v>
      </c>
      <c r="K1061" s="255"/>
      <c r="L1061" s="186">
        <v>395</v>
      </c>
      <c r="M1061" s="186">
        <v>617</v>
      </c>
      <c r="N1061" s="99">
        <f t="shared" si="232"/>
        <v>94.414089520579495</v>
      </c>
      <c r="O1061" s="99">
        <f t="shared" si="232"/>
        <v>147.4771980612596</v>
      </c>
      <c r="P1061" s="131">
        <v>0.9</v>
      </c>
      <c r="Q1061" s="186">
        <f t="shared" si="233"/>
        <v>84.972680568521554</v>
      </c>
      <c r="R1061" s="186">
        <f t="shared" si="233"/>
        <v>132.72947825513364</v>
      </c>
      <c r="S1061" s="151" t="s">
        <v>1933</v>
      </c>
      <c r="T1061" s="51" t="s">
        <v>3349</v>
      </c>
      <c r="U1061" s="151" t="s">
        <v>1934</v>
      </c>
      <c r="V1061" s="51" t="s">
        <v>3350</v>
      </c>
      <c r="W1061" s="19"/>
      <c r="X1061" s="19"/>
      <c r="Y1061" s="99">
        <v>213</v>
      </c>
    </row>
    <row r="1062" spans="2:25" s="193" customFormat="1" ht="20" x14ac:dyDescent="0.2">
      <c r="B1062" s="150" t="s">
        <v>483</v>
      </c>
      <c r="C1062" s="33" t="s">
        <v>106</v>
      </c>
      <c r="D1062" s="33" t="s">
        <v>2876</v>
      </c>
      <c r="E1062" s="175">
        <v>1</v>
      </c>
      <c r="F1062" s="151" t="s">
        <v>1128</v>
      </c>
      <c r="G1062" s="152">
        <v>5.1059457000000004</v>
      </c>
      <c r="H1062" s="152">
        <v>3.1518183333333334</v>
      </c>
      <c r="I1062" s="175">
        <v>138</v>
      </c>
      <c r="J1062" s="266">
        <f>_xlfn.XLOOKUP($I1062,Inputs!$C$6:$C$23,Inputs!$D$6:$D$23)*$G1062</f>
        <v>2.2137921713571433</v>
      </c>
      <c r="K1062" s="255"/>
      <c r="L1062" s="186">
        <v>714</v>
      </c>
      <c r="M1062" s="186">
        <v>923</v>
      </c>
      <c r="N1062" s="99">
        <f t="shared" si="232"/>
        <v>170.66243017137663</v>
      </c>
      <c r="O1062" s="99">
        <f t="shared" si="232"/>
        <v>220.61823956327817</v>
      </c>
      <c r="P1062" s="131">
        <v>0.9</v>
      </c>
      <c r="Q1062" s="186">
        <f t="shared" si="233"/>
        <v>153.59618715423898</v>
      </c>
      <c r="R1062" s="186">
        <f t="shared" si="233"/>
        <v>198.55641560695037</v>
      </c>
      <c r="S1062" s="151" t="s">
        <v>1654</v>
      </c>
      <c r="T1062" s="51" t="s">
        <v>3246</v>
      </c>
      <c r="U1062" s="151" t="s">
        <v>1934</v>
      </c>
      <c r="V1062" s="51" t="s">
        <v>3350</v>
      </c>
      <c r="W1062" s="19"/>
      <c r="X1062" s="19"/>
      <c r="Y1062" s="99">
        <v>234</v>
      </c>
    </row>
    <row r="1063" spans="2:25" s="193" customFormat="1" ht="20" x14ac:dyDescent="0.2">
      <c r="B1063" s="150" t="s">
        <v>608</v>
      </c>
      <c r="C1063" s="33" t="s">
        <v>106</v>
      </c>
      <c r="D1063" s="33" t="s">
        <v>2876</v>
      </c>
      <c r="E1063" s="175">
        <v>1</v>
      </c>
      <c r="F1063" s="151" t="s">
        <v>1128</v>
      </c>
      <c r="G1063" s="152">
        <v>63.356738400000005</v>
      </c>
      <c r="H1063" s="152">
        <v>39.109097777777777</v>
      </c>
      <c r="I1063" s="175">
        <v>230</v>
      </c>
      <c r="J1063" s="266">
        <f>_xlfn.XLOOKUP($I1063,Inputs!$C$6:$C$23,Inputs!$D$6:$D$23)*$G1063</f>
        <v>30.411234432000001</v>
      </c>
      <c r="K1063" s="255"/>
      <c r="L1063" s="186">
        <v>1045</v>
      </c>
      <c r="M1063" s="186">
        <v>1345</v>
      </c>
      <c r="N1063" s="99">
        <f t="shared" si="232"/>
        <v>416.29841159917959</v>
      </c>
      <c r="O1063" s="99">
        <f t="shared" si="232"/>
        <v>535.80991732143218</v>
      </c>
      <c r="P1063" s="131">
        <v>0.9</v>
      </c>
      <c r="Q1063" s="186">
        <f t="shared" si="233"/>
        <v>374.66857043926166</v>
      </c>
      <c r="R1063" s="186">
        <f t="shared" si="233"/>
        <v>482.22892558928896</v>
      </c>
      <c r="S1063" s="151" t="s">
        <v>1809</v>
      </c>
      <c r="T1063" s="51" t="s">
        <v>3296</v>
      </c>
      <c r="U1063" s="151" t="s">
        <v>1934</v>
      </c>
      <c r="V1063" s="51" t="s">
        <v>3350</v>
      </c>
      <c r="W1063" s="19"/>
      <c r="X1063" s="19"/>
      <c r="Y1063" s="99">
        <v>464</v>
      </c>
    </row>
    <row r="1064" spans="2:25" s="193" customFormat="1" ht="20" x14ac:dyDescent="0.2">
      <c r="B1064" s="150" t="s">
        <v>633</v>
      </c>
      <c r="C1064" s="33" t="s">
        <v>106</v>
      </c>
      <c r="D1064" s="33" t="s">
        <v>2876</v>
      </c>
      <c r="E1064" s="175">
        <v>1</v>
      </c>
      <c r="F1064" s="151" t="s">
        <v>1128</v>
      </c>
      <c r="G1064" s="152">
        <v>10.236960399999999</v>
      </c>
      <c r="H1064" s="152">
        <v>6.3191113580246903</v>
      </c>
      <c r="I1064" s="175">
        <v>360</v>
      </c>
      <c r="J1064" s="266">
        <f>_xlfn.XLOOKUP($I1064,Inputs!$C$6:$C$23,Inputs!$D$6:$D$23)*$G1064</f>
        <v>4.4947839089629626</v>
      </c>
      <c r="K1064" s="255"/>
      <c r="L1064" s="186">
        <v>1016</v>
      </c>
      <c r="M1064" s="186">
        <v>1782</v>
      </c>
      <c r="N1064" s="99">
        <f t="shared" si="232"/>
        <v>633.51490337639257</v>
      </c>
      <c r="O1064" s="99">
        <f t="shared" si="232"/>
        <v>1111.1452340715859</v>
      </c>
      <c r="P1064" s="131">
        <v>0.9</v>
      </c>
      <c r="Q1064" s="186">
        <f t="shared" si="233"/>
        <v>570.16341303875333</v>
      </c>
      <c r="R1064" s="186">
        <f t="shared" si="233"/>
        <v>1000.0307106644274</v>
      </c>
      <c r="S1064" s="151" t="s">
        <v>1858</v>
      </c>
      <c r="T1064" s="51" t="s">
        <v>3203</v>
      </c>
      <c r="U1064" s="151" t="s">
        <v>1935</v>
      </c>
      <c r="V1064" s="51" t="s">
        <v>3727</v>
      </c>
      <c r="W1064" s="19"/>
      <c r="X1064" s="19"/>
      <c r="Y1064" s="99">
        <v>508</v>
      </c>
    </row>
    <row r="1065" spans="2:25" s="193" customFormat="1" ht="20" x14ac:dyDescent="0.2">
      <c r="B1065" s="150" t="s">
        <v>1269</v>
      </c>
      <c r="C1065" s="33" t="s">
        <v>106</v>
      </c>
      <c r="D1065" s="33" t="s">
        <v>2876</v>
      </c>
      <c r="E1065" s="175">
        <v>1</v>
      </c>
      <c r="F1065" s="151" t="s">
        <v>1128</v>
      </c>
      <c r="G1065" s="152">
        <v>25.1</v>
      </c>
      <c r="H1065" s="152">
        <v>15.493827160493828</v>
      </c>
      <c r="I1065" s="175">
        <v>69</v>
      </c>
      <c r="J1065" s="266">
        <f>_xlfn.XLOOKUP($I1065,Inputs!$C$6:$C$23,Inputs!$D$6:$D$23)*$G1065</f>
        <v>9.6455714285714294</v>
      </c>
      <c r="K1065" s="255"/>
      <c r="L1065" s="186">
        <v>610</v>
      </c>
      <c r="M1065" s="186">
        <v>780</v>
      </c>
      <c r="N1065" s="99">
        <f t="shared" si="232"/>
        <v>72.902018490574036</v>
      </c>
      <c r="O1065" s="99">
        <f t="shared" si="232"/>
        <v>93.218974463356957</v>
      </c>
      <c r="P1065" s="131">
        <v>0.9</v>
      </c>
      <c r="Q1065" s="186">
        <f t="shared" si="233"/>
        <v>65.61181664151664</v>
      </c>
      <c r="R1065" s="186">
        <f t="shared" si="233"/>
        <v>83.89707701702126</v>
      </c>
      <c r="S1065" s="151" t="s">
        <v>2536</v>
      </c>
      <c r="T1065" s="51" t="s">
        <v>2142</v>
      </c>
      <c r="U1065" s="151" t="s">
        <v>1935</v>
      </c>
      <c r="V1065" s="51" t="s">
        <v>3727</v>
      </c>
      <c r="W1065" s="19"/>
      <c r="X1065" s="19"/>
      <c r="Y1065" s="99">
        <v>791</v>
      </c>
    </row>
    <row r="1066" spans="2:25" s="193" customFormat="1" ht="20" x14ac:dyDescent="0.2">
      <c r="B1066" s="150" t="s">
        <v>1143</v>
      </c>
      <c r="C1066" s="33" t="s">
        <v>106</v>
      </c>
      <c r="D1066" s="33" t="s">
        <v>2876</v>
      </c>
      <c r="E1066" s="175">
        <v>1</v>
      </c>
      <c r="F1066" s="151" t="s">
        <v>1128</v>
      </c>
      <c r="G1066" s="152">
        <v>10</v>
      </c>
      <c r="H1066" s="152">
        <v>6.1728395061728394</v>
      </c>
      <c r="I1066" s="175">
        <v>69</v>
      </c>
      <c r="J1066" s="266">
        <f>_xlfn.XLOOKUP($I1066,Inputs!$C$6:$C$23,Inputs!$D$6:$D$23)*$G1066</f>
        <v>3.842857142857143</v>
      </c>
      <c r="K1066" s="255"/>
      <c r="L1066" s="186">
        <v>440</v>
      </c>
      <c r="M1066" s="186">
        <v>555</v>
      </c>
      <c r="N1066" s="99">
        <f t="shared" si="232"/>
        <v>52.585062517791116</v>
      </c>
      <c r="O1066" s="99">
        <f t="shared" si="232"/>
        <v>66.328885675850145</v>
      </c>
      <c r="P1066" s="131">
        <v>0.9</v>
      </c>
      <c r="Q1066" s="186">
        <f t="shared" si="233"/>
        <v>47.326556266012005</v>
      </c>
      <c r="R1066" s="186">
        <f t="shared" si="233"/>
        <v>59.695997108265132</v>
      </c>
      <c r="S1066" s="151" t="s">
        <v>1935</v>
      </c>
      <c r="T1066" s="51" t="s">
        <v>3727</v>
      </c>
      <c r="U1066" s="151" t="s">
        <v>2485</v>
      </c>
      <c r="V1066" s="179" t="s">
        <v>2343</v>
      </c>
      <c r="W1066" s="19"/>
      <c r="X1066" s="19"/>
      <c r="Y1066" s="99">
        <v>579</v>
      </c>
    </row>
    <row r="1067" spans="2:25" s="193" customFormat="1" ht="20" x14ac:dyDescent="0.2">
      <c r="B1067" s="230" t="s">
        <v>2702</v>
      </c>
      <c r="C1067" s="51" t="s">
        <v>173</v>
      </c>
      <c r="D1067" s="33" t="s">
        <v>2876</v>
      </c>
      <c r="E1067" s="231">
        <v>1</v>
      </c>
      <c r="F1067" s="230" t="s">
        <v>1128</v>
      </c>
      <c r="G1067" s="232">
        <v>0.5</v>
      </c>
      <c r="H1067" s="232">
        <v>0.30864197530864196</v>
      </c>
      <c r="I1067" s="231">
        <v>63</v>
      </c>
      <c r="J1067" s="266">
        <f>_xlfn.XLOOKUP($I1067,Inputs!$C$6:$C$23,Inputs!$D$6:$D$23)*$G1067</f>
        <v>0.19</v>
      </c>
      <c r="K1067" s="267">
        <f>IF((42.4*(H1067)^(-0.6595))&gt;=3,3,(IF(42.4*(H1067)^(-0.6595)&lt;=0.5,0.5,(42.4*(H1067)^(-0.6595)))))</f>
        <v>3</v>
      </c>
      <c r="L1067" s="99"/>
      <c r="M1067" s="99"/>
      <c r="N1067" s="99"/>
      <c r="O1067" s="99"/>
      <c r="P1067" s="69"/>
      <c r="Q1067" s="305">
        <f>_xlfn.XLOOKUP($I1067,Inputs!$G$6:$G$23,Inputs!J$6:J$23)*$K1067</f>
        <v>29.767499999999998</v>
      </c>
      <c r="R1067" s="305">
        <f>_xlfn.XLOOKUP($I1067,Inputs!$G$6:$G$23,Inputs!K$6:K$23)*$K1067</f>
        <v>32.532786885245905</v>
      </c>
      <c r="S1067" s="230" t="s">
        <v>3604</v>
      </c>
      <c r="T1067" s="51" t="s">
        <v>3605</v>
      </c>
      <c r="U1067" s="230" t="s">
        <v>2332</v>
      </c>
      <c r="V1067" s="51" t="s">
        <v>3174</v>
      </c>
      <c r="W1067" s="19"/>
      <c r="X1067" s="19"/>
      <c r="Y1067" s="99">
        <v>1046</v>
      </c>
    </row>
    <row r="1068" spans="2:25" s="193" customFormat="1" ht="20" x14ac:dyDescent="0.2">
      <c r="B1068" s="230" t="s">
        <v>2703</v>
      </c>
      <c r="C1068" s="51" t="s">
        <v>173</v>
      </c>
      <c r="D1068" s="33" t="s">
        <v>2876</v>
      </c>
      <c r="E1068" s="231">
        <v>1</v>
      </c>
      <c r="F1068" s="230" t="s">
        <v>1128</v>
      </c>
      <c r="G1068" s="232">
        <v>0.5</v>
      </c>
      <c r="H1068" s="232">
        <v>0.30864197530864196</v>
      </c>
      <c r="I1068" s="231">
        <v>63</v>
      </c>
      <c r="J1068" s="266">
        <f>_xlfn.XLOOKUP($I1068,Inputs!$C$6:$C$23,Inputs!$D$6:$D$23)*$G1068</f>
        <v>0.19</v>
      </c>
      <c r="K1068" s="267">
        <f>IF((42.4*(H1068)^(-0.6595))&gt;=3,3,(IF(42.4*(H1068)^(-0.6595)&lt;=0.5,0.5,(42.4*(H1068)^(-0.6595)))))</f>
        <v>3</v>
      </c>
      <c r="L1068" s="99"/>
      <c r="M1068" s="99"/>
      <c r="N1068" s="99"/>
      <c r="O1068" s="99"/>
      <c r="P1068" s="69"/>
      <c r="Q1068" s="305">
        <f>_xlfn.XLOOKUP($I1068,Inputs!$G$6:$G$23,Inputs!J$6:J$23)*$K1068</f>
        <v>29.767499999999998</v>
      </c>
      <c r="R1068" s="305">
        <f>_xlfn.XLOOKUP($I1068,Inputs!$G$6:$G$23,Inputs!K$6:K$23)*$K1068</f>
        <v>32.532786885245905</v>
      </c>
      <c r="S1068" s="230" t="s">
        <v>3604</v>
      </c>
      <c r="T1068" s="51" t="s">
        <v>3605</v>
      </c>
      <c r="U1068" s="230" t="s">
        <v>2332</v>
      </c>
      <c r="V1068" s="51" t="s">
        <v>3174</v>
      </c>
      <c r="W1068" s="19"/>
      <c r="X1068" s="19"/>
      <c r="Y1068" s="99">
        <v>1048</v>
      </c>
    </row>
    <row r="1069" spans="2:25" s="193" customFormat="1" ht="20" x14ac:dyDescent="0.2">
      <c r="B1069" s="230" t="s">
        <v>2704</v>
      </c>
      <c r="C1069" s="51" t="s">
        <v>173</v>
      </c>
      <c r="D1069" s="33" t="s">
        <v>2876</v>
      </c>
      <c r="E1069" s="231">
        <v>1</v>
      </c>
      <c r="F1069" s="230" t="s">
        <v>1128</v>
      </c>
      <c r="G1069" s="232">
        <v>0.5</v>
      </c>
      <c r="H1069" s="232">
        <v>0.30864197530864196</v>
      </c>
      <c r="I1069" s="231">
        <v>63</v>
      </c>
      <c r="J1069" s="266">
        <f>_xlfn.XLOOKUP($I1069,Inputs!$C$6:$C$23,Inputs!$D$6:$D$23)*$G1069</f>
        <v>0.19</v>
      </c>
      <c r="K1069" s="267">
        <f>IF((42.4*(H1069)^(-0.6595))&gt;=3,3,(IF(42.4*(H1069)^(-0.6595)&lt;=0.5,0.5,(42.4*(H1069)^(-0.6595)))))</f>
        <v>3</v>
      </c>
      <c r="L1069" s="99"/>
      <c r="M1069" s="99"/>
      <c r="N1069" s="99"/>
      <c r="O1069" s="99"/>
      <c r="P1069" s="69"/>
      <c r="Q1069" s="305">
        <f>_xlfn.XLOOKUP($I1069,Inputs!$G$6:$G$23,Inputs!J$6:J$23)*$K1069</f>
        <v>29.767499999999998</v>
      </c>
      <c r="R1069" s="305">
        <f>_xlfn.XLOOKUP($I1069,Inputs!$G$6:$G$23,Inputs!K$6:K$23)*$K1069</f>
        <v>32.532786885245905</v>
      </c>
      <c r="S1069" s="230" t="s">
        <v>3604</v>
      </c>
      <c r="T1069" s="51" t="s">
        <v>3605</v>
      </c>
      <c r="U1069" s="230" t="s">
        <v>2332</v>
      </c>
      <c r="V1069" s="51" t="s">
        <v>3174</v>
      </c>
      <c r="W1069" s="19"/>
      <c r="X1069" s="19"/>
      <c r="Y1069" s="99">
        <v>1050</v>
      </c>
    </row>
    <row r="1070" spans="2:25" s="193" customFormat="1" ht="20" x14ac:dyDescent="0.2">
      <c r="B1070" s="230" t="s">
        <v>2705</v>
      </c>
      <c r="C1070" s="51" t="s">
        <v>173</v>
      </c>
      <c r="D1070" s="33" t="s">
        <v>2876</v>
      </c>
      <c r="E1070" s="231">
        <v>1</v>
      </c>
      <c r="F1070" s="230" t="s">
        <v>1128</v>
      </c>
      <c r="G1070" s="232">
        <v>0.5</v>
      </c>
      <c r="H1070" s="232">
        <v>0.30864197530864196</v>
      </c>
      <c r="I1070" s="231">
        <v>63</v>
      </c>
      <c r="J1070" s="266">
        <f>_xlfn.XLOOKUP($I1070,Inputs!$C$6:$C$23,Inputs!$D$6:$D$23)*$G1070</f>
        <v>0.19</v>
      </c>
      <c r="K1070" s="267">
        <f>IF((42.4*(H1070)^(-0.6595))&gt;=3,3,(IF(42.4*(H1070)^(-0.6595)&lt;=0.5,0.5,(42.4*(H1070)^(-0.6595)))))</f>
        <v>3</v>
      </c>
      <c r="L1070" s="99"/>
      <c r="M1070" s="99"/>
      <c r="N1070" s="99"/>
      <c r="O1070" s="99"/>
      <c r="P1070" s="69"/>
      <c r="Q1070" s="305">
        <f>_xlfn.XLOOKUP($I1070,Inputs!$G$6:$G$23,Inputs!J$6:J$23)*$K1070</f>
        <v>29.767499999999998</v>
      </c>
      <c r="R1070" s="305">
        <f>_xlfn.XLOOKUP($I1070,Inputs!$G$6:$G$23,Inputs!K$6:K$23)*$K1070</f>
        <v>32.532786885245905</v>
      </c>
      <c r="S1070" s="230" t="s">
        <v>3604</v>
      </c>
      <c r="T1070" s="51" t="s">
        <v>3605</v>
      </c>
      <c r="U1070" s="230" t="s">
        <v>2332</v>
      </c>
      <c r="V1070" s="51" t="s">
        <v>3174</v>
      </c>
      <c r="W1070" s="19"/>
      <c r="X1070" s="19"/>
      <c r="Y1070" s="99">
        <v>1052</v>
      </c>
    </row>
    <row r="1071" spans="2:25" s="193" customFormat="1" ht="20" x14ac:dyDescent="0.2">
      <c r="B1071" s="151" t="s">
        <v>1533</v>
      </c>
      <c r="C1071" s="33" t="s">
        <v>106</v>
      </c>
      <c r="D1071" s="33" t="s">
        <v>2876</v>
      </c>
      <c r="E1071" s="175">
        <v>1</v>
      </c>
      <c r="F1071" s="151" t="s">
        <v>1128</v>
      </c>
      <c r="G1071" s="174">
        <v>1</v>
      </c>
      <c r="H1071" s="152">
        <v>0.61728395061728392</v>
      </c>
      <c r="I1071" s="175">
        <v>69</v>
      </c>
      <c r="J1071" s="266">
        <f>_xlfn.XLOOKUP($I1071,Inputs!$C$6:$C$23,Inputs!$D$6:$D$23)*$G1071</f>
        <v>0.38428571428571429</v>
      </c>
      <c r="K1071" s="267">
        <f>IF((42.4*(H1071)^(-0.6595))&gt;=3,3,(IF(42.4*(H1071)^(-0.6595)&lt;=0.5,0.5,(42.4*(H1071)^(-0.6595)))))</f>
        <v>3</v>
      </c>
      <c r="L1071" s="99"/>
      <c r="M1071" s="99"/>
      <c r="N1071" s="99">
        <f>(SQRT(3)*L1071*$I1071)/1000</f>
        <v>0</v>
      </c>
      <c r="O1071" s="99">
        <f>(SQRT(3)*M1071*$I1071)/1000</f>
        <v>0</v>
      </c>
      <c r="P1071" s="131">
        <v>0.9</v>
      </c>
      <c r="Q1071" s="305">
        <f>_xlfn.XLOOKUP($I1071,Inputs!$G$6:$G$23,Inputs!J$6:J$23)*$K1071</f>
        <v>36</v>
      </c>
      <c r="R1071" s="305">
        <f>_xlfn.XLOOKUP($I1071,Inputs!$G$6:$G$23,Inputs!K$6:K$23)*$K1071</f>
        <v>39</v>
      </c>
      <c r="S1071" s="151" t="s">
        <v>2626</v>
      </c>
      <c r="T1071" s="51" t="s">
        <v>2222</v>
      </c>
      <c r="U1071" s="151" t="s">
        <v>2627</v>
      </c>
      <c r="V1071" s="51" t="s">
        <v>3552</v>
      </c>
      <c r="W1071" s="19"/>
      <c r="X1071" s="19"/>
      <c r="Y1071" s="99">
        <v>875</v>
      </c>
    </row>
    <row r="1072" spans="2:25" s="193" customFormat="1" ht="20" x14ac:dyDescent="0.2">
      <c r="B1072" s="150" t="s">
        <v>1318</v>
      </c>
      <c r="C1072" s="33" t="s">
        <v>106</v>
      </c>
      <c r="D1072" s="33" t="s">
        <v>2876</v>
      </c>
      <c r="E1072" s="175">
        <v>1</v>
      </c>
      <c r="F1072" s="151" t="s">
        <v>1128</v>
      </c>
      <c r="G1072" s="152">
        <v>1</v>
      </c>
      <c r="H1072" s="152">
        <v>0.61728395061728392</v>
      </c>
      <c r="I1072" s="175">
        <v>69</v>
      </c>
      <c r="J1072" s="266">
        <f>_xlfn.XLOOKUP($I1072,Inputs!$C$6:$C$23,Inputs!$D$6:$D$23)*$G1072</f>
        <v>0.38428571428571429</v>
      </c>
      <c r="K1072" s="255"/>
      <c r="L1072" s="186">
        <v>265</v>
      </c>
      <c r="M1072" s="186">
        <v>488</v>
      </c>
      <c r="N1072" s="99">
        <f>(SQRT(3)*L1072*$I1072)/1000</f>
        <v>31.670549016396919</v>
      </c>
      <c r="O1072" s="99">
        <f>(SQRT(3)*M1072*$I1072)/1000</f>
        <v>58.321614792459229</v>
      </c>
      <c r="P1072" s="131">
        <v>0.9</v>
      </c>
      <c r="Q1072" s="186">
        <f>N1072*$P1072</f>
        <v>28.503494114757228</v>
      </c>
      <c r="R1072" s="186">
        <f>O1072*$P1072</f>
        <v>52.489453313213311</v>
      </c>
      <c r="S1072" s="151" t="s">
        <v>2562</v>
      </c>
      <c r="T1072" s="51" t="s">
        <v>2221</v>
      </c>
      <c r="U1072" s="151" t="s">
        <v>2626</v>
      </c>
      <c r="V1072" s="51" t="s">
        <v>2222</v>
      </c>
      <c r="W1072" s="19"/>
      <c r="X1072" s="19"/>
      <c r="Y1072" s="99">
        <v>874</v>
      </c>
    </row>
    <row r="1073" spans="2:25" s="193" customFormat="1" ht="20" x14ac:dyDescent="0.2">
      <c r="B1073" s="230" t="s">
        <v>2675</v>
      </c>
      <c r="C1073" s="51" t="s">
        <v>173</v>
      </c>
      <c r="D1073" s="33" t="s">
        <v>2876</v>
      </c>
      <c r="E1073" s="231">
        <v>1</v>
      </c>
      <c r="F1073" s="230" t="s">
        <v>1128</v>
      </c>
      <c r="G1073" s="232">
        <v>2.5</v>
      </c>
      <c r="H1073" s="232">
        <v>1.5432098765432098</v>
      </c>
      <c r="I1073" s="231">
        <v>63</v>
      </c>
      <c r="J1073" s="266">
        <f>_xlfn.XLOOKUP($I1073,Inputs!$C$6:$C$23,Inputs!$D$6:$D$23)*$G1073</f>
        <v>0.95</v>
      </c>
      <c r="K1073" s="267">
        <f>IF((42.4*(H1073)^(-0.6595))&gt;=3,3,(IF(42.4*(H1073)^(-0.6595)&lt;=0.5,0.5,(42.4*(H1073)^(-0.6595)))))</f>
        <v>3</v>
      </c>
      <c r="L1073" s="99"/>
      <c r="M1073" s="99"/>
      <c r="N1073" s="99"/>
      <c r="O1073" s="99"/>
      <c r="P1073" s="69"/>
      <c r="Q1073" s="305">
        <f>_xlfn.XLOOKUP($I1073,Inputs!$G$6:$G$23,Inputs!J$6:J$23)*$K1073</f>
        <v>29.767499999999998</v>
      </c>
      <c r="R1073" s="305">
        <f>_xlfn.XLOOKUP($I1073,Inputs!$G$6:$G$23,Inputs!K$6:K$23)*$K1073</f>
        <v>32.532786885245905</v>
      </c>
      <c r="S1073" s="230" t="s">
        <v>2673</v>
      </c>
      <c r="T1073" s="51" t="s">
        <v>3268</v>
      </c>
      <c r="U1073" s="230" t="s">
        <v>2676</v>
      </c>
      <c r="V1073" s="51" t="s">
        <v>3451</v>
      </c>
      <c r="W1073" s="19"/>
      <c r="X1073" s="19"/>
      <c r="Y1073" s="99">
        <v>1104</v>
      </c>
    </row>
    <row r="1074" spans="2:25" s="193" customFormat="1" ht="20" x14ac:dyDescent="0.2">
      <c r="B1074" s="150" t="s">
        <v>485</v>
      </c>
      <c r="C1074" s="33" t="s">
        <v>106</v>
      </c>
      <c r="D1074" s="33" t="s">
        <v>2876</v>
      </c>
      <c r="E1074" s="175">
        <v>1</v>
      </c>
      <c r="F1074" s="151" t="s">
        <v>1128</v>
      </c>
      <c r="G1074" s="152">
        <v>32</v>
      </c>
      <c r="H1074" s="152">
        <v>19.753086419753085</v>
      </c>
      <c r="I1074" s="175">
        <v>138</v>
      </c>
      <c r="J1074" s="266">
        <f>_xlfn.XLOOKUP($I1074,Inputs!$C$6:$C$23,Inputs!$D$6:$D$23)*$G1074</f>
        <v>13.874285714285715</v>
      </c>
      <c r="K1074" s="255"/>
      <c r="L1074" s="186">
        <v>710</v>
      </c>
      <c r="M1074" s="186">
        <v>920</v>
      </c>
      <c r="N1074" s="99">
        <f t="shared" ref="N1074:O1078" si="234">(SQRT(3)*L1074*$I1074)/1000</f>
        <v>169.70633812559859</v>
      </c>
      <c r="O1074" s="99">
        <f t="shared" si="234"/>
        <v>219.90117052894468</v>
      </c>
      <c r="P1074" s="131">
        <v>0.9</v>
      </c>
      <c r="Q1074" s="186">
        <f>N1074*$P1074</f>
        <v>152.73570431303872</v>
      </c>
      <c r="R1074" s="186">
        <f>O1074*$P1074</f>
        <v>197.9110534760502</v>
      </c>
      <c r="S1074" s="151" t="s">
        <v>2441</v>
      </c>
      <c r="T1074" s="51" t="s">
        <v>2092</v>
      </c>
      <c r="U1074" s="151" t="s">
        <v>288</v>
      </c>
      <c r="V1074" s="51" t="s">
        <v>3370</v>
      </c>
      <c r="W1074" s="19"/>
      <c r="X1074" s="19"/>
      <c r="Y1074" s="99">
        <v>240</v>
      </c>
    </row>
    <row r="1075" spans="2:25" s="193" customFormat="1" ht="20" x14ac:dyDescent="0.2">
      <c r="B1075" s="150" t="s">
        <v>1183</v>
      </c>
      <c r="C1075" s="33" t="s">
        <v>106</v>
      </c>
      <c r="D1075" s="33" t="s">
        <v>2876</v>
      </c>
      <c r="E1075" s="175">
        <v>1</v>
      </c>
      <c r="F1075" s="151" t="s">
        <v>1128</v>
      </c>
      <c r="G1075" s="152">
        <v>2.6620600000000001E-2</v>
      </c>
      <c r="H1075" s="152">
        <v>1.6432469135802468E-2</v>
      </c>
      <c r="I1075" s="175">
        <v>69</v>
      </c>
      <c r="J1075" s="266">
        <f>_xlfn.XLOOKUP($I1075,Inputs!$C$6:$C$23,Inputs!$D$6:$D$23)*$G1075</f>
        <v>1.0229916285714286E-2</v>
      </c>
      <c r="K1075" s="267">
        <f>IF((42.4*(H1075)^(-0.6595))&gt;=3,3,(IF(42.4*(H1075)^(-0.6595)&lt;=0.5,0.5,(42.4*(H1075)^(-0.6595)))))</f>
        <v>3</v>
      </c>
      <c r="L1075" s="99"/>
      <c r="M1075" s="99"/>
      <c r="N1075" s="99">
        <f t="shared" si="234"/>
        <v>0</v>
      </c>
      <c r="O1075" s="99">
        <f t="shared" si="234"/>
        <v>0</v>
      </c>
      <c r="P1075" s="131">
        <v>0.9</v>
      </c>
      <c r="Q1075" s="305">
        <f>_xlfn.XLOOKUP($I1075,Inputs!$G$6:$G$23,Inputs!J$6:J$23)*$K1075</f>
        <v>36</v>
      </c>
      <c r="R1075" s="305">
        <f>_xlfn.XLOOKUP($I1075,Inputs!$G$6:$G$23,Inputs!K$6:K$23)*$K1075</f>
        <v>39</v>
      </c>
      <c r="S1075" s="151" t="s">
        <v>2503</v>
      </c>
      <c r="T1075" s="51" t="s">
        <v>2162</v>
      </c>
      <c r="U1075" s="151" t="s">
        <v>1937</v>
      </c>
      <c r="V1075" s="51" t="s">
        <v>3689</v>
      </c>
      <c r="W1075" s="19"/>
      <c r="X1075" s="19"/>
      <c r="Y1075" s="99">
        <v>645</v>
      </c>
    </row>
    <row r="1076" spans="2:25" s="193" customFormat="1" ht="20" x14ac:dyDescent="0.2">
      <c r="B1076" s="150" t="s">
        <v>1182</v>
      </c>
      <c r="C1076" s="33" t="s">
        <v>106</v>
      </c>
      <c r="D1076" s="33" t="s">
        <v>2876</v>
      </c>
      <c r="E1076" s="175">
        <v>1</v>
      </c>
      <c r="F1076" s="151" t="s">
        <v>1128</v>
      </c>
      <c r="G1076" s="152">
        <v>1</v>
      </c>
      <c r="H1076" s="152">
        <v>0.61728395061728392</v>
      </c>
      <c r="I1076" s="175">
        <v>69</v>
      </c>
      <c r="J1076" s="266">
        <f>_xlfn.XLOOKUP($I1076,Inputs!$C$6:$C$23,Inputs!$D$6:$D$23)*$G1076</f>
        <v>0.38428571428571429</v>
      </c>
      <c r="K1076" s="255"/>
      <c r="L1076" s="186">
        <v>750</v>
      </c>
      <c r="M1076" s="186">
        <v>965</v>
      </c>
      <c r="N1076" s="99">
        <f t="shared" si="234"/>
        <v>89.633629291689402</v>
      </c>
      <c r="O1076" s="99">
        <f t="shared" si="234"/>
        <v>115.32860302197369</v>
      </c>
      <c r="P1076" s="131">
        <v>0.9</v>
      </c>
      <c r="Q1076" s="186">
        <f t="shared" ref="Q1076:R1078" si="235">N1076*$P1076</f>
        <v>80.670266362520465</v>
      </c>
      <c r="R1076" s="186">
        <f t="shared" si="235"/>
        <v>103.79574271977633</v>
      </c>
      <c r="S1076" s="151" t="s">
        <v>1749</v>
      </c>
      <c r="T1076" s="51" t="s">
        <v>3279</v>
      </c>
      <c r="U1076" s="151" t="s">
        <v>2503</v>
      </c>
      <c r="V1076" s="51" t="s">
        <v>2162</v>
      </c>
      <c r="W1076" s="19"/>
      <c r="X1076" s="19"/>
      <c r="Y1076" s="99">
        <v>644</v>
      </c>
    </row>
    <row r="1077" spans="2:25" s="193" customFormat="1" ht="20" x14ac:dyDescent="0.2">
      <c r="B1077" s="150" t="s">
        <v>1168</v>
      </c>
      <c r="C1077" s="33" t="s">
        <v>106</v>
      </c>
      <c r="D1077" s="33" t="s">
        <v>2876</v>
      </c>
      <c r="E1077" s="175">
        <v>1</v>
      </c>
      <c r="F1077" s="151" t="s">
        <v>1128</v>
      </c>
      <c r="G1077" s="152">
        <v>1.3143067000000002</v>
      </c>
      <c r="H1077" s="152">
        <v>0.81130043209876546</v>
      </c>
      <c r="I1077" s="175">
        <v>69</v>
      </c>
      <c r="J1077" s="266">
        <f>_xlfn.XLOOKUP($I1077,Inputs!$C$6:$C$23,Inputs!$D$6:$D$23)*$G1077</f>
        <v>0.50506928900000003</v>
      </c>
      <c r="K1077" s="255"/>
      <c r="L1077" s="186">
        <v>616</v>
      </c>
      <c r="M1077" s="186">
        <v>691</v>
      </c>
      <c r="N1077" s="99">
        <f t="shared" si="234"/>
        <v>73.619087524907542</v>
      </c>
      <c r="O1077" s="99">
        <f t="shared" si="234"/>
        <v>82.582450454076508</v>
      </c>
      <c r="P1077" s="131">
        <v>0.9</v>
      </c>
      <c r="Q1077" s="186">
        <f t="shared" si="235"/>
        <v>66.257178772416793</v>
      </c>
      <c r="R1077" s="186">
        <f t="shared" si="235"/>
        <v>74.32420540866886</v>
      </c>
      <c r="S1077" s="151" t="s">
        <v>2496</v>
      </c>
      <c r="T1077" s="51" t="s">
        <v>2154</v>
      </c>
      <c r="U1077" s="151" t="s">
        <v>1938</v>
      </c>
      <c r="V1077" s="51" t="s">
        <v>3176</v>
      </c>
      <c r="W1077" s="19"/>
      <c r="X1077" s="19"/>
      <c r="Y1077" s="99">
        <v>620</v>
      </c>
    </row>
    <row r="1078" spans="2:25" s="193" customFormat="1" ht="20" x14ac:dyDescent="0.2">
      <c r="B1078" s="150" t="s">
        <v>1167</v>
      </c>
      <c r="C1078" s="33" t="s">
        <v>106</v>
      </c>
      <c r="D1078" s="33" t="s">
        <v>2876</v>
      </c>
      <c r="E1078" s="175">
        <v>1</v>
      </c>
      <c r="F1078" s="151" t="s">
        <v>1128</v>
      </c>
      <c r="G1078" s="152">
        <v>3</v>
      </c>
      <c r="H1078" s="152">
        <v>1.8518518518518516</v>
      </c>
      <c r="I1078" s="175">
        <v>69</v>
      </c>
      <c r="J1078" s="266">
        <f>_xlfn.XLOOKUP($I1078,Inputs!$C$6:$C$23,Inputs!$D$6:$D$23)*$G1078</f>
        <v>1.1528571428571428</v>
      </c>
      <c r="K1078" s="255"/>
      <c r="L1078" s="186">
        <v>493</v>
      </c>
      <c r="M1078" s="186">
        <v>590</v>
      </c>
      <c r="N1078" s="99">
        <f t="shared" si="234"/>
        <v>58.919172321070498</v>
      </c>
      <c r="O1078" s="99">
        <f t="shared" si="234"/>
        <v>70.51178837612899</v>
      </c>
      <c r="P1078" s="131">
        <v>0.9</v>
      </c>
      <c r="Q1078" s="186">
        <f t="shared" si="235"/>
        <v>53.02725508896345</v>
      </c>
      <c r="R1078" s="186">
        <f t="shared" si="235"/>
        <v>63.460609538516096</v>
      </c>
      <c r="S1078" s="151" t="s">
        <v>1893</v>
      </c>
      <c r="T1078" s="51" t="s">
        <v>3729</v>
      </c>
      <c r="U1078" s="151" t="s">
        <v>2496</v>
      </c>
      <c r="V1078" s="51" t="s">
        <v>2154</v>
      </c>
      <c r="W1078" s="19"/>
      <c r="X1078" s="19"/>
      <c r="Y1078" s="99">
        <v>619</v>
      </c>
    </row>
    <row r="1079" spans="2:25" s="193" customFormat="1" ht="20" x14ac:dyDescent="0.2">
      <c r="B1079" s="230" t="s">
        <v>2679</v>
      </c>
      <c r="C1079" s="51" t="s">
        <v>173</v>
      </c>
      <c r="D1079" s="33" t="s">
        <v>2876</v>
      </c>
      <c r="E1079" s="231">
        <v>1</v>
      </c>
      <c r="F1079" s="230" t="s">
        <v>1128</v>
      </c>
      <c r="G1079" s="232">
        <v>3</v>
      </c>
      <c r="H1079" s="232">
        <v>1.8518518518518516</v>
      </c>
      <c r="I1079" s="231">
        <v>63</v>
      </c>
      <c r="J1079" s="266">
        <f>_xlfn.XLOOKUP($I1079,Inputs!$C$6:$C$23,Inputs!$D$6:$D$23)*$G1079</f>
        <v>1.1400000000000001</v>
      </c>
      <c r="K1079" s="267">
        <f>IF((42.4*(H1079)^(-0.6595))&gt;=3,3,(IF(42.4*(H1079)^(-0.6595)&lt;=0.5,0.5,(42.4*(H1079)^(-0.6595)))))</f>
        <v>3</v>
      </c>
      <c r="L1079" s="99"/>
      <c r="M1079" s="99"/>
      <c r="N1079" s="99"/>
      <c r="O1079" s="99"/>
      <c r="P1079" s="69"/>
      <c r="Q1079" s="305">
        <f>_xlfn.XLOOKUP($I1079,Inputs!$G$6:$G$23,Inputs!J$6:J$23)*$K1079</f>
        <v>29.767499999999998</v>
      </c>
      <c r="R1079" s="305">
        <f>_xlfn.XLOOKUP($I1079,Inputs!$G$6:$G$23,Inputs!K$6:K$23)*$K1079</f>
        <v>32.532786885245905</v>
      </c>
      <c r="S1079" s="230" t="s">
        <v>2673</v>
      </c>
      <c r="T1079" s="51" t="s">
        <v>3268</v>
      </c>
      <c r="U1079" s="230" t="s">
        <v>2680</v>
      </c>
      <c r="V1079" s="51" t="s">
        <v>3351</v>
      </c>
      <c r="W1079" s="19"/>
      <c r="X1079" s="19"/>
      <c r="Y1079" s="99">
        <v>1106</v>
      </c>
    </row>
    <row r="1080" spans="2:25" s="193" customFormat="1" ht="20" x14ac:dyDescent="0.2">
      <c r="B1080" s="230" t="s">
        <v>2674</v>
      </c>
      <c r="C1080" s="51" t="s">
        <v>173</v>
      </c>
      <c r="D1080" s="33" t="s">
        <v>2876</v>
      </c>
      <c r="E1080" s="231">
        <v>1</v>
      </c>
      <c r="F1080" s="230" t="s">
        <v>1128</v>
      </c>
      <c r="G1080" s="232">
        <v>3.5</v>
      </c>
      <c r="H1080" s="232">
        <v>2.1604938271604937</v>
      </c>
      <c r="I1080" s="231">
        <v>63</v>
      </c>
      <c r="J1080" s="266">
        <f>_xlfn.XLOOKUP($I1080,Inputs!$C$6:$C$23,Inputs!$D$6:$D$23)*$G1080</f>
        <v>1.33</v>
      </c>
      <c r="K1080" s="267">
        <f>IF((42.4*(H1080)^(-0.6595))&gt;=3,3,(IF(42.4*(H1080)^(-0.6595)&lt;=0.5,0.5,(42.4*(H1080)^(-0.6595)))))</f>
        <v>3</v>
      </c>
      <c r="L1080" s="99"/>
      <c r="M1080" s="99"/>
      <c r="N1080" s="99"/>
      <c r="O1080" s="99"/>
      <c r="P1080" s="69"/>
      <c r="Q1080" s="305">
        <f>_xlfn.XLOOKUP($I1080,Inputs!$G$6:$G$23,Inputs!J$6:J$23)*$K1080</f>
        <v>29.767499999999998</v>
      </c>
      <c r="R1080" s="305">
        <f>_xlfn.XLOOKUP($I1080,Inputs!$G$6:$G$23,Inputs!K$6:K$23)*$K1080</f>
        <v>32.532786885245905</v>
      </c>
      <c r="S1080" s="230" t="s">
        <v>1856</v>
      </c>
      <c r="T1080" s="51" t="s">
        <v>3205</v>
      </c>
      <c r="U1080" s="230" t="s">
        <v>2682</v>
      </c>
      <c r="V1080" s="51" t="s">
        <v>3352</v>
      </c>
      <c r="W1080" s="19"/>
      <c r="X1080" s="19"/>
      <c r="Y1080" s="99">
        <v>1101</v>
      </c>
    </row>
    <row r="1081" spans="2:25" s="193" customFormat="1" ht="20" x14ac:dyDescent="0.2">
      <c r="B1081" s="150" t="s">
        <v>480</v>
      </c>
      <c r="C1081" s="33" t="s">
        <v>106</v>
      </c>
      <c r="D1081" s="33" t="s">
        <v>2876</v>
      </c>
      <c r="E1081" s="175">
        <v>1</v>
      </c>
      <c r="F1081" s="151" t="s">
        <v>1128</v>
      </c>
      <c r="G1081" s="152">
        <v>1</v>
      </c>
      <c r="H1081" s="152">
        <v>0.61728395061728392</v>
      </c>
      <c r="I1081" s="175">
        <v>138</v>
      </c>
      <c r="J1081" s="266">
        <f>_xlfn.XLOOKUP($I1081,Inputs!$C$6:$C$23,Inputs!$D$6:$D$23)*$G1081</f>
        <v>0.43357142857142861</v>
      </c>
      <c r="K1081" s="255"/>
      <c r="L1081" s="186">
        <v>710</v>
      </c>
      <c r="M1081" s="186">
        <v>830</v>
      </c>
      <c r="N1081" s="99">
        <f t="shared" ref="N1081:N1089" si="236">(SQRT(3)*L1081*$I1081)/1000</f>
        <v>169.70633812559859</v>
      </c>
      <c r="O1081" s="99">
        <f t="shared" ref="O1081:O1089" si="237">(SQRT(3)*M1081*$I1081)/1000</f>
        <v>198.3890994989392</v>
      </c>
      <c r="P1081" s="131">
        <v>0.9</v>
      </c>
      <c r="Q1081" s="186">
        <f t="shared" ref="Q1081:R1083" si="238">N1081*$P1081</f>
        <v>152.73570431303872</v>
      </c>
      <c r="R1081" s="186">
        <f t="shared" si="238"/>
        <v>178.55018954904529</v>
      </c>
      <c r="S1081" s="151" t="s">
        <v>1757</v>
      </c>
      <c r="T1081" s="51" t="s">
        <v>3284</v>
      </c>
      <c r="U1081" s="151" t="s">
        <v>2347</v>
      </c>
      <c r="V1081" s="51" t="s">
        <v>3630</v>
      </c>
      <c r="W1081" s="19"/>
      <c r="X1081" s="19"/>
      <c r="Y1081" s="99">
        <v>225</v>
      </c>
    </row>
    <row r="1082" spans="2:25" s="193" customFormat="1" ht="20" x14ac:dyDescent="0.2">
      <c r="B1082" s="150" t="s">
        <v>1342</v>
      </c>
      <c r="C1082" s="33" t="s">
        <v>106</v>
      </c>
      <c r="D1082" s="33" t="s">
        <v>2876</v>
      </c>
      <c r="E1082" s="175">
        <v>1</v>
      </c>
      <c r="F1082" s="151" t="s">
        <v>1128</v>
      </c>
      <c r="G1082" s="152">
        <v>0.12981329999999999</v>
      </c>
      <c r="H1082" s="152">
        <v>8.0131666666666657E-2</v>
      </c>
      <c r="I1082" s="175">
        <v>69</v>
      </c>
      <c r="J1082" s="266">
        <f>_xlfn.XLOOKUP($I1082,Inputs!$C$6:$C$23,Inputs!$D$6:$D$23)*$G1082</f>
        <v>4.9885396714285712E-2</v>
      </c>
      <c r="K1082" s="255"/>
      <c r="L1082" s="186">
        <v>493</v>
      </c>
      <c r="M1082" s="186">
        <v>625</v>
      </c>
      <c r="N1082" s="99">
        <f t="shared" si="236"/>
        <v>58.919172321070498</v>
      </c>
      <c r="O1082" s="99">
        <f t="shared" si="237"/>
        <v>74.694691076407835</v>
      </c>
      <c r="P1082" s="131">
        <v>0.9</v>
      </c>
      <c r="Q1082" s="186">
        <f t="shared" si="238"/>
        <v>53.02725508896345</v>
      </c>
      <c r="R1082" s="186">
        <f t="shared" si="238"/>
        <v>67.225221968767059</v>
      </c>
      <c r="S1082" s="151" t="s">
        <v>2580</v>
      </c>
      <c r="T1082" s="51" t="s">
        <v>2239</v>
      </c>
      <c r="U1082" s="151" t="s">
        <v>1948</v>
      </c>
      <c r="V1082" s="51" t="s">
        <v>3686</v>
      </c>
      <c r="W1082" s="19"/>
      <c r="X1082" s="19"/>
      <c r="Y1082" s="99">
        <v>922</v>
      </c>
    </row>
    <row r="1083" spans="2:25" s="193" customFormat="1" ht="20" x14ac:dyDescent="0.2">
      <c r="B1083" s="150" t="s">
        <v>1341</v>
      </c>
      <c r="C1083" s="33" t="s">
        <v>106</v>
      </c>
      <c r="D1083" s="33" t="s">
        <v>2876</v>
      </c>
      <c r="E1083" s="175">
        <v>1</v>
      </c>
      <c r="F1083" s="151" t="s">
        <v>1128</v>
      </c>
      <c r="G1083" s="152">
        <v>1</v>
      </c>
      <c r="H1083" s="152">
        <v>0.61728395061728392</v>
      </c>
      <c r="I1083" s="175">
        <v>69</v>
      </c>
      <c r="J1083" s="266">
        <f>_xlfn.XLOOKUP($I1083,Inputs!$C$6:$C$23,Inputs!$D$6:$D$23)*$G1083</f>
        <v>0.38428571428571429</v>
      </c>
      <c r="K1083" s="255"/>
      <c r="L1083" s="186">
        <v>850</v>
      </c>
      <c r="M1083" s="186">
        <v>1020</v>
      </c>
      <c r="N1083" s="99">
        <f t="shared" si="236"/>
        <v>101.58477986391465</v>
      </c>
      <c r="O1083" s="99">
        <f t="shared" si="237"/>
        <v>121.90173583669757</v>
      </c>
      <c r="P1083" s="131">
        <v>0.9</v>
      </c>
      <c r="Q1083" s="186">
        <f t="shared" si="238"/>
        <v>91.426301877523187</v>
      </c>
      <c r="R1083" s="186">
        <f t="shared" si="238"/>
        <v>109.71156225302781</v>
      </c>
      <c r="S1083" s="151" t="s">
        <v>157</v>
      </c>
      <c r="T1083" s="51" t="s">
        <v>3314</v>
      </c>
      <c r="U1083" s="151" t="s">
        <v>2580</v>
      </c>
      <c r="V1083" s="51" t="s">
        <v>2239</v>
      </c>
      <c r="W1083" s="19"/>
      <c r="X1083" s="19"/>
      <c r="Y1083" s="99">
        <v>921</v>
      </c>
    </row>
    <row r="1084" spans="2:25" s="193" customFormat="1" ht="20" x14ac:dyDescent="0.2">
      <c r="B1084" s="150" t="s">
        <v>1464</v>
      </c>
      <c r="C1084" s="33" t="s">
        <v>106</v>
      </c>
      <c r="D1084" s="33" t="s">
        <v>2876</v>
      </c>
      <c r="E1084" s="175">
        <v>1</v>
      </c>
      <c r="F1084" s="151" t="s">
        <v>1128</v>
      </c>
      <c r="G1084" s="152">
        <v>0.65533339999999995</v>
      </c>
      <c r="H1084" s="152">
        <v>0.40452679012345671</v>
      </c>
      <c r="I1084" s="175">
        <v>138</v>
      </c>
      <c r="J1084" s="266">
        <f>_xlfn.XLOOKUP($I1084,Inputs!$C$6:$C$23,Inputs!$D$6:$D$23)*$G1084</f>
        <v>0.28413383842857143</v>
      </c>
      <c r="K1084" s="267">
        <f>IF((42.4*(H1084)^(-0.6595))&gt;=3,3,(IF(42.4*(H1084)^(-0.6595)&lt;=0.5,0.5,(42.4*(H1084)^(-0.6595)))))</f>
        <v>3</v>
      </c>
      <c r="L1084" s="99"/>
      <c r="M1084" s="99"/>
      <c r="N1084" s="99">
        <f t="shared" si="236"/>
        <v>0</v>
      </c>
      <c r="O1084" s="99">
        <f t="shared" si="237"/>
        <v>0</v>
      </c>
      <c r="P1084" s="131">
        <v>0.9</v>
      </c>
      <c r="Q1084" s="305">
        <f>_xlfn.XLOOKUP($I1084,Inputs!$G$6:$G$23,Inputs!J$6:J$23)*$K1084</f>
        <v>141</v>
      </c>
      <c r="R1084" s="305">
        <f>_xlfn.XLOOKUP($I1084,Inputs!$G$6:$G$23,Inputs!K$6:K$23)*$K1084</f>
        <v>156</v>
      </c>
      <c r="S1084" s="151" t="s">
        <v>2390</v>
      </c>
      <c r="T1084" s="51" t="s">
        <v>2040</v>
      </c>
      <c r="U1084" s="151" t="s">
        <v>1939</v>
      </c>
      <c r="V1084" s="51" t="s">
        <v>3209</v>
      </c>
      <c r="W1084" s="19"/>
      <c r="X1084" s="19"/>
      <c r="Y1084" s="99">
        <v>31</v>
      </c>
    </row>
    <row r="1085" spans="2:25" s="193" customFormat="1" ht="20" x14ac:dyDescent="0.2">
      <c r="B1085" s="150" t="s">
        <v>423</v>
      </c>
      <c r="C1085" s="33" t="s">
        <v>106</v>
      </c>
      <c r="D1085" s="33" t="s">
        <v>2876</v>
      </c>
      <c r="E1085" s="175">
        <v>1</v>
      </c>
      <c r="F1085" s="151" t="s">
        <v>1128</v>
      </c>
      <c r="G1085" s="152">
        <v>20</v>
      </c>
      <c r="H1085" s="152">
        <v>12.345679012345679</v>
      </c>
      <c r="I1085" s="175">
        <v>138</v>
      </c>
      <c r="J1085" s="266">
        <f>_xlfn.XLOOKUP($I1085,Inputs!$C$6:$C$23,Inputs!$D$6:$D$23)*$G1085</f>
        <v>8.6714285714285726</v>
      </c>
      <c r="K1085" s="255"/>
      <c r="L1085" s="186">
        <v>515</v>
      </c>
      <c r="M1085" s="186">
        <v>915</v>
      </c>
      <c r="N1085" s="99">
        <f t="shared" si="236"/>
        <v>123.09685089392009</v>
      </c>
      <c r="O1085" s="99">
        <f t="shared" si="237"/>
        <v>218.70605547172212</v>
      </c>
      <c r="P1085" s="131">
        <v>0.9</v>
      </c>
      <c r="Q1085" s="186">
        <f t="shared" ref="Q1085:R1087" si="239">N1085*$P1085</f>
        <v>110.78716580452809</v>
      </c>
      <c r="R1085" s="186">
        <f t="shared" si="239"/>
        <v>196.83544992454992</v>
      </c>
      <c r="S1085" s="151" t="s">
        <v>1617</v>
      </c>
      <c r="T1085" s="51" t="s">
        <v>3189</v>
      </c>
      <c r="U1085" s="151" t="s">
        <v>2390</v>
      </c>
      <c r="V1085" s="51" t="s">
        <v>2040</v>
      </c>
      <c r="W1085" s="19"/>
      <c r="X1085" s="19"/>
      <c r="Y1085" s="99">
        <v>30</v>
      </c>
    </row>
    <row r="1086" spans="2:25" s="193" customFormat="1" ht="20" x14ac:dyDescent="0.2">
      <c r="B1086" s="150" t="s">
        <v>486</v>
      </c>
      <c r="C1086" s="33" t="s">
        <v>106</v>
      </c>
      <c r="D1086" s="33" t="s">
        <v>2876</v>
      </c>
      <c r="E1086" s="175">
        <v>1</v>
      </c>
      <c r="F1086" s="151" t="s">
        <v>1128</v>
      </c>
      <c r="G1086" s="152">
        <v>6.2694903999999996</v>
      </c>
      <c r="H1086" s="152">
        <v>3.8700558024691354</v>
      </c>
      <c r="I1086" s="175">
        <v>138</v>
      </c>
      <c r="J1086" s="266">
        <f>_xlfn.XLOOKUP($I1086,Inputs!$C$6:$C$23,Inputs!$D$6:$D$23)*$G1086</f>
        <v>2.7182719091428571</v>
      </c>
      <c r="K1086" s="255"/>
      <c r="L1086" s="186">
        <v>623</v>
      </c>
      <c r="M1086" s="186">
        <v>804</v>
      </c>
      <c r="N1086" s="99">
        <f t="shared" si="236"/>
        <v>148.91133612992664</v>
      </c>
      <c r="O1086" s="99">
        <f t="shared" si="237"/>
        <v>192.17450120138204</v>
      </c>
      <c r="P1086" s="131">
        <v>0.9</v>
      </c>
      <c r="Q1086" s="186">
        <f t="shared" si="239"/>
        <v>134.02020251693398</v>
      </c>
      <c r="R1086" s="186">
        <f t="shared" si="239"/>
        <v>172.95705108124383</v>
      </c>
      <c r="S1086" s="151" t="s">
        <v>1791</v>
      </c>
      <c r="T1086" s="51" t="s">
        <v>3293</v>
      </c>
      <c r="U1086" s="151" t="s">
        <v>2334</v>
      </c>
      <c r="V1086" s="51" t="s">
        <v>3177</v>
      </c>
      <c r="W1086" s="19"/>
      <c r="X1086" s="19"/>
      <c r="Y1086" s="99">
        <v>241</v>
      </c>
    </row>
    <row r="1087" spans="2:25" s="193" customFormat="1" ht="20" x14ac:dyDescent="0.2">
      <c r="B1087" s="150" t="s">
        <v>1292</v>
      </c>
      <c r="C1087" s="33" t="s">
        <v>106</v>
      </c>
      <c r="D1087" s="33" t="s">
        <v>2876</v>
      </c>
      <c r="E1087" s="175">
        <v>1</v>
      </c>
      <c r="F1087" s="151" t="s">
        <v>1128</v>
      </c>
      <c r="G1087" s="152">
        <v>25.533583799999999</v>
      </c>
      <c r="H1087" s="152">
        <v>15.761471481481479</v>
      </c>
      <c r="I1087" s="175">
        <v>69</v>
      </c>
      <c r="J1087" s="266">
        <f>_xlfn.XLOOKUP($I1087,Inputs!$C$6:$C$23,Inputs!$D$6:$D$23)*$G1087</f>
        <v>9.8121914888571418</v>
      </c>
      <c r="K1087" s="255"/>
      <c r="L1087" s="186">
        <v>828</v>
      </c>
      <c r="M1087" s="186">
        <v>1060</v>
      </c>
      <c r="N1087" s="99">
        <f t="shared" si="236"/>
        <v>98.955526738025085</v>
      </c>
      <c r="O1087" s="99">
        <f t="shared" si="237"/>
        <v>126.68219606558768</v>
      </c>
      <c r="P1087" s="131">
        <v>0.9</v>
      </c>
      <c r="Q1087" s="186">
        <f t="shared" si="239"/>
        <v>89.059974064222573</v>
      </c>
      <c r="R1087" s="186">
        <f t="shared" si="239"/>
        <v>114.01397645902891</v>
      </c>
      <c r="S1087" s="151" t="s">
        <v>1729</v>
      </c>
      <c r="T1087" s="51" t="s">
        <v>3202</v>
      </c>
      <c r="U1087" s="151" t="s">
        <v>1940</v>
      </c>
      <c r="V1087" s="51" t="s">
        <v>3178</v>
      </c>
      <c r="W1087" s="19"/>
      <c r="X1087" s="19"/>
      <c r="Y1087" s="99">
        <v>828</v>
      </c>
    </row>
    <row r="1088" spans="2:25" s="193" customFormat="1" ht="20" x14ac:dyDescent="0.2">
      <c r="B1088" s="150" t="s">
        <v>1270</v>
      </c>
      <c r="C1088" s="33" t="s">
        <v>106</v>
      </c>
      <c r="D1088" s="33" t="s">
        <v>2876</v>
      </c>
      <c r="E1088" s="175">
        <v>1</v>
      </c>
      <c r="F1088" s="151" t="s">
        <v>1128</v>
      </c>
      <c r="G1088" s="152">
        <v>0.4246876</v>
      </c>
      <c r="H1088" s="152">
        <v>0.2621528395061728</v>
      </c>
      <c r="I1088" s="175">
        <v>69</v>
      </c>
      <c r="J1088" s="266">
        <f>_xlfn.XLOOKUP($I1088,Inputs!$C$6:$C$23,Inputs!$D$6:$D$23)*$G1088</f>
        <v>0.16320137771428572</v>
      </c>
      <c r="K1088" s="267">
        <f>IF((42.4*(H1088)^(-0.6595))&gt;=3,3,(IF(42.4*(H1088)^(-0.6595)&lt;=0.5,0.5,(42.4*(H1088)^(-0.6595)))))</f>
        <v>3</v>
      </c>
      <c r="L1088" s="99"/>
      <c r="M1088" s="99"/>
      <c r="N1088" s="99">
        <f t="shared" si="236"/>
        <v>0</v>
      </c>
      <c r="O1088" s="99">
        <f t="shared" si="237"/>
        <v>0</v>
      </c>
      <c r="P1088" s="131">
        <v>0.9</v>
      </c>
      <c r="Q1088" s="305">
        <f>_xlfn.XLOOKUP($I1088,Inputs!$G$6:$G$23,Inputs!J$6:J$23)*$K1088</f>
        <v>36</v>
      </c>
      <c r="R1088" s="305">
        <f>_xlfn.XLOOKUP($I1088,Inputs!$G$6:$G$23,Inputs!K$6:K$23)*$K1088</f>
        <v>39</v>
      </c>
      <c r="S1088" s="151" t="s">
        <v>1935</v>
      </c>
      <c r="T1088" s="51" t="s">
        <v>3727</v>
      </c>
      <c r="U1088" s="151" t="s">
        <v>1941</v>
      </c>
      <c r="V1088" s="51" t="s">
        <v>3551</v>
      </c>
      <c r="W1088" s="19"/>
      <c r="X1088" s="19" t="s">
        <v>3709</v>
      </c>
      <c r="Y1088" s="99">
        <v>792</v>
      </c>
    </row>
    <row r="1089" spans="2:25" s="193" customFormat="1" ht="20" x14ac:dyDescent="0.2">
      <c r="B1089" s="150" t="s">
        <v>1267</v>
      </c>
      <c r="C1089" s="33" t="s">
        <v>106</v>
      </c>
      <c r="D1089" s="33" t="s">
        <v>2876</v>
      </c>
      <c r="E1089" s="175">
        <v>1</v>
      </c>
      <c r="F1089" s="151" t="s">
        <v>1128</v>
      </c>
      <c r="G1089" s="152">
        <v>5.7</v>
      </c>
      <c r="H1089" s="152">
        <v>3.5185185185185186</v>
      </c>
      <c r="I1089" s="175">
        <v>69</v>
      </c>
      <c r="J1089" s="266">
        <f>_xlfn.XLOOKUP($I1089,Inputs!$C$6:$C$23,Inputs!$D$6:$D$23)*$G1089</f>
        <v>2.1904285714285714</v>
      </c>
      <c r="K1089" s="255"/>
      <c r="L1089" s="186">
        <v>730</v>
      </c>
      <c r="M1089" s="186">
        <v>940</v>
      </c>
      <c r="N1089" s="99">
        <f t="shared" si="236"/>
        <v>87.243399177244342</v>
      </c>
      <c r="O1089" s="99">
        <f t="shared" si="237"/>
        <v>112.34081537891738</v>
      </c>
      <c r="P1089" s="131">
        <v>0.9</v>
      </c>
      <c r="Q1089" s="186">
        <f>N1089*$P1089</f>
        <v>78.519059259519906</v>
      </c>
      <c r="R1089" s="186">
        <f>O1089*$P1089</f>
        <v>101.10673384102564</v>
      </c>
      <c r="S1089" s="151" t="s">
        <v>1570</v>
      </c>
      <c r="T1089" s="51" t="s">
        <v>3214</v>
      </c>
      <c r="U1089" s="151" t="s">
        <v>2535</v>
      </c>
      <c r="V1089" s="51" t="s">
        <v>2194</v>
      </c>
      <c r="W1089" s="19"/>
      <c r="X1089" s="19"/>
      <c r="Y1089" s="99">
        <v>787</v>
      </c>
    </row>
    <row r="1090" spans="2:25" ht="20" x14ac:dyDescent="0.2">
      <c r="B1090" s="230" t="s">
        <v>2702</v>
      </c>
      <c r="C1090" s="51" t="s">
        <v>173</v>
      </c>
      <c r="D1090" s="33" t="s">
        <v>2876</v>
      </c>
      <c r="E1090" s="231">
        <v>1</v>
      </c>
      <c r="F1090" s="230" t="s">
        <v>1128</v>
      </c>
      <c r="G1090" s="232">
        <v>11</v>
      </c>
      <c r="H1090" s="232">
        <v>6.7901234567901234</v>
      </c>
      <c r="I1090" s="231">
        <v>63</v>
      </c>
      <c r="J1090" s="266">
        <f>_xlfn.XLOOKUP($I1090,Inputs!$C$6:$C$23,Inputs!$D$6:$D$23)*$G1090</f>
        <v>4.18</v>
      </c>
      <c r="K1090" s="267">
        <f>IF((42.4*(H1090)^(-0.6595))&gt;=3,3,(IF(42.4*(H1090)^(-0.6595)&lt;=0.5,0.5,(42.4*(H1090)^(-0.6595)))))</f>
        <v>3</v>
      </c>
      <c r="L1090" s="99"/>
      <c r="M1090" s="99"/>
      <c r="N1090" s="99"/>
      <c r="O1090" s="99"/>
      <c r="P1090" s="69"/>
      <c r="Q1090" s="305">
        <f>_xlfn.XLOOKUP($I1090,Inputs!$G$6:$G$23,Inputs!J$6:J$23)*$K1090</f>
        <v>29.767499999999998</v>
      </c>
      <c r="R1090" s="305">
        <f>_xlfn.XLOOKUP($I1090,Inputs!$G$6:$G$23,Inputs!K$6:K$23)*$K1090</f>
        <v>32.532786885245905</v>
      </c>
      <c r="S1090" s="230" t="s">
        <v>3582</v>
      </c>
      <c r="T1090" s="51" t="s">
        <v>3583</v>
      </c>
      <c r="U1090" s="230" t="s">
        <v>3604</v>
      </c>
      <c r="V1090" s="51" t="s">
        <v>3605</v>
      </c>
      <c r="W1090" s="19"/>
      <c r="X1090" s="19"/>
      <c r="Y1090" s="99">
        <v>1045</v>
      </c>
    </row>
    <row r="1091" spans="2:25" s="193" customFormat="1" ht="20" x14ac:dyDescent="0.2">
      <c r="B1091" s="230" t="s">
        <v>2703</v>
      </c>
      <c r="C1091" s="51" t="s">
        <v>173</v>
      </c>
      <c r="D1091" s="33" t="s">
        <v>2876</v>
      </c>
      <c r="E1091" s="231">
        <v>1</v>
      </c>
      <c r="F1091" s="230" t="s">
        <v>1128</v>
      </c>
      <c r="G1091" s="232">
        <v>11</v>
      </c>
      <c r="H1091" s="232">
        <v>6.7901234567901234</v>
      </c>
      <c r="I1091" s="231">
        <v>63</v>
      </c>
      <c r="J1091" s="266">
        <f>_xlfn.XLOOKUP($I1091,Inputs!$C$6:$C$23,Inputs!$D$6:$D$23)*$G1091</f>
        <v>4.18</v>
      </c>
      <c r="K1091" s="267">
        <f>IF((42.4*(H1091)^(-0.6595))&gt;=3,3,(IF(42.4*(H1091)^(-0.6595)&lt;=0.5,0.5,(42.4*(H1091)^(-0.6595)))))</f>
        <v>3</v>
      </c>
      <c r="L1091" s="99"/>
      <c r="M1091" s="99"/>
      <c r="N1091" s="99"/>
      <c r="O1091" s="99"/>
      <c r="P1091" s="69"/>
      <c r="Q1091" s="305">
        <f>_xlfn.XLOOKUP($I1091,Inputs!$G$6:$G$23,Inputs!J$6:J$23)*$K1091</f>
        <v>29.767499999999998</v>
      </c>
      <c r="R1091" s="305">
        <f>_xlfn.XLOOKUP($I1091,Inputs!$G$6:$G$23,Inputs!K$6:K$23)*$K1091</f>
        <v>32.532786885245905</v>
      </c>
      <c r="S1091" s="230" t="s">
        <v>3582</v>
      </c>
      <c r="T1091" s="51" t="s">
        <v>3583</v>
      </c>
      <c r="U1091" s="230" t="s">
        <v>3604</v>
      </c>
      <c r="V1091" s="51" t="s">
        <v>3605</v>
      </c>
      <c r="W1091" s="19"/>
      <c r="X1091" s="19"/>
      <c r="Y1091" s="99">
        <v>1047</v>
      </c>
    </row>
    <row r="1092" spans="2:25" s="193" customFormat="1" ht="20" x14ac:dyDescent="0.2">
      <c r="B1092" s="230" t="s">
        <v>2704</v>
      </c>
      <c r="C1092" s="51" t="s">
        <v>173</v>
      </c>
      <c r="D1092" s="33" t="s">
        <v>2876</v>
      </c>
      <c r="E1092" s="231">
        <v>1</v>
      </c>
      <c r="F1092" s="230" t="s">
        <v>1128</v>
      </c>
      <c r="G1092" s="232">
        <v>11</v>
      </c>
      <c r="H1092" s="232">
        <v>6.7901234567901234</v>
      </c>
      <c r="I1092" s="231">
        <v>63</v>
      </c>
      <c r="J1092" s="266">
        <f>_xlfn.XLOOKUP($I1092,Inputs!$C$6:$C$23,Inputs!$D$6:$D$23)*$G1092</f>
        <v>4.18</v>
      </c>
      <c r="K1092" s="267">
        <f>IF((42.4*(H1092)^(-0.6595))&gt;=3,3,(IF(42.4*(H1092)^(-0.6595)&lt;=0.5,0.5,(42.4*(H1092)^(-0.6595)))))</f>
        <v>3</v>
      </c>
      <c r="L1092" s="99"/>
      <c r="M1092" s="99"/>
      <c r="N1092" s="99"/>
      <c r="O1092" s="99"/>
      <c r="P1092" s="69"/>
      <c r="Q1092" s="305">
        <f>_xlfn.XLOOKUP($I1092,Inputs!$G$6:$G$23,Inputs!J$6:J$23)*$K1092</f>
        <v>29.767499999999998</v>
      </c>
      <c r="R1092" s="305">
        <f>_xlfn.XLOOKUP($I1092,Inputs!$G$6:$G$23,Inputs!K$6:K$23)*$K1092</f>
        <v>32.532786885245905</v>
      </c>
      <c r="S1092" s="230" t="s">
        <v>3582</v>
      </c>
      <c r="T1092" s="51" t="s">
        <v>3583</v>
      </c>
      <c r="U1092" s="230" t="s">
        <v>3604</v>
      </c>
      <c r="V1092" s="51" t="s">
        <v>3605</v>
      </c>
      <c r="W1092" s="19"/>
      <c r="X1092" s="19"/>
      <c r="Y1092" s="99">
        <v>1049</v>
      </c>
    </row>
    <row r="1093" spans="2:25" ht="20" x14ac:dyDescent="0.2">
      <c r="B1093" s="230" t="s">
        <v>2705</v>
      </c>
      <c r="C1093" s="51" t="s">
        <v>173</v>
      </c>
      <c r="D1093" s="33" t="s">
        <v>2876</v>
      </c>
      <c r="E1093" s="231">
        <v>1</v>
      </c>
      <c r="F1093" s="230" t="s">
        <v>1128</v>
      </c>
      <c r="G1093" s="232">
        <v>11</v>
      </c>
      <c r="H1093" s="232">
        <v>6.7901234567901234</v>
      </c>
      <c r="I1093" s="231">
        <v>63</v>
      </c>
      <c r="J1093" s="266">
        <f>_xlfn.XLOOKUP($I1093,Inputs!$C$6:$C$23,Inputs!$D$6:$D$23)*$G1093</f>
        <v>4.18</v>
      </c>
      <c r="K1093" s="267">
        <f>IF((42.4*(H1093)^(-0.6595))&gt;=3,3,(IF(42.4*(H1093)^(-0.6595)&lt;=0.5,0.5,(42.4*(H1093)^(-0.6595)))))</f>
        <v>3</v>
      </c>
      <c r="L1093" s="99"/>
      <c r="M1093" s="99"/>
      <c r="N1093" s="99"/>
      <c r="O1093" s="99"/>
      <c r="P1093" s="69"/>
      <c r="Q1093" s="305">
        <f>_xlfn.XLOOKUP($I1093,Inputs!$G$6:$G$23,Inputs!J$6:J$23)*$K1093</f>
        <v>29.767499999999998</v>
      </c>
      <c r="R1093" s="305">
        <f>_xlfn.XLOOKUP($I1093,Inputs!$G$6:$G$23,Inputs!K$6:K$23)*$K1093</f>
        <v>32.532786885245905</v>
      </c>
      <c r="S1093" s="230" t="s">
        <v>3582</v>
      </c>
      <c r="T1093" s="51" t="s">
        <v>3583</v>
      </c>
      <c r="U1093" s="230" t="s">
        <v>3604</v>
      </c>
      <c r="V1093" s="51" t="s">
        <v>3605</v>
      </c>
      <c r="W1093" s="19"/>
      <c r="X1093" s="19"/>
      <c r="Y1093" s="99">
        <v>1051</v>
      </c>
    </row>
    <row r="1094" spans="2:25" s="193" customFormat="1" ht="20" x14ac:dyDescent="0.2">
      <c r="B1094" s="150" t="s">
        <v>536</v>
      </c>
      <c r="C1094" s="33" t="s">
        <v>106</v>
      </c>
      <c r="D1094" s="33" t="s">
        <v>2876</v>
      </c>
      <c r="E1094" s="175">
        <v>1</v>
      </c>
      <c r="F1094" s="151" t="s">
        <v>1128</v>
      </c>
      <c r="G1094" s="152">
        <v>22.7689752</v>
      </c>
      <c r="H1094" s="152">
        <v>14.054922962962962</v>
      </c>
      <c r="I1094" s="175">
        <v>230</v>
      </c>
      <c r="J1094" s="266">
        <f>_xlfn.XLOOKUP($I1094,Inputs!$C$6:$C$23,Inputs!$D$6:$D$23)*$G1094</f>
        <v>10.929108096</v>
      </c>
      <c r="K1094" s="255"/>
      <c r="L1094" s="186">
        <v>989</v>
      </c>
      <c r="M1094" s="186">
        <v>1200</v>
      </c>
      <c r="N1094" s="99">
        <f t="shared" ref="N1094:N1123" si="240">(SQRT(3)*L1094*$I1094)/1000</f>
        <v>393.98959719769249</v>
      </c>
      <c r="O1094" s="99">
        <f t="shared" ref="O1094:O1123" si="241">(SQRT(3)*M1094*$I1094)/1000</f>
        <v>478.04602288901015</v>
      </c>
      <c r="P1094" s="131">
        <v>0.9</v>
      </c>
      <c r="Q1094" s="186">
        <f t="shared" ref="Q1094:Q1110" si="242">N1094*$P1094</f>
        <v>354.59063747792322</v>
      </c>
      <c r="R1094" s="186">
        <f t="shared" ref="R1094:R1110" si="243">O1094*$P1094</f>
        <v>430.24142060010917</v>
      </c>
      <c r="S1094" s="151" t="s">
        <v>1779</v>
      </c>
      <c r="T1094" s="51" t="s">
        <v>3288</v>
      </c>
      <c r="U1094" s="151" t="s">
        <v>1942</v>
      </c>
      <c r="V1094" s="179" t="s">
        <v>3454</v>
      </c>
      <c r="W1094" s="19"/>
      <c r="X1094" s="19"/>
      <c r="Y1094" s="99">
        <v>370</v>
      </c>
    </row>
    <row r="1095" spans="2:25" s="193" customFormat="1" ht="20" x14ac:dyDescent="0.2">
      <c r="B1095" s="150" t="s">
        <v>537</v>
      </c>
      <c r="C1095" s="33" t="s">
        <v>106</v>
      </c>
      <c r="D1095" s="33" t="s">
        <v>2876</v>
      </c>
      <c r="E1095" s="175">
        <v>1</v>
      </c>
      <c r="F1095" s="151" t="s">
        <v>1128</v>
      </c>
      <c r="G1095" s="152">
        <v>5.2746557000000003</v>
      </c>
      <c r="H1095" s="152">
        <v>3.2559603086419751</v>
      </c>
      <c r="I1095" s="175">
        <v>230</v>
      </c>
      <c r="J1095" s="266">
        <f>_xlfn.XLOOKUP($I1095,Inputs!$C$6:$C$23,Inputs!$D$6:$D$23)*$G1095</f>
        <v>2.531834736</v>
      </c>
      <c r="K1095" s="255"/>
      <c r="L1095" s="186">
        <v>989</v>
      </c>
      <c r="M1095" s="186">
        <v>1200</v>
      </c>
      <c r="N1095" s="99">
        <f t="shared" si="240"/>
        <v>393.98959719769249</v>
      </c>
      <c r="O1095" s="99">
        <f t="shared" si="241"/>
        <v>478.04602288901015</v>
      </c>
      <c r="P1095" s="131">
        <v>0.9</v>
      </c>
      <c r="Q1095" s="186">
        <f t="shared" si="242"/>
        <v>354.59063747792322</v>
      </c>
      <c r="R1095" s="186">
        <f t="shared" si="243"/>
        <v>430.24142060010917</v>
      </c>
      <c r="S1095" s="151" t="s">
        <v>1730</v>
      </c>
      <c r="T1095" s="51" t="s">
        <v>3204</v>
      </c>
      <c r="U1095" s="151" t="s">
        <v>1942</v>
      </c>
      <c r="V1095" s="179" t="s">
        <v>3454</v>
      </c>
      <c r="W1095" s="19"/>
      <c r="X1095" s="19"/>
      <c r="Y1095" s="99">
        <v>371</v>
      </c>
    </row>
    <row r="1096" spans="2:25" s="193" customFormat="1" ht="20" x14ac:dyDescent="0.2">
      <c r="B1096" s="150" t="s">
        <v>1319</v>
      </c>
      <c r="C1096" s="33" t="s">
        <v>106</v>
      </c>
      <c r="D1096" s="33" t="s">
        <v>2876</v>
      </c>
      <c r="E1096" s="175">
        <v>1</v>
      </c>
      <c r="F1096" s="151" t="s">
        <v>1128</v>
      </c>
      <c r="G1096" s="152">
        <v>3.8523179000000001</v>
      </c>
      <c r="H1096" s="152">
        <v>2.3779740123456787</v>
      </c>
      <c r="I1096" s="175">
        <v>69</v>
      </c>
      <c r="J1096" s="266">
        <f>_xlfn.XLOOKUP($I1096,Inputs!$C$6:$C$23,Inputs!$D$6:$D$23)*$G1096</f>
        <v>1.4803907358571429</v>
      </c>
      <c r="K1096" s="255"/>
      <c r="L1096" s="186">
        <v>150</v>
      </c>
      <c r="M1096" s="186">
        <v>270</v>
      </c>
      <c r="N1096" s="99">
        <f t="shared" si="240"/>
        <v>17.926725858337878</v>
      </c>
      <c r="O1096" s="99">
        <f t="shared" si="241"/>
        <v>32.26810654500818</v>
      </c>
      <c r="P1096" s="131">
        <v>0.9</v>
      </c>
      <c r="Q1096" s="186">
        <f t="shared" si="242"/>
        <v>16.13405327250409</v>
      </c>
      <c r="R1096" s="186">
        <f t="shared" si="243"/>
        <v>29.041295890507364</v>
      </c>
      <c r="S1096" s="151" t="s">
        <v>1659</v>
      </c>
      <c r="T1096" s="51" t="s">
        <v>3118</v>
      </c>
      <c r="U1096" s="151" t="s">
        <v>1943</v>
      </c>
      <c r="V1096" s="51" t="s">
        <v>3417</v>
      </c>
      <c r="W1096" s="19"/>
      <c r="X1096" s="19"/>
      <c r="Y1096" s="99">
        <v>878</v>
      </c>
    </row>
    <row r="1097" spans="2:25" ht="20" x14ac:dyDescent="0.2">
      <c r="B1097" s="150" t="s">
        <v>2346</v>
      </c>
      <c r="C1097" s="33" t="s">
        <v>106</v>
      </c>
      <c r="D1097" s="33" t="s">
        <v>2876</v>
      </c>
      <c r="E1097" s="175">
        <v>1</v>
      </c>
      <c r="F1097" s="151" t="s">
        <v>1128</v>
      </c>
      <c r="G1097" s="152">
        <v>3</v>
      </c>
      <c r="H1097" s="152">
        <v>1.8518518518518516</v>
      </c>
      <c r="I1097" s="175">
        <v>69</v>
      </c>
      <c r="J1097" s="266">
        <f>_xlfn.XLOOKUP($I1097,Inputs!$C$6:$C$23,Inputs!$D$6:$D$23)*$G1097</f>
        <v>1.1528571428571428</v>
      </c>
      <c r="K1097" s="255"/>
      <c r="L1097" s="186">
        <v>265</v>
      </c>
      <c r="M1097" s="186">
        <v>488</v>
      </c>
      <c r="N1097" s="99">
        <f t="shared" si="240"/>
        <v>31.670549016396919</v>
      </c>
      <c r="O1097" s="99">
        <f t="shared" si="241"/>
        <v>58.321614792459229</v>
      </c>
      <c r="P1097" s="131">
        <v>0.9</v>
      </c>
      <c r="Q1097" s="186">
        <f t="shared" si="242"/>
        <v>28.503494114757228</v>
      </c>
      <c r="R1097" s="186">
        <f t="shared" si="243"/>
        <v>52.489453313213311</v>
      </c>
      <c r="S1097" s="151" t="s">
        <v>2566</v>
      </c>
      <c r="T1097" s="51" t="s">
        <v>2225</v>
      </c>
      <c r="U1097" s="151" t="s">
        <v>1943</v>
      </c>
      <c r="V1097" s="179" t="s">
        <v>3417</v>
      </c>
      <c r="W1097" s="19"/>
      <c r="X1097" s="19"/>
      <c r="Y1097" s="99">
        <v>885</v>
      </c>
    </row>
    <row r="1098" spans="2:25" s="193" customFormat="1" ht="20" x14ac:dyDescent="0.2">
      <c r="B1098" s="150" t="s">
        <v>1322</v>
      </c>
      <c r="C1098" s="33" t="s">
        <v>106</v>
      </c>
      <c r="D1098" s="33" t="s">
        <v>2876</v>
      </c>
      <c r="E1098" s="175">
        <v>1</v>
      </c>
      <c r="F1098" s="151" t="s">
        <v>1128</v>
      </c>
      <c r="G1098" s="152">
        <v>32.087159399999997</v>
      </c>
      <c r="H1098" s="152">
        <v>19.806888518518516</v>
      </c>
      <c r="I1098" s="175">
        <v>69</v>
      </c>
      <c r="J1098" s="266">
        <f>_xlfn.XLOOKUP($I1098,Inputs!$C$6:$C$23,Inputs!$D$6:$D$23)*$G1098</f>
        <v>12.33063696942857</v>
      </c>
      <c r="K1098" s="255"/>
      <c r="L1098" s="186">
        <v>265</v>
      </c>
      <c r="M1098" s="186">
        <v>488</v>
      </c>
      <c r="N1098" s="99">
        <f t="shared" si="240"/>
        <v>31.670549016396919</v>
      </c>
      <c r="O1098" s="99">
        <f t="shared" si="241"/>
        <v>58.321614792459229</v>
      </c>
      <c r="P1098" s="131">
        <v>0.9</v>
      </c>
      <c r="Q1098" s="186">
        <f t="shared" si="242"/>
        <v>28.503494114757228</v>
      </c>
      <c r="R1098" s="186">
        <f t="shared" si="243"/>
        <v>52.489453313213311</v>
      </c>
      <c r="S1098" s="151" t="s">
        <v>1659</v>
      </c>
      <c r="T1098" s="51" t="s">
        <v>3118</v>
      </c>
      <c r="U1098" s="151" t="s">
        <v>2566</v>
      </c>
      <c r="V1098" s="179" t="s">
        <v>2225</v>
      </c>
      <c r="W1098" s="19"/>
      <c r="X1098" s="19"/>
      <c r="Y1098" s="99">
        <v>884</v>
      </c>
    </row>
    <row r="1099" spans="2:25" s="193" customFormat="1" ht="20" x14ac:dyDescent="0.2">
      <c r="B1099" s="150" t="s">
        <v>473</v>
      </c>
      <c r="C1099" s="33" t="s">
        <v>106</v>
      </c>
      <c r="D1099" s="33" t="s">
        <v>2876</v>
      </c>
      <c r="E1099" s="175">
        <v>1</v>
      </c>
      <c r="F1099" s="151" t="s">
        <v>1128</v>
      </c>
      <c r="G1099" s="152">
        <v>35</v>
      </c>
      <c r="H1099" s="152">
        <v>21.604938271604937</v>
      </c>
      <c r="I1099" s="175">
        <v>138</v>
      </c>
      <c r="J1099" s="266">
        <f>_xlfn.XLOOKUP($I1099,Inputs!$C$6:$C$23,Inputs!$D$6:$D$23)*$G1099</f>
        <v>15.175000000000001</v>
      </c>
      <c r="K1099" s="255"/>
      <c r="L1099" s="186">
        <v>714</v>
      </c>
      <c r="M1099" s="186">
        <v>886</v>
      </c>
      <c r="N1099" s="99">
        <f t="shared" si="240"/>
        <v>170.66243017137663</v>
      </c>
      <c r="O1099" s="99">
        <f t="shared" si="241"/>
        <v>211.77438813983147</v>
      </c>
      <c r="P1099" s="131">
        <v>0.9</v>
      </c>
      <c r="Q1099" s="186">
        <f t="shared" si="242"/>
        <v>153.59618715423898</v>
      </c>
      <c r="R1099" s="186">
        <f t="shared" si="243"/>
        <v>190.59694932584833</v>
      </c>
      <c r="S1099" s="151" t="s">
        <v>2817</v>
      </c>
      <c r="T1099" s="51" t="s">
        <v>3725</v>
      </c>
      <c r="U1099" s="151" t="s">
        <v>2617</v>
      </c>
      <c r="V1099" s="51" t="s">
        <v>3353</v>
      </c>
      <c r="W1099" s="19"/>
      <c r="X1099" s="19"/>
      <c r="Y1099" s="99">
        <v>178</v>
      </c>
    </row>
    <row r="1100" spans="2:25" s="193" customFormat="1" ht="20" x14ac:dyDescent="0.2">
      <c r="B1100" s="150" t="s">
        <v>1334</v>
      </c>
      <c r="C1100" s="33" t="s">
        <v>106</v>
      </c>
      <c r="D1100" s="33" t="s">
        <v>2876</v>
      </c>
      <c r="E1100" s="175">
        <v>1</v>
      </c>
      <c r="F1100" s="151" t="s">
        <v>1128</v>
      </c>
      <c r="G1100" s="152">
        <v>1</v>
      </c>
      <c r="H1100" s="152">
        <v>0.61728395061728392</v>
      </c>
      <c r="I1100" s="175">
        <v>69</v>
      </c>
      <c r="J1100" s="266">
        <f>_xlfn.XLOOKUP($I1100,Inputs!$C$6:$C$23,Inputs!$D$6:$D$23)*$G1100</f>
        <v>0.38428571428571429</v>
      </c>
      <c r="K1100" s="255"/>
      <c r="L1100" s="186">
        <v>450</v>
      </c>
      <c r="M1100" s="186">
        <v>760</v>
      </c>
      <c r="N1100" s="99">
        <f t="shared" si="240"/>
        <v>53.780177575013639</v>
      </c>
      <c r="O1100" s="99">
        <f t="shared" si="241"/>
        <v>90.828744348911911</v>
      </c>
      <c r="P1100" s="131">
        <v>0.9</v>
      </c>
      <c r="Q1100" s="186">
        <f t="shared" si="242"/>
        <v>48.402159817512278</v>
      </c>
      <c r="R1100" s="186">
        <f t="shared" si="243"/>
        <v>81.745869914020716</v>
      </c>
      <c r="S1100" s="151" t="s">
        <v>2577</v>
      </c>
      <c r="T1100" s="51" t="s">
        <v>2234</v>
      </c>
      <c r="U1100" s="151" t="s">
        <v>280</v>
      </c>
      <c r="V1100" s="51" t="s">
        <v>3471</v>
      </c>
      <c r="W1100" s="19"/>
      <c r="X1100" s="19"/>
      <c r="Y1100" s="99">
        <v>915</v>
      </c>
    </row>
    <row r="1101" spans="2:25" s="193" customFormat="1" ht="20" x14ac:dyDescent="0.2">
      <c r="B1101" s="150" t="s">
        <v>1343</v>
      </c>
      <c r="C1101" s="33" t="s">
        <v>106</v>
      </c>
      <c r="D1101" s="33" t="s">
        <v>2876</v>
      </c>
      <c r="E1101" s="175">
        <v>1</v>
      </c>
      <c r="F1101" s="151" t="s">
        <v>1128</v>
      </c>
      <c r="G1101" s="152">
        <v>26.829854200000003</v>
      </c>
      <c r="H1101" s="152">
        <v>16.561638395061728</v>
      </c>
      <c r="I1101" s="175">
        <v>69</v>
      </c>
      <c r="J1101" s="266">
        <f>_xlfn.XLOOKUP($I1101,Inputs!$C$6:$C$23,Inputs!$D$6:$D$23)*$G1101</f>
        <v>10.310329685428572</v>
      </c>
      <c r="K1101" s="255"/>
      <c r="L1101" s="186">
        <v>460</v>
      </c>
      <c r="M1101" s="186">
        <v>780</v>
      </c>
      <c r="N1101" s="99">
        <f t="shared" si="240"/>
        <v>54.975292632236169</v>
      </c>
      <c r="O1101" s="99">
        <f t="shared" si="241"/>
        <v>93.218974463356957</v>
      </c>
      <c r="P1101" s="131">
        <v>0.9</v>
      </c>
      <c r="Q1101" s="186">
        <f t="shared" si="242"/>
        <v>49.47776336901255</v>
      </c>
      <c r="R1101" s="186">
        <f t="shared" si="243"/>
        <v>83.89707701702126</v>
      </c>
      <c r="S1101" s="151" t="s">
        <v>1872</v>
      </c>
      <c r="T1101" s="51" t="s">
        <v>3180</v>
      </c>
      <c r="U1101" s="151" t="s">
        <v>280</v>
      </c>
      <c r="V1101" s="51" t="s">
        <v>3471</v>
      </c>
      <c r="W1101" s="19"/>
      <c r="X1101" s="19"/>
      <c r="Y1101" s="99">
        <v>925</v>
      </c>
    </row>
    <row r="1102" spans="2:25" s="193" customFormat="1" ht="20" x14ac:dyDescent="0.2">
      <c r="B1102" s="150" t="s">
        <v>1344</v>
      </c>
      <c r="C1102" s="33" t="s">
        <v>106</v>
      </c>
      <c r="D1102" s="33" t="s">
        <v>2876</v>
      </c>
      <c r="E1102" s="175">
        <v>1</v>
      </c>
      <c r="F1102" s="151" t="s">
        <v>1128</v>
      </c>
      <c r="G1102" s="152">
        <v>6.3824437999999999</v>
      </c>
      <c r="H1102" s="152">
        <v>3.93978012345679</v>
      </c>
      <c r="I1102" s="175">
        <v>69</v>
      </c>
      <c r="J1102" s="266">
        <f>_xlfn.XLOOKUP($I1102,Inputs!$C$6:$C$23,Inputs!$D$6:$D$23)*$G1102</f>
        <v>2.4526819745714286</v>
      </c>
      <c r="K1102" s="255"/>
      <c r="L1102" s="186">
        <v>828</v>
      </c>
      <c r="M1102" s="186">
        <v>1003</v>
      </c>
      <c r="N1102" s="99">
        <f t="shared" si="240"/>
        <v>98.955526738025085</v>
      </c>
      <c r="O1102" s="99">
        <f t="shared" si="241"/>
        <v>119.8700402394193</v>
      </c>
      <c r="P1102" s="131">
        <v>0.9</v>
      </c>
      <c r="Q1102" s="186">
        <f t="shared" si="242"/>
        <v>89.059974064222573</v>
      </c>
      <c r="R1102" s="186">
        <f t="shared" si="243"/>
        <v>107.88303621547738</v>
      </c>
      <c r="S1102" s="151" t="s">
        <v>1821</v>
      </c>
      <c r="T1102" s="51" t="s">
        <v>3668</v>
      </c>
      <c r="U1102" s="151" t="s">
        <v>280</v>
      </c>
      <c r="V1102" s="51" t="s">
        <v>3471</v>
      </c>
      <c r="W1102" s="19"/>
      <c r="X1102" s="19"/>
      <c r="Y1102" s="99">
        <v>926</v>
      </c>
    </row>
    <row r="1103" spans="2:25" s="193" customFormat="1" ht="20" x14ac:dyDescent="0.2">
      <c r="B1103" s="150" t="s">
        <v>529</v>
      </c>
      <c r="C1103" s="33" t="s">
        <v>106</v>
      </c>
      <c r="D1103" s="33" t="s">
        <v>2876</v>
      </c>
      <c r="E1103" s="175">
        <v>1</v>
      </c>
      <c r="F1103" s="151" t="s">
        <v>1128</v>
      </c>
      <c r="G1103" s="152">
        <v>14.3857775</v>
      </c>
      <c r="H1103" s="152">
        <v>8.8801095679012345</v>
      </c>
      <c r="I1103" s="175">
        <v>230</v>
      </c>
      <c r="J1103" s="266">
        <f>_xlfn.XLOOKUP($I1103,Inputs!$C$6:$C$23,Inputs!$D$6:$D$23)*$G1103</f>
        <v>6.9051731999999992</v>
      </c>
      <c r="K1103" s="255"/>
      <c r="L1103" s="186">
        <v>840</v>
      </c>
      <c r="M1103" s="186">
        <v>1160</v>
      </c>
      <c r="N1103" s="99">
        <f t="shared" si="240"/>
        <v>334.63221602230703</v>
      </c>
      <c r="O1103" s="99">
        <f t="shared" si="241"/>
        <v>462.11115545937645</v>
      </c>
      <c r="P1103" s="131">
        <v>0.9</v>
      </c>
      <c r="Q1103" s="186">
        <f t="shared" si="242"/>
        <v>301.16899442007633</v>
      </c>
      <c r="R1103" s="186">
        <f t="shared" si="243"/>
        <v>415.90003991343883</v>
      </c>
      <c r="S1103" s="151" t="s">
        <v>1605</v>
      </c>
      <c r="T1103" s="51" t="s">
        <v>3588</v>
      </c>
      <c r="U1103" s="151" t="s">
        <v>1944</v>
      </c>
      <c r="V1103" s="51" t="s">
        <v>3354</v>
      </c>
      <c r="W1103" s="19"/>
      <c r="X1103" s="19"/>
      <c r="Y1103" s="99">
        <v>361</v>
      </c>
    </row>
    <row r="1104" spans="2:25" s="193" customFormat="1" ht="20" x14ac:dyDescent="0.2">
      <c r="B1104" s="150" t="s">
        <v>532</v>
      </c>
      <c r="C1104" s="33" t="s">
        <v>106</v>
      </c>
      <c r="D1104" s="33" t="s">
        <v>2876</v>
      </c>
      <c r="E1104" s="175">
        <v>1</v>
      </c>
      <c r="F1104" s="151" t="s">
        <v>1128</v>
      </c>
      <c r="G1104" s="152">
        <v>22.895078099999999</v>
      </c>
      <c r="H1104" s="152">
        <v>14.132764259259257</v>
      </c>
      <c r="I1104" s="175">
        <v>230</v>
      </c>
      <c r="J1104" s="266">
        <f>_xlfn.XLOOKUP($I1104,Inputs!$C$6:$C$23,Inputs!$D$6:$D$23)*$G1104</f>
        <v>10.989637488</v>
      </c>
      <c r="K1104" s="255"/>
      <c r="L1104" s="186">
        <v>850</v>
      </c>
      <c r="M1104" s="186">
        <v>1102</v>
      </c>
      <c r="N1104" s="99">
        <f t="shared" si="240"/>
        <v>338.61593287971544</v>
      </c>
      <c r="O1104" s="99">
        <f t="shared" si="241"/>
        <v>439.00559768640761</v>
      </c>
      <c r="P1104" s="131">
        <v>0.9</v>
      </c>
      <c r="Q1104" s="186">
        <f t="shared" si="242"/>
        <v>304.75433959174393</v>
      </c>
      <c r="R1104" s="186">
        <f t="shared" si="243"/>
        <v>395.10503791776688</v>
      </c>
      <c r="S1104" s="151" t="s">
        <v>1643</v>
      </c>
      <c r="T1104" s="51" t="s">
        <v>3242</v>
      </c>
      <c r="U1104" s="151" t="s">
        <v>1944</v>
      </c>
      <c r="V1104" s="51" t="s">
        <v>3354</v>
      </c>
      <c r="W1104" s="19"/>
      <c r="X1104" s="19"/>
      <c r="Y1104" s="99">
        <v>366</v>
      </c>
    </row>
    <row r="1105" spans="2:25" s="193" customFormat="1" ht="20" x14ac:dyDescent="0.2">
      <c r="B1105" s="150" t="s">
        <v>533</v>
      </c>
      <c r="C1105" s="33" t="s">
        <v>106</v>
      </c>
      <c r="D1105" s="33" t="s">
        <v>2876</v>
      </c>
      <c r="E1105" s="175">
        <v>1</v>
      </c>
      <c r="F1105" s="151" t="s">
        <v>1128</v>
      </c>
      <c r="G1105" s="152">
        <v>3.8768357999999998</v>
      </c>
      <c r="H1105" s="152">
        <v>2.3931085185185181</v>
      </c>
      <c r="I1105" s="175">
        <v>230</v>
      </c>
      <c r="J1105" s="266">
        <f>_xlfn.XLOOKUP($I1105,Inputs!$C$6:$C$23,Inputs!$D$6:$D$23)*$G1105</f>
        <v>1.8608811839999999</v>
      </c>
      <c r="K1105" s="255"/>
      <c r="L1105" s="186">
        <v>980</v>
      </c>
      <c r="M1105" s="186">
        <v>1193</v>
      </c>
      <c r="N1105" s="99">
        <f t="shared" si="240"/>
        <v>390.40425202602489</v>
      </c>
      <c r="O1105" s="99">
        <f t="shared" si="241"/>
        <v>475.25742108882429</v>
      </c>
      <c r="P1105" s="131">
        <v>0.9</v>
      </c>
      <c r="Q1105" s="186">
        <f t="shared" si="242"/>
        <v>351.36382682342241</v>
      </c>
      <c r="R1105" s="186">
        <f t="shared" si="243"/>
        <v>427.73167897994188</v>
      </c>
      <c r="S1105" s="151" t="s">
        <v>1773</v>
      </c>
      <c r="T1105" s="51" t="s">
        <v>3286</v>
      </c>
      <c r="U1105" s="151" t="s">
        <v>1944</v>
      </c>
      <c r="V1105" s="51" t="s">
        <v>3354</v>
      </c>
      <c r="W1105" s="19"/>
      <c r="X1105" s="19"/>
      <c r="Y1105" s="99">
        <v>367</v>
      </c>
    </row>
    <row r="1106" spans="2:25" s="193" customFormat="1" ht="20" x14ac:dyDescent="0.2">
      <c r="B1106" s="150" t="s">
        <v>1230</v>
      </c>
      <c r="C1106" s="33" t="s">
        <v>106</v>
      </c>
      <c r="D1106" s="33" t="s">
        <v>2876</v>
      </c>
      <c r="E1106" s="175">
        <v>1</v>
      </c>
      <c r="F1106" s="151" t="s">
        <v>1128</v>
      </c>
      <c r="G1106" s="152">
        <v>8.8528935999999998</v>
      </c>
      <c r="H1106" s="152">
        <v>5.4647491358024682</v>
      </c>
      <c r="I1106" s="175">
        <v>69</v>
      </c>
      <c r="J1106" s="266">
        <f>_xlfn.XLOOKUP($I1106,Inputs!$C$6:$C$23,Inputs!$D$6:$D$23)*$G1106</f>
        <v>3.4020405405714285</v>
      </c>
      <c r="K1106" s="255"/>
      <c r="L1106" s="186">
        <v>777</v>
      </c>
      <c r="M1106" s="186">
        <v>965</v>
      </c>
      <c r="N1106" s="99">
        <f t="shared" si="240"/>
        <v>92.860439946190212</v>
      </c>
      <c r="O1106" s="99">
        <f t="shared" si="241"/>
        <v>115.32860302197369</v>
      </c>
      <c r="P1106" s="131">
        <v>0.9</v>
      </c>
      <c r="Q1106" s="186">
        <f t="shared" si="242"/>
        <v>83.574395951571191</v>
      </c>
      <c r="R1106" s="186">
        <f t="shared" si="243"/>
        <v>103.79574271977633</v>
      </c>
      <c r="S1106" s="151" t="s">
        <v>1611</v>
      </c>
      <c r="T1106" s="51" t="s">
        <v>3230</v>
      </c>
      <c r="U1106" s="151" t="s">
        <v>1944</v>
      </c>
      <c r="V1106" s="51" t="s">
        <v>3354</v>
      </c>
      <c r="W1106" s="19"/>
      <c r="X1106" s="19"/>
      <c r="Y1106" s="99">
        <v>721</v>
      </c>
    </row>
    <row r="1107" spans="2:25" s="193" customFormat="1" ht="20" x14ac:dyDescent="0.2">
      <c r="B1107" s="151" t="s">
        <v>1521</v>
      </c>
      <c r="C1107" s="33" t="s">
        <v>106</v>
      </c>
      <c r="D1107" s="33" t="s">
        <v>2876</v>
      </c>
      <c r="E1107" s="175">
        <v>1</v>
      </c>
      <c r="F1107" s="151" t="s">
        <v>1128</v>
      </c>
      <c r="G1107" s="174">
        <v>2</v>
      </c>
      <c r="H1107" s="152">
        <v>1.2345679012345678</v>
      </c>
      <c r="I1107" s="175">
        <v>69</v>
      </c>
      <c r="J1107" s="266">
        <f>_xlfn.XLOOKUP($I1107,Inputs!$C$6:$C$23,Inputs!$D$6:$D$23)*$G1107</f>
        <v>0.76857142857142857</v>
      </c>
      <c r="K1107" s="255"/>
      <c r="L1107" s="186">
        <v>440</v>
      </c>
      <c r="M1107" s="186">
        <v>555</v>
      </c>
      <c r="N1107" s="99">
        <f t="shared" si="240"/>
        <v>52.585062517791116</v>
      </c>
      <c r="O1107" s="99">
        <f t="shared" si="241"/>
        <v>66.328885675850145</v>
      </c>
      <c r="P1107" s="131">
        <v>0.9</v>
      </c>
      <c r="Q1107" s="186">
        <f t="shared" si="242"/>
        <v>47.326556266012005</v>
      </c>
      <c r="R1107" s="186">
        <f t="shared" si="243"/>
        <v>59.695997108265132</v>
      </c>
      <c r="S1107" s="151" t="s">
        <v>2484</v>
      </c>
      <c r="T1107" s="51" t="s">
        <v>2141</v>
      </c>
      <c r="U1107" s="151" t="s">
        <v>1945</v>
      </c>
      <c r="V1107" s="51" t="s">
        <v>3554</v>
      </c>
      <c r="W1107" s="19"/>
      <c r="X1107" s="19"/>
      <c r="Y1107" s="99">
        <v>577</v>
      </c>
    </row>
    <row r="1108" spans="2:25" ht="20" x14ac:dyDescent="0.2">
      <c r="B1108" s="151" t="s">
        <v>1395</v>
      </c>
      <c r="C1108" s="33" t="s">
        <v>106</v>
      </c>
      <c r="D1108" s="33" t="s">
        <v>2876</v>
      </c>
      <c r="E1108" s="175">
        <v>1</v>
      </c>
      <c r="F1108" s="151" t="s">
        <v>1128</v>
      </c>
      <c r="G1108" s="174">
        <v>2</v>
      </c>
      <c r="H1108" s="152">
        <v>1.2345679012345678</v>
      </c>
      <c r="I1108" s="175">
        <v>69</v>
      </c>
      <c r="J1108" s="266">
        <f>_xlfn.XLOOKUP($I1108,Inputs!$C$6:$C$23,Inputs!$D$6:$D$23)*$G1108</f>
        <v>0.76857142857142857</v>
      </c>
      <c r="K1108" s="255"/>
      <c r="L1108" s="186">
        <v>440</v>
      </c>
      <c r="M1108" s="186">
        <v>555</v>
      </c>
      <c r="N1108" s="99">
        <f t="shared" si="240"/>
        <v>52.585062517791116</v>
      </c>
      <c r="O1108" s="99">
        <f t="shared" si="241"/>
        <v>66.328885675850145</v>
      </c>
      <c r="P1108" s="131">
        <v>0.9</v>
      </c>
      <c r="Q1108" s="186">
        <f t="shared" si="242"/>
        <v>47.326556266012005</v>
      </c>
      <c r="R1108" s="186">
        <f t="shared" si="243"/>
        <v>59.695997108265132</v>
      </c>
      <c r="S1108" s="151" t="s">
        <v>1863</v>
      </c>
      <c r="T1108" s="51" t="s">
        <v>3154</v>
      </c>
      <c r="U1108" s="151" t="s">
        <v>2484</v>
      </c>
      <c r="V1108" s="51" t="s">
        <v>2141</v>
      </c>
      <c r="W1108" s="19"/>
      <c r="X1108" s="19"/>
      <c r="Y1108" s="99">
        <v>576</v>
      </c>
    </row>
    <row r="1109" spans="2:25" s="193" customFormat="1" ht="20" x14ac:dyDescent="0.2">
      <c r="B1109" s="150" t="s">
        <v>1489</v>
      </c>
      <c r="C1109" s="33" t="s">
        <v>106</v>
      </c>
      <c r="D1109" s="33" t="s">
        <v>2876</v>
      </c>
      <c r="E1109" s="175">
        <v>1</v>
      </c>
      <c r="F1109" s="151" t="s">
        <v>1128</v>
      </c>
      <c r="G1109" s="152">
        <v>2.6838000000000001E-2</v>
      </c>
      <c r="H1109" s="152">
        <v>1.6566666666666667E-2</v>
      </c>
      <c r="I1109" s="175">
        <v>138</v>
      </c>
      <c r="J1109" s="266">
        <f>_xlfn.XLOOKUP($I1109,Inputs!$C$6:$C$23,Inputs!$D$6:$D$23)*$G1109</f>
        <v>1.1636190000000001E-2</v>
      </c>
      <c r="K1109" s="255"/>
      <c r="L1109" s="186">
        <v>280</v>
      </c>
      <c r="M1109" s="186">
        <v>450</v>
      </c>
      <c r="N1109" s="99">
        <f t="shared" si="240"/>
        <v>66.926443204461421</v>
      </c>
      <c r="O1109" s="99">
        <f t="shared" si="241"/>
        <v>107.56035515002728</v>
      </c>
      <c r="P1109" s="131">
        <v>0.9</v>
      </c>
      <c r="Q1109" s="186">
        <f t="shared" si="242"/>
        <v>60.233798884015279</v>
      </c>
      <c r="R1109" s="186">
        <f t="shared" si="243"/>
        <v>96.804319635024555</v>
      </c>
      <c r="S1109" s="151" t="s">
        <v>2468</v>
      </c>
      <c r="T1109" s="51" t="s">
        <v>2120</v>
      </c>
      <c r="U1109" s="151" t="s">
        <v>1946</v>
      </c>
      <c r="V1109" s="51" t="s">
        <v>3690</v>
      </c>
      <c r="W1109" s="19"/>
      <c r="X1109" s="19"/>
      <c r="Y1109" s="99">
        <v>335</v>
      </c>
    </row>
    <row r="1110" spans="2:25" s="193" customFormat="1" ht="20" x14ac:dyDescent="0.2">
      <c r="B1110" s="150" t="s">
        <v>520</v>
      </c>
      <c r="C1110" s="33" t="s">
        <v>106</v>
      </c>
      <c r="D1110" s="33" t="s">
        <v>2876</v>
      </c>
      <c r="E1110" s="175">
        <v>1</v>
      </c>
      <c r="F1110" s="151" t="s">
        <v>1128</v>
      </c>
      <c r="G1110" s="152">
        <v>6.27</v>
      </c>
      <c r="H1110" s="152">
        <v>3.8703703703703698</v>
      </c>
      <c r="I1110" s="175">
        <v>138</v>
      </c>
      <c r="J1110" s="266">
        <f>_xlfn.XLOOKUP($I1110,Inputs!$C$6:$C$23,Inputs!$D$6:$D$23)*$G1110</f>
        <v>2.718492857142857</v>
      </c>
      <c r="K1110" s="255"/>
      <c r="L1110" s="186">
        <v>430</v>
      </c>
      <c r="M1110" s="186">
        <v>545</v>
      </c>
      <c r="N1110" s="99">
        <f t="shared" si="240"/>
        <v>102.77989492113718</v>
      </c>
      <c r="O1110" s="99">
        <f t="shared" si="241"/>
        <v>130.26754123725524</v>
      </c>
      <c r="P1110" s="131">
        <v>0.9</v>
      </c>
      <c r="Q1110" s="186">
        <f t="shared" si="242"/>
        <v>92.501905429023466</v>
      </c>
      <c r="R1110" s="186">
        <f t="shared" si="243"/>
        <v>117.24078711352972</v>
      </c>
      <c r="S1110" s="151" t="s">
        <v>1768</v>
      </c>
      <c r="T1110" s="51" t="s">
        <v>3285</v>
      </c>
      <c r="U1110" s="151" t="s">
        <v>2468</v>
      </c>
      <c r="V1110" s="51" t="s">
        <v>2120</v>
      </c>
      <c r="W1110" s="19"/>
      <c r="X1110" s="19"/>
      <c r="Y1110" s="99">
        <v>334</v>
      </c>
    </row>
    <row r="1111" spans="2:25" s="193" customFormat="1" ht="20" x14ac:dyDescent="0.2">
      <c r="B1111" s="150" t="s">
        <v>1424</v>
      </c>
      <c r="C1111" s="33" t="s">
        <v>106</v>
      </c>
      <c r="D1111" s="33" t="s">
        <v>2876</v>
      </c>
      <c r="E1111" s="175">
        <v>1</v>
      </c>
      <c r="F1111" s="151" t="s">
        <v>1128</v>
      </c>
      <c r="G1111" s="152">
        <v>7.8282300000000013E-2</v>
      </c>
      <c r="H1111" s="152">
        <v>4.8322407407407411E-2</v>
      </c>
      <c r="I1111" s="175">
        <v>138</v>
      </c>
      <c r="J1111" s="266">
        <f>_xlfn.XLOOKUP($I1111,Inputs!$C$6:$C$23,Inputs!$D$6:$D$23)*$G1111</f>
        <v>3.3940968642857151E-2</v>
      </c>
      <c r="K1111" s="267">
        <f>IF((42.4*(H1111)^(-0.6595))&gt;=3,3,(IF(42.4*(H1111)^(-0.6595)&lt;=0.5,0.5,(42.4*(H1111)^(-0.6595)))))</f>
        <v>3</v>
      </c>
      <c r="L1111" s="99"/>
      <c r="M1111" s="99"/>
      <c r="N1111" s="99">
        <f t="shared" si="240"/>
        <v>0</v>
      </c>
      <c r="O1111" s="99">
        <f t="shared" si="241"/>
        <v>0</v>
      </c>
      <c r="P1111" s="131">
        <v>0.9</v>
      </c>
      <c r="Q1111" s="305">
        <f>_xlfn.XLOOKUP($I1111,Inputs!$G$6:$G$23,Inputs!J$6:J$23)*$K1111</f>
        <v>141</v>
      </c>
      <c r="R1111" s="305">
        <f>_xlfn.XLOOKUP($I1111,Inputs!$G$6:$G$23,Inputs!K$6:K$23)*$K1111</f>
        <v>156</v>
      </c>
      <c r="S1111" s="151" t="s">
        <v>2414</v>
      </c>
      <c r="T1111" s="51" t="s">
        <v>2066</v>
      </c>
      <c r="U1111" s="151" t="s">
        <v>1947</v>
      </c>
      <c r="V1111" s="51" t="s">
        <v>3556</v>
      </c>
      <c r="W1111" s="19"/>
      <c r="X1111" s="19"/>
      <c r="Y1111" s="99">
        <v>158</v>
      </c>
    </row>
    <row r="1112" spans="2:25" s="193" customFormat="1" ht="20" x14ac:dyDescent="0.2">
      <c r="B1112" s="150" t="s">
        <v>467</v>
      </c>
      <c r="C1112" s="33" t="s">
        <v>106</v>
      </c>
      <c r="D1112" s="33" t="s">
        <v>2876</v>
      </c>
      <c r="E1112" s="175">
        <v>1</v>
      </c>
      <c r="F1112" s="151" t="s">
        <v>1128</v>
      </c>
      <c r="G1112" s="152">
        <v>69.94</v>
      </c>
      <c r="H1112" s="152">
        <v>43.172839506172835</v>
      </c>
      <c r="I1112" s="175">
        <v>138</v>
      </c>
      <c r="J1112" s="266">
        <f>_xlfn.XLOOKUP($I1112,Inputs!$C$6:$C$23,Inputs!$D$6:$D$23)*$G1112</f>
        <v>30.323985714285715</v>
      </c>
      <c r="K1112" s="255"/>
      <c r="L1112" s="186">
        <v>540</v>
      </c>
      <c r="M1112" s="186">
        <v>1050</v>
      </c>
      <c r="N1112" s="99">
        <f t="shared" si="240"/>
        <v>129.07242618003272</v>
      </c>
      <c r="O1112" s="99">
        <f t="shared" si="241"/>
        <v>250.9741620167303</v>
      </c>
      <c r="P1112" s="131">
        <v>0.9</v>
      </c>
      <c r="Q1112" s="186">
        <f>N1112*$P1112</f>
        <v>116.16518356202945</v>
      </c>
      <c r="R1112" s="186">
        <f>O1112*$P1112</f>
        <v>225.87674581505729</v>
      </c>
      <c r="S1112" s="151" t="s">
        <v>184</v>
      </c>
      <c r="T1112" s="51" t="s">
        <v>3253</v>
      </c>
      <c r="U1112" s="151" t="s">
        <v>2414</v>
      </c>
      <c r="V1112" s="51" t="s">
        <v>2066</v>
      </c>
      <c r="W1112" s="19"/>
      <c r="X1112" s="19"/>
      <c r="Y1112" s="99">
        <v>157</v>
      </c>
    </row>
    <row r="1113" spans="2:25" s="193" customFormat="1" ht="20" x14ac:dyDescent="0.2">
      <c r="B1113" s="150" t="s">
        <v>1340</v>
      </c>
      <c r="C1113" s="33" t="s">
        <v>106</v>
      </c>
      <c r="D1113" s="33" t="s">
        <v>2876</v>
      </c>
      <c r="E1113" s="175">
        <v>1</v>
      </c>
      <c r="F1113" s="151" t="s">
        <v>1128</v>
      </c>
      <c r="G1113" s="152">
        <v>5.6613417000000004</v>
      </c>
      <c r="H1113" s="152">
        <v>3.4946553703703702</v>
      </c>
      <c r="I1113" s="175">
        <v>69</v>
      </c>
      <c r="J1113" s="266">
        <f>_xlfn.XLOOKUP($I1113,Inputs!$C$6:$C$23,Inputs!$D$6:$D$23)*$G1113</f>
        <v>2.1755727390000001</v>
      </c>
      <c r="K1113" s="267">
        <f>IF((42.4*(H1113)^(-0.6595))&gt;=3,3,(IF(42.4*(H1113)^(-0.6595)&lt;=0.5,0.5,(42.4*(H1113)^(-0.6595)))))</f>
        <v>3</v>
      </c>
      <c r="L1113" s="99"/>
      <c r="M1113" s="99"/>
      <c r="N1113" s="99">
        <f t="shared" si="240"/>
        <v>0</v>
      </c>
      <c r="O1113" s="99">
        <f t="shared" si="241"/>
        <v>0</v>
      </c>
      <c r="P1113" s="131">
        <v>0.9</v>
      </c>
      <c r="Q1113" s="305">
        <f>_xlfn.XLOOKUP($I1113,Inputs!$G$6:$G$23,Inputs!J$6:J$23)*$K1113</f>
        <v>36</v>
      </c>
      <c r="R1113" s="305">
        <f>_xlfn.XLOOKUP($I1113,Inputs!$G$6:$G$23,Inputs!K$6:K$23)*$K1113</f>
        <v>39</v>
      </c>
      <c r="S1113" s="151" t="s">
        <v>2579</v>
      </c>
      <c r="T1113" s="51" t="s">
        <v>2238</v>
      </c>
      <c r="U1113" s="151" t="s">
        <v>2338</v>
      </c>
      <c r="V1113" s="51" t="s">
        <v>3557</v>
      </c>
      <c r="W1113" s="19"/>
      <c r="X1113" s="19"/>
      <c r="Y1113" s="99">
        <v>919</v>
      </c>
    </row>
    <row r="1114" spans="2:25" s="193" customFormat="1" ht="20" x14ac:dyDescent="0.2">
      <c r="B1114" s="150" t="s">
        <v>1338</v>
      </c>
      <c r="C1114" s="33" t="s">
        <v>106</v>
      </c>
      <c r="D1114" s="33" t="s">
        <v>2876</v>
      </c>
      <c r="E1114" s="175">
        <v>1</v>
      </c>
      <c r="F1114" s="151" t="s">
        <v>1128</v>
      </c>
      <c r="G1114" s="152">
        <v>2.7</v>
      </c>
      <c r="H1114" s="152">
        <v>1.6666666666666667</v>
      </c>
      <c r="I1114" s="175">
        <v>69</v>
      </c>
      <c r="J1114" s="266">
        <f>_xlfn.XLOOKUP($I1114,Inputs!$C$6:$C$23,Inputs!$D$6:$D$23)*$G1114</f>
        <v>1.0375714285714286</v>
      </c>
      <c r="K1114" s="255"/>
      <c r="L1114" s="186">
        <v>675</v>
      </c>
      <c r="M1114" s="186">
        <v>960</v>
      </c>
      <c r="N1114" s="99">
        <f t="shared" si="240"/>
        <v>80.670266362520465</v>
      </c>
      <c r="O1114" s="99">
        <f t="shared" si="241"/>
        <v>114.73104549336242</v>
      </c>
      <c r="P1114" s="131">
        <v>0.9</v>
      </c>
      <c r="Q1114" s="186">
        <f t="shared" ref="Q1114:Q1123" si="244">N1114*$P1114</f>
        <v>72.603239726268427</v>
      </c>
      <c r="R1114" s="186">
        <f t="shared" ref="R1114:R1123" si="245">O1114*$P1114</f>
        <v>103.25794094402617</v>
      </c>
      <c r="S1114" s="151" t="s">
        <v>2578</v>
      </c>
      <c r="T1114" s="51" t="s">
        <v>2237</v>
      </c>
      <c r="U1114" s="151" t="s">
        <v>2579</v>
      </c>
      <c r="V1114" s="51" t="s">
        <v>2238</v>
      </c>
      <c r="W1114" s="19"/>
      <c r="X1114" s="19"/>
      <c r="Y1114" s="99">
        <v>918</v>
      </c>
    </row>
    <row r="1115" spans="2:25" s="193" customFormat="1" ht="20" x14ac:dyDescent="0.2">
      <c r="B1115" s="150" t="s">
        <v>1330</v>
      </c>
      <c r="C1115" s="33" t="s">
        <v>106</v>
      </c>
      <c r="D1115" s="33" t="s">
        <v>2876</v>
      </c>
      <c r="E1115" s="175">
        <v>1</v>
      </c>
      <c r="F1115" s="151" t="s">
        <v>1128</v>
      </c>
      <c r="G1115" s="152">
        <v>0.96</v>
      </c>
      <c r="H1115" s="152">
        <v>0.59259259259259256</v>
      </c>
      <c r="I1115" s="175">
        <v>69</v>
      </c>
      <c r="J1115" s="266">
        <f>_xlfn.XLOOKUP($I1115,Inputs!$C$6:$C$23,Inputs!$D$6:$D$23)*$G1115</f>
        <v>0.36891428571428569</v>
      </c>
      <c r="K1115" s="255"/>
      <c r="L1115" s="186">
        <v>280</v>
      </c>
      <c r="M1115" s="186">
        <v>450</v>
      </c>
      <c r="N1115" s="99">
        <f t="shared" si="240"/>
        <v>33.463221602230711</v>
      </c>
      <c r="O1115" s="99">
        <f t="shared" si="241"/>
        <v>53.780177575013639</v>
      </c>
      <c r="P1115" s="131">
        <v>0.9</v>
      </c>
      <c r="Q1115" s="186">
        <f t="shared" si="244"/>
        <v>30.116899442007639</v>
      </c>
      <c r="R1115" s="186">
        <f t="shared" si="245"/>
        <v>48.402159817512278</v>
      </c>
      <c r="S1115" s="151" t="s">
        <v>2571</v>
      </c>
      <c r="T1115" s="51" t="s">
        <v>2230</v>
      </c>
      <c r="U1115" s="151" t="s">
        <v>2339</v>
      </c>
      <c r="V1115" s="51" t="s">
        <v>3687</v>
      </c>
      <c r="W1115" s="19"/>
      <c r="X1115" s="19"/>
      <c r="Y1115" s="99">
        <v>900</v>
      </c>
    </row>
    <row r="1116" spans="2:25" s="193" customFormat="1" ht="20" x14ac:dyDescent="0.2">
      <c r="B1116" s="150" t="s">
        <v>1326</v>
      </c>
      <c r="C1116" s="33" t="s">
        <v>106</v>
      </c>
      <c r="D1116" s="33" t="s">
        <v>2876</v>
      </c>
      <c r="E1116" s="175">
        <v>1</v>
      </c>
      <c r="F1116" s="151" t="s">
        <v>1128</v>
      </c>
      <c r="G1116" s="152">
        <v>20.149999999999999</v>
      </c>
      <c r="H1116" s="152">
        <v>12.43827160493827</v>
      </c>
      <c r="I1116" s="175">
        <v>69</v>
      </c>
      <c r="J1116" s="266">
        <f>_xlfn.XLOOKUP($I1116,Inputs!$C$6:$C$23,Inputs!$D$6:$D$23)*$G1116</f>
        <v>7.7433571428571426</v>
      </c>
      <c r="K1116" s="255"/>
      <c r="L1116" s="186">
        <v>230</v>
      </c>
      <c r="M1116" s="186">
        <v>380</v>
      </c>
      <c r="N1116" s="99">
        <f t="shared" si="240"/>
        <v>27.487646316118084</v>
      </c>
      <c r="O1116" s="99">
        <f t="shared" si="241"/>
        <v>45.414372174455956</v>
      </c>
      <c r="P1116" s="131">
        <v>0.9</v>
      </c>
      <c r="Q1116" s="186">
        <f t="shared" si="244"/>
        <v>24.738881684506275</v>
      </c>
      <c r="R1116" s="186">
        <f t="shared" si="245"/>
        <v>40.872934957010358</v>
      </c>
      <c r="S1116" s="151" t="s">
        <v>2570</v>
      </c>
      <c r="T1116" s="51" t="s">
        <v>2227</v>
      </c>
      <c r="U1116" s="151" t="s">
        <v>2571</v>
      </c>
      <c r="V1116" s="51" t="s">
        <v>2230</v>
      </c>
      <c r="W1116" s="19"/>
      <c r="X1116" s="19"/>
      <c r="Y1116" s="99">
        <v>899</v>
      </c>
    </row>
    <row r="1117" spans="2:25" s="193" customFormat="1" ht="20" x14ac:dyDescent="0.2">
      <c r="B1117" s="150" t="s">
        <v>1246</v>
      </c>
      <c r="C1117" s="33" t="s">
        <v>106</v>
      </c>
      <c r="D1117" s="33" t="s">
        <v>2876</v>
      </c>
      <c r="E1117" s="175">
        <v>1</v>
      </c>
      <c r="F1117" s="151" t="s">
        <v>1128</v>
      </c>
      <c r="G1117" s="152">
        <v>13</v>
      </c>
      <c r="H1117" s="152">
        <v>8.0246913580246915</v>
      </c>
      <c r="I1117" s="175">
        <v>69</v>
      </c>
      <c r="J1117" s="266">
        <f>_xlfn.XLOOKUP($I1117,Inputs!$C$6:$C$23,Inputs!$D$6:$D$23)*$G1117</f>
        <v>4.9957142857142856</v>
      </c>
      <c r="K1117" s="255"/>
      <c r="L1117" s="186">
        <v>910</v>
      </c>
      <c r="M1117" s="186">
        <v>960</v>
      </c>
      <c r="N1117" s="99">
        <f t="shared" si="240"/>
        <v>108.7554702072498</v>
      </c>
      <c r="O1117" s="99">
        <f t="shared" si="241"/>
        <v>114.73104549336242</v>
      </c>
      <c r="P1117" s="131">
        <v>0.9</v>
      </c>
      <c r="Q1117" s="186">
        <f t="shared" si="244"/>
        <v>97.87992318652482</v>
      </c>
      <c r="R1117" s="186">
        <f t="shared" si="245"/>
        <v>103.25794094402617</v>
      </c>
      <c r="S1117" s="151" t="s">
        <v>2528</v>
      </c>
      <c r="T1117" s="51" t="s">
        <v>2187</v>
      </c>
      <c r="U1117" s="151" t="s">
        <v>1949</v>
      </c>
      <c r="V1117" s="51" t="s">
        <v>3489</v>
      </c>
      <c r="W1117" s="19"/>
      <c r="X1117" s="19"/>
      <c r="Y1117" s="99">
        <v>756</v>
      </c>
    </row>
    <row r="1118" spans="2:25" s="193" customFormat="1" ht="20" x14ac:dyDescent="0.2">
      <c r="B1118" s="150" t="s">
        <v>1527</v>
      </c>
      <c r="C1118" s="33" t="s">
        <v>106</v>
      </c>
      <c r="D1118" s="33" t="s">
        <v>2876</v>
      </c>
      <c r="E1118" s="175">
        <v>1</v>
      </c>
      <c r="F1118" s="151" t="s">
        <v>1128</v>
      </c>
      <c r="G1118" s="152">
        <v>2.4900000000000002</v>
      </c>
      <c r="H1118" s="152">
        <v>1.537037037037037</v>
      </c>
      <c r="I1118" s="175">
        <v>69</v>
      </c>
      <c r="J1118" s="266">
        <f>_xlfn.XLOOKUP($I1118,Inputs!$C$6:$C$23,Inputs!$D$6:$D$23)*$G1118</f>
        <v>0.95687142857142871</v>
      </c>
      <c r="K1118" s="255"/>
      <c r="L1118" s="186">
        <v>800</v>
      </c>
      <c r="M1118" s="186">
        <v>1018</v>
      </c>
      <c r="N1118" s="99">
        <f t="shared" si="240"/>
        <v>95.609204577802032</v>
      </c>
      <c r="O1118" s="99">
        <f t="shared" si="241"/>
        <v>121.66271282525307</v>
      </c>
      <c r="P1118" s="131">
        <v>0.9</v>
      </c>
      <c r="Q1118" s="186">
        <f t="shared" si="244"/>
        <v>86.048284120021833</v>
      </c>
      <c r="R1118" s="186">
        <f t="shared" si="245"/>
        <v>109.49644154272777</v>
      </c>
      <c r="S1118" s="151" t="s">
        <v>2529</v>
      </c>
      <c r="T1118" s="51" t="s">
        <v>2188</v>
      </c>
      <c r="U1118" s="151" t="s">
        <v>1949</v>
      </c>
      <c r="V1118" s="51" t="s">
        <v>3489</v>
      </c>
      <c r="W1118" s="19"/>
      <c r="X1118" s="19"/>
      <c r="Y1118" s="99">
        <v>804</v>
      </c>
    </row>
    <row r="1119" spans="2:25" s="193" customFormat="1" ht="20" x14ac:dyDescent="0.2">
      <c r="B1119" s="150" t="s">
        <v>576</v>
      </c>
      <c r="C1119" s="33" t="s">
        <v>106</v>
      </c>
      <c r="D1119" s="33" t="s">
        <v>2876</v>
      </c>
      <c r="E1119" s="175">
        <v>1</v>
      </c>
      <c r="F1119" s="151" t="s">
        <v>1128</v>
      </c>
      <c r="G1119" s="152">
        <v>95.323684299999996</v>
      </c>
      <c r="H1119" s="152">
        <v>58.841780432098759</v>
      </c>
      <c r="I1119" s="175">
        <v>230</v>
      </c>
      <c r="J1119" s="266">
        <f>_xlfn.XLOOKUP($I1119,Inputs!$C$6:$C$23,Inputs!$D$6:$D$23)*$G1119</f>
        <v>45.755368464</v>
      </c>
      <c r="K1119" s="255"/>
      <c r="L1119" s="186">
        <v>770</v>
      </c>
      <c r="M1119" s="186">
        <v>1020</v>
      </c>
      <c r="N1119" s="99">
        <f t="shared" si="240"/>
        <v>306.74619802044816</v>
      </c>
      <c r="O1119" s="99">
        <f t="shared" si="241"/>
        <v>406.33911945565859</v>
      </c>
      <c r="P1119" s="131">
        <v>0.9</v>
      </c>
      <c r="Q1119" s="186">
        <f t="shared" si="244"/>
        <v>276.07157821840337</v>
      </c>
      <c r="R1119" s="186">
        <f t="shared" si="245"/>
        <v>365.70520751009275</v>
      </c>
      <c r="S1119" s="151" t="s">
        <v>1594</v>
      </c>
      <c r="T1119" s="51" t="s">
        <v>3223</v>
      </c>
      <c r="U1119" s="151" t="s">
        <v>365</v>
      </c>
      <c r="V1119" s="51" t="s">
        <v>3355</v>
      </c>
      <c r="W1119" s="19"/>
      <c r="X1119" s="19"/>
      <c r="Y1119" s="99">
        <v>425</v>
      </c>
    </row>
    <row r="1120" spans="2:25" s="193" customFormat="1" ht="20" x14ac:dyDescent="0.2">
      <c r="B1120" s="150" t="s">
        <v>639</v>
      </c>
      <c r="C1120" s="33" t="s">
        <v>106</v>
      </c>
      <c r="D1120" s="33" t="s">
        <v>2876</v>
      </c>
      <c r="E1120" s="175">
        <v>1</v>
      </c>
      <c r="F1120" s="151" t="s">
        <v>1128</v>
      </c>
      <c r="G1120" s="152">
        <v>277.7864884</v>
      </c>
      <c r="H1120" s="152">
        <v>171.47314098765432</v>
      </c>
      <c r="I1120" s="175">
        <v>500</v>
      </c>
      <c r="J1120" s="266">
        <f>_xlfn.XLOOKUP($I1120,Inputs!$C$6:$C$23,Inputs!$D$6:$D$23)*$G1120</f>
        <v>109.725662918</v>
      </c>
      <c r="K1120" s="255"/>
      <c r="L1120" s="186">
        <v>2150</v>
      </c>
      <c r="M1120" s="186">
        <v>3130</v>
      </c>
      <c r="N1120" s="99">
        <f t="shared" si="240"/>
        <v>1861.9546181365429</v>
      </c>
      <c r="O1120" s="99">
        <f t="shared" si="241"/>
        <v>2710.6595138452931</v>
      </c>
      <c r="P1120" s="131">
        <v>0.9</v>
      </c>
      <c r="Q1120" s="186">
        <f t="shared" si="244"/>
        <v>1675.7591563228887</v>
      </c>
      <c r="R1120" s="186">
        <f t="shared" si="245"/>
        <v>2439.5935624607637</v>
      </c>
      <c r="S1120" s="151" t="s">
        <v>1699</v>
      </c>
      <c r="T1120" s="51" t="s">
        <v>3126</v>
      </c>
      <c r="U1120" s="151" t="s">
        <v>365</v>
      </c>
      <c r="V1120" s="51" t="s">
        <v>3355</v>
      </c>
      <c r="W1120" s="19"/>
      <c r="X1120" s="19"/>
      <c r="Y1120" s="99">
        <v>514</v>
      </c>
    </row>
    <row r="1121" spans="2:25" s="193" customFormat="1" ht="20" x14ac:dyDescent="0.2">
      <c r="B1121" s="150" t="s">
        <v>640</v>
      </c>
      <c r="C1121" s="33" t="s">
        <v>106</v>
      </c>
      <c r="D1121" s="33" t="s">
        <v>2876</v>
      </c>
      <c r="E1121" s="175">
        <v>1</v>
      </c>
      <c r="F1121" s="151" t="s">
        <v>1128</v>
      </c>
      <c r="G1121" s="152">
        <v>277.64183020000002</v>
      </c>
      <c r="H1121" s="152">
        <v>171.38384580246912</v>
      </c>
      <c r="I1121" s="175">
        <v>500</v>
      </c>
      <c r="J1121" s="266">
        <f>_xlfn.XLOOKUP($I1121,Inputs!$C$6:$C$23,Inputs!$D$6:$D$23)*$G1121</f>
        <v>109.66852292900001</v>
      </c>
      <c r="K1121" s="255"/>
      <c r="L1121" s="186">
        <v>2150</v>
      </c>
      <c r="M1121" s="186">
        <v>3130</v>
      </c>
      <c r="N1121" s="99">
        <f t="shared" si="240"/>
        <v>1861.9546181365429</v>
      </c>
      <c r="O1121" s="99">
        <f t="shared" si="241"/>
        <v>2710.6595138452931</v>
      </c>
      <c r="P1121" s="131">
        <v>0.9</v>
      </c>
      <c r="Q1121" s="186">
        <f t="shared" si="244"/>
        <v>1675.7591563228887</v>
      </c>
      <c r="R1121" s="186">
        <f t="shared" si="245"/>
        <v>2439.5935624607637</v>
      </c>
      <c r="S1121" s="151" t="s">
        <v>1699</v>
      </c>
      <c r="T1121" s="51" t="s">
        <v>3126</v>
      </c>
      <c r="U1121" s="151" t="s">
        <v>365</v>
      </c>
      <c r="V1121" s="51" t="s">
        <v>3355</v>
      </c>
      <c r="W1121" s="19"/>
      <c r="X1121" s="19"/>
      <c r="Y1121" s="99">
        <v>515</v>
      </c>
    </row>
    <row r="1122" spans="2:25" s="193" customFormat="1" ht="20" x14ac:dyDescent="0.2">
      <c r="B1122" s="150" t="s">
        <v>645</v>
      </c>
      <c r="C1122" s="33" t="s">
        <v>106</v>
      </c>
      <c r="D1122" s="33" t="s">
        <v>2876</v>
      </c>
      <c r="E1122" s="175">
        <v>1</v>
      </c>
      <c r="F1122" s="151" t="s">
        <v>1128</v>
      </c>
      <c r="G1122" s="152">
        <v>138.7478481</v>
      </c>
      <c r="H1122" s="152">
        <v>85.646819814814805</v>
      </c>
      <c r="I1122" s="175">
        <v>500</v>
      </c>
      <c r="J1122" s="266">
        <f>_xlfn.XLOOKUP($I1122,Inputs!$C$6:$C$23,Inputs!$D$6:$D$23)*$G1122</f>
        <v>54.805399999500004</v>
      </c>
      <c r="K1122" s="255"/>
      <c r="L1122" s="186">
        <v>2500</v>
      </c>
      <c r="M1122" s="186">
        <v>3450</v>
      </c>
      <c r="N1122" s="99">
        <f t="shared" si="240"/>
        <v>2165.0635094610966</v>
      </c>
      <c r="O1122" s="99">
        <f t="shared" si="241"/>
        <v>2987.7876430563133</v>
      </c>
      <c r="P1122" s="131">
        <v>0.9</v>
      </c>
      <c r="Q1122" s="186">
        <f t="shared" si="244"/>
        <v>1948.5571585149869</v>
      </c>
      <c r="R1122" s="186">
        <f t="shared" si="245"/>
        <v>2689.008878750682</v>
      </c>
      <c r="S1122" s="151" t="s">
        <v>1744</v>
      </c>
      <c r="T1122" s="51" t="s">
        <v>3275</v>
      </c>
      <c r="U1122" s="151" t="s">
        <v>365</v>
      </c>
      <c r="V1122" s="51" t="s">
        <v>3355</v>
      </c>
      <c r="W1122" s="19"/>
      <c r="X1122" s="19"/>
      <c r="Y1122" s="99">
        <v>520</v>
      </c>
    </row>
    <row r="1123" spans="2:25" s="193" customFormat="1" ht="20" x14ac:dyDescent="0.2">
      <c r="B1123" s="150" t="s">
        <v>495</v>
      </c>
      <c r="C1123" s="33" t="s">
        <v>106</v>
      </c>
      <c r="D1123" s="33" t="s">
        <v>3716</v>
      </c>
      <c r="E1123" s="175">
        <v>1</v>
      </c>
      <c r="F1123" s="151" t="s">
        <v>1128</v>
      </c>
      <c r="G1123" s="152">
        <v>11.2424382</v>
      </c>
      <c r="H1123" s="152">
        <v>6.9397766666666669</v>
      </c>
      <c r="I1123" s="175">
        <v>138</v>
      </c>
      <c r="J1123" s="266">
        <f>_xlfn.XLOOKUP($I1123,Inputs!$C$6:$C$23,Inputs!$D$6:$D$23)*$G1123</f>
        <v>4.8743999910000007</v>
      </c>
      <c r="K1123" s="255"/>
      <c r="L1123" s="186">
        <v>770</v>
      </c>
      <c r="M1123" s="186">
        <v>910</v>
      </c>
      <c r="N1123" s="99">
        <f t="shared" si="240"/>
        <v>184.0477188122689</v>
      </c>
      <c r="O1123" s="99">
        <f t="shared" si="241"/>
        <v>217.5109404144996</v>
      </c>
      <c r="P1123" s="131">
        <v>0.9</v>
      </c>
      <c r="Q1123" s="186">
        <f t="shared" si="244"/>
        <v>165.64294693104202</v>
      </c>
      <c r="R1123" s="186">
        <f t="shared" si="245"/>
        <v>195.75984637304964</v>
      </c>
      <c r="S1123" s="151" t="s">
        <v>1682</v>
      </c>
      <c r="T1123" s="51" t="s">
        <v>3123</v>
      </c>
      <c r="U1123" s="151" t="s">
        <v>1950</v>
      </c>
      <c r="V1123" s="51" t="s">
        <v>3426</v>
      </c>
      <c r="W1123" s="19"/>
      <c r="X1123" s="19"/>
      <c r="Y1123" s="99">
        <v>267</v>
      </c>
    </row>
    <row r="1124" spans="2:25" s="193" customFormat="1" ht="20" x14ac:dyDescent="0.2">
      <c r="B1124" s="230" t="s">
        <v>2747</v>
      </c>
      <c r="C1124" s="51" t="s">
        <v>173</v>
      </c>
      <c r="D1124" s="33" t="s">
        <v>2876</v>
      </c>
      <c r="E1124" s="231">
        <v>1</v>
      </c>
      <c r="F1124" s="230" t="s">
        <v>1128</v>
      </c>
      <c r="G1124" s="232">
        <v>2.5</v>
      </c>
      <c r="H1124" s="232">
        <v>1.5432098765432098</v>
      </c>
      <c r="I1124" s="231">
        <v>63</v>
      </c>
      <c r="J1124" s="266">
        <f>_xlfn.XLOOKUP($I1124,Inputs!$C$6:$C$23,Inputs!$D$6:$D$23)*$G1124</f>
        <v>0.95</v>
      </c>
      <c r="K1124" s="267">
        <f>IF((42.4*(H1124)^(-0.6595))&gt;=3,3,(IF(42.4*(H1124)^(-0.6595)&lt;=0.5,0.5,(42.4*(H1124)^(-0.6595)))))</f>
        <v>3</v>
      </c>
      <c r="L1124" s="99"/>
      <c r="M1124" s="99"/>
      <c r="N1124" s="99"/>
      <c r="O1124" s="99"/>
      <c r="P1124" s="69"/>
      <c r="Q1124" s="305">
        <f>_xlfn.XLOOKUP($I1124,Inputs!$G$6:$G$23,Inputs!J$6:J$23)*$K1124</f>
        <v>29.767499999999998</v>
      </c>
      <c r="R1124" s="305">
        <f>_xlfn.XLOOKUP($I1124,Inputs!$G$6:$G$23,Inputs!K$6:K$23)*$K1124</f>
        <v>32.532786885245905</v>
      </c>
      <c r="S1124" s="230" t="s">
        <v>2751</v>
      </c>
      <c r="T1124" s="51" t="s">
        <v>3106</v>
      </c>
      <c r="U1124" s="230" t="s">
        <v>2752</v>
      </c>
      <c r="V1124" s="51" t="s">
        <v>3465</v>
      </c>
      <c r="W1124" s="19"/>
      <c r="X1124" s="235"/>
      <c r="Y1124" s="99">
        <v>1020</v>
      </c>
    </row>
    <row r="1125" spans="2:25" s="193" customFormat="1" ht="20" x14ac:dyDescent="0.2">
      <c r="B1125" s="230" t="s">
        <v>2753</v>
      </c>
      <c r="C1125" s="51" t="s">
        <v>173</v>
      </c>
      <c r="D1125" s="33" t="s">
        <v>2876</v>
      </c>
      <c r="E1125" s="231">
        <v>1</v>
      </c>
      <c r="F1125" s="230" t="s">
        <v>1128</v>
      </c>
      <c r="G1125" s="232">
        <v>2.5</v>
      </c>
      <c r="H1125" s="232">
        <v>1.5432098765432098</v>
      </c>
      <c r="I1125" s="231">
        <v>63</v>
      </c>
      <c r="J1125" s="266">
        <f>_xlfn.XLOOKUP($I1125,Inputs!$C$6:$C$23,Inputs!$D$6:$D$23)*$G1125</f>
        <v>0.95</v>
      </c>
      <c r="K1125" s="267">
        <f>IF((42.4*(H1125)^(-0.6595))&gt;=3,3,(IF(42.4*(H1125)^(-0.6595)&lt;=0.5,0.5,(42.4*(H1125)^(-0.6595)))))</f>
        <v>3</v>
      </c>
      <c r="L1125" s="99"/>
      <c r="M1125" s="99"/>
      <c r="N1125" s="99"/>
      <c r="O1125" s="99"/>
      <c r="P1125" s="69"/>
      <c r="Q1125" s="305">
        <f>_xlfn.XLOOKUP($I1125,Inputs!$G$6:$G$23,Inputs!J$6:J$23)*$K1125</f>
        <v>29.767499999999998</v>
      </c>
      <c r="R1125" s="305">
        <f>_xlfn.XLOOKUP($I1125,Inputs!$G$6:$G$23,Inputs!K$6:K$23)*$K1125</f>
        <v>32.532786885245905</v>
      </c>
      <c r="S1125" s="230" t="s">
        <v>2751</v>
      </c>
      <c r="T1125" s="51" t="s">
        <v>3106</v>
      </c>
      <c r="U1125" s="230" t="s">
        <v>2752</v>
      </c>
      <c r="V1125" s="51" t="s">
        <v>3465</v>
      </c>
      <c r="W1125" s="19"/>
      <c r="X1125" s="19"/>
      <c r="Y1125" s="99">
        <v>1075</v>
      </c>
    </row>
    <row r="1126" spans="2:25" s="193" customFormat="1" ht="20" x14ac:dyDescent="0.2">
      <c r="B1126" s="150" t="s">
        <v>1220</v>
      </c>
      <c r="C1126" s="33" t="s">
        <v>106</v>
      </c>
      <c r="D1126" s="33" t="s">
        <v>2876</v>
      </c>
      <c r="E1126" s="175">
        <v>1</v>
      </c>
      <c r="F1126" s="151" t="s">
        <v>1128</v>
      </c>
      <c r="G1126" s="152">
        <v>1.203754</v>
      </c>
      <c r="H1126" s="152">
        <v>0.74305802469135795</v>
      </c>
      <c r="I1126" s="175">
        <v>69</v>
      </c>
      <c r="J1126" s="266">
        <f>_xlfn.XLOOKUP($I1126,Inputs!$C$6:$C$23,Inputs!$D$6:$D$23)*$G1126</f>
        <v>0.46258546571428572</v>
      </c>
      <c r="K1126" s="255"/>
      <c r="L1126" s="186">
        <v>730</v>
      </c>
      <c r="M1126" s="186">
        <v>940</v>
      </c>
      <c r="N1126" s="99">
        <f>(SQRT(3)*L1126*$I1126)/1000</f>
        <v>87.243399177244342</v>
      </c>
      <c r="O1126" s="99">
        <f>(SQRT(3)*M1126*$I1126)/1000</f>
        <v>112.34081537891738</v>
      </c>
      <c r="P1126" s="131">
        <v>0.9</v>
      </c>
      <c r="Q1126" s="186">
        <f>N1126*$P1126</f>
        <v>78.519059259519906</v>
      </c>
      <c r="R1126" s="186">
        <f>O1126*$P1126</f>
        <v>101.10673384102564</v>
      </c>
      <c r="S1126" s="151" t="s">
        <v>2512</v>
      </c>
      <c r="T1126" s="51" t="s">
        <v>2171</v>
      </c>
      <c r="U1126" s="151" t="s">
        <v>2340</v>
      </c>
      <c r="V1126" s="51" t="s">
        <v>3691</v>
      </c>
      <c r="W1126" s="19"/>
      <c r="X1126" s="19"/>
      <c r="Y1126" s="99">
        <v>699</v>
      </c>
    </row>
    <row r="1127" spans="2:25" s="193" customFormat="1" ht="20" x14ac:dyDescent="0.2">
      <c r="B1127" s="150" t="s">
        <v>1218</v>
      </c>
      <c r="C1127" s="33" t="s">
        <v>106</v>
      </c>
      <c r="D1127" s="33" t="s">
        <v>2876</v>
      </c>
      <c r="E1127" s="175">
        <v>1</v>
      </c>
      <c r="F1127" s="151" t="s">
        <v>1128</v>
      </c>
      <c r="G1127" s="152">
        <v>1</v>
      </c>
      <c r="H1127" s="152">
        <v>0.61728395061728392</v>
      </c>
      <c r="I1127" s="175">
        <v>69</v>
      </c>
      <c r="J1127" s="266">
        <f>_xlfn.XLOOKUP($I1127,Inputs!$C$6:$C$23,Inputs!$D$6:$D$23)*$G1127</f>
        <v>0.38428571428571429</v>
      </c>
      <c r="K1127" s="255"/>
      <c r="L1127" s="186">
        <v>730</v>
      </c>
      <c r="M1127" s="186">
        <v>940</v>
      </c>
      <c r="N1127" s="99">
        <f>(SQRT(3)*L1127*$I1127)/1000</f>
        <v>87.243399177244342</v>
      </c>
      <c r="O1127" s="99">
        <f>(SQRT(3)*M1127*$I1127)/1000</f>
        <v>112.34081537891738</v>
      </c>
      <c r="P1127" s="131">
        <v>0.9</v>
      </c>
      <c r="Q1127" s="186">
        <f>N1127*$P1127</f>
        <v>78.519059259519906</v>
      </c>
      <c r="R1127" s="186">
        <f>O1127*$P1127</f>
        <v>101.10673384102564</v>
      </c>
      <c r="S1127" s="151" t="s">
        <v>2511</v>
      </c>
      <c r="T1127" s="51" t="s">
        <v>2169</v>
      </c>
      <c r="U1127" s="151" t="s">
        <v>2512</v>
      </c>
      <c r="V1127" s="51" t="s">
        <v>2171</v>
      </c>
      <c r="W1127" s="19"/>
      <c r="X1127" s="19"/>
      <c r="Y1127" s="99">
        <v>698</v>
      </c>
    </row>
    <row r="1128" spans="2:25" s="193" customFormat="1" ht="20" x14ac:dyDescent="0.2">
      <c r="B1128" s="230" t="s">
        <v>2685</v>
      </c>
      <c r="C1128" s="51" t="s">
        <v>173</v>
      </c>
      <c r="D1128" s="33" t="s">
        <v>2876</v>
      </c>
      <c r="E1128" s="231">
        <v>1</v>
      </c>
      <c r="F1128" s="230" t="s">
        <v>1128</v>
      </c>
      <c r="G1128" s="232">
        <v>7.5</v>
      </c>
      <c r="H1128" s="232">
        <v>4.6296296296296298</v>
      </c>
      <c r="I1128" s="231">
        <v>63</v>
      </c>
      <c r="J1128" s="266">
        <f>_xlfn.XLOOKUP($I1128,Inputs!$C$6:$C$23,Inputs!$D$6:$D$23)*$G1128</f>
        <v>2.85</v>
      </c>
      <c r="K1128" s="267">
        <f>IF((42.4*(H1128)^(-0.6595))&gt;=3,3,(IF(42.4*(H1128)^(-0.6595)&lt;=0.5,0.5,(42.4*(H1128)^(-0.6595)))))</f>
        <v>3</v>
      </c>
      <c r="L1128" s="99"/>
      <c r="M1128" s="99"/>
      <c r="N1128" s="99"/>
      <c r="O1128" s="99"/>
      <c r="P1128" s="69"/>
      <c r="Q1128" s="305">
        <f>_xlfn.XLOOKUP($I1128,Inputs!$G$6:$G$23,Inputs!J$6:J$23)*$K1128</f>
        <v>29.767499999999998</v>
      </c>
      <c r="R1128" s="305">
        <f>_xlfn.XLOOKUP($I1128,Inputs!$G$6:$G$23,Inputs!K$6:K$23)*$K1128</f>
        <v>32.532786885245905</v>
      </c>
      <c r="S1128" s="230" t="s">
        <v>2696</v>
      </c>
      <c r="T1128" s="51" t="s">
        <v>2760</v>
      </c>
      <c r="U1128" s="230" t="s">
        <v>1936</v>
      </c>
      <c r="V1128" s="51" t="s">
        <v>3356</v>
      </c>
      <c r="W1128" s="19"/>
      <c r="X1128" s="19"/>
      <c r="Y1128" s="99">
        <v>1032</v>
      </c>
    </row>
    <row r="1129" spans="2:25" s="193" customFormat="1" ht="20" x14ac:dyDescent="0.2">
      <c r="B1129" s="230" t="s">
        <v>2687</v>
      </c>
      <c r="C1129" s="51" t="s">
        <v>173</v>
      </c>
      <c r="D1129" s="33" t="s">
        <v>2876</v>
      </c>
      <c r="E1129" s="231">
        <v>1</v>
      </c>
      <c r="F1129" s="230" t="s">
        <v>1128</v>
      </c>
      <c r="G1129" s="232">
        <v>7.5</v>
      </c>
      <c r="H1129" s="232">
        <v>4.6296296296296298</v>
      </c>
      <c r="I1129" s="231">
        <v>63</v>
      </c>
      <c r="J1129" s="266">
        <f>_xlfn.XLOOKUP($I1129,Inputs!$C$6:$C$23,Inputs!$D$6:$D$23)*$G1129</f>
        <v>2.85</v>
      </c>
      <c r="K1129" s="267">
        <f>IF((42.4*(H1129)^(-0.6595))&gt;=3,3,(IF(42.4*(H1129)^(-0.6595)&lt;=0.5,0.5,(42.4*(H1129)^(-0.6595)))))</f>
        <v>3</v>
      </c>
      <c r="L1129" s="99"/>
      <c r="M1129" s="99"/>
      <c r="N1129" s="99"/>
      <c r="O1129" s="99"/>
      <c r="P1129" s="69"/>
      <c r="Q1129" s="305">
        <f>_xlfn.XLOOKUP($I1129,Inputs!$G$6:$G$23,Inputs!J$6:J$23)*$K1129</f>
        <v>29.767499999999998</v>
      </c>
      <c r="R1129" s="305">
        <f>_xlfn.XLOOKUP($I1129,Inputs!$G$6:$G$23,Inputs!K$6:K$23)*$K1129</f>
        <v>32.532786885245905</v>
      </c>
      <c r="S1129" s="230" t="s">
        <v>2696</v>
      </c>
      <c r="T1129" s="51" t="s">
        <v>2760</v>
      </c>
      <c r="U1129" s="230" t="s">
        <v>1936</v>
      </c>
      <c r="V1129" s="51" t="s">
        <v>3356</v>
      </c>
      <c r="W1129" s="19"/>
      <c r="X1129" s="19"/>
      <c r="Y1129" s="99">
        <v>1040</v>
      </c>
    </row>
    <row r="1130" spans="2:25" s="193" customFormat="1" ht="20" x14ac:dyDescent="0.2">
      <c r="B1130" s="230" t="s">
        <v>1118</v>
      </c>
      <c r="C1130" s="51" t="s">
        <v>173</v>
      </c>
      <c r="D1130" s="33" t="s">
        <v>2876</v>
      </c>
      <c r="E1130" s="231">
        <v>1</v>
      </c>
      <c r="F1130" s="230" t="s">
        <v>1128</v>
      </c>
      <c r="G1130" s="232">
        <v>1</v>
      </c>
      <c r="H1130" s="232">
        <v>0.61728395061728392</v>
      </c>
      <c r="I1130" s="231">
        <v>63</v>
      </c>
      <c r="J1130" s="266">
        <f>_xlfn.XLOOKUP($I1130,Inputs!$C$6:$C$23,Inputs!$D$6:$D$23)*$G1130</f>
        <v>0.38</v>
      </c>
      <c r="K1130" s="267">
        <f>IF((42.4*(H1130)^(-0.6595))&gt;=3,3,(IF(42.4*(H1130)^(-0.6595)&lt;=0.5,0.5,(42.4*(H1130)^(-0.6595)))))</f>
        <v>3</v>
      </c>
      <c r="L1130" s="99"/>
      <c r="M1130" s="99"/>
      <c r="N1130" s="99"/>
      <c r="O1130" s="99"/>
      <c r="P1130" s="69"/>
      <c r="Q1130" s="305">
        <f>_xlfn.XLOOKUP($I1130,Inputs!$G$6:$G$23,Inputs!J$6:J$23)*$K1130</f>
        <v>29.767499999999998</v>
      </c>
      <c r="R1130" s="305">
        <f>_xlfn.XLOOKUP($I1130,Inputs!$G$6:$G$23,Inputs!K$6:K$23)*$K1130</f>
        <v>32.532786885245905</v>
      </c>
      <c r="S1130" s="230" t="s">
        <v>3561</v>
      </c>
      <c r="T1130" s="51" t="s">
        <v>3560</v>
      </c>
      <c r="U1130" s="230" t="s">
        <v>1936</v>
      </c>
      <c r="V1130" s="51" t="s">
        <v>3356</v>
      </c>
      <c r="W1130" s="19"/>
      <c r="X1130" s="19"/>
      <c r="Y1130" s="99">
        <v>1087</v>
      </c>
    </row>
    <row r="1131" spans="2:25" s="193" customFormat="1" ht="20" x14ac:dyDescent="0.2">
      <c r="B1131" s="150" t="s">
        <v>1288</v>
      </c>
      <c r="C1131" s="33" t="s">
        <v>106</v>
      </c>
      <c r="D1131" s="33" t="s">
        <v>2876</v>
      </c>
      <c r="E1131" s="175">
        <v>1</v>
      </c>
      <c r="F1131" s="151" t="s">
        <v>1128</v>
      </c>
      <c r="G1131" s="152">
        <v>5.1859999999999996E-3</v>
      </c>
      <c r="H1131" s="152">
        <v>3.2012345679012341E-3</v>
      </c>
      <c r="I1131" s="175">
        <v>69</v>
      </c>
      <c r="J1131" s="266">
        <f>_xlfn.XLOOKUP($I1131,Inputs!$C$6:$C$23,Inputs!$D$6:$D$23)*$G1131</f>
        <v>1.992905714285714E-3</v>
      </c>
      <c r="K1131" s="267">
        <f>IF((42.4*(H1131)^(-0.6595))&gt;=3,3,(IF(42.4*(H1131)^(-0.6595)&lt;=0.5,0.5,(42.4*(H1131)^(-0.6595)))))</f>
        <v>3</v>
      </c>
      <c r="L1131" s="99"/>
      <c r="M1131" s="99"/>
      <c r="N1131" s="99">
        <f t="shared" ref="N1131:O1134" si="246">(SQRT(3)*L1131*$I1131)/1000</f>
        <v>0</v>
      </c>
      <c r="O1131" s="99">
        <f t="shared" si="246"/>
        <v>0</v>
      </c>
      <c r="P1131" s="131">
        <v>0.9</v>
      </c>
      <c r="Q1131" s="305">
        <f>_xlfn.XLOOKUP($I1131,Inputs!$G$6:$G$23,Inputs!J$6:J$23)*$K1131</f>
        <v>36</v>
      </c>
      <c r="R1131" s="305">
        <f>_xlfn.XLOOKUP($I1131,Inputs!$G$6:$G$23,Inputs!K$6:K$23)*$K1131</f>
        <v>39</v>
      </c>
      <c r="S1131" s="151" t="s">
        <v>2544</v>
      </c>
      <c r="T1131" s="51" t="s">
        <v>2201</v>
      </c>
      <c r="U1131" s="151" t="s">
        <v>1951</v>
      </c>
      <c r="V1131" s="51" t="s">
        <v>3558</v>
      </c>
      <c r="W1131" s="19"/>
      <c r="X1131" s="19"/>
      <c r="Y1131" s="99">
        <v>820</v>
      </c>
    </row>
    <row r="1132" spans="2:25" s="193" customFormat="1" ht="20" x14ac:dyDescent="0.2">
      <c r="B1132" s="150" t="s">
        <v>1287</v>
      </c>
      <c r="C1132" s="33" t="s">
        <v>106</v>
      </c>
      <c r="D1132" s="33" t="s">
        <v>2876</v>
      </c>
      <c r="E1132" s="175">
        <v>1</v>
      </c>
      <c r="F1132" s="151" t="s">
        <v>1128</v>
      </c>
      <c r="G1132" s="152">
        <v>60</v>
      </c>
      <c r="H1132" s="152">
        <v>37.037037037037038</v>
      </c>
      <c r="I1132" s="175">
        <v>69</v>
      </c>
      <c r="J1132" s="266">
        <f>_xlfn.XLOOKUP($I1132,Inputs!$C$6:$C$23,Inputs!$D$6:$D$23)*$G1132</f>
        <v>23.057142857142857</v>
      </c>
      <c r="K1132" s="255"/>
      <c r="L1132" s="186">
        <v>230</v>
      </c>
      <c r="M1132" s="186">
        <v>420</v>
      </c>
      <c r="N1132" s="99">
        <f t="shared" si="246"/>
        <v>27.487646316118084</v>
      </c>
      <c r="O1132" s="99">
        <f t="shared" si="246"/>
        <v>50.194832403346062</v>
      </c>
      <c r="P1132" s="131">
        <v>0.9</v>
      </c>
      <c r="Q1132" s="186">
        <f>N1132*$P1132</f>
        <v>24.738881684506275</v>
      </c>
      <c r="R1132" s="186">
        <f>O1132*$P1132</f>
        <v>45.175349163011454</v>
      </c>
      <c r="S1132" s="151" t="s">
        <v>1933</v>
      </c>
      <c r="T1132" s="51" t="s">
        <v>3349</v>
      </c>
      <c r="U1132" s="151" t="s">
        <v>2544</v>
      </c>
      <c r="V1132" s="51" t="s">
        <v>2201</v>
      </c>
      <c r="W1132" s="19"/>
      <c r="X1132" s="19"/>
      <c r="Y1132" s="99">
        <v>819</v>
      </c>
    </row>
    <row r="1133" spans="2:25" s="193" customFormat="1" ht="20" x14ac:dyDescent="0.2">
      <c r="B1133" s="150" t="s">
        <v>1337</v>
      </c>
      <c r="C1133" s="33" t="s">
        <v>106</v>
      </c>
      <c r="D1133" s="33" t="s">
        <v>2876</v>
      </c>
      <c r="E1133" s="175">
        <v>1</v>
      </c>
      <c r="F1133" s="151" t="s">
        <v>1128</v>
      </c>
      <c r="G1133" s="152">
        <v>5.5389500000000001E-2</v>
      </c>
      <c r="H1133" s="152">
        <v>3.4191049382716047E-2</v>
      </c>
      <c r="I1133" s="175">
        <v>69</v>
      </c>
      <c r="J1133" s="266">
        <f>_xlfn.XLOOKUP($I1133,Inputs!$C$6:$C$23,Inputs!$D$6:$D$23)*$G1133</f>
        <v>2.1285393571428571E-2</v>
      </c>
      <c r="K1133" s="267">
        <f>IF((42.4*(H1133)^(-0.6595))&gt;=3,3,(IF(42.4*(H1133)^(-0.6595)&lt;=0.5,0.5,(42.4*(H1133)^(-0.6595)))))</f>
        <v>3</v>
      </c>
      <c r="L1133" s="99"/>
      <c r="M1133" s="99"/>
      <c r="N1133" s="99">
        <f t="shared" si="246"/>
        <v>0</v>
      </c>
      <c r="O1133" s="99">
        <f t="shared" si="246"/>
        <v>0</v>
      </c>
      <c r="P1133" s="131">
        <v>0.9</v>
      </c>
      <c r="Q1133" s="305">
        <f>_xlfn.XLOOKUP($I1133,Inputs!$G$6:$G$23,Inputs!J$6:J$23)*$K1133</f>
        <v>36</v>
      </c>
      <c r="R1133" s="305">
        <f>_xlfn.XLOOKUP($I1133,Inputs!$G$6:$G$23,Inputs!K$6:K$23)*$K1133</f>
        <v>39</v>
      </c>
      <c r="S1133" s="151" t="s">
        <v>2576</v>
      </c>
      <c r="T1133" s="51" t="s">
        <v>2236</v>
      </c>
      <c r="U1133" s="151" t="s">
        <v>2341</v>
      </c>
      <c r="V1133" s="51" t="s">
        <v>3688</v>
      </c>
      <c r="W1133" s="19"/>
      <c r="X1133" s="19"/>
      <c r="Y1133" s="99">
        <v>912</v>
      </c>
    </row>
    <row r="1134" spans="2:25" ht="20" x14ac:dyDescent="0.2">
      <c r="B1134" s="150" t="s">
        <v>1334</v>
      </c>
      <c r="C1134" s="33" t="s">
        <v>106</v>
      </c>
      <c r="D1134" s="33" t="s">
        <v>2876</v>
      </c>
      <c r="E1134" s="175">
        <v>1</v>
      </c>
      <c r="F1134" s="151" t="s">
        <v>1128</v>
      </c>
      <c r="G1134" s="152">
        <v>1</v>
      </c>
      <c r="H1134" s="152">
        <v>0.61728395061728392</v>
      </c>
      <c r="I1134" s="175">
        <v>69</v>
      </c>
      <c r="J1134" s="266">
        <f>_xlfn.XLOOKUP($I1134,Inputs!$C$6:$C$23,Inputs!$D$6:$D$23)*$G1134</f>
        <v>0.38428571428571429</v>
      </c>
      <c r="K1134" s="255"/>
      <c r="L1134" s="186">
        <v>450</v>
      </c>
      <c r="M1134" s="186">
        <v>760</v>
      </c>
      <c r="N1134" s="99">
        <f t="shared" si="246"/>
        <v>53.780177575013639</v>
      </c>
      <c r="O1134" s="99">
        <f t="shared" si="246"/>
        <v>90.828744348911911</v>
      </c>
      <c r="P1134" s="131">
        <v>0.9</v>
      </c>
      <c r="Q1134" s="186">
        <f>N1134*$P1134</f>
        <v>48.402159817512278</v>
      </c>
      <c r="R1134" s="186">
        <f>O1134*$P1134</f>
        <v>81.745869914020716</v>
      </c>
      <c r="S1134" s="151" t="s">
        <v>2575</v>
      </c>
      <c r="T1134" s="51" t="s">
        <v>2235</v>
      </c>
      <c r="U1134" s="151" t="s">
        <v>2576</v>
      </c>
      <c r="V1134" s="51" t="s">
        <v>2236</v>
      </c>
      <c r="W1134" s="19"/>
      <c r="X1134" s="19"/>
      <c r="Y1134" s="99">
        <v>911</v>
      </c>
    </row>
    <row r="1135" spans="2:25" s="193" customFormat="1" ht="20" x14ac:dyDescent="0.2">
      <c r="B1135" s="230" t="s">
        <v>2715</v>
      </c>
      <c r="C1135" s="51" t="s">
        <v>173</v>
      </c>
      <c r="D1135" s="33" t="s">
        <v>2876</v>
      </c>
      <c r="E1135" s="231">
        <v>1</v>
      </c>
      <c r="F1135" s="230" t="s">
        <v>1128</v>
      </c>
      <c r="G1135" s="232">
        <v>12.5</v>
      </c>
      <c r="H1135" s="232">
        <v>7.716049382716049</v>
      </c>
      <c r="I1135" s="231">
        <v>63</v>
      </c>
      <c r="J1135" s="266">
        <f>_xlfn.XLOOKUP($I1135,Inputs!$C$6:$C$23,Inputs!$D$6:$D$23)*$G1135</f>
        <v>4.75</v>
      </c>
      <c r="K1135" s="267">
        <f>IF((42.4*(H1135)^(-0.6595))&gt;=3,3,(IF(42.4*(H1135)^(-0.6595)&lt;=0.5,0.5,(42.4*(H1135)^(-0.6595)))))</f>
        <v>3</v>
      </c>
      <c r="L1135" s="99"/>
      <c r="M1135" s="99"/>
      <c r="N1135" s="99"/>
      <c r="O1135" s="99"/>
      <c r="P1135" s="69"/>
      <c r="Q1135" s="305">
        <f>_xlfn.XLOOKUP($I1135,Inputs!$G$6:$G$23,Inputs!J$6:J$23)*$K1135</f>
        <v>29.767499999999998</v>
      </c>
      <c r="R1135" s="305">
        <f>_xlfn.XLOOKUP($I1135,Inputs!$G$6:$G$23,Inputs!K$6:K$23)*$K1135</f>
        <v>32.532786885245905</v>
      </c>
      <c r="S1135" s="230" t="s">
        <v>2714</v>
      </c>
      <c r="T1135" s="179" t="s">
        <v>3712</v>
      </c>
      <c r="U1135" s="230" t="s">
        <v>2716</v>
      </c>
      <c r="V1135" s="51" t="s">
        <v>3357</v>
      </c>
      <c r="W1135" s="19"/>
      <c r="X1135" s="19" t="s">
        <v>3733</v>
      </c>
      <c r="Y1135" s="99">
        <v>1076</v>
      </c>
    </row>
    <row r="1136" spans="2:25" ht="20" x14ac:dyDescent="0.2">
      <c r="B1136" s="150" t="s">
        <v>1184</v>
      </c>
      <c r="C1136" s="33" t="s">
        <v>106</v>
      </c>
      <c r="D1136" s="33" t="s">
        <v>2876</v>
      </c>
      <c r="E1136" s="175">
        <v>1</v>
      </c>
      <c r="F1136" s="151" t="s">
        <v>1128</v>
      </c>
      <c r="G1136" s="152">
        <v>1.1787499999999999E-2</v>
      </c>
      <c r="H1136" s="152">
        <v>7.2762345679012333E-3</v>
      </c>
      <c r="I1136" s="175">
        <v>69</v>
      </c>
      <c r="J1136" s="266">
        <f>_xlfn.XLOOKUP($I1136,Inputs!$C$6:$C$23,Inputs!$D$6:$D$23)*$G1136</f>
        <v>4.5297678571428572E-3</v>
      </c>
      <c r="K1136" s="255"/>
      <c r="L1136" s="186">
        <v>750</v>
      </c>
      <c r="M1136" s="186">
        <v>960</v>
      </c>
      <c r="N1136" s="99">
        <f t="shared" ref="N1136:O1142" si="247">(SQRT(3)*L1136*$I1136)/1000</f>
        <v>89.633629291689402</v>
      </c>
      <c r="O1136" s="99">
        <f t="shared" si="247"/>
        <v>114.73104549336242</v>
      </c>
      <c r="P1136" s="131">
        <v>0.9</v>
      </c>
      <c r="Q1136" s="186">
        <f t="shared" ref="Q1136:R1142" si="248">N1136*$P1136</f>
        <v>80.670266362520465</v>
      </c>
      <c r="R1136" s="186">
        <f t="shared" si="248"/>
        <v>103.25794094402617</v>
      </c>
      <c r="S1136" s="151" t="s">
        <v>1875</v>
      </c>
      <c r="T1136" s="51" t="s">
        <v>3324</v>
      </c>
      <c r="U1136" s="151" t="s">
        <v>1952</v>
      </c>
      <c r="V1136" s="51" t="s">
        <v>3684</v>
      </c>
      <c r="W1136" s="19"/>
      <c r="X1136" s="19"/>
      <c r="Y1136" s="99">
        <v>647</v>
      </c>
    </row>
    <row r="1137" spans="1:31" ht="20" x14ac:dyDescent="0.2">
      <c r="B1137" s="150" t="s">
        <v>457</v>
      </c>
      <c r="C1137" s="33" t="s">
        <v>106</v>
      </c>
      <c r="D1137" s="33" t="s">
        <v>2876</v>
      </c>
      <c r="E1137" s="175">
        <v>1</v>
      </c>
      <c r="F1137" s="151" t="s">
        <v>1128</v>
      </c>
      <c r="G1137" s="152">
        <v>15</v>
      </c>
      <c r="H1137" s="152">
        <v>9.2592592592592595</v>
      </c>
      <c r="I1137" s="175">
        <v>138</v>
      </c>
      <c r="J1137" s="266">
        <f>_xlfn.XLOOKUP($I1137,Inputs!$C$6:$C$23,Inputs!$D$6:$D$23)*$G1137</f>
        <v>6.503571428571429</v>
      </c>
      <c r="K1137" s="255"/>
      <c r="L1137" s="186">
        <v>585</v>
      </c>
      <c r="M1137" s="186">
        <v>780</v>
      </c>
      <c r="N1137" s="99">
        <f t="shared" si="247"/>
        <v>139.82846169503546</v>
      </c>
      <c r="O1137" s="99">
        <f t="shared" si="247"/>
        <v>186.43794892671391</v>
      </c>
      <c r="P1137" s="131">
        <v>0.9</v>
      </c>
      <c r="Q1137" s="186">
        <f t="shared" si="248"/>
        <v>125.84561552553191</v>
      </c>
      <c r="R1137" s="186">
        <f t="shared" si="248"/>
        <v>167.79415403404252</v>
      </c>
      <c r="S1137" s="151" t="s">
        <v>3578</v>
      </c>
      <c r="T1137" s="51" t="s">
        <v>3579</v>
      </c>
      <c r="U1137" s="151" t="s">
        <v>2366</v>
      </c>
      <c r="V1137" s="51" t="s">
        <v>3179</v>
      </c>
      <c r="W1137" s="19"/>
      <c r="X1137" s="19"/>
      <c r="Y1137" s="99">
        <v>138</v>
      </c>
    </row>
    <row r="1138" spans="1:31" ht="20" x14ac:dyDescent="0.2">
      <c r="B1138" s="150" t="s">
        <v>457</v>
      </c>
      <c r="C1138" s="33" t="s">
        <v>106</v>
      </c>
      <c r="D1138" s="33" t="s">
        <v>2876</v>
      </c>
      <c r="E1138" s="175">
        <v>1</v>
      </c>
      <c r="F1138" s="151" t="s">
        <v>1128</v>
      </c>
      <c r="G1138" s="152">
        <v>1</v>
      </c>
      <c r="H1138" s="152">
        <v>0.61728395061728392</v>
      </c>
      <c r="I1138" s="175">
        <v>138</v>
      </c>
      <c r="J1138" s="266">
        <f>_xlfn.XLOOKUP($I1138,Inputs!$C$6:$C$23,Inputs!$D$6:$D$23)*$G1138</f>
        <v>0.43357142857142861</v>
      </c>
      <c r="K1138" s="255"/>
      <c r="L1138" s="186">
        <v>585</v>
      </c>
      <c r="M1138" s="186">
        <v>780</v>
      </c>
      <c r="N1138" s="99">
        <f t="shared" si="247"/>
        <v>139.82846169503546</v>
      </c>
      <c r="O1138" s="99">
        <f t="shared" si="247"/>
        <v>186.43794892671391</v>
      </c>
      <c r="P1138" s="131">
        <v>0.9</v>
      </c>
      <c r="Q1138" s="186">
        <f t="shared" si="248"/>
        <v>125.84561552553191</v>
      </c>
      <c r="R1138" s="186">
        <f t="shared" si="248"/>
        <v>167.79415403404252</v>
      </c>
      <c r="S1138" s="151" t="s">
        <v>1921</v>
      </c>
      <c r="T1138" s="51" t="s">
        <v>3181</v>
      </c>
      <c r="U1138" s="151" t="s">
        <v>3578</v>
      </c>
      <c r="V1138" s="51" t="s">
        <v>3579</v>
      </c>
      <c r="W1138" s="19"/>
      <c r="X1138" s="19"/>
      <c r="Y1138" s="99">
        <v>137</v>
      </c>
    </row>
    <row r="1139" spans="1:31" ht="20" x14ac:dyDescent="0.2">
      <c r="B1139" s="150" t="s">
        <v>490</v>
      </c>
      <c r="C1139" s="33" t="s">
        <v>106</v>
      </c>
      <c r="D1139" s="33" t="s">
        <v>2876</v>
      </c>
      <c r="E1139" s="175">
        <v>1</v>
      </c>
      <c r="F1139" s="151" t="s">
        <v>1128</v>
      </c>
      <c r="G1139" s="152">
        <v>18.585572599999999</v>
      </c>
      <c r="H1139" s="152">
        <v>11.472575679012344</v>
      </c>
      <c r="I1139" s="175">
        <v>138</v>
      </c>
      <c r="J1139" s="266">
        <f>_xlfn.XLOOKUP($I1139,Inputs!$C$6:$C$23,Inputs!$D$6:$D$23)*$G1139</f>
        <v>8.0581732630000005</v>
      </c>
      <c r="K1139" s="255"/>
      <c r="L1139" s="186">
        <v>414</v>
      </c>
      <c r="M1139" s="186">
        <v>552</v>
      </c>
      <c r="N1139" s="99">
        <f t="shared" si="247"/>
        <v>98.955526738025085</v>
      </c>
      <c r="O1139" s="99">
        <f t="shared" si="247"/>
        <v>131.94070231736677</v>
      </c>
      <c r="P1139" s="131">
        <v>0.9</v>
      </c>
      <c r="Q1139" s="186">
        <f t="shared" si="248"/>
        <v>89.059974064222573</v>
      </c>
      <c r="R1139" s="186">
        <f t="shared" si="248"/>
        <v>118.7466320856301</v>
      </c>
      <c r="S1139" s="151" t="s">
        <v>1819</v>
      </c>
      <c r="T1139" s="51" t="s">
        <v>3299</v>
      </c>
      <c r="U1139" s="151" t="s">
        <v>3736</v>
      </c>
      <c r="V1139" s="51" t="s">
        <v>2281</v>
      </c>
      <c r="W1139" s="19"/>
      <c r="X1139" s="19"/>
      <c r="Y1139" s="99">
        <v>257</v>
      </c>
    </row>
    <row r="1140" spans="1:31" ht="20" x14ac:dyDescent="0.2">
      <c r="B1140" s="150" t="s">
        <v>675</v>
      </c>
      <c r="C1140" s="33" t="s">
        <v>106</v>
      </c>
      <c r="D1140" s="33" t="s">
        <v>2876</v>
      </c>
      <c r="E1140" s="175">
        <v>1</v>
      </c>
      <c r="F1140" s="151" t="s">
        <v>1128</v>
      </c>
      <c r="G1140" s="152">
        <v>108.1598487</v>
      </c>
      <c r="H1140" s="152">
        <v>66.765338703703705</v>
      </c>
      <c r="I1140" s="175">
        <v>500</v>
      </c>
      <c r="J1140" s="266">
        <f>_xlfn.XLOOKUP($I1140,Inputs!$C$6:$C$23,Inputs!$D$6:$D$23)*$G1140</f>
        <v>42.723140236500001</v>
      </c>
      <c r="K1140" s="255"/>
      <c r="L1140" s="186">
        <v>2052</v>
      </c>
      <c r="M1140" s="186">
        <v>3045</v>
      </c>
      <c r="N1140" s="99">
        <f t="shared" si="247"/>
        <v>1777.0841285656679</v>
      </c>
      <c r="O1140" s="99">
        <f t="shared" si="247"/>
        <v>2637.0473545236155</v>
      </c>
      <c r="P1140" s="131">
        <v>0.9</v>
      </c>
      <c r="Q1140" s="186">
        <f t="shared" si="248"/>
        <v>1599.3757157091011</v>
      </c>
      <c r="R1140" s="186">
        <f t="shared" si="248"/>
        <v>2373.3426190712539</v>
      </c>
      <c r="S1140" s="151" t="s">
        <v>107</v>
      </c>
      <c r="T1140" s="51" t="s">
        <v>3232</v>
      </c>
      <c r="U1140" s="151" t="s">
        <v>3735</v>
      </c>
      <c r="V1140" s="51" t="s">
        <v>2283</v>
      </c>
      <c r="W1140" s="19"/>
      <c r="X1140" s="19"/>
      <c r="Y1140" s="99">
        <v>551</v>
      </c>
    </row>
    <row r="1141" spans="1:31" ht="20" x14ac:dyDescent="0.2">
      <c r="B1141" s="150" t="s">
        <v>489</v>
      </c>
      <c r="C1141" s="33" t="s">
        <v>106</v>
      </c>
      <c r="D1141" s="33" t="s">
        <v>2876</v>
      </c>
      <c r="E1141" s="175">
        <v>1</v>
      </c>
      <c r="F1141" s="151" t="s">
        <v>1128</v>
      </c>
      <c r="G1141" s="152">
        <v>48.5</v>
      </c>
      <c r="H1141" s="152">
        <v>29.938271604938269</v>
      </c>
      <c r="I1141" s="175">
        <v>138</v>
      </c>
      <c r="J1141" s="266">
        <f>_xlfn.XLOOKUP($I1141,Inputs!$C$6:$C$23,Inputs!$D$6:$D$23)*$G1141</f>
        <v>21.028214285714288</v>
      </c>
      <c r="K1141" s="255"/>
      <c r="L1141" s="186">
        <v>265</v>
      </c>
      <c r="M1141" s="186">
        <v>442</v>
      </c>
      <c r="N1141" s="99">
        <f t="shared" si="247"/>
        <v>63.341098032793838</v>
      </c>
      <c r="O1141" s="99">
        <f t="shared" si="247"/>
        <v>105.64817105847125</v>
      </c>
      <c r="P1141" s="131">
        <v>0.9</v>
      </c>
      <c r="Q1141" s="186">
        <f t="shared" si="248"/>
        <v>57.006988229514455</v>
      </c>
      <c r="R1141" s="186">
        <f t="shared" si="248"/>
        <v>95.083353952624122</v>
      </c>
      <c r="S1141" s="151" t="s">
        <v>2446</v>
      </c>
      <c r="T1141" s="51" t="s">
        <v>2096</v>
      </c>
      <c r="U1141" s="151" t="s">
        <v>3737</v>
      </c>
      <c r="V1141" s="51" t="s">
        <v>2857</v>
      </c>
      <c r="W1141" s="19"/>
      <c r="X1141" s="19"/>
      <c r="Y1141" s="99">
        <v>256</v>
      </c>
    </row>
    <row r="1142" spans="1:31" ht="20" x14ac:dyDescent="0.2">
      <c r="B1142" s="150" t="s">
        <v>497</v>
      </c>
      <c r="C1142" s="33" t="s">
        <v>106</v>
      </c>
      <c r="D1142" s="33" t="s">
        <v>3716</v>
      </c>
      <c r="E1142" s="175">
        <v>1</v>
      </c>
      <c r="F1142" s="151" t="s">
        <v>1128</v>
      </c>
      <c r="G1142" s="152">
        <v>21.87</v>
      </c>
      <c r="H1142" s="152">
        <v>13.5</v>
      </c>
      <c r="I1142" s="175">
        <v>138</v>
      </c>
      <c r="J1142" s="266">
        <f>_xlfn.XLOOKUP($I1142,Inputs!$C$6:$C$23,Inputs!$D$6:$D$23)*$G1142</f>
        <v>9.4822071428571437</v>
      </c>
      <c r="K1142" s="255"/>
      <c r="L1142" s="186">
        <v>770</v>
      </c>
      <c r="M1142" s="186">
        <v>970</v>
      </c>
      <c r="N1142" s="99">
        <f t="shared" si="247"/>
        <v>184.0477188122689</v>
      </c>
      <c r="O1142" s="99">
        <f t="shared" si="247"/>
        <v>231.85232110116988</v>
      </c>
      <c r="P1142" s="131">
        <v>0.9</v>
      </c>
      <c r="Q1142" s="186">
        <f t="shared" si="248"/>
        <v>165.64294693104202</v>
      </c>
      <c r="R1142" s="186">
        <f t="shared" si="248"/>
        <v>208.66708899105291</v>
      </c>
      <c r="S1142" s="151" t="s">
        <v>2452</v>
      </c>
      <c r="T1142" s="51" t="s">
        <v>2103</v>
      </c>
      <c r="U1142" s="151" t="s">
        <v>3738</v>
      </c>
      <c r="V1142" s="51" t="s">
        <v>2374</v>
      </c>
      <c r="W1142" s="19"/>
      <c r="X1142" s="19"/>
      <c r="Y1142" s="99">
        <v>277</v>
      </c>
    </row>
    <row r="1143" spans="1:31" ht="20" x14ac:dyDescent="0.2">
      <c r="B1143" s="150" t="s">
        <v>658</v>
      </c>
      <c r="C1143" s="33" t="s">
        <v>106</v>
      </c>
      <c r="D1143" s="33" t="s">
        <v>2876</v>
      </c>
      <c r="E1143" s="175">
        <v>1</v>
      </c>
      <c r="F1143" s="151" t="s">
        <v>1128</v>
      </c>
      <c r="G1143" s="152">
        <v>21.794020499999998</v>
      </c>
      <c r="H1143" s="152">
        <v>13.453099074074073</v>
      </c>
      <c r="I1143" s="175">
        <v>500</v>
      </c>
      <c r="J1143" s="266">
        <f>_xlfn.XLOOKUP($I1143,Inputs!$C$6:$C$23,Inputs!$D$6:$D$23)*$G1143</f>
        <v>8.6086380975000001</v>
      </c>
      <c r="K1143" s="255"/>
      <c r="L1143" s="48"/>
      <c r="M1143" s="48"/>
      <c r="N1143" s="48"/>
      <c r="O1143" s="48"/>
      <c r="P1143" s="131">
        <v>0.9</v>
      </c>
      <c r="Q1143" s="302">
        <v>700</v>
      </c>
      <c r="R1143" s="302">
        <v>700</v>
      </c>
      <c r="S1143" s="151" t="s">
        <v>1730</v>
      </c>
      <c r="T1143" s="51" t="s">
        <v>3204</v>
      </c>
      <c r="U1143" s="151" t="s">
        <v>2383</v>
      </c>
      <c r="V1143" s="51" t="s">
        <v>2285</v>
      </c>
      <c r="W1143" s="19"/>
      <c r="X1143" s="19"/>
      <c r="Y1143" s="99">
        <v>534</v>
      </c>
    </row>
    <row r="1144" spans="1:31" ht="20" x14ac:dyDescent="0.2">
      <c r="B1144" s="150" t="s">
        <v>659</v>
      </c>
      <c r="C1144" s="33" t="s">
        <v>106</v>
      </c>
      <c r="D1144" s="33" t="s">
        <v>2876</v>
      </c>
      <c r="E1144" s="175">
        <v>1</v>
      </c>
      <c r="F1144" s="151" t="s">
        <v>1128</v>
      </c>
      <c r="G1144" s="152">
        <v>21.800709699999999</v>
      </c>
      <c r="H1144" s="152">
        <v>13.457228209876542</v>
      </c>
      <c r="I1144" s="175">
        <v>500</v>
      </c>
      <c r="J1144" s="266">
        <f>_xlfn.XLOOKUP($I1144,Inputs!$C$6:$C$23,Inputs!$D$6:$D$23)*$G1144</f>
        <v>8.6112803314999997</v>
      </c>
      <c r="K1144" s="255"/>
      <c r="L1144" s="48"/>
      <c r="M1144" s="304"/>
      <c r="N1144" s="48"/>
      <c r="O1144" s="48"/>
      <c r="P1144" s="131">
        <v>0.9</v>
      </c>
      <c r="Q1144" s="302">
        <v>700</v>
      </c>
      <c r="R1144" s="302">
        <v>700</v>
      </c>
      <c r="S1144" s="151" t="s">
        <v>1730</v>
      </c>
      <c r="T1144" s="51" t="s">
        <v>3204</v>
      </c>
      <c r="U1144" s="151" t="s">
        <v>2383</v>
      </c>
      <c r="V1144" s="51" t="s">
        <v>2285</v>
      </c>
      <c r="W1144" s="19"/>
      <c r="X1144" s="19"/>
      <c r="Y1144" s="99">
        <v>535</v>
      </c>
    </row>
    <row r="1145" spans="1:31" ht="20" x14ac:dyDescent="0.2">
      <c r="B1145" s="150" t="s">
        <v>583</v>
      </c>
      <c r="C1145" s="33" t="s">
        <v>106</v>
      </c>
      <c r="D1145" s="33" t="s">
        <v>2876</v>
      </c>
      <c r="E1145" s="175">
        <v>1</v>
      </c>
      <c r="F1145" s="151" t="s">
        <v>1128</v>
      </c>
      <c r="G1145" s="152">
        <v>0.86498149999999996</v>
      </c>
      <c r="H1145" s="152">
        <v>0.53393919753086416</v>
      </c>
      <c r="I1145" s="175">
        <v>230</v>
      </c>
      <c r="J1145" s="266">
        <f>_xlfn.XLOOKUP($I1145,Inputs!$C$6:$C$23,Inputs!$D$6:$D$23)*$G1145</f>
        <v>0.41519111999999997</v>
      </c>
      <c r="K1145" s="255"/>
      <c r="L1145" s="48"/>
      <c r="M1145" s="48"/>
      <c r="N1145" s="48"/>
      <c r="O1145" s="48"/>
      <c r="P1145" s="131">
        <v>0.9</v>
      </c>
      <c r="Q1145" s="302">
        <v>380</v>
      </c>
      <c r="R1145" s="302">
        <v>380</v>
      </c>
      <c r="S1145" s="151" t="s">
        <v>1815</v>
      </c>
      <c r="T1145" s="51" t="s">
        <v>3297</v>
      </c>
      <c r="U1145" s="151" t="s">
        <v>2384</v>
      </c>
      <c r="V1145" s="51" t="s">
        <v>2284</v>
      </c>
      <c r="W1145" s="19"/>
      <c r="X1145" s="19"/>
      <c r="Y1145" s="99">
        <v>434</v>
      </c>
    </row>
    <row r="1146" spans="1:31" ht="20" x14ac:dyDescent="0.2">
      <c r="B1146" s="230" t="s">
        <v>1125</v>
      </c>
      <c r="C1146" s="51" t="s">
        <v>173</v>
      </c>
      <c r="D1146" s="33" t="s">
        <v>2876</v>
      </c>
      <c r="E1146" s="231">
        <v>1</v>
      </c>
      <c r="F1146" s="230" t="s">
        <v>1128</v>
      </c>
      <c r="G1146" s="174">
        <v>1</v>
      </c>
      <c r="H1146" s="174">
        <v>0.61728395061728392</v>
      </c>
      <c r="I1146" s="231">
        <v>230</v>
      </c>
      <c r="J1146" s="266">
        <f>_xlfn.XLOOKUP($I1146,Inputs!$C$6:$C$23,Inputs!$D$6:$D$23)*$G1146</f>
        <v>0.48</v>
      </c>
      <c r="K1146" s="255"/>
      <c r="L1146" s="99"/>
      <c r="M1146" s="99"/>
      <c r="N1146" s="99"/>
      <c r="O1146" s="99"/>
      <c r="P1146" s="69"/>
      <c r="Q1146" s="303">
        <v>450</v>
      </c>
      <c r="R1146" s="303">
        <v>450</v>
      </c>
      <c r="S1146" s="230" t="s">
        <v>1815</v>
      </c>
      <c r="T1146" s="51" t="s">
        <v>3297</v>
      </c>
      <c r="U1146" s="230" t="s">
        <v>2384</v>
      </c>
      <c r="V1146" s="51" t="s">
        <v>2284</v>
      </c>
      <c r="W1146" s="19"/>
      <c r="X1146" s="19"/>
      <c r="Y1146" s="99">
        <v>1132</v>
      </c>
    </row>
    <row r="1148" spans="1:31" x14ac:dyDescent="0.2">
      <c r="B1148" s="180"/>
      <c r="E1148" s="180"/>
      <c r="F1148" s="177"/>
      <c r="G1148" s="178"/>
      <c r="H1148" s="178"/>
      <c r="I1148" s="180"/>
      <c r="L1148" s="41"/>
      <c r="AA1148" s="29"/>
      <c r="AC1148" s="29"/>
      <c r="AD1148" s="29"/>
      <c r="AE1148" s="29"/>
    </row>
    <row r="1149" spans="1:31" ht="19" x14ac:dyDescent="0.25">
      <c r="A1149" s="7"/>
      <c r="B1149" s="7"/>
      <c r="E1149" s="31"/>
      <c r="F1149" s="140"/>
      <c r="G1149" s="140"/>
      <c r="H1149" s="140"/>
      <c r="I1149" s="7"/>
      <c r="K1149" s="140"/>
    </row>
    <row r="1150" spans="1:31" s="254" customFormat="1" ht="19" x14ac:dyDescent="0.2">
      <c r="A1150" s="292" t="s">
        <v>2031</v>
      </c>
      <c r="O1150" s="189"/>
    </row>
    <row r="1151" spans="1:31" s="254" customFormat="1" ht="19" x14ac:dyDescent="0.25">
      <c r="A1151" s="7" t="s">
        <v>3741</v>
      </c>
      <c r="O1151" s="189"/>
    </row>
    <row r="1152" spans="1:31" s="254" customFormat="1" ht="19" x14ac:dyDescent="0.25">
      <c r="A1152" s="7" t="s">
        <v>3592</v>
      </c>
      <c r="O1152" s="189"/>
    </row>
    <row r="1153" spans="1:23" s="254" customFormat="1" ht="19" x14ac:dyDescent="0.25">
      <c r="A1153" s="7" t="s">
        <v>3593</v>
      </c>
      <c r="O1153" s="189"/>
    </row>
    <row r="1154" spans="1:23" s="254" customFormat="1" ht="19" x14ac:dyDescent="0.25">
      <c r="A1154" s="7" t="s">
        <v>3595</v>
      </c>
      <c r="O1154" s="189"/>
    </row>
    <row r="1155" spans="1:23" s="254" customFormat="1" ht="19" x14ac:dyDescent="0.25">
      <c r="A1155" s="7" t="s">
        <v>3742</v>
      </c>
      <c r="O1155" s="189"/>
    </row>
    <row r="1156" spans="1:23" s="254" customFormat="1" ht="19" x14ac:dyDescent="0.25">
      <c r="A1156" s="7" t="s">
        <v>3743</v>
      </c>
      <c r="O1156" s="189"/>
    </row>
    <row r="1157" spans="1:23" s="254" customFormat="1" ht="19" x14ac:dyDescent="0.25">
      <c r="A1157" s="7" t="s">
        <v>3596</v>
      </c>
      <c r="O1157" s="189"/>
    </row>
    <row r="1158" spans="1:23" s="254" customFormat="1" ht="19" x14ac:dyDescent="0.25">
      <c r="A1158" s="7" t="s">
        <v>2032</v>
      </c>
      <c r="O1158" s="189"/>
    </row>
    <row r="1159" spans="1:23" s="254" customFormat="1" ht="19" x14ac:dyDescent="0.25">
      <c r="A1159" s="7" t="s">
        <v>2033</v>
      </c>
      <c r="I1159" s="41"/>
      <c r="M1159" s="41"/>
      <c r="N1159" s="41"/>
      <c r="O1159" s="41"/>
    </row>
    <row r="1160" spans="1:23" s="254" customFormat="1" ht="19" x14ac:dyDescent="0.25">
      <c r="A1160" s="7" t="s">
        <v>3597</v>
      </c>
      <c r="O1160" s="189"/>
    </row>
    <row r="1161" spans="1:23" s="254" customFormat="1" ht="19" x14ac:dyDescent="0.25">
      <c r="A1161" s="7" t="s">
        <v>3598</v>
      </c>
      <c r="O1161" s="189"/>
    </row>
    <row r="1162" spans="1:23" s="254" customFormat="1" ht="19" x14ac:dyDescent="0.25">
      <c r="A1162" s="7"/>
      <c r="B1162" s="31"/>
      <c r="E1162" s="31"/>
      <c r="F1162" s="25"/>
      <c r="G1162" s="31"/>
      <c r="H1162" s="31"/>
      <c r="I1162" s="26"/>
      <c r="J1162" s="25"/>
      <c r="K1162" s="140"/>
      <c r="L1162" s="31"/>
      <c r="M1162" s="31"/>
      <c r="N1162" s="25"/>
      <c r="O1162" s="25"/>
      <c r="P1162" s="25"/>
      <c r="Q1162" s="25"/>
      <c r="R1162" s="25"/>
      <c r="S1162" s="253"/>
      <c r="T1162" s="253"/>
      <c r="U1162" s="25"/>
      <c r="V1162" s="253"/>
      <c r="W1162" s="7"/>
    </row>
    <row r="1163" spans="1:23" s="193" customFormat="1" ht="19" x14ac:dyDescent="0.2">
      <c r="A1163" s="47" t="s">
        <v>1039</v>
      </c>
      <c r="B1163" s="41"/>
      <c r="C1163" s="38"/>
      <c r="D1163" s="38"/>
      <c r="E1163" s="39"/>
      <c r="F1163" s="41"/>
      <c r="G1163" s="41"/>
      <c r="H1163" s="41"/>
      <c r="I1163" s="41"/>
      <c r="J1163" s="41"/>
      <c r="K1163" s="180"/>
      <c r="L1163" s="41"/>
      <c r="M1163" s="41"/>
      <c r="N1163" s="41"/>
    </row>
    <row r="1164" spans="1:23" s="193" customFormat="1" ht="19" x14ac:dyDescent="0.25">
      <c r="A1164" s="55" t="s">
        <v>2872</v>
      </c>
      <c r="B1164" s="41"/>
      <c r="C1164" s="41"/>
      <c r="D1164" s="41"/>
      <c r="E1164" s="41"/>
      <c r="F1164" s="41"/>
      <c r="G1164" s="41"/>
      <c r="H1164" s="41"/>
      <c r="I1164" s="41"/>
      <c r="K1164" s="180"/>
      <c r="L1164" s="41"/>
      <c r="M1164" s="41"/>
    </row>
  </sheetData>
  <autoFilter ref="B3:Y3" xr:uid="{36CC8558-426B-B547-95A2-244420C90627}">
    <sortState xmlns:xlrd2="http://schemas.microsoft.com/office/spreadsheetml/2017/richdata2" ref="B4:Y1146">
      <sortCondition ref="V3:V1146"/>
    </sortState>
  </autoFilter>
  <phoneticPr fontId="36" type="noConversion"/>
  <conditionalFormatting sqref="V730">
    <cfRule type="duplicateValues" dxfId="4" priority="4"/>
  </conditionalFormatting>
  <conditionalFormatting sqref="V804">
    <cfRule type="duplicateValues" dxfId="3" priority="3"/>
  </conditionalFormatting>
  <conditionalFormatting sqref="V1113">
    <cfRule type="duplicateValues" dxfId="2" priority="2"/>
  </conditionalFormatting>
  <conditionalFormatting sqref="T1114">
    <cfRule type="duplicateValues" dxfId="1" priority="1"/>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8C9EB-E5AA-3F45-B75C-8C69509AF7F7}">
  <dimension ref="A1:L2874"/>
  <sheetViews>
    <sheetView zoomScaleNormal="100" workbookViewId="0">
      <pane ySplit="3" topLeftCell="A4" activePane="bottomLeft" state="frozen"/>
      <selection pane="bottomLeft" activeCell="H419" sqref="H419"/>
    </sheetView>
  </sheetViews>
  <sheetFormatPr baseColWidth="10" defaultRowHeight="16" x14ac:dyDescent="0.2"/>
  <cols>
    <col min="1" max="1" width="4.83203125" style="254" customWidth="1"/>
    <col min="2" max="2" width="60.83203125" style="254" customWidth="1"/>
    <col min="3" max="3" width="20.83203125" style="90" customWidth="1"/>
    <col min="4" max="6" width="24.83203125" style="41" customWidth="1"/>
    <col min="7" max="7" width="20.83203125" style="41" customWidth="1"/>
    <col min="8" max="9" width="60.83203125" style="254" customWidth="1"/>
    <col min="10" max="16384" width="10.83203125" style="254"/>
  </cols>
  <sheetData>
    <row r="1" spans="1:10" s="7" customFormat="1" ht="21" x14ac:dyDescent="0.25">
      <c r="A1" s="89" t="s">
        <v>102</v>
      </c>
      <c r="B1" s="20" t="s">
        <v>2933</v>
      </c>
      <c r="C1" s="90"/>
      <c r="D1" s="20"/>
      <c r="E1" s="20"/>
      <c r="F1" s="20"/>
      <c r="G1" s="20"/>
      <c r="H1" s="254"/>
    </row>
    <row r="2" spans="1:10" s="6" customFormat="1" ht="20" x14ac:dyDescent="0.2">
      <c r="B2" s="21" t="s">
        <v>2936</v>
      </c>
      <c r="C2" s="21" t="s">
        <v>2935</v>
      </c>
      <c r="D2" s="21" t="s">
        <v>13</v>
      </c>
      <c r="E2" s="21" t="s">
        <v>763</v>
      </c>
      <c r="F2" s="21" t="s">
        <v>762</v>
      </c>
      <c r="G2" s="21" t="s">
        <v>2945</v>
      </c>
      <c r="H2" s="21" t="s">
        <v>1100</v>
      </c>
      <c r="I2" s="21" t="s">
        <v>45</v>
      </c>
    </row>
    <row r="3" spans="1:10" s="6" customFormat="1" ht="19" x14ac:dyDescent="0.2">
      <c r="B3" s="50"/>
      <c r="C3" s="50"/>
      <c r="D3" s="18"/>
      <c r="E3" s="18"/>
      <c r="F3" s="18"/>
      <c r="G3" s="18"/>
      <c r="H3" s="19"/>
      <c r="I3" s="19"/>
    </row>
    <row r="4" spans="1:10" ht="20" x14ac:dyDescent="0.2">
      <c r="A4" s="6"/>
      <c r="B4" s="293" t="s">
        <v>1561</v>
      </c>
      <c r="C4" s="294" t="s">
        <v>3213</v>
      </c>
      <c r="D4" s="51" t="s">
        <v>106</v>
      </c>
      <c r="E4" s="51"/>
      <c r="F4" s="51"/>
      <c r="G4" s="51" t="s">
        <v>2876</v>
      </c>
      <c r="H4" s="19"/>
      <c r="I4" s="19"/>
    </row>
    <row r="5" spans="1:10" s="7" customFormat="1" ht="20" x14ac:dyDescent="0.25">
      <c r="A5" s="6"/>
      <c r="B5" s="151" t="s">
        <v>1563</v>
      </c>
      <c r="C5" s="51" t="s">
        <v>3524</v>
      </c>
      <c r="D5" s="51" t="s">
        <v>106</v>
      </c>
      <c r="E5" s="51"/>
      <c r="F5" s="51"/>
      <c r="G5" s="51" t="s">
        <v>2876</v>
      </c>
      <c r="H5" s="19"/>
      <c r="I5" s="19"/>
      <c r="J5" s="254"/>
    </row>
    <row r="6" spans="1:10" ht="20" x14ac:dyDescent="0.2">
      <c r="A6" s="6"/>
      <c r="B6" s="151" t="s">
        <v>1564</v>
      </c>
      <c r="C6" s="51" t="s">
        <v>3087</v>
      </c>
      <c r="D6" s="51" t="s">
        <v>106</v>
      </c>
      <c r="E6" s="299">
        <v>49.493319300000003</v>
      </c>
      <c r="F6" s="299">
        <v>-115.36242369999999</v>
      </c>
      <c r="G6" s="51" t="s">
        <v>2876</v>
      </c>
      <c r="H6" s="19"/>
      <c r="I6" s="19"/>
    </row>
    <row r="7" spans="1:10" ht="20" x14ac:dyDescent="0.2">
      <c r="A7" s="6"/>
      <c r="B7" s="151" t="s">
        <v>2563</v>
      </c>
      <c r="C7" s="51" t="s">
        <v>2220</v>
      </c>
      <c r="D7" s="51" t="s">
        <v>106</v>
      </c>
      <c r="E7" s="51"/>
      <c r="F7" s="51"/>
      <c r="G7" s="51" t="s">
        <v>2876</v>
      </c>
      <c r="H7" s="19"/>
      <c r="I7" s="19"/>
    </row>
    <row r="8" spans="1:10" ht="20" x14ac:dyDescent="0.2">
      <c r="A8" s="6"/>
      <c r="B8" s="151" t="s">
        <v>1566</v>
      </c>
      <c r="C8" s="51" t="s">
        <v>3606</v>
      </c>
      <c r="D8" s="51" t="s">
        <v>106</v>
      </c>
      <c r="E8" s="51"/>
      <c r="F8" s="51"/>
      <c r="G8" s="51" t="s">
        <v>2876</v>
      </c>
      <c r="H8" s="19"/>
      <c r="I8" s="19"/>
    </row>
    <row r="9" spans="1:10" ht="20" x14ac:dyDescent="0.2">
      <c r="A9" s="6"/>
      <c r="B9" s="151" t="s">
        <v>2418</v>
      </c>
      <c r="C9" s="51" t="s">
        <v>2069</v>
      </c>
      <c r="D9" s="51" t="s">
        <v>106</v>
      </c>
      <c r="E9" s="51"/>
      <c r="F9" s="51"/>
      <c r="G9" s="51" t="s">
        <v>2876</v>
      </c>
      <c r="H9" s="19"/>
      <c r="I9" s="19"/>
    </row>
    <row r="10" spans="1:10" ht="20" x14ac:dyDescent="0.2">
      <c r="A10" s="6"/>
      <c r="B10" s="151" t="s">
        <v>1577</v>
      </c>
      <c r="C10" s="51" t="s">
        <v>3367</v>
      </c>
      <c r="D10" s="51" t="s">
        <v>106</v>
      </c>
      <c r="E10" s="51"/>
      <c r="F10" s="51"/>
      <c r="G10" s="51" t="s">
        <v>2876</v>
      </c>
      <c r="H10" s="19"/>
      <c r="I10" s="19"/>
    </row>
    <row r="11" spans="1:10" ht="20" x14ac:dyDescent="0.2">
      <c r="A11" s="6"/>
      <c r="B11" s="151" t="s">
        <v>2574</v>
      </c>
      <c r="C11" s="51" t="s">
        <v>2231</v>
      </c>
      <c r="D11" s="51" t="s">
        <v>106</v>
      </c>
      <c r="E11" s="51"/>
      <c r="F11" s="51"/>
      <c r="G11" s="51" t="s">
        <v>2876</v>
      </c>
      <c r="H11" s="19"/>
      <c r="I11" s="19"/>
    </row>
    <row r="12" spans="1:10" ht="20" x14ac:dyDescent="0.2">
      <c r="A12" s="6"/>
      <c r="B12" s="151" t="s">
        <v>1578</v>
      </c>
      <c r="C12" s="51" t="s">
        <v>3215</v>
      </c>
      <c r="D12" s="51" t="s">
        <v>106</v>
      </c>
      <c r="E12" s="51"/>
      <c r="F12" s="51"/>
      <c r="G12" s="51" t="s">
        <v>2876</v>
      </c>
      <c r="H12" s="19"/>
      <c r="I12" s="19"/>
    </row>
    <row r="13" spans="1:10" ht="20" x14ac:dyDescent="0.2">
      <c r="A13" s="6"/>
      <c r="B13" s="151" t="s">
        <v>1562</v>
      </c>
      <c r="C13" s="51" t="s">
        <v>3359</v>
      </c>
      <c r="D13" s="51" t="s">
        <v>106</v>
      </c>
      <c r="E13" s="51"/>
      <c r="F13" s="51"/>
      <c r="G13" s="51" t="s">
        <v>2876</v>
      </c>
      <c r="H13" s="19"/>
      <c r="I13" s="19"/>
    </row>
    <row r="14" spans="1:10" ht="20" x14ac:dyDescent="0.2">
      <c r="A14" s="6"/>
      <c r="B14" s="151" t="s">
        <v>2439</v>
      </c>
      <c r="C14" s="51" t="s">
        <v>2090</v>
      </c>
      <c r="D14" s="51" t="s">
        <v>106</v>
      </c>
      <c r="E14" s="51"/>
      <c r="F14" s="51"/>
      <c r="G14" s="51" t="s">
        <v>2876</v>
      </c>
      <c r="H14" s="19"/>
      <c r="I14" s="19"/>
    </row>
    <row r="15" spans="1:10" ht="20" x14ac:dyDescent="0.2">
      <c r="A15" s="6"/>
      <c r="B15" s="151" t="s">
        <v>2290</v>
      </c>
      <c r="C15" s="51" t="s">
        <v>3089</v>
      </c>
      <c r="D15" s="51" t="s">
        <v>106</v>
      </c>
      <c r="E15" s="299">
        <v>49.372118</v>
      </c>
      <c r="F15" s="299">
        <v>-122.31242899999999</v>
      </c>
      <c r="G15" s="51" t="s">
        <v>2876</v>
      </c>
      <c r="H15" s="19"/>
      <c r="I15" s="19"/>
    </row>
    <row r="16" spans="1:10" ht="20" x14ac:dyDescent="0.2">
      <c r="A16" s="6"/>
      <c r="B16" s="151" t="s">
        <v>1571</v>
      </c>
      <c r="C16" s="51" t="s">
        <v>3363</v>
      </c>
      <c r="D16" s="51" t="s">
        <v>106</v>
      </c>
      <c r="E16" s="51"/>
      <c r="F16" s="51"/>
      <c r="G16" s="51" t="s">
        <v>2876</v>
      </c>
      <c r="H16" s="19"/>
      <c r="I16" s="19"/>
    </row>
    <row r="17" spans="1:9" ht="20" x14ac:dyDescent="0.2">
      <c r="A17" s="6"/>
      <c r="B17" s="151" t="s">
        <v>2501</v>
      </c>
      <c r="C17" s="51" t="s">
        <v>2159</v>
      </c>
      <c r="D17" s="51" t="s">
        <v>106</v>
      </c>
      <c r="E17" s="51"/>
      <c r="F17" s="51"/>
      <c r="G17" s="51" t="s">
        <v>2876</v>
      </c>
      <c r="H17" s="19"/>
      <c r="I17" s="19"/>
    </row>
    <row r="18" spans="1:9" ht="20" x14ac:dyDescent="0.2">
      <c r="A18" s="6"/>
      <c r="B18" s="151" t="s">
        <v>2025</v>
      </c>
      <c r="C18" s="51" t="s">
        <v>3610</v>
      </c>
      <c r="D18" s="51" t="s">
        <v>106</v>
      </c>
      <c r="E18" s="51"/>
      <c r="F18" s="51"/>
      <c r="G18" s="51" t="s">
        <v>2876</v>
      </c>
      <c r="H18" s="19"/>
      <c r="I18" s="19"/>
    </row>
    <row r="19" spans="1:9" ht="20" x14ac:dyDescent="0.2">
      <c r="A19" s="6"/>
      <c r="B19" s="151" t="s">
        <v>2502</v>
      </c>
      <c r="C19" s="51" t="s">
        <v>2160</v>
      </c>
      <c r="D19" s="51" t="s">
        <v>106</v>
      </c>
      <c r="E19" s="51"/>
      <c r="F19" s="51"/>
      <c r="G19" s="51" t="s">
        <v>2876</v>
      </c>
      <c r="H19" s="19"/>
      <c r="I19" s="19"/>
    </row>
    <row r="20" spans="1:9" ht="20" x14ac:dyDescent="0.2">
      <c r="A20" s="6"/>
      <c r="B20" s="151" t="s">
        <v>1567</v>
      </c>
      <c r="C20" s="51" t="s">
        <v>3611</v>
      </c>
      <c r="D20" s="51" t="s">
        <v>106</v>
      </c>
      <c r="E20" s="51"/>
      <c r="F20" s="51"/>
      <c r="G20" s="51" t="s">
        <v>2876</v>
      </c>
      <c r="H20" s="19"/>
      <c r="I20" s="19"/>
    </row>
    <row r="21" spans="1:9" ht="20" x14ac:dyDescent="0.2">
      <c r="A21" s="6"/>
      <c r="B21" s="151" t="s">
        <v>2601</v>
      </c>
      <c r="C21" s="51" t="s">
        <v>2260</v>
      </c>
      <c r="D21" s="51" t="s">
        <v>106</v>
      </c>
      <c r="E21" s="51"/>
      <c r="F21" s="51"/>
      <c r="G21" s="51" t="s">
        <v>2876</v>
      </c>
      <c r="H21" s="19"/>
      <c r="I21" s="19"/>
    </row>
    <row r="22" spans="1:9" ht="20" x14ac:dyDescent="0.2">
      <c r="A22" s="6"/>
      <c r="B22" s="230" t="s">
        <v>2683</v>
      </c>
      <c r="C22" s="51" t="s">
        <v>3553</v>
      </c>
      <c r="D22" s="51" t="s">
        <v>173</v>
      </c>
      <c r="E22" s="51"/>
      <c r="F22" s="51"/>
      <c r="G22" s="51" t="s">
        <v>2876</v>
      </c>
      <c r="H22" s="19"/>
      <c r="I22" s="19"/>
    </row>
    <row r="23" spans="1:9" ht="20" x14ac:dyDescent="0.2">
      <c r="A23" s="6"/>
      <c r="B23" s="151" t="s">
        <v>114</v>
      </c>
      <c r="C23" s="51" t="s">
        <v>3364</v>
      </c>
      <c r="D23" s="51" t="s">
        <v>106</v>
      </c>
      <c r="E23" s="51"/>
      <c r="F23" s="51"/>
      <c r="G23" s="51" t="s">
        <v>2876</v>
      </c>
      <c r="H23" s="19"/>
      <c r="I23" s="19"/>
    </row>
    <row r="24" spans="1:9" ht="20" x14ac:dyDescent="0.2">
      <c r="A24" s="6"/>
      <c r="B24" s="151" t="s">
        <v>2436</v>
      </c>
      <c r="C24" s="51" t="s">
        <v>2086</v>
      </c>
      <c r="D24" s="51" t="s">
        <v>106</v>
      </c>
      <c r="E24" s="51"/>
      <c r="F24" s="51"/>
      <c r="G24" s="51" t="s">
        <v>2876</v>
      </c>
      <c r="H24" s="19"/>
      <c r="I24" s="19"/>
    </row>
    <row r="25" spans="1:9" ht="20" x14ac:dyDescent="0.2">
      <c r="A25" s="6"/>
      <c r="B25" s="151" t="s">
        <v>1572</v>
      </c>
      <c r="C25" s="51" t="s">
        <v>3194</v>
      </c>
      <c r="D25" s="51" t="s">
        <v>106</v>
      </c>
      <c r="E25" s="299">
        <v>49.054333</v>
      </c>
      <c r="F25" s="299">
        <v>-123.044867</v>
      </c>
      <c r="G25" s="51" t="s">
        <v>2876</v>
      </c>
      <c r="H25" s="19"/>
      <c r="I25" s="19"/>
    </row>
    <row r="26" spans="1:9" ht="20" x14ac:dyDescent="0.2">
      <c r="A26" s="6"/>
      <c r="B26" s="230" t="s">
        <v>1569</v>
      </c>
      <c r="C26" s="51" t="s">
        <v>3088</v>
      </c>
      <c r="D26" s="51" t="s">
        <v>173</v>
      </c>
      <c r="E26" s="299">
        <v>49.343024399999997</v>
      </c>
      <c r="F26" s="299">
        <v>-117.76884920000001</v>
      </c>
      <c r="G26" s="51" t="s">
        <v>2876</v>
      </c>
      <c r="H26" s="19"/>
      <c r="I26" s="19"/>
    </row>
    <row r="27" spans="1:9" ht="20" x14ac:dyDescent="0.2">
      <c r="A27" s="6"/>
      <c r="B27" s="230" t="s">
        <v>3561</v>
      </c>
      <c r="C27" s="51" t="s">
        <v>3560</v>
      </c>
      <c r="D27" s="51" t="s">
        <v>173</v>
      </c>
      <c r="E27" s="51"/>
      <c r="F27" s="51"/>
      <c r="G27" s="51" t="s">
        <v>2876</v>
      </c>
      <c r="H27" s="19"/>
      <c r="I27" s="19"/>
    </row>
    <row r="28" spans="1:9" ht="20" x14ac:dyDescent="0.2">
      <c r="A28" s="6"/>
      <c r="B28" s="151" t="s">
        <v>1573</v>
      </c>
      <c r="C28" s="51" t="s">
        <v>3090</v>
      </c>
      <c r="D28" s="51" t="s">
        <v>106</v>
      </c>
      <c r="E28" s="299">
        <v>49.373362999999998</v>
      </c>
      <c r="F28" s="299">
        <v>-125.15062880000001</v>
      </c>
      <c r="G28" s="51" t="s">
        <v>2876</v>
      </c>
      <c r="H28" s="19"/>
      <c r="I28" s="19"/>
    </row>
    <row r="29" spans="1:9" ht="20" x14ac:dyDescent="0.2">
      <c r="A29" s="6"/>
      <c r="B29" s="151" t="s">
        <v>1568</v>
      </c>
      <c r="C29" s="51" t="s">
        <v>3184</v>
      </c>
      <c r="D29" s="51" t="s">
        <v>106</v>
      </c>
      <c r="E29" s="299">
        <v>50.787311799999998</v>
      </c>
      <c r="F29" s="299">
        <v>-121.3196719</v>
      </c>
      <c r="G29" s="51" t="s">
        <v>2876</v>
      </c>
      <c r="H29" s="19"/>
      <c r="I29" s="19"/>
    </row>
    <row r="30" spans="1:9" ht="20" x14ac:dyDescent="0.2">
      <c r="A30" s="6"/>
      <c r="B30" s="184" t="s">
        <v>2499</v>
      </c>
      <c r="C30" s="51" t="s">
        <v>2157</v>
      </c>
      <c r="D30" s="51" t="s">
        <v>106</v>
      </c>
      <c r="E30" s="51"/>
      <c r="F30" s="51"/>
      <c r="G30" s="51" t="s">
        <v>2876</v>
      </c>
      <c r="H30" s="19"/>
      <c r="I30" s="19"/>
    </row>
    <row r="31" spans="1:9" ht="20" x14ac:dyDescent="0.2">
      <c r="A31" s="6"/>
      <c r="B31" s="151" t="s">
        <v>1574</v>
      </c>
      <c r="C31" s="51" t="s">
        <v>3091</v>
      </c>
      <c r="D31" s="51" t="s">
        <v>106</v>
      </c>
      <c r="E31" s="299">
        <v>49.914338299999997</v>
      </c>
      <c r="F31" s="299">
        <v>-123.3250321</v>
      </c>
      <c r="G31" s="51" t="s">
        <v>2876</v>
      </c>
      <c r="H31" s="19"/>
      <c r="I31" s="19"/>
    </row>
    <row r="32" spans="1:9" ht="20" x14ac:dyDescent="0.2">
      <c r="A32" s="6"/>
      <c r="B32" s="151" t="s">
        <v>2624</v>
      </c>
      <c r="C32" s="51" t="s">
        <v>2126</v>
      </c>
      <c r="D32" s="51" t="s">
        <v>106</v>
      </c>
      <c r="E32" s="51"/>
      <c r="F32" s="51"/>
      <c r="G32" s="51" t="s">
        <v>2876</v>
      </c>
      <c r="H32" s="19"/>
      <c r="I32" s="19"/>
    </row>
    <row r="33" spans="1:10" ht="20" x14ac:dyDescent="0.2">
      <c r="A33" s="6"/>
      <c r="B33" s="151" t="s">
        <v>1565</v>
      </c>
      <c r="C33" s="51" t="s">
        <v>3206</v>
      </c>
      <c r="D33" s="51" t="s">
        <v>106</v>
      </c>
      <c r="E33" s="299">
        <v>50.296008200000003</v>
      </c>
      <c r="F33" s="299">
        <v>-118.8133272</v>
      </c>
      <c r="G33" s="51" t="s">
        <v>2876</v>
      </c>
      <c r="H33" s="19"/>
      <c r="I33" s="19"/>
    </row>
    <row r="34" spans="1:10" ht="20" x14ac:dyDescent="0.2">
      <c r="A34" s="6"/>
      <c r="B34" s="151" t="s">
        <v>1570</v>
      </c>
      <c r="C34" s="51" t="s">
        <v>3214</v>
      </c>
      <c r="D34" s="51" t="s">
        <v>106</v>
      </c>
      <c r="E34" s="51"/>
      <c r="F34" s="51"/>
      <c r="G34" s="51" t="s">
        <v>2876</v>
      </c>
      <c r="H34" s="297"/>
      <c r="I34" s="297"/>
    </row>
    <row r="35" spans="1:10" ht="20" x14ac:dyDescent="0.2">
      <c r="A35" s="6"/>
      <c r="B35" s="151" t="s">
        <v>1575</v>
      </c>
      <c r="C35" s="51" t="s">
        <v>3365</v>
      </c>
      <c r="D35" s="51" t="s">
        <v>106</v>
      </c>
      <c r="E35" s="51"/>
      <c r="F35" s="51"/>
      <c r="G35" s="51" t="s">
        <v>2876</v>
      </c>
      <c r="H35" s="19"/>
      <c r="I35" s="19"/>
      <c r="J35" s="25"/>
    </row>
    <row r="36" spans="1:10" ht="20" x14ac:dyDescent="0.2">
      <c r="A36" s="6"/>
      <c r="B36" s="151" t="s">
        <v>2554</v>
      </c>
      <c r="C36" s="51" t="s">
        <v>2207</v>
      </c>
      <c r="D36" s="51" t="s">
        <v>106</v>
      </c>
      <c r="E36" s="51"/>
      <c r="F36" s="51"/>
      <c r="G36" s="51" t="s">
        <v>2876</v>
      </c>
      <c r="H36" s="19"/>
      <c r="I36" s="19"/>
      <c r="J36" s="25"/>
    </row>
    <row r="37" spans="1:10" ht="20" x14ac:dyDescent="0.2">
      <c r="A37" s="6"/>
      <c r="B37" s="151" t="s">
        <v>1576</v>
      </c>
      <c r="C37" s="51" t="s">
        <v>3366</v>
      </c>
      <c r="D37" s="51" t="s">
        <v>106</v>
      </c>
      <c r="E37" s="51"/>
      <c r="F37" s="51"/>
      <c r="G37" s="51" t="s">
        <v>2876</v>
      </c>
      <c r="H37" s="19"/>
      <c r="I37" s="19"/>
    </row>
    <row r="38" spans="1:10" ht="20" x14ac:dyDescent="0.2">
      <c r="A38" s="6"/>
      <c r="B38" s="151" t="s">
        <v>2431</v>
      </c>
      <c r="C38" s="51" t="s">
        <v>2082</v>
      </c>
      <c r="D38" s="51" t="s">
        <v>106</v>
      </c>
      <c r="E38" s="51"/>
      <c r="F38" s="51"/>
      <c r="G38" s="51" t="s">
        <v>2876</v>
      </c>
      <c r="H38" s="19"/>
      <c r="I38" s="19"/>
    </row>
    <row r="39" spans="1:10" ht="20" x14ac:dyDescent="0.2">
      <c r="A39" s="6"/>
      <c r="B39" s="151" t="s">
        <v>1579</v>
      </c>
      <c r="C39" s="51" t="s">
        <v>3541</v>
      </c>
      <c r="D39" s="51" t="s">
        <v>106</v>
      </c>
      <c r="E39" s="51"/>
      <c r="F39" s="51"/>
      <c r="G39" s="51" t="s">
        <v>2876</v>
      </c>
      <c r="H39" s="297"/>
      <c r="I39" s="297"/>
    </row>
    <row r="40" spans="1:10" ht="20" x14ac:dyDescent="0.2">
      <c r="A40" s="6"/>
      <c r="B40" s="151" t="s">
        <v>1580</v>
      </c>
      <c r="C40" s="51" t="s">
        <v>3368</v>
      </c>
      <c r="D40" s="51" t="s">
        <v>106</v>
      </c>
      <c r="E40" s="51"/>
      <c r="F40" s="51"/>
      <c r="G40" s="51" t="s">
        <v>2876</v>
      </c>
      <c r="H40" s="19"/>
      <c r="I40" s="19"/>
    </row>
    <row r="41" spans="1:10" ht="20" x14ac:dyDescent="0.2">
      <c r="A41" s="6"/>
      <c r="B41" s="151" t="s">
        <v>2483</v>
      </c>
      <c r="C41" s="51" t="s">
        <v>2138</v>
      </c>
      <c r="D41" s="51" t="s">
        <v>106</v>
      </c>
      <c r="E41" s="51"/>
      <c r="F41" s="51"/>
      <c r="G41" s="51" t="s">
        <v>2876</v>
      </c>
      <c r="H41" s="297"/>
      <c r="I41" s="297"/>
    </row>
    <row r="42" spans="1:10" ht="20" x14ac:dyDescent="0.2">
      <c r="A42" s="6"/>
      <c r="B42" s="151" t="s">
        <v>1594</v>
      </c>
      <c r="C42" s="51" t="s">
        <v>3223</v>
      </c>
      <c r="D42" s="51" t="s">
        <v>106</v>
      </c>
      <c r="E42" s="51"/>
      <c r="F42" s="51"/>
      <c r="G42" s="51" t="s">
        <v>2876</v>
      </c>
      <c r="H42" s="19"/>
      <c r="I42" s="19"/>
    </row>
    <row r="43" spans="1:10" ht="20" x14ac:dyDescent="0.2">
      <c r="A43" s="6"/>
      <c r="B43" s="151" t="s">
        <v>2581</v>
      </c>
      <c r="C43" s="51" t="s">
        <v>2240</v>
      </c>
      <c r="D43" s="51" t="s">
        <v>106</v>
      </c>
      <c r="E43" s="51"/>
      <c r="F43" s="51"/>
      <c r="G43" s="51" t="s">
        <v>2876</v>
      </c>
      <c r="H43" s="19"/>
      <c r="I43" s="19"/>
    </row>
    <row r="44" spans="1:10" ht="20" x14ac:dyDescent="0.2">
      <c r="A44" s="6"/>
      <c r="B44" s="151" t="s">
        <v>1598</v>
      </c>
      <c r="C44" s="51" t="s">
        <v>3225</v>
      </c>
      <c r="D44" s="51" t="s">
        <v>106</v>
      </c>
      <c r="E44" s="51"/>
      <c r="F44" s="51"/>
      <c r="G44" s="51" t="s">
        <v>2876</v>
      </c>
      <c r="H44" s="297"/>
      <c r="I44" s="297"/>
    </row>
    <row r="45" spans="1:10" ht="20" x14ac:dyDescent="0.2">
      <c r="A45" s="6"/>
      <c r="B45" s="151" t="s">
        <v>1581</v>
      </c>
      <c r="C45" s="51" t="s">
        <v>3369</v>
      </c>
      <c r="D45" s="51" t="s">
        <v>106</v>
      </c>
      <c r="E45" s="51"/>
      <c r="F45" s="51"/>
      <c r="G45" s="51" t="s">
        <v>2876</v>
      </c>
      <c r="H45" s="19"/>
      <c r="I45" s="19"/>
    </row>
    <row r="46" spans="1:10" ht="20" x14ac:dyDescent="0.2">
      <c r="A46" s="6"/>
      <c r="B46" s="151" t="s">
        <v>2425</v>
      </c>
      <c r="C46" s="51" t="s">
        <v>2074</v>
      </c>
      <c r="D46" s="51" t="s">
        <v>106</v>
      </c>
      <c r="E46" s="51"/>
      <c r="F46" s="51"/>
      <c r="G46" s="51" t="s">
        <v>2876</v>
      </c>
      <c r="H46" s="19"/>
      <c r="I46" s="19"/>
    </row>
    <row r="47" spans="1:10" ht="20" x14ac:dyDescent="0.2">
      <c r="A47" s="6"/>
      <c r="B47" s="151" t="s">
        <v>1584</v>
      </c>
      <c r="C47" s="51" t="s">
        <v>3607</v>
      </c>
      <c r="D47" s="51" t="s">
        <v>106</v>
      </c>
      <c r="E47" s="51"/>
      <c r="F47" s="51"/>
      <c r="G47" s="51" t="s">
        <v>2876</v>
      </c>
      <c r="H47" s="297"/>
      <c r="I47" s="297"/>
    </row>
    <row r="48" spans="1:10" ht="20" x14ac:dyDescent="0.2">
      <c r="A48" s="6"/>
      <c r="B48" s="151" t="s">
        <v>2589</v>
      </c>
      <c r="C48" s="51" t="s">
        <v>2248</v>
      </c>
      <c r="D48" s="51" t="s">
        <v>106</v>
      </c>
      <c r="E48" s="51"/>
      <c r="F48" s="51"/>
      <c r="G48" s="51" t="s">
        <v>2876</v>
      </c>
      <c r="H48" s="297"/>
      <c r="I48" s="297"/>
    </row>
    <row r="49" spans="1:10" ht="20" x14ac:dyDescent="0.2">
      <c r="A49" s="6"/>
      <c r="B49" s="230" t="s">
        <v>2655</v>
      </c>
      <c r="C49" s="51" t="s">
        <v>3612</v>
      </c>
      <c r="D49" s="51" t="s">
        <v>173</v>
      </c>
      <c r="E49" s="51"/>
      <c r="F49" s="51"/>
      <c r="G49" s="51" t="s">
        <v>2876</v>
      </c>
      <c r="H49" s="19"/>
      <c r="I49" s="19"/>
    </row>
    <row r="50" spans="1:10" ht="20" x14ac:dyDescent="0.2">
      <c r="A50" s="6"/>
      <c r="B50" s="151" t="s">
        <v>1585</v>
      </c>
      <c r="C50" s="51" t="s">
        <v>3613</v>
      </c>
      <c r="D50" s="51" t="s">
        <v>106</v>
      </c>
      <c r="E50" s="51"/>
      <c r="F50" s="51"/>
      <c r="G50" s="51" t="s">
        <v>2876</v>
      </c>
      <c r="H50" s="19"/>
      <c r="I50" s="19"/>
    </row>
    <row r="51" spans="1:10" ht="20" x14ac:dyDescent="0.2">
      <c r="A51" s="6"/>
      <c r="B51" s="151" t="s">
        <v>2295</v>
      </c>
      <c r="C51" s="51" t="s">
        <v>3581</v>
      </c>
      <c r="D51" s="51" t="s">
        <v>106</v>
      </c>
      <c r="E51" s="51"/>
      <c r="F51" s="51"/>
      <c r="G51" s="51" t="s">
        <v>2876</v>
      </c>
      <c r="H51" s="19"/>
      <c r="I51" s="19"/>
    </row>
    <row r="52" spans="1:10" ht="20" x14ac:dyDescent="0.2">
      <c r="A52" s="6"/>
      <c r="B52" s="151" t="s">
        <v>1596</v>
      </c>
      <c r="C52" s="51" t="s">
        <v>3224</v>
      </c>
      <c r="D52" s="51" t="s">
        <v>106</v>
      </c>
      <c r="E52" s="51"/>
      <c r="F52" s="51"/>
      <c r="G52" s="51" t="s">
        <v>2876</v>
      </c>
      <c r="H52" s="297"/>
      <c r="I52" s="297"/>
    </row>
    <row r="53" spans="1:10" ht="20" x14ac:dyDescent="0.2">
      <c r="A53" s="6"/>
      <c r="B53" s="151" t="s">
        <v>2288</v>
      </c>
      <c r="C53" s="51" t="s">
        <v>3095</v>
      </c>
      <c r="D53" s="51" t="s">
        <v>106</v>
      </c>
      <c r="E53" s="299">
        <v>55.704125699999999</v>
      </c>
      <c r="F53" s="299">
        <v>-120.4263595</v>
      </c>
      <c r="G53" s="51" t="s">
        <v>2876</v>
      </c>
      <c r="H53" s="19"/>
      <c r="I53" s="19"/>
    </row>
    <row r="54" spans="1:10" ht="20" x14ac:dyDescent="0.2">
      <c r="A54" s="6"/>
      <c r="B54" s="151" t="s">
        <v>1607</v>
      </c>
      <c r="C54" s="51" t="s">
        <v>3383</v>
      </c>
      <c r="D54" s="51" t="s">
        <v>106</v>
      </c>
      <c r="E54" s="51"/>
      <c r="F54" s="51"/>
      <c r="G54" s="51" t="s">
        <v>2876</v>
      </c>
      <c r="H54" s="297"/>
      <c r="I54" s="297"/>
    </row>
    <row r="55" spans="1:10" ht="20" x14ac:dyDescent="0.2">
      <c r="A55" s="6"/>
      <c r="B55" s="151" t="s">
        <v>2415</v>
      </c>
      <c r="C55" s="51" t="s">
        <v>2065</v>
      </c>
      <c r="D55" s="51" t="s">
        <v>106</v>
      </c>
      <c r="E55" s="51"/>
      <c r="F55" s="51"/>
      <c r="G55" s="51" t="s">
        <v>2876</v>
      </c>
      <c r="H55" s="297"/>
      <c r="I55" s="297"/>
    </row>
    <row r="56" spans="1:10" s="41" customFormat="1" ht="20" x14ac:dyDescent="0.2">
      <c r="A56" s="6"/>
      <c r="B56" s="230" t="s">
        <v>2709</v>
      </c>
      <c r="C56" s="51" t="s">
        <v>3218</v>
      </c>
      <c r="D56" s="51" t="s">
        <v>173</v>
      </c>
      <c r="E56" s="51"/>
      <c r="F56" s="51"/>
      <c r="G56" s="51" t="s">
        <v>2876</v>
      </c>
      <c r="H56" s="19"/>
      <c r="I56" s="19"/>
      <c r="J56" s="254"/>
    </row>
    <row r="57" spans="1:10" s="41" customFormat="1" ht="20" x14ac:dyDescent="0.2">
      <c r="A57" s="6"/>
      <c r="B57" s="151" t="s">
        <v>1608</v>
      </c>
      <c r="C57" s="51" t="s">
        <v>3229</v>
      </c>
      <c r="D57" s="51" t="s">
        <v>106</v>
      </c>
      <c r="E57" s="51"/>
      <c r="F57" s="51"/>
      <c r="G57" s="51" t="s">
        <v>2876</v>
      </c>
      <c r="H57" s="19"/>
      <c r="I57" s="19"/>
      <c r="J57" s="254"/>
    </row>
    <row r="58" spans="1:10" s="41" customFormat="1" ht="20" x14ac:dyDescent="0.2">
      <c r="A58" s="6"/>
      <c r="B58" s="230" t="s">
        <v>3562</v>
      </c>
      <c r="C58" s="51" t="s">
        <v>3563</v>
      </c>
      <c r="D58" s="51" t="s">
        <v>173</v>
      </c>
      <c r="E58" s="51"/>
      <c r="F58" s="51"/>
      <c r="G58" s="51" t="s">
        <v>2876</v>
      </c>
      <c r="H58" s="297"/>
      <c r="I58" s="297"/>
      <c r="J58" s="254"/>
    </row>
    <row r="59" spans="1:10" s="41" customFormat="1" ht="20" x14ac:dyDescent="0.2">
      <c r="A59" s="6"/>
      <c r="B59" s="230" t="s">
        <v>2638</v>
      </c>
      <c r="C59" s="51" t="s">
        <v>3220</v>
      </c>
      <c r="D59" s="51" t="s">
        <v>173</v>
      </c>
      <c r="E59" s="51"/>
      <c r="F59" s="51"/>
      <c r="G59" s="51" t="s">
        <v>2876</v>
      </c>
      <c r="H59" s="19"/>
      <c r="I59" s="19"/>
      <c r="J59" s="254"/>
    </row>
    <row r="60" spans="1:10" s="41" customFormat="1" ht="20" x14ac:dyDescent="0.2">
      <c r="A60" s="6"/>
      <c r="B60" s="151" t="s">
        <v>1582</v>
      </c>
      <c r="C60" s="51" t="s">
        <v>3216</v>
      </c>
      <c r="D60" s="51" t="s">
        <v>106</v>
      </c>
      <c r="E60" s="51"/>
      <c r="F60" s="51"/>
      <c r="G60" s="51" t="s">
        <v>2876</v>
      </c>
      <c r="H60" s="297"/>
      <c r="I60" s="297"/>
      <c r="J60" s="254"/>
    </row>
    <row r="61" spans="1:10" s="41" customFormat="1" ht="20" x14ac:dyDescent="0.2">
      <c r="A61" s="6"/>
      <c r="B61" s="151" t="s">
        <v>2297</v>
      </c>
      <c r="C61" s="51" t="s">
        <v>3103</v>
      </c>
      <c r="D61" s="51" t="s">
        <v>106</v>
      </c>
      <c r="E61" s="299">
        <v>49.693044999999998</v>
      </c>
      <c r="F61" s="299">
        <v>-121.859106</v>
      </c>
      <c r="G61" s="51" t="s">
        <v>2876</v>
      </c>
      <c r="H61" s="19"/>
      <c r="I61" s="19"/>
      <c r="J61" s="254"/>
    </row>
    <row r="62" spans="1:10" s="41" customFormat="1" ht="20" x14ac:dyDescent="0.2">
      <c r="A62" s="6"/>
      <c r="B62" s="230" t="s">
        <v>2650</v>
      </c>
      <c r="C62" s="51" t="s">
        <v>3456</v>
      </c>
      <c r="D62" s="51" t="s">
        <v>173</v>
      </c>
      <c r="E62" s="51"/>
      <c r="F62" s="51"/>
      <c r="G62" s="51" t="s">
        <v>2876</v>
      </c>
      <c r="H62" s="19"/>
      <c r="I62" s="19"/>
      <c r="J62" s="254"/>
    </row>
    <row r="63" spans="1:10" s="41" customFormat="1" ht="20" x14ac:dyDescent="0.2">
      <c r="A63" s="6"/>
      <c r="B63" s="151" t="s">
        <v>1595</v>
      </c>
      <c r="C63" s="51" t="s">
        <v>3376</v>
      </c>
      <c r="D63" s="51" t="s">
        <v>106</v>
      </c>
      <c r="E63" s="51"/>
      <c r="F63" s="51"/>
      <c r="G63" s="51" t="s">
        <v>2876</v>
      </c>
      <c r="H63" s="297"/>
      <c r="I63" s="297"/>
      <c r="J63" s="254"/>
    </row>
    <row r="64" spans="1:10" s="41" customFormat="1" ht="20" x14ac:dyDescent="0.2">
      <c r="A64" s="6"/>
      <c r="B64" s="151" t="s">
        <v>2505</v>
      </c>
      <c r="C64" s="51" t="s">
        <v>2163</v>
      </c>
      <c r="D64" s="51" t="s">
        <v>106</v>
      </c>
      <c r="E64" s="51"/>
      <c r="F64" s="51"/>
      <c r="G64" s="51" t="s">
        <v>2876</v>
      </c>
      <c r="H64" s="297"/>
      <c r="I64" s="297"/>
      <c r="J64" s="254"/>
    </row>
    <row r="65" spans="1:10" s="41" customFormat="1" ht="20" x14ac:dyDescent="0.2">
      <c r="A65" s="6"/>
      <c r="B65" s="230" t="s">
        <v>2641</v>
      </c>
      <c r="C65" s="51" t="s">
        <v>3222</v>
      </c>
      <c r="D65" s="51" t="s">
        <v>173</v>
      </c>
      <c r="E65" s="51"/>
      <c r="F65" s="51"/>
      <c r="G65" s="51" t="s">
        <v>2876</v>
      </c>
      <c r="H65" s="19"/>
      <c r="I65" s="19"/>
      <c r="J65" s="254"/>
    </row>
    <row r="66" spans="1:10" s="41" customFormat="1" ht="20" x14ac:dyDescent="0.2">
      <c r="A66" s="6"/>
      <c r="B66" s="151" t="s">
        <v>1592</v>
      </c>
      <c r="C66" s="51" t="s">
        <v>3374</v>
      </c>
      <c r="D66" s="51" t="s">
        <v>106</v>
      </c>
      <c r="E66" s="51"/>
      <c r="F66" s="51"/>
      <c r="G66" s="51" t="s">
        <v>2876</v>
      </c>
      <c r="H66" s="297"/>
      <c r="I66" s="297"/>
      <c r="J66" s="254"/>
    </row>
    <row r="67" spans="1:10" s="41" customFormat="1" ht="20" x14ac:dyDescent="0.2">
      <c r="A67" s="6"/>
      <c r="B67" s="151" t="s">
        <v>2427</v>
      </c>
      <c r="C67" s="51" t="s">
        <v>2075</v>
      </c>
      <c r="D67" s="51" t="s">
        <v>106</v>
      </c>
      <c r="E67" s="51"/>
      <c r="F67" s="51"/>
      <c r="G67" s="51" t="s">
        <v>2876</v>
      </c>
      <c r="H67" s="297"/>
      <c r="I67" s="297"/>
      <c r="J67" s="254"/>
    </row>
    <row r="68" spans="1:10" s="41" customFormat="1" ht="20" x14ac:dyDescent="0.2">
      <c r="A68" s="6"/>
      <c r="B68" s="151" t="s">
        <v>1593</v>
      </c>
      <c r="C68" s="51" t="s">
        <v>3375</v>
      </c>
      <c r="D68" s="51" t="s">
        <v>106</v>
      </c>
      <c r="E68" s="51"/>
      <c r="F68" s="51"/>
      <c r="G68" s="51" t="s">
        <v>2876</v>
      </c>
      <c r="H68" s="19"/>
      <c r="I68" s="19"/>
      <c r="J68" s="254"/>
    </row>
    <row r="69" spans="1:10" s="41" customFormat="1" ht="20" x14ac:dyDescent="0.2">
      <c r="A69" s="6"/>
      <c r="B69" s="151" t="s">
        <v>2434</v>
      </c>
      <c r="C69" s="51" t="s">
        <v>2084</v>
      </c>
      <c r="D69" s="51" t="s">
        <v>106</v>
      </c>
      <c r="E69" s="51"/>
      <c r="F69" s="51"/>
      <c r="G69" s="51" t="s">
        <v>2876</v>
      </c>
      <c r="H69" s="19"/>
      <c r="I69" s="19"/>
      <c r="J69" s="254"/>
    </row>
    <row r="70" spans="1:10" s="41" customFormat="1" ht="20" x14ac:dyDescent="0.2">
      <c r="A70" s="6"/>
      <c r="B70" s="151" t="s">
        <v>1590</v>
      </c>
      <c r="C70" s="51" t="s">
        <v>3373</v>
      </c>
      <c r="D70" s="51" t="s">
        <v>106</v>
      </c>
      <c r="E70" s="51"/>
      <c r="F70" s="51"/>
      <c r="G70" s="51" t="s">
        <v>2876</v>
      </c>
      <c r="H70" s="19"/>
      <c r="I70" s="19"/>
      <c r="J70" s="254"/>
    </row>
    <row r="71" spans="1:10" s="41" customFormat="1" ht="20" x14ac:dyDescent="0.2">
      <c r="A71" s="6"/>
      <c r="B71" s="151" t="s">
        <v>2433</v>
      </c>
      <c r="C71" s="51" t="s">
        <v>2083</v>
      </c>
      <c r="D71" s="51" t="s">
        <v>106</v>
      </c>
      <c r="E71" s="51"/>
      <c r="F71" s="51"/>
      <c r="G71" s="51" t="s">
        <v>2876</v>
      </c>
      <c r="H71" s="19"/>
      <c r="I71" s="19"/>
      <c r="J71" s="254"/>
    </row>
    <row r="72" spans="1:10" s="41" customFormat="1" ht="20" x14ac:dyDescent="0.2">
      <c r="A72" s="6"/>
      <c r="B72" s="230" t="s">
        <v>2750</v>
      </c>
      <c r="C72" s="51" t="s">
        <v>3493</v>
      </c>
      <c r="D72" s="51" t="s">
        <v>173</v>
      </c>
      <c r="E72" s="51"/>
      <c r="F72" s="51"/>
      <c r="G72" s="51" t="s">
        <v>2876</v>
      </c>
      <c r="H72" s="19"/>
      <c r="I72" s="19"/>
      <c r="J72" s="254"/>
    </row>
    <row r="73" spans="1:10" s="41" customFormat="1" ht="20" x14ac:dyDescent="0.2">
      <c r="A73" s="6"/>
      <c r="B73" s="230" t="s">
        <v>2748</v>
      </c>
      <c r="C73" s="51" t="s">
        <v>2763</v>
      </c>
      <c r="D73" s="51" t="s">
        <v>173</v>
      </c>
      <c r="E73" s="51"/>
      <c r="F73" s="51"/>
      <c r="G73" s="51" t="s">
        <v>2876</v>
      </c>
      <c r="H73" s="19"/>
      <c r="I73" s="19"/>
      <c r="J73" s="254"/>
    </row>
    <row r="74" spans="1:10" s="41" customFormat="1" ht="20" x14ac:dyDescent="0.2">
      <c r="A74" s="6"/>
      <c r="B74" s="151" t="s">
        <v>1600</v>
      </c>
      <c r="C74" s="51" t="s">
        <v>3227</v>
      </c>
      <c r="D74" s="51" t="s">
        <v>106</v>
      </c>
      <c r="E74" s="51"/>
      <c r="F74" s="51"/>
      <c r="G74" s="51" t="s">
        <v>2876</v>
      </c>
      <c r="H74" s="19"/>
      <c r="I74" s="19"/>
      <c r="J74" s="254"/>
    </row>
    <row r="75" spans="1:10" s="41" customFormat="1" ht="20" x14ac:dyDescent="0.2">
      <c r="A75" s="6"/>
      <c r="B75" s="151" t="s">
        <v>1587</v>
      </c>
      <c r="C75" s="51" t="s">
        <v>3219</v>
      </c>
      <c r="D75" s="51" t="s">
        <v>106</v>
      </c>
      <c r="E75" s="51"/>
      <c r="F75" s="51"/>
      <c r="G75" s="51" t="s">
        <v>2876</v>
      </c>
      <c r="H75" s="19"/>
      <c r="I75" s="19"/>
      <c r="J75" s="254"/>
    </row>
    <row r="76" spans="1:10" s="41" customFormat="1" ht="20" x14ac:dyDescent="0.2">
      <c r="A76" s="6"/>
      <c r="B76" s="151" t="s">
        <v>1597</v>
      </c>
      <c r="C76" s="51" t="s">
        <v>3096</v>
      </c>
      <c r="D76" s="51" t="s">
        <v>106</v>
      </c>
      <c r="E76" s="299">
        <v>52.255329600000003</v>
      </c>
      <c r="F76" s="299">
        <v>-119.1808297</v>
      </c>
      <c r="G76" s="51" t="s">
        <v>2876</v>
      </c>
      <c r="H76" s="19"/>
      <c r="I76" s="19"/>
      <c r="J76" s="254"/>
    </row>
    <row r="77" spans="1:10" s="41" customFormat="1" ht="20" x14ac:dyDescent="0.2">
      <c r="A77" s="6"/>
      <c r="B77" s="151" t="s">
        <v>3693</v>
      </c>
      <c r="C77" s="51" t="s">
        <v>3719</v>
      </c>
      <c r="D77" s="51" t="s">
        <v>106</v>
      </c>
      <c r="E77" s="299">
        <v>49.811343399999998</v>
      </c>
      <c r="F77" s="299">
        <v>-121.4584751</v>
      </c>
      <c r="G77" s="51" t="s">
        <v>2876</v>
      </c>
      <c r="H77" s="297"/>
      <c r="I77" s="297"/>
      <c r="J77" s="254"/>
    </row>
    <row r="78" spans="1:10" s="41" customFormat="1" ht="20" x14ac:dyDescent="0.2">
      <c r="A78" s="6"/>
      <c r="B78" s="151" t="s">
        <v>2486</v>
      </c>
      <c r="C78" s="51" t="s">
        <v>2344</v>
      </c>
      <c r="D78" s="51" t="s">
        <v>106</v>
      </c>
      <c r="E78" s="51"/>
      <c r="F78" s="51"/>
      <c r="G78" s="51" t="s">
        <v>2876</v>
      </c>
      <c r="H78" s="297"/>
      <c r="I78" s="297"/>
      <c r="J78" s="254"/>
    </row>
    <row r="79" spans="1:10" s="41" customFormat="1" ht="20" x14ac:dyDescent="0.2">
      <c r="A79" s="6"/>
      <c r="B79" s="151" t="s">
        <v>2291</v>
      </c>
      <c r="C79" s="179" t="s">
        <v>3092</v>
      </c>
      <c r="D79" s="51" t="s">
        <v>106</v>
      </c>
      <c r="E79" s="299">
        <v>50.634999999999998</v>
      </c>
      <c r="F79" s="299">
        <v>-123.405</v>
      </c>
      <c r="G79" s="51" t="s">
        <v>2876</v>
      </c>
      <c r="H79" s="19"/>
      <c r="I79" s="19"/>
      <c r="J79" s="254"/>
    </row>
    <row r="80" spans="1:10" s="41" customFormat="1" ht="20" x14ac:dyDescent="0.2">
      <c r="A80" s="6"/>
      <c r="B80" s="151" t="s">
        <v>2474</v>
      </c>
      <c r="C80" s="51" t="s">
        <v>2377</v>
      </c>
      <c r="D80" s="51" t="s">
        <v>106</v>
      </c>
      <c r="E80" s="51"/>
      <c r="F80" s="51"/>
      <c r="G80" s="51" t="s">
        <v>2876</v>
      </c>
      <c r="H80" s="19"/>
      <c r="I80" s="19"/>
      <c r="J80" s="254"/>
    </row>
    <row r="81" spans="1:10" s="41" customFormat="1" ht="20" x14ac:dyDescent="0.2">
      <c r="A81" s="6"/>
      <c r="B81" s="151" t="s">
        <v>2289</v>
      </c>
      <c r="C81" s="51" t="s">
        <v>3097</v>
      </c>
      <c r="D81" s="51" t="s">
        <v>106</v>
      </c>
      <c r="E81" s="299">
        <v>49.600617700000001</v>
      </c>
      <c r="F81" s="299">
        <v>-123.426733</v>
      </c>
      <c r="G81" s="51" t="s">
        <v>2876</v>
      </c>
      <c r="H81" s="19"/>
      <c r="I81" s="19"/>
      <c r="J81" s="254"/>
    </row>
    <row r="82" spans="1:10" s="41" customFormat="1" ht="20" x14ac:dyDescent="0.2">
      <c r="A82" s="6"/>
      <c r="B82" s="151" t="s">
        <v>2391</v>
      </c>
      <c r="C82" s="51" t="s">
        <v>2039</v>
      </c>
      <c r="D82" s="51" t="s">
        <v>106</v>
      </c>
      <c r="E82" s="51"/>
      <c r="F82" s="51"/>
      <c r="G82" s="51" t="s">
        <v>2876</v>
      </c>
      <c r="H82" s="19"/>
      <c r="I82" s="19"/>
      <c r="J82" s="254"/>
    </row>
    <row r="83" spans="1:10" s="41" customFormat="1" ht="20" x14ac:dyDescent="0.2">
      <c r="A83" s="6"/>
      <c r="B83" s="151" t="s">
        <v>1812</v>
      </c>
      <c r="C83" s="51" t="s">
        <v>3614</v>
      </c>
      <c r="D83" s="51" t="s">
        <v>106</v>
      </c>
      <c r="E83" s="51"/>
      <c r="F83" s="51"/>
      <c r="G83" s="51" t="s">
        <v>2876</v>
      </c>
      <c r="H83" s="297"/>
      <c r="I83" s="297"/>
      <c r="J83" s="254"/>
    </row>
    <row r="84" spans="1:10" s="41" customFormat="1" ht="20" x14ac:dyDescent="0.2">
      <c r="A84" s="6"/>
      <c r="B84" s="151" t="s">
        <v>1813</v>
      </c>
      <c r="C84" s="51" t="s">
        <v>3615</v>
      </c>
      <c r="D84" s="51" t="s">
        <v>106</v>
      </c>
      <c r="E84" s="51"/>
      <c r="F84" s="51"/>
      <c r="G84" s="51" t="s">
        <v>2876</v>
      </c>
      <c r="H84" s="19"/>
      <c r="I84" s="19"/>
      <c r="J84" s="254"/>
    </row>
    <row r="85" spans="1:10" s="41" customFormat="1" ht="20" x14ac:dyDescent="0.2">
      <c r="A85" s="6"/>
      <c r="B85" s="151" t="s">
        <v>2448</v>
      </c>
      <c r="C85" s="51" t="s">
        <v>2099</v>
      </c>
      <c r="D85" s="51" t="s">
        <v>106</v>
      </c>
      <c r="E85" s="51"/>
      <c r="F85" s="51"/>
      <c r="G85" s="51" t="s">
        <v>2876</v>
      </c>
      <c r="H85" s="19"/>
      <c r="I85" s="19"/>
      <c r="J85" s="254"/>
    </row>
    <row r="86" spans="1:10" s="41" customFormat="1" ht="20" x14ac:dyDescent="0.2">
      <c r="A86" s="6"/>
      <c r="B86" s="151" t="s">
        <v>1814</v>
      </c>
      <c r="C86" s="51" t="s">
        <v>3616</v>
      </c>
      <c r="D86" s="51" t="s">
        <v>106</v>
      </c>
      <c r="E86" s="51"/>
      <c r="F86" s="51"/>
      <c r="G86" s="51" t="s">
        <v>2876</v>
      </c>
      <c r="H86" s="19"/>
      <c r="I86" s="19"/>
      <c r="J86" s="254"/>
    </row>
    <row r="87" spans="1:10" s="41" customFormat="1" ht="20" x14ac:dyDescent="0.2">
      <c r="A87" s="6"/>
      <c r="B87" s="151" t="s">
        <v>2447</v>
      </c>
      <c r="C87" s="51" t="s">
        <v>2100</v>
      </c>
      <c r="D87" s="51" t="s">
        <v>106</v>
      </c>
      <c r="E87" s="51"/>
      <c r="F87" s="51"/>
      <c r="G87" s="51" t="s">
        <v>2876</v>
      </c>
      <c r="H87" s="19"/>
      <c r="I87" s="19"/>
      <c r="J87" s="254"/>
    </row>
    <row r="88" spans="1:10" s="41" customFormat="1" ht="20" x14ac:dyDescent="0.2">
      <c r="A88" s="6"/>
      <c r="B88" s="230" t="s">
        <v>2692</v>
      </c>
      <c r="C88" s="51" t="s">
        <v>3228</v>
      </c>
      <c r="D88" s="51" t="s">
        <v>173</v>
      </c>
      <c r="E88" s="51"/>
      <c r="F88" s="51"/>
      <c r="G88" s="51" t="s">
        <v>2876</v>
      </c>
      <c r="H88" s="19"/>
      <c r="I88" s="19"/>
      <c r="J88" s="254"/>
    </row>
    <row r="89" spans="1:10" s="41" customFormat="1" ht="20" x14ac:dyDescent="0.2">
      <c r="A89" s="6"/>
      <c r="B89" s="151" t="s">
        <v>2294</v>
      </c>
      <c r="C89" s="51" t="s">
        <v>3580</v>
      </c>
      <c r="D89" s="51" t="s">
        <v>106</v>
      </c>
      <c r="E89" s="51"/>
      <c r="F89" s="51"/>
      <c r="G89" s="51" t="s">
        <v>2876</v>
      </c>
      <c r="H89" s="19"/>
      <c r="I89" s="19"/>
      <c r="J89" s="254"/>
    </row>
    <row r="90" spans="1:10" s="41" customFormat="1" ht="20" x14ac:dyDescent="0.2">
      <c r="A90" s="6"/>
      <c r="B90" s="151" t="s">
        <v>1586</v>
      </c>
      <c r="C90" s="51" t="s">
        <v>3692</v>
      </c>
      <c r="D90" s="51" t="s">
        <v>106</v>
      </c>
      <c r="E90" s="51"/>
      <c r="F90" s="51"/>
      <c r="G90" s="51" t="s">
        <v>2876</v>
      </c>
      <c r="H90" s="19"/>
      <c r="I90" s="19"/>
      <c r="J90" s="254"/>
    </row>
    <row r="91" spans="1:10" s="41" customFormat="1" ht="20" x14ac:dyDescent="0.2">
      <c r="A91" s="6"/>
      <c r="B91" s="151" t="s">
        <v>2441</v>
      </c>
      <c r="C91" s="51" t="s">
        <v>2092</v>
      </c>
      <c r="D91" s="51" t="s">
        <v>106</v>
      </c>
      <c r="E91" s="51"/>
      <c r="F91" s="51"/>
      <c r="G91" s="51" t="s">
        <v>2876</v>
      </c>
      <c r="H91" s="19"/>
      <c r="I91" s="19"/>
      <c r="J91" s="254"/>
    </row>
    <row r="92" spans="1:10" s="41" customFormat="1" ht="20" x14ac:dyDescent="0.2">
      <c r="A92" s="6"/>
      <c r="B92" s="151" t="s">
        <v>1601</v>
      </c>
      <c r="C92" s="51" t="s">
        <v>3720</v>
      </c>
      <c r="D92" s="51" t="s">
        <v>106</v>
      </c>
      <c r="E92" s="299">
        <v>50.729850399999997</v>
      </c>
      <c r="F92" s="299">
        <v>-122.2400375</v>
      </c>
      <c r="G92" s="51" t="s">
        <v>2876</v>
      </c>
      <c r="H92" s="297"/>
      <c r="I92" s="297"/>
      <c r="J92" s="254"/>
    </row>
    <row r="93" spans="1:10" s="41" customFormat="1" ht="20" x14ac:dyDescent="0.2">
      <c r="A93" s="6"/>
      <c r="B93" s="151" t="s">
        <v>1602</v>
      </c>
      <c r="C93" s="51" t="s">
        <v>3099</v>
      </c>
      <c r="D93" s="51" t="s">
        <v>106</v>
      </c>
      <c r="E93" s="299">
        <v>50.729850399999997</v>
      </c>
      <c r="F93" s="299">
        <v>-122.2400375</v>
      </c>
      <c r="G93" s="51" t="s">
        <v>2876</v>
      </c>
      <c r="H93" s="19"/>
      <c r="I93" s="19"/>
      <c r="J93" s="254"/>
    </row>
    <row r="94" spans="1:10" s="41" customFormat="1" ht="20" x14ac:dyDescent="0.2">
      <c r="A94" s="6"/>
      <c r="B94" s="151" t="s">
        <v>3569</v>
      </c>
      <c r="C94" s="51" t="s">
        <v>3568</v>
      </c>
      <c r="D94" s="51" t="s">
        <v>106</v>
      </c>
      <c r="E94" s="51"/>
      <c r="F94" s="51"/>
      <c r="G94" s="51" t="s">
        <v>2876</v>
      </c>
      <c r="H94" s="19"/>
      <c r="I94" s="19"/>
      <c r="J94" s="254"/>
    </row>
    <row r="95" spans="1:10" s="41" customFormat="1" ht="20" x14ac:dyDescent="0.2">
      <c r="A95" s="6"/>
      <c r="B95" s="230" t="s">
        <v>2296</v>
      </c>
      <c r="C95" s="51" t="s">
        <v>3102</v>
      </c>
      <c r="D95" s="51" t="s">
        <v>173</v>
      </c>
      <c r="E95" s="299">
        <v>49.323118200000003</v>
      </c>
      <c r="F95" s="299">
        <v>-117.6197926</v>
      </c>
      <c r="G95" s="51" t="s">
        <v>2876</v>
      </c>
      <c r="H95" s="297"/>
      <c r="I95" s="297"/>
      <c r="J95" s="254"/>
    </row>
    <row r="96" spans="1:10" s="41" customFormat="1" ht="20" x14ac:dyDescent="0.2">
      <c r="A96" s="6"/>
      <c r="B96" s="230" t="s">
        <v>1960</v>
      </c>
      <c r="C96" s="51" t="s">
        <v>3100</v>
      </c>
      <c r="D96" s="51" t="s">
        <v>173</v>
      </c>
      <c r="E96" s="299">
        <v>49.324879799999998</v>
      </c>
      <c r="F96" s="299">
        <v>-117.6206529</v>
      </c>
      <c r="G96" s="51" t="s">
        <v>2876</v>
      </c>
      <c r="H96" s="19"/>
      <c r="I96" s="19"/>
      <c r="J96" s="254"/>
    </row>
    <row r="97" spans="1:10" s="41" customFormat="1" ht="20" x14ac:dyDescent="0.2">
      <c r="A97" s="6"/>
      <c r="B97" s="230" t="s">
        <v>3570</v>
      </c>
      <c r="C97" s="51" t="s">
        <v>3571</v>
      </c>
      <c r="D97" s="51" t="s">
        <v>173</v>
      </c>
      <c r="E97" s="51"/>
      <c r="F97" s="51"/>
      <c r="G97" s="51" t="s">
        <v>2876</v>
      </c>
      <c r="H97" s="297"/>
      <c r="I97" s="297"/>
      <c r="J97" s="254"/>
    </row>
    <row r="98" spans="1:10" s="41" customFormat="1" ht="20" x14ac:dyDescent="0.2">
      <c r="A98" s="6"/>
      <c r="B98" s="230" t="s">
        <v>3694</v>
      </c>
      <c r="C98" s="51" t="s">
        <v>3695</v>
      </c>
      <c r="D98" s="51" t="s">
        <v>173</v>
      </c>
      <c r="E98" s="51"/>
      <c r="F98" s="51"/>
      <c r="G98" s="51" t="s">
        <v>2876</v>
      </c>
      <c r="H98" s="19"/>
      <c r="I98" s="19"/>
      <c r="J98" s="254"/>
    </row>
    <row r="99" spans="1:10" s="41" customFormat="1" ht="20" x14ac:dyDescent="0.2">
      <c r="A99" s="6"/>
      <c r="B99" s="151" t="s">
        <v>1606</v>
      </c>
      <c r="C99" s="51" t="s">
        <v>3382</v>
      </c>
      <c r="D99" s="51" t="s">
        <v>106</v>
      </c>
      <c r="E99" s="51"/>
      <c r="F99" s="51"/>
      <c r="G99" s="51" t="s">
        <v>2876</v>
      </c>
      <c r="H99" s="297"/>
      <c r="I99" s="297"/>
      <c r="J99" s="254"/>
    </row>
    <row r="100" spans="1:10" s="41" customFormat="1" ht="20" x14ac:dyDescent="0.2">
      <c r="A100" s="6"/>
      <c r="B100" s="151" t="s">
        <v>2523</v>
      </c>
      <c r="C100" s="51" t="s">
        <v>2182</v>
      </c>
      <c r="D100" s="51" t="s">
        <v>106</v>
      </c>
      <c r="E100" s="51"/>
      <c r="F100" s="51"/>
      <c r="G100" s="51" t="s">
        <v>2876</v>
      </c>
      <c r="H100" s="297"/>
      <c r="I100" s="297"/>
      <c r="J100" s="254"/>
    </row>
    <row r="101" spans="1:10" s="41" customFormat="1" ht="20" x14ac:dyDescent="0.2">
      <c r="A101" s="6"/>
      <c r="B101" s="151" t="s">
        <v>1589</v>
      </c>
      <c r="C101" s="51" t="s">
        <v>3221</v>
      </c>
      <c r="D101" s="51" t="s">
        <v>106</v>
      </c>
      <c r="E101" s="51"/>
      <c r="F101" s="51"/>
      <c r="G101" s="51" t="s">
        <v>2876</v>
      </c>
      <c r="H101" s="19"/>
      <c r="I101" s="19"/>
      <c r="J101" s="254"/>
    </row>
    <row r="102" spans="1:10" s="41" customFormat="1" ht="20" x14ac:dyDescent="0.2">
      <c r="A102" s="6"/>
      <c r="B102" s="151" t="s">
        <v>1955</v>
      </c>
      <c r="C102" s="51" t="s">
        <v>3101</v>
      </c>
      <c r="D102" s="51" t="s">
        <v>106</v>
      </c>
      <c r="E102" s="299">
        <v>54.027252500000003</v>
      </c>
      <c r="F102" s="299">
        <v>-129.8436681</v>
      </c>
      <c r="G102" s="51" t="s">
        <v>2876</v>
      </c>
      <c r="H102" s="297"/>
      <c r="I102" s="297"/>
      <c r="J102" s="254"/>
    </row>
    <row r="103" spans="1:10" s="41" customFormat="1" ht="20" x14ac:dyDescent="0.2">
      <c r="A103" s="6"/>
      <c r="B103" s="151" t="s">
        <v>2605</v>
      </c>
      <c r="C103" s="51" t="s">
        <v>2262</v>
      </c>
      <c r="D103" s="51" t="s">
        <v>106</v>
      </c>
      <c r="E103" s="51"/>
      <c r="F103" s="51"/>
      <c r="G103" s="51" t="s">
        <v>2876</v>
      </c>
      <c r="H103" s="297"/>
      <c r="I103" s="297"/>
      <c r="J103" s="254"/>
    </row>
    <row r="104" spans="1:10" s="41" customFormat="1" ht="20" x14ac:dyDescent="0.2">
      <c r="A104" s="6"/>
      <c r="B104" s="151" t="s">
        <v>2365</v>
      </c>
      <c r="C104" s="51" t="s">
        <v>3696</v>
      </c>
      <c r="D104" s="51" t="s">
        <v>106</v>
      </c>
      <c r="E104" s="51"/>
      <c r="F104" s="51"/>
      <c r="G104" s="51" t="s">
        <v>2876</v>
      </c>
      <c r="H104" s="19"/>
      <c r="I104" s="19"/>
      <c r="J104" s="254"/>
    </row>
    <row r="105" spans="1:10" s="41" customFormat="1" ht="20" x14ac:dyDescent="0.2">
      <c r="A105" s="6"/>
      <c r="B105" s="151" t="s">
        <v>3564</v>
      </c>
      <c r="C105" s="51" t="s">
        <v>3567</v>
      </c>
      <c r="D105" s="51" t="s">
        <v>106</v>
      </c>
      <c r="E105" s="51"/>
      <c r="F105" s="51"/>
      <c r="G105" s="51" t="s">
        <v>2876</v>
      </c>
      <c r="H105" s="19"/>
      <c r="I105" s="19"/>
      <c r="J105" s="254"/>
    </row>
    <row r="106" spans="1:10" s="41" customFormat="1" ht="20" x14ac:dyDescent="0.2">
      <c r="A106" s="6"/>
      <c r="B106" s="151" t="s">
        <v>1583</v>
      </c>
      <c r="C106" s="51" t="s">
        <v>3217</v>
      </c>
      <c r="D106" s="51" t="s">
        <v>106</v>
      </c>
      <c r="E106" s="51"/>
      <c r="F106" s="51"/>
      <c r="G106" s="51" t="s">
        <v>2876</v>
      </c>
      <c r="H106" s="19"/>
      <c r="I106" s="19"/>
      <c r="J106" s="254"/>
    </row>
    <row r="107" spans="1:10" s="41" customFormat="1" ht="20" x14ac:dyDescent="0.2">
      <c r="A107" s="6"/>
      <c r="B107" s="151" t="s">
        <v>1588</v>
      </c>
      <c r="C107" s="51" t="s">
        <v>3372</v>
      </c>
      <c r="D107" s="51" t="s">
        <v>106</v>
      </c>
      <c r="E107" s="51"/>
      <c r="F107" s="51"/>
      <c r="G107" s="51" t="s">
        <v>2876</v>
      </c>
      <c r="H107" s="19"/>
      <c r="I107" s="19"/>
      <c r="J107" s="254"/>
    </row>
    <row r="108" spans="1:10" s="41" customFormat="1" ht="20" x14ac:dyDescent="0.2">
      <c r="A108" s="6"/>
      <c r="B108" s="151" t="s">
        <v>2397</v>
      </c>
      <c r="C108" s="51" t="s">
        <v>2046</v>
      </c>
      <c r="D108" s="51" t="s">
        <v>106</v>
      </c>
      <c r="E108" s="51"/>
      <c r="F108" s="51"/>
      <c r="G108" s="51" t="s">
        <v>2876</v>
      </c>
      <c r="H108" s="19"/>
      <c r="I108" s="19"/>
      <c r="J108" s="254"/>
    </row>
    <row r="109" spans="1:10" s="41" customFormat="1" ht="20" x14ac:dyDescent="0.2">
      <c r="A109" s="6"/>
      <c r="B109" s="151" t="s">
        <v>1603</v>
      </c>
      <c r="C109" s="51" t="s">
        <v>3697</v>
      </c>
      <c r="D109" s="51" t="s">
        <v>106</v>
      </c>
      <c r="E109" s="51"/>
      <c r="F109" s="51"/>
      <c r="G109" s="51" t="s">
        <v>2876</v>
      </c>
      <c r="H109" s="297"/>
      <c r="I109" s="297"/>
      <c r="J109" s="254"/>
    </row>
    <row r="110" spans="1:10" s="41" customFormat="1" ht="20" x14ac:dyDescent="0.2">
      <c r="A110" s="6"/>
      <c r="B110" s="151" t="s">
        <v>2562</v>
      </c>
      <c r="C110" s="51" t="s">
        <v>2221</v>
      </c>
      <c r="D110" s="51" t="s">
        <v>106</v>
      </c>
      <c r="E110" s="51"/>
      <c r="F110" s="51"/>
      <c r="G110" s="51" t="s">
        <v>2876</v>
      </c>
      <c r="H110" s="297"/>
      <c r="I110" s="297"/>
      <c r="J110" s="254"/>
    </row>
    <row r="111" spans="1:10" s="41" customFormat="1" ht="20" x14ac:dyDescent="0.2">
      <c r="A111" s="6"/>
      <c r="B111" s="151" t="s">
        <v>1591</v>
      </c>
      <c r="C111" s="51" t="s">
        <v>3536</v>
      </c>
      <c r="D111" s="51" t="s">
        <v>106</v>
      </c>
      <c r="E111" s="51"/>
      <c r="F111" s="51"/>
      <c r="G111" s="51" t="s">
        <v>2876</v>
      </c>
      <c r="H111" s="19"/>
      <c r="I111" s="19"/>
      <c r="J111" s="254"/>
    </row>
    <row r="112" spans="1:10" s="41" customFormat="1" ht="20" x14ac:dyDescent="0.2">
      <c r="A112" s="6"/>
      <c r="B112" s="151" t="s">
        <v>1599</v>
      </c>
      <c r="C112" s="51" t="s">
        <v>3226</v>
      </c>
      <c r="D112" s="51" t="s">
        <v>106</v>
      </c>
      <c r="E112" s="51"/>
      <c r="F112" s="51"/>
      <c r="G112" s="51" t="s">
        <v>2876</v>
      </c>
      <c r="H112" s="297"/>
      <c r="I112" s="297"/>
      <c r="J112" s="254"/>
    </row>
    <row r="113" spans="1:10" s="41" customFormat="1" ht="20" x14ac:dyDescent="0.2">
      <c r="A113" s="6"/>
      <c r="B113" s="151" t="s">
        <v>1604</v>
      </c>
      <c r="C113" s="179" t="s">
        <v>3381</v>
      </c>
      <c r="D113" s="51" t="s">
        <v>106</v>
      </c>
      <c r="E113" s="51"/>
      <c r="F113" s="51"/>
      <c r="G113" s="51" t="s">
        <v>2876</v>
      </c>
      <c r="H113" s="19"/>
      <c r="I113" s="19"/>
      <c r="J113" s="254"/>
    </row>
    <row r="114" spans="1:10" s="41" customFormat="1" ht="20" x14ac:dyDescent="0.2">
      <c r="A114" s="6"/>
      <c r="B114" s="151" t="s">
        <v>2467</v>
      </c>
      <c r="C114" s="51" t="s">
        <v>2118</v>
      </c>
      <c r="D114" s="51" t="s">
        <v>106</v>
      </c>
      <c r="E114" s="51"/>
      <c r="F114" s="51"/>
      <c r="G114" s="51" t="s">
        <v>2876</v>
      </c>
      <c r="H114" s="19"/>
      <c r="I114" s="19"/>
      <c r="J114" s="254"/>
    </row>
    <row r="115" spans="1:10" s="41" customFormat="1" ht="20" x14ac:dyDescent="0.2">
      <c r="A115" s="6"/>
      <c r="B115" s="151" t="s">
        <v>1605</v>
      </c>
      <c r="C115" s="51" t="s">
        <v>3588</v>
      </c>
      <c r="D115" s="51" t="s">
        <v>106</v>
      </c>
      <c r="E115" s="51"/>
      <c r="F115" s="51"/>
      <c r="G115" s="51" t="s">
        <v>2876</v>
      </c>
      <c r="H115" s="297"/>
      <c r="I115" s="297"/>
      <c r="J115" s="254"/>
    </row>
    <row r="116" spans="1:10" s="41" customFormat="1" ht="20" x14ac:dyDescent="0.2">
      <c r="A116" s="6"/>
      <c r="B116" s="151" t="s">
        <v>2299</v>
      </c>
      <c r="C116" s="51" t="s">
        <v>3591</v>
      </c>
      <c r="D116" s="51" t="s">
        <v>106</v>
      </c>
      <c r="E116" s="51"/>
      <c r="F116" s="51"/>
      <c r="G116" s="51" t="s">
        <v>2876</v>
      </c>
      <c r="H116" s="19"/>
      <c r="I116" s="19"/>
      <c r="J116" s="254"/>
    </row>
    <row r="117" spans="1:10" s="41" customFormat="1" ht="20" x14ac:dyDescent="0.2">
      <c r="A117" s="6"/>
      <c r="B117" s="151" t="s">
        <v>2498</v>
      </c>
      <c r="C117" s="51" t="s">
        <v>2158</v>
      </c>
      <c r="D117" s="51" t="s">
        <v>106</v>
      </c>
      <c r="E117" s="51"/>
      <c r="F117" s="51"/>
      <c r="G117" s="51" t="s">
        <v>2876</v>
      </c>
      <c r="H117" s="19"/>
      <c r="I117" s="19"/>
      <c r="J117" s="254"/>
    </row>
    <row r="118" spans="1:10" s="41" customFormat="1" ht="20" x14ac:dyDescent="0.2">
      <c r="A118" s="6"/>
      <c r="B118" s="151" t="s">
        <v>1609</v>
      </c>
      <c r="C118" s="51" t="s">
        <v>3384</v>
      </c>
      <c r="D118" s="51" t="s">
        <v>106</v>
      </c>
      <c r="E118" s="51"/>
      <c r="F118" s="51"/>
      <c r="G118" s="51" t="s">
        <v>2876</v>
      </c>
      <c r="H118" s="19"/>
      <c r="I118" s="19"/>
      <c r="J118" s="254"/>
    </row>
    <row r="119" spans="1:10" s="41" customFormat="1" ht="20" x14ac:dyDescent="0.2">
      <c r="A119" s="6"/>
      <c r="B119" s="151" t="s">
        <v>2472</v>
      </c>
      <c r="C119" s="51" t="s">
        <v>2124</v>
      </c>
      <c r="D119" s="51" t="s">
        <v>106</v>
      </c>
      <c r="E119" s="51"/>
      <c r="F119" s="51"/>
      <c r="G119" s="51" t="s">
        <v>2876</v>
      </c>
      <c r="H119" s="19"/>
      <c r="I119" s="19"/>
      <c r="J119" s="254"/>
    </row>
    <row r="120" spans="1:10" s="41" customFormat="1" ht="20" x14ac:dyDescent="0.2">
      <c r="A120" s="6"/>
      <c r="B120" s="151" t="s">
        <v>1638</v>
      </c>
      <c r="C120" s="51" t="s">
        <v>3211</v>
      </c>
      <c r="D120" s="51" t="s">
        <v>106</v>
      </c>
      <c r="E120" s="299">
        <v>49.260241100000002</v>
      </c>
      <c r="F120" s="299">
        <v>-123.2545295</v>
      </c>
      <c r="G120" s="51" t="s">
        <v>2876</v>
      </c>
      <c r="H120" s="297"/>
      <c r="I120" s="297"/>
      <c r="J120" s="254"/>
    </row>
    <row r="121" spans="1:10" s="41" customFormat="1" ht="20" x14ac:dyDescent="0.2">
      <c r="A121" s="6"/>
      <c r="B121" s="151" t="s">
        <v>234</v>
      </c>
      <c r="C121" s="51" t="s">
        <v>3385</v>
      </c>
      <c r="D121" s="51" t="s">
        <v>106</v>
      </c>
      <c r="E121" s="51"/>
      <c r="F121" s="51"/>
      <c r="G121" s="51" t="s">
        <v>2876</v>
      </c>
      <c r="H121" s="19"/>
      <c r="I121" s="19"/>
      <c r="J121" s="254"/>
    </row>
    <row r="122" spans="1:10" s="41" customFormat="1" ht="20" x14ac:dyDescent="0.2">
      <c r="A122" s="6"/>
      <c r="B122" s="151" t="s">
        <v>2400</v>
      </c>
      <c r="C122" s="51" t="s">
        <v>2049</v>
      </c>
      <c r="D122" s="51" t="s">
        <v>106</v>
      </c>
      <c r="E122" s="51"/>
      <c r="F122" s="51"/>
      <c r="G122" s="51" t="s">
        <v>2876</v>
      </c>
      <c r="H122" s="19"/>
      <c r="I122" s="19"/>
      <c r="J122" s="254"/>
    </row>
    <row r="123" spans="1:10" s="41" customFormat="1" ht="20" x14ac:dyDescent="0.2">
      <c r="A123" s="6"/>
      <c r="B123" s="151" t="s">
        <v>1610</v>
      </c>
      <c r="C123" s="51" t="s">
        <v>3618</v>
      </c>
      <c r="D123" s="51" t="s">
        <v>106</v>
      </c>
      <c r="E123" s="51"/>
      <c r="F123" s="51"/>
      <c r="G123" s="51" t="s">
        <v>2876</v>
      </c>
      <c r="H123" s="297"/>
      <c r="I123" s="297"/>
      <c r="J123" s="254"/>
    </row>
    <row r="124" spans="1:10" s="41" customFormat="1" ht="20" x14ac:dyDescent="0.2">
      <c r="A124" s="6"/>
      <c r="B124" s="151" t="s">
        <v>1627</v>
      </c>
      <c r="C124" s="51" t="s">
        <v>3619</v>
      </c>
      <c r="D124" s="51" t="s">
        <v>106</v>
      </c>
      <c r="E124" s="51"/>
      <c r="F124" s="51"/>
      <c r="G124" s="51" t="s">
        <v>2876</v>
      </c>
      <c r="H124" s="19"/>
      <c r="I124" s="19"/>
      <c r="J124" s="254"/>
    </row>
    <row r="125" spans="1:10" s="41" customFormat="1" ht="20" x14ac:dyDescent="0.2">
      <c r="A125" s="6"/>
      <c r="B125" s="151" t="s">
        <v>2591</v>
      </c>
      <c r="C125" s="51" t="s">
        <v>2250</v>
      </c>
      <c r="D125" s="51" t="s">
        <v>106</v>
      </c>
      <c r="E125" s="51"/>
      <c r="F125" s="51"/>
      <c r="G125" s="51" t="s">
        <v>2876</v>
      </c>
      <c r="H125" s="19"/>
      <c r="I125" s="19"/>
      <c r="J125" s="254"/>
    </row>
    <row r="126" spans="1:10" s="41" customFormat="1" ht="20" x14ac:dyDescent="0.2">
      <c r="A126" s="6"/>
      <c r="B126" s="151" t="s">
        <v>1629</v>
      </c>
      <c r="C126" s="51" t="s">
        <v>3395</v>
      </c>
      <c r="D126" s="51" t="s">
        <v>106</v>
      </c>
      <c r="E126" s="51"/>
      <c r="F126" s="51"/>
      <c r="G126" s="51" t="s">
        <v>2876</v>
      </c>
      <c r="H126" s="19"/>
      <c r="I126" s="19"/>
      <c r="J126" s="254"/>
    </row>
    <row r="127" spans="1:10" s="41" customFormat="1" ht="20" x14ac:dyDescent="0.2">
      <c r="A127" s="6"/>
      <c r="B127" s="151" t="s">
        <v>2552</v>
      </c>
      <c r="C127" s="51" t="s">
        <v>2208</v>
      </c>
      <c r="D127" s="51" t="s">
        <v>106</v>
      </c>
      <c r="E127" s="51"/>
      <c r="F127" s="51"/>
      <c r="G127" s="51" t="s">
        <v>2876</v>
      </c>
      <c r="H127" s="19"/>
      <c r="I127" s="19"/>
      <c r="J127" s="254"/>
    </row>
    <row r="128" spans="1:10" s="41" customFormat="1" ht="20" x14ac:dyDescent="0.2">
      <c r="A128" s="6"/>
      <c r="B128" s="151" t="s">
        <v>1805</v>
      </c>
      <c r="C128" s="179" t="s">
        <v>3620</v>
      </c>
      <c r="D128" s="51" t="s">
        <v>106</v>
      </c>
      <c r="E128" s="51"/>
      <c r="F128" s="51"/>
      <c r="G128" s="51" t="s">
        <v>2876</v>
      </c>
      <c r="H128" s="19"/>
      <c r="I128" s="19"/>
      <c r="J128" s="254"/>
    </row>
    <row r="129" spans="1:10" s="41" customFormat="1" ht="20" x14ac:dyDescent="0.2">
      <c r="A129" s="6"/>
      <c r="B129" s="151" t="s">
        <v>1823</v>
      </c>
      <c r="C129" s="51" t="s">
        <v>3621</v>
      </c>
      <c r="D129" s="51" t="s">
        <v>106</v>
      </c>
      <c r="E129" s="51"/>
      <c r="F129" s="51"/>
      <c r="G129" s="51" t="s">
        <v>2876</v>
      </c>
      <c r="H129" s="297"/>
      <c r="I129" s="297"/>
      <c r="J129" s="254"/>
    </row>
    <row r="130" spans="1:10" s="41" customFormat="1" ht="20" x14ac:dyDescent="0.2">
      <c r="A130" s="6"/>
      <c r="B130" s="151" t="s">
        <v>2534</v>
      </c>
      <c r="C130" s="51" t="s">
        <v>2193</v>
      </c>
      <c r="D130" s="51" t="s">
        <v>106</v>
      </c>
      <c r="E130" s="51"/>
      <c r="F130" s="51"/>
      <c r="G130" s="51" t="s">
        <v>2876</v>
      </c>
      <c r="H130" s="297"/>
      <c r="I130" s="297"/>
      <c r="J130" s="254"/>
    </row>
    <row r="131" spans="1:10" s="41" customFormat="1" ht="20" x14ac:dyDescent="0.2">
      <c r="A131" s="6"/>
      <c r="B131" s="151" t="s">
        <v>2404</v>
      </c>
      <c r="C131" s="51" t="s">
        <v>2054</v>
      </c>
      <c r="D131" s="51" t="s">
        <v>106</v>
      </c>
      <c r="E131" s="51"/>
      <c r="F131" s="51"/>
      <c r="G131" s="51" t="s">
        <v>2876</v>
      </c>
      <c r="H131" s="19"/>
      <c r="I131" s="19"/>
      <c r="J131" s="254"/>
    </row>
    <row r="132" spans="1:10" s="41" customFormat="1" ht="20" x14ac:dyDescent="0.2">
      <c r="A132" s="6"/>
      <c r="B132" s="151" t="s">
        <v>1835</v>
      </c>
      <c r="C132" s="51" t="s">
        <v>3622</v>
      </c>
      <c r="D132" s="51" t="s">
        <v>106</v>
      </c>
      <c r="E132" s="51"/>
      <c r="F132" s="51"/>
      <c r="G132" s="51" t="s">
        <v>2876</v>
      </c>
      <c r="H132" s="19"/>
      <c r="I132" s="19"/>
      <c r="J132" s="254"/>
    </row>
    <row r="133" spans="1:10" s="41" customFormat="1" ht="20" x14ac:dyDescent="0.2">
      <c r="A133" s="6"/>
      <c r="B133" s="151" t="s">
        <v>2583</v>
      </c>
      <c r="C133" s="51" t="s">
        <v>2243</v>
      </c>
      <c r="D133" s="51" t="s">
        <v>106</v>
      </c>
      <c r="E133" s="51"/>
      <c r="F133" s="51"/>
      <c r="G133" s="51" t="s">
        <v>2876</v>
      </c>
      <c r="H133" s="297"/>
      <c r="I133" s="297"/>
      <c r="J133" s="254"/>
    </row>
    <row r="134" spans="1:10" s="41" customFormat="1" ht="20" x14ac:dyDescent="0.2">
      <c r="A134" s="6"/>
      <c r="B134" s="151" t="s">
        <v>1817</v>
      </c>
      <c r="C134" s="51" t="s">
        <v>3623</v>
      </c>
      <c r="D134" s="51" t="s">
        <v>106</v>
      </c>
      <c r="E134" s="51"/>
      <c r="F134" s="51"/>
      <c r="G134" s="51" t="s">
        <v>2876</v>
      </c>
      <c r="H134" s="19"/>
      <c r="I134" s="19"/>
      <c r="J134" s="254"/>
    </row>
    <row r="135" spans="1:10" s="41" customFormat="1" ht="20" x14ac:dyDescent="0.2">
      <c r="A135" s="6"/>
      <c r="B135" s="151" t="s">
        <v>2588</v>
      </c>
      <c r="C135" s="51" t="s">
        <v>2246</v>
      </c>
      <c r="D135" s="51" t="s">
        <v>106</v>
      </c>
      <c r="E135" s="51"/>
      <c r="F135" s="51"/>
      <c r="G135" s="51" t="s">
        <v>2876</v>
      </c>
      <c r="H135" s="19"/>
      <c r="I135" s="19"/>
      <c r="J135" s="254"/>
    </row>
    <row r="136" spans="1:10" s="41" customFormat="1" ht="20" x14ac:dyDescent="0.2">
      <c r="A136" s="6"/>
      <c r="B136" s="151" t="s">
        <v>1628</v>
      </c>
      <c r="C136" s="51" t="s">
        <v>3107</v>
      </c>
      <c r="D136" s="51" t="s">
        <v>106</v>
      </c>
      <c r="E136" s="299">
        <v>49.1769186</v>
      </c>
      <c r="F136" s="299">
        <v>-125.39557240000001</v>
      </c>
      <c r="G136" s="51" t="s">
        <v>2876</v>
      </c>
      <c r="H136" s="297"/>
      <c r="I136" s="297"/>
      <c r="J136" s="254"/>
    </row>
    <row r="137" spans="1:10" s="41" customFormat="1" ht="20" x14ac:dyDescent="0.2">
      <c r="A137" s="6"/>
      <c r="B137" s="151" t="s">
        <v>2543</v>
      </c>
      <c r="C137" s="51" t="s">
        <v>2196</v>
      </c>
      <c r="D137" s="51" t="s">
        <v>106</v>
      </c>
      <c r="E137" s="51"/>
      <c r="F137" s="51"/>
      <c r="G137" s="51" t="s">
        <v>2876</v>
      </c>
      <c r="H137" s="297"/>
      <c r="I137" s="297"/>
      <c r="J137" s="254"/>
    </row>
    <row r="138" spans="1:10" s="41" customFormat="1" ht="20" x14ac:dyDescent="0.2">
      <c r="A138" s="6"/>
      <c r="B138" s="151" t="s">
        <v>1672</v>
      </c>
      <c r="C138" s="51" t="s">
        <v>3624</v>
      </c>
      <c r="D138" s="51" t="s">
        <v>106</v>
      </c>
      <c r="E138" s="51"/>
      <c r="F138" s="51"/>
      <c r="G138" s="51" t="s">
        <v>2876</v>
      </c>
      <c r="H138" s="19"/>
      <c r="I138" s="19"/>
      <c r="J138" s="254"/>
    </row>
    <row r="139" spans="1:10" s="41" customFormat="1" ht="20" x14ac:dyDescent="0.2">
      <c r="A139" s="6"/>
      <c r="B139" s="151" t="s">
        <v>2545</v>
      </c>
      <c r="C139" s="51" t="s">
        <v>2202</v>
      </c>
      <c r="D139" s="51" t="s">
        <v>106</v>
      </c>
      <c r="E139" s="51"/>
      <c r="F139" s="51"/>
      <c r="G139" s="51" t="s">
        <v>2876</v>
      </c>
      <c r="H139" s="297"/>
      <c r="I139" s="297"/>
      <c r="J139" s="254"/>
    </row>
    <row r="140" spans="1:10" s="41" customFormat="1" ht="20" x14ac:dyDescent="0.2">
      <c r="A140" s="6"/>
      <c r="B140" s="151" t="s">
        <v>1635</v>
      </c>
      <c r="C140" s="51" t="s">
        <v>3238</v>
      </c>
      <c r="D140" s="51" t="s">
        <v>106</v>
      </c>
      <c r="E140" s="51"/>
      <c r="F140" s="51"/>
      <c r="G140" s="51" t="s">
        <v>2876</v>
      </c>
      <c r="H140" s="19"/>
      <c r="I140" s="19"/>
      <c r="J140" s="254"/>
    </row>
    <row r="141" spans="1:10" s="41" customFormat="1" ht="20" x14ac:dyDescent="0.2">
      <c r="A141" s="6"/>
      <c r="B141" s="151" t="s">
        <v>2302</v>
      </c>
      <c r="C141" s="51" t="s">
        <v>3112</v>
      </c>
      <c r="D141" s="51" t="s">
        <v>106</v>
      </c>
      <c r="E141" s="299">
        <v>50.789020499999999</v>
      </c>
      <c r="F141" s="299">
        <v>-128.00329500000001</v>
      </c>
      <c r="G141" s="51" t="s">
        <v>2876</v>
      </c>
      <c r="H141" s="19"/>
      <c r="I141" s="19"/>
      <c r="J141" s="254"/>
    </row>
    <row r="142" spans="1:10" s="41" customFormat="1" ht="20" x14ac:dyDescent="0.2">
      <c r="A142" s="6"/>
      <c r="B142" s="151" t="s">
        <v>1611</v>
      </c>
      <c r="C142" s="51" t="s">
        <v>3230</v>
      </c>
      <c r="D142" s="51" t="s">
        <v>106</v>
      </c>
      <c r="E142" s="51"/>
      <c r="F142" s="51"/>
      <c r="G142" s="51" t="s">
        <v>2876</v>
      </c>
      <c r="H142" s="297"/>
      <c r="I142" s="297"/>
      <c r="J142" s="254"/>
    </row>
    <row r="143" spans="1:10" s="41" customFormat="1" ht="20" x14ac:dyDescent="0.2">
      <c r="A143" s="6"/>
      <c r="B143" s="151" t="s">
        <v>1632</v>
      </c>
      <c r="C143" s="51" t="s">
        <v>3398</v>
      </c>
      <c r="D143" s="51" t="s">
        <v>106</v>
      </c>
      <c r="E143" s="51"/>
      <c r="F143" s="51"/>
      <c r="G143" s="51" t="s">
        <v>2876</v>
      </c>
      <c r="H143" s="19"/>
      <c r="I143" s="19"/>
      <c r="J143" s="254"/>
    </row>
    <row r="144" spans="1:10" s="41" customFormat="1" ht="20" x14ac:dyDescent="0.2">
      <c r="A144" s="6"/>
      <c r="B144" s="151" t="s">
        <v>2519</v>
      </c>
      <c r="C144" s="51" t="s">
        <v>2178</v>
      </c>
      <c r="D144" s="51" t="s">
        <v>106</v>
      </c>
      <c r="E144" s="51"/>
      <c r="F144" s="51"/>
      <c r="G144" s="51" t="s">
        <v>2876</v>
      </c>
      <c r="H144" s="297"/>
      <c r="I144" s="297"/>
      <c r="J144" s="254"/>
    </row>
    <row r="145" spans="1:10" s="41" customFormat="1" ht="20" x14ac:dyDescent="0.2">
      <c r="A145" s="6"/>
      <c r="B145" s="151" t="s">
        <v>2298</v>
      </c>
      <c r="C145" s="51" t="s">
        <v>3104</v>
      </c>
      <c r="D145" s="51" t="s">
        <v>106</v>
      </c>
      <c r="E145" s="299">
        <v>52.997039000000001</v>
      </c>
      <c r="F145" s="299">
        <v>-122.4852664</v>
      </c>
      <c r="G145" s="51" t="s">
        <v>2876</v>
      </c>
      <c r="H145" s="19"/>
      <c r="I145" s="19"/>
      <c r="J145" s="254"/>
    </row>
    <row r="146" spans="1:10" s="41" customFormat="1" ht="20" x14ac:dyDescent="0.2">
      <c r="A146" s="6"/>
      <c r="B146" s="151" t="s">
        <v>2578</v>
      </c>
      <c r="C146" s="51" t="s">
        <v>2237</v>
      </c>
      <c r="D146" s="51" t="s">
        <v>106</v>
      </c>
      <c r="E146" s="51"/>
      <c r="F146" s="51"/>
      <c r="G146" s="51" t="s">
        <v>2876</v>
      </c>
      <c r="H146" s="19"/>
      <c r="I146" s="19"/>
      <c r="J146" s="254"/>
    </row>
    <row r="147" spans="1:10" s="41" customFormat="1" ht="20" x14ac:dyDescent="0.2">
      <c r="A147" s="6"/>
      <c r="B147" s="151" t="s">
        <v>1636</v>
      </c>
      <c r="C147" s="51" t="s">
        <v>3239</v>
      </c>
      <c r="D147" s="51" t="s">
        <v>106</v>
      </c>
      <c r="E147" s="51"/>
      <c r="F147" s="51"/>
      <c r="G147" s="51" t="s">
        <v>2876</v>
      </c>
      <c r="H147" s="297"/>
      <c r="I147" s="297"/>
      <c r="J147" s="254"/>
    </row>
    <row r="148" spans="1:10" s="41" customFormat="1" ht="20" x14ac:dyDescent="0.2">
      <c r="A148" s="6"/>
      <c r="B148" s="230" t="s">
        <v>2690</v>
      </c>
      <c r="C148" s="51" t="s">
        <v>3403</v>
      </c>
      <c r="D148" s="51" t="s">
        <v>173</v>
      </c>
      <c r="E148" s="51"/>
      <c r="F148" s="51"/>
      <c r="G148" s="51" t="s">
        <v>2876</v>
      </c>
      <c r="H148" s="19"/>
      <c r="I148" s="19"/>
      <c r="J148" s="254"/>
    </row>
    <row r="149" spans="1:10" s="41" customFormat="1" ht="20" x14ac:dyDescent="0.2">
      <c r="A149" s="6"/>
      <c r="B149" s="230" t="s">
        <v>2696</v>
      </c>
      <c r="C149" s="51" t="s">
        <v>2760</v>
      </c>
      <c r="D149" s="51" t="s">
        <v>173</v>
      </c>
      <c r="E149" s="51"/>
      <c r="F149" s="51"/>
      <c r="G149" s="51" t="s">
        <v>2876</v>
      </c>
      <c r="H149" s="297"/>
      <c r="I149" s="297"/>
      <c r="J149" s="254"/>
    </row>
    <row r="150" spans="1:10" ht="20" x14ac:dyDescent="0.2">
      <c r="A150" s="6"/>
      <c r="B150" s="230" t="s">
        <v>144</v>
      </c>
      <c r="C150" s="51" t="s">
        <v>3231</v>
      </c>
      <c r="D150" s="51" t="s">
        <v>173</v>
      </c>
      <c r="E150" s="51"/>
      <c r="F150" s="51"/>
      <c r="G150" s="51" t="s">
        <v>2876</v>
      </c>
      <c r="H150" s="19"/>
      <c r="I150" s="19"/>
    </row>
    <row r="151" spans="1:10" ht="20" x14ac:dyDescent="0.2">
      <c r="A151" s="6"/>
      <c r="B151" s="151" t="s">
        <v>2300</v>
      </c>
      <c r="C151" s="51" t="s">
        <v>3105</v>
      </c>
      <c r="D151" s="51" t="s">
        <v>106</v>
      </c>
      <c r="E151" s="299">
        <v>48.875706700000002</v>
      </c>
      <c r="F151" s="299">
        <v>-123.6500286</v>
      </c>
      <c r="G151" s="51" t="s">
        <v>2876</v>
      </c>
      <c r="H151" s="19"/>
      <c r="I151" s="19"/>
    </row>
    <row r="152" spans="1:10" ht="20" x14ac:dyDescent="0.2">
      <c r="A152" s="6"/>
      <c r="B152" s="151" t="s">
        <v>1639</v>
      </c>
      <c r="C152" s="51" t="s">
        <v>3240</v>
      </c>
      <c r="D152" s="51" t="s">
        <v>106</v>
      </c>
      <c r="E152" s="51"/>
      <c r="F152" s="51"/>
      <c r="G152" s="51" t="s">
        <v>2876</v>
      </c>
      <c r="H152" s="19"/>
      <c r="I152" s="19"/>
    </row>
    <row r="153" spans="1:10" ht="20" x14ac:dyDescent="0.2">
      <c r="A153" s="6"/>
      <c r="B153" s="151" t="s">
        <v>1631</v>
      </c>
      <c r="C153" s="51" t="s">
        <v>3397</v>
      </c>
      <c r="D153" s="51" t="s">
        <v>106</v>
      </c>
      <c r="E153" s="51"/>
      <c r="F153" s="51"/>
      <c r="G153" s="51" t="s">
        <v>2876</v>
      </c>
      <c r="H153" s="297"/>
      <c r="I153" s="297"/>
    </row>
    <row r="154" spans="1:10" ht="20" x14ac:dyDescent="0.2">
      <c r="A154" s="6"/>
      <c r="B154" s="151" t="s">
        <v>2438</v>
      </c>
      <c r="C154" s="51" t="s">
        <v>2091</v>
      </c>
      <c r="D154" s="51" t="s">
        <v>106</v>
      </c>
      <c r="E154" s="51"/>
      <c r="F154" s="51"/>
      <c r="G154" s="51" t="s">
        <v>2876</v>
      </c>
      <c r="H154" s="19"/>
      <c r="I154" s="19"/>
    </row>
    <row r="155" spans="1:10" ht="20" x14ac:dyDescent="0.2">
      <c r="A155" s="6"/>
      <c r="B155" s="151" t="s">
        <v>1616</v>
      </c>
      <c r="C155" s="51" t="s">
        <v>3387</v>
      </c>
      <c r="D155" s="51" t="s">
        <v>106</v>
      </c>
      <c r="E155" s="51"/>
      <c r="F155" s="51"/>
      <c r="G155" s="51" t="s">
        <v>2876</v>
      </c>
      <c r="H155" s="19"/>
      <c r="I155" s="19"/>
    </row>
    <row r="156" spans="1:10" ht="20" x14ac:dyDescent="0.2">
      <c r="A156" s="6"/>
      <c r="B156" s="151" t="s">
        <v>2421</v>
      </c>
      <c r="C156" s="51" t="s">
        <v>2071</v>
      </c>
      <c r="D156" s="51" t="s">
        <v>106</v>
      </c>
      <c r="E156" s="51"/>
      <c r="F156" s="51"/>
      <c r="G156" s="51" t="s">
        <v>2876</v>
      </c>
      <c r="H156" s="297"/>
      <c r="I156" s="297"/>
    </row>
    <row r="157" spans="1:10" ht="20" x14ac:dyDescent="0.2">
      <c r="A157" s="6"/>
      <c r="B157" s="151" t="s">
        <v>1625</v>
      </c>
      <c r="C157" s="51" t="s">
        <v>3721</v>
      </c>
      <c r="D157" s="51" t="s">
        <v>106</v>
      </c>
      <c r="E157" s="299">
        <v>49.933701999999997</v>
      </c>
      <c r="F157" s="299">
        <v>-123.2909846</v>
      </c>
      <c r="G157" s="51" t="s">
        <v>2876</v>
      </c>
      <c r="H157" s="19"/>
      <c r="I157" s="19"/>
    </row>
    <row r="158" spans="1:10" ht="20" x14ac:dyDescent="0.2">
      <c r="A158" s="6"/>
      <c r="B158" s="151" t="s">
        <v>1617</v>
      </c>
      <c r="C158" s="51" t="s">
        <v>3189</v>
      </c>
      <c r="D158" s="51" t="s">
        <v>106</v>
      </c>
      <c r="E158" s="299">
        <v>50.105636099999998</v>
      </c>
      <c r="F158" s="299">
        <v>-122.9448135</v>
      </c>
      <c r="G158" s="51" t="s">
        <v>2876</v>
      </c>
      <c r="H158" s="297"/>
      <c r="I158" s="297"/>
    </row>
    <row r="159" spans="1:10" ht="20" x14ac:dyDescent="0.2">
      <c r="A159" s="6"/>
      <c r="B159" s="151" t="s">
        <v>165</v>
      </c>
      <c r="C159" s="51" t="s">
        <v>3241</v>
      </c>
      <c r="D159" s="51" t="s">
        <v>106</v>
      </c>
      <c r="E159" s="51"/>
      <c r="F159" s="51"/>
      <c r="G159" s="51" t="s">
        <v>2876</v>
      </c>
      <c r="H159" s="19"/>
      <c r="I159" s="19"/>
    </row>
    <row r="160" spans="1:10" ht="20" x14ac:dyDescent="0.2">
      <c r="A160" s="6"/>
      <c r="B160" s="151" t="s">
        <v>2314</v>
      </c>
      <c r="C160" s="51" t="s">
        <v>3600</v>
      </c>
      <c r="D160" s="51" t="s">
        <v>106</v>
      </c>
      <c r="E160" s="299">
        <v>55.723487200000001</v>
      </c>
      <c r="F160" s="299">
        <v>-121.5650452</v>
      </c>
      <c r="G160" s="51" t="s">
        <v>2876</v>
      </c>
      <c r="H160" s="19"/>
      <c r="I160" s="19"/>
    </row>
    <row r="161" spans="1:9" ht="20" x14ac:dyDescent="0.2">
      <c r="A161" s="6"/>
      <c r="B161" s="151" t="s">
        <v>1642</v>
      </c>
      <c r="C161" s="51" t="s">
        <v>3625</v>
      </c>
      <c r="D161" s="51" t="s">
        <v>106</v>
      </c>
      <c r="E161" s="51"/>
      <c r="F161" s="51"/>
      <c r="G161" s="51" t="s">
        <v>2876</v>
      </c>
      <c r="H161" s="297"/>
      <c r="I161" s="297"/>
    </row>
    <row r="162" spans="1:9" ht="20" x14ac:dyDescent="0.2">
      <c r="A162" s="6"/>
      <c r="B162" s="151" t="s">
        <v>1614</v>
      </c>
      <c r="C162" s="51" t="s">
        <v>3423</v>
      </c>
      <c r="D162" s="51" t="s">
        <v>106</v>
      </c>
      <c r="E162" s="51"/>
      <c r="F162" s="51"/>
      <c r="G162" s="51" t="s">
        <v>2876</v>
      </c>
      <c r="H162" s="19"/>
      <c r="I162" s="19"/>
    </row>
    <row r="163" spans="1:9" ht="20" x14ac:dyDescent="0.2">
      <c r="A163" s="6"/>
      <c r="B163" s="151" t="s">
        <v>1615</v>
      </c>
      <c r="C163" s="51" t="s">
        <v>3362</v>
      </c>
      <c r="D163" s="51" t="s">
        <v>106</v>
      </c>
      <c r="E163" s="51"/>
      <c r="F163" s="51"/>
      <c r="G163" s="51" t="s">
        <v>2876</v>
      </c>
      <c r="H163" s="19"/>
      <c r="I163" s="19"/>
    </row>
    <row r="164" spans="1:9" ht="20" x14ac:dyDescent="0.2">
      <c r="A164" s="6"/>
      <c r="B164" s="230" t="s">
        <v>2689</v>
      </c>
      <c r="C164" s="51" t="s">
        <v>3386</v>
      </c>
      <c r="D164" s="51" t="s">
        <v>173</v>
      </c>
      <c r="E164" s="51"/>
      <c r="F164" s="51"/>
      <c r="G164" s="51" t="s">
        <v>2876</v>
      </c>
      <c r="H164" s="297"/>
      <c r="I164" s="297"/>
    </row>
    <row r="165" spans="1:9" ht="20" x14ac:dyDescent="0.2">
      <c r="A165" s="6"/>
      <c r="B165" s="230" t="s">
        <v>2695</v>
      </c>
      <c r="C165" s="51" t="s">
        <v>2759</v>
      </c>
      <c r="D165" s="51" t="s">
        <v>173</v>
      </c>
      <c r="E165" s="51"/>
      <c r="F165" s="51"/>
      <c r="G165" s="51" t="s">
        <v>2876</v>
      </c>
      <c r="H165" s="19"/>
      <c r="I165" s="19"/>
    </row>
    <row r="166" spans="1:9" ht="20" x14ac:dyDescent="0.2">
      <c r="A166" s="6"/>
      <c r="B166" s="151" t="s">
        <v>1612</v>
      </c>
      <c r="C166" s="51" t="s">
        <v>3233</v>
      </c>
      <c r="D166" s="51" t="s">
        <v>106</v>
      </c>
      <c r="E166" s="51"/>
      <c r="F166" s="51"/>
      <c r="G166" s="51" t="s">
        <v>2876</v>
      </c>
      <c r="H166" s="297"/>
      <c r="I166" s="297"/>
    </row>
    <row r="167" spans="1:9" ht="20" x14ac:dyDescent="0.2">
      <c r="A167" s="6"/>
      <c r="B167" s="151" t="s">
        <v>1622</v>
      </c>
      <c r="C167" s="51" t="s">
        <v>3390</v>
      </c>
      <c r="D167" s="51" t="s">
        <v>106</v>
      </c>
      <c r="E167" s="51"/>
      <c r="F167" s="51"/>
      <c r="G167" s="51" t="s">
        <v>2876</v>
      </c>
      <c r="H167" s="19"/>
      <c r="I167" s="19"/>
    </row>
    <row r="168" spans="1:9" ht="20" x14ac:dyDescent="0.2">
      <c r="A168" s="6"/>
      <c r="B168" s="151" t="s">
        <v>2428</v>
      </c>
      <c r="C168" s="51" t="s">
        <v>2076</v>
      </c>
      <c r="D168" s="51" t="s">
        <v>106</v>
      </c>
      <c r="E168" s="51"/>
      <c r="F168" s="51"/>
      <c r="G168" s="51" t="s">
        <v>2876</v>
      </c>
      <c r="H168" s="19"/>
      <c r="I168" s="19"/>
    </row>
    <row r="169" spans="1:9" ht="20" x14ac:dyDescent="0.2">
      <c r="A169" s="6"/>
      <c r="B169" s="151" t="s">
        <v>1621</v>
      </c>
      <c r="C169" s="51" t="s">
        <v>3389</v>
      </c>
      <c r="D169" s="51" t="s">
        <v>106</v>
      </c>
      <c r="E169" s="51"/>
      <c r="F169" s="51"/>
      <c r="G169" s="51" t="s">
        <v>2876</v>
      </c>
      <c r="H169" s="297"/>
      <c r="I169" s="297"/>
    </row>
    <row r="170" spans="1:9" ht="20" x14ac:dyDescent="0.2">
      <c r="A170" s="6"/>
      <c r="B170" s="151" t="s">
        <v>2572</v>
      </c>
      <c r="C170" s="51" t="s">
        <v>2233</v>
      </c>
      <c r="D170" s="51" t="s">
        <v>106</v>
      </c>
      <c r="E170" s="51"/>
      <c r="F170" s="51"/>
      <c r="G170" s="51" t="s">
        <v>2876</v>
      </c>
      <c r="H170" s="297"/>
      <c r="I170" s="297"/>
    </row>
    <row r="171" spans="1:9" ht="20" x14ac:dyDescent="0.2">
      <c r="A171" s="6"/>
      <c r="B171" s="151" t="s">
        <v>2301</v>
      </c>
      <c r="C171" s="51" t="s">
        <v>3108</v>
      </c>
      <c r="D171" s="51" t="s">
        <v>106</v>
      </c>
      <c r="E171" s="299">
        <v>49.710933300000001</v>
      </c>
      <c r="F171" s="299">
        <v>-123.5321081</v>
      </c>
      <c r="G171" s="51" t="s">
        <v>2876</v>
      </c>
      <c r="H171" s="19"/>
      <c r="I171" s="19"/>
    </row>
    <row r="172" spans="1:9" ht="20" x14ac:dyDescent="0.2">
      <c r="A172" s="6"/>
      <c r="B172" s="151" t="s">
        <v>1624</v>
      </c>
      <c r="C172" s="51" t="s">
        <v>3391</v>
      </c>
      <c r="D172" s="51" t="s">
        <v>106</v>
      </c>
      <c r="E172" s="51"/>
      <c r="F172" s="51"/>
      <c r="G172" s="51" t="s">
        <v>2876</v>
      </c>
      <c r="H172" s="297"/>
      <c r="I172" s="297"/>
    </row>
    <row r="173" spans="1:9" ht="20" x14ac:dyDescent="0.2">
      <c r="A173" s="6"/>
      <c r="B173" s="151" t="s">
        <v>2564</v>
      </c>
      <c r="C173" s="51" t="s">
        <v>2223</v>
      </c>
      <c r="D173" s="51" t="s">
        <v>106</v>
      </c>
      <c r="E173" s="51"/>
      <c r="F173" s="51"/>
      <c r="G173" s="51" t="s">
        <v>2876</v>
      </c>
      <c r="H173" s="19"/>
      <c r="I173" s="19"/>
    </row>
    <row r="174" spans="1:9" ht="20" x14ac:dyDescent="0.2">
      <c r="A174" s="6"/>
      <c r="B174" s="230" t="s">
        <v>2729</v>
      </c>
      <c r="C174" s="51" t="s">
        <v>3234</v>
      </c>
      <c r="D174" s="51" t="s">
        <v>173</v>
      </c>
      <c r="E174" s="51"/>
      <c r="F174" s="51"/>
      <c r="G174" s="51" t="s">
        <v>2876</v>
      </c>
      <c r="H174" s="297"/>
      <c r="I174" s="297"/>
    </row>
    <row r="175" spans="1:9" ht="20" x14ac:dyDescent="0.2">
      <c r="A175" s="6"/>
      <c r="B175" s="151" t="s">
        <v>1618</v>
      </c>
      <c r="C175" s="51" t="s">
        <v>3388</v>
      </c>
      <c r="D175" s="51" t="s">
        <v>106</v>
      </c>
      <c r="E175" s="51"/>
      <c r="F175" s="51"/>
      <c r="G175" s="51" t="s">
        <v>2876</v>
      </c>
      <c r="H175" s="19"/>
      <c r="I175" s="19"/>
    </row>
    <row r="176" spans="1:9" ht="20" x14ac:dyDescent="0.2">
      <c r="A176" s="6"/>
      <c r="B176" s="151" t="s">
        <v>2594</v>
      </c>
      <c r="C176" s="51" t="s">
        <v>2252</v>
      </c>
      <c r="D176" s="51" t="s">
        <v>106</v>
      </c>
      <c r="E176" s="51"/>
      <c r="F176" s="51"/>
      <c r="G176" s="51" t="s">
        <v>2876</v>
      </c>
      <c r="H176" s="297"/>
      <c r="I176" s="297"/>
    </row>
    <row r="177" spans="1:9" ht="20" x14ac:dyDescent="0.2">
      <c r="A177" s="6"/>
      <c r="B177" s="151" t="s">
        <v>1619</v>
      </c>
      <c r="C177" s="51" t="s">
        <v>3437</v>
      </c>
      <c r="D177" s="51" t="s">
        <v>106</v>
      </c>
      <c r="E177" s="51"/>
      <c r="F177" s="51"/>
      <c r="G177" s="51" t="s">
        <v>2876</v>
      </c>
      <c r="H177" s="19"/>
      <c r="I177" s="19"/>
    </row>
    <row r="178" spans="1:9" ht="20" x14ac:dyDescent="0.2">
      <c r="A178" s="6"/>
      <c r="B178" s="151" t="s">
        <v>1630</v>
      </c>
      <c r="C178" s="51" t="s">
        <v>3235</v>
      </c>
      <c r="D178" s="51" t="s">
        <v>106</v>
      </c>
      <c r="E178" s="51"/>
      <c r="F178" s="51"/>
      <c r="G178" s="51" t="s">
        <v>2876</v>
      </c>
      <c r="H178" s="297"/>
      <c r="I178" s="297"/>
    </row>
    <row r="179" spans="1:9" ht="20" x14ac:dyDescent="0.2">
      <c r="A179" s="6"/>
      <c r="B179" s="151" t="s">
        <v>1626</v>
      </c>
      <c r="C179" s="51" t="s">
        <v>3392</v>
      </c>
      <c r="D179" s="51" t="s">
        <v>106</v>
      </c>
      <c r="E179" s="51"/>
      <c r="F179" s="51"/>
      <c r="G179" s="51" t="s">
        <v>2876</v>
      </c>
      <c r="H179" s="19"/>
      <c r="I179" s="19"/>
    </row>
    <row r="180" spans="1:9" ht="20" x14ac:dyDescent="0.2">
      <c r="A180" s="6"/>
      <c r="B180" s="151" t="s">
        <v>2398</v>
      </c>
      <c r="C180" s="51" t="s">
        <v>2047</v>
      </c>
      <c r="D180" s="51" t="s">
        <v>106</v>
      </c>
      <c r="E180" s="51"/>
      <c r="F180" s="51"/>
      <c r="G180" s="51" t="s">
        <v>2876</v>
      </c>
      <c r="H180" s="19"/>
      <c r="I180" s="19"/>
    </row>
    <row r="181" spans="1:9" ht="20" x14ac:dyDescent="0.2">
      <c r="A181" s="6"/>
      <c r="B181" s="151" t="s">
        <v>1808</v>
      </c>
      <c r="C181" s="51" t="s">
        <v>3626</v>
      </c>
      <c r="D181" s="51" t="s">
        <v>106</v>
      </c>
      <c r="E181" s="51"/>
      <c r="F181" s="51"/>
      <c r="G181" s="51" t="s">
        <v>2876</v>
      </c>
      <c r="H181" s="19"/>
      <c r="I181" s="19"/>
    </row>
    <row r="182" spans="1:9" ht="20" x14ac:dyDescent="0.2">
      <c r="A182" s="6"/>
      <c r="B182" s="151" t="s">
        <v>1620</v>
      </c>
      <c r="C182" s="51" t="s">
        <v>3627</v>
      </c>
      <c r="D182" s="51" t="s">
        <v>106</v>
      </c>
      <c r="E182" s="51"/>
      <c r="F182" s="51"/>
      <c r="G182" s="51" t="s">
        <v>2876</v>
      </c>
      <c r="H182" s="19"/>
      <c r="I182" s="19"/>
    </row>
    <row r="183" spans="1:9" ht="20" x14ac:dyDescent="0.2">
      <c r="A183" s="6"/>
      <c r="B183" s="151" t="s">
        <v>2495</v>
      </c>
      <c r="C183" s="51" t="s">
        <v>2151</v>
      </c>
      <c r="D183" s="51" t="s">
        <v>106</v>
      </c>
      <c r="E183" s="51"/>
      <c r="F183" s="51"/>
      <c r="G183" s="51" t="s">
        <v>2876</v>
      </c>
      <c r="H183" s="297"/>
      <c r="I183" s="297"/>
    </row>
    <row r="184" spans="1:9" ht="20" x14ac:dyDescent="0.2">
      <c r="A184" s="6"/>
      <c r="B184" s="151" t="s">
        <v>2336</v>
      </c>
      <c r="C184" s="51" t="s">
        <v>3628</v>
      </c>
      <c r="D184" s="51" t="s">
        <v>106</v>
      </c>
      <c r="E184" s="51"/>
      <c r="F184" s="51"/>
      <c r="G184" s="51" t="s">
        <v>2876</v>
      </c>
      <c r="H184" s="19"/>
      <c r="I184" s="19"/>
    </row>
    <row r="185" spans="1:9" ht="20" x14ac:dyDescent="0.2">
      <c r="A185" s="6"/>
      <c r="B185" s="151" t="s">
        <v>2477</v>
      </c>
      <c r="C185" s="51" t="s">
        <v>2132</v>
      </c>
      <c r="D185" s="51" t="s">
        <v>106</v>
      </c>
      <c r="E185" s="51"/>
      <c r="F185" s="51"/>
      <c r="G185" s="51" t="s">
        <v>2876</v>
      </c>
      <c r="H185" s="297"/>
      <c r="I185" s="297"/>
    </row>
    <row r="186" spans="1:9" ht="20" x14ac:dyDescent="0.2">
      <c r="A186" s="6"/>
      <c r="B186" s="151" t="s">
        <v>1623</v>
      </c>
      <c r="C186" s="51" t="s">
        <v>3629</v>
      </c>
      <c r="D186" s="51" t="s">
        <v>106</v>
      </c>
      <c r="E186" s="51"/>
      <c r="F186" s="51"/>
      <c r="G186" s="51" t="s">
        <v>2876</v>
      </c>
      <c r="H186" s="19"/>
      <c r="I186" s="19"/>
    </row>
    <row r="187" spans="1:9" ht="20" x14ac:dyDescent="0.2">
      <c r="A187" s="6"/>
      <c r="B187" s="151" t="s">
        <v>2411</v>
      </c>
      <c r="C187" s="51" t="s">
        <v>2062</v>
      </c>
      <c r="D187" s="51" t="s">
        <v>106</v>
      </c>
      <c r="E187" s="51"/>
      <c r="F187" s="51"/>
      <c r="G187" s="51" t="s">
        <v>2876</v>
      </c>
      <c r="H187" s="19"/>
      <c r="I187" s="19"/>
    </row>
    <row r="188" spans="1:9" ht="20" x14ac:dyDescent="0.2">
      <c r="A188" s="6"/>
      <c r="B188" s="151" t="s">
        <v>1641</v>
      </c>
      <c r="C188" s="51" t="s">
        <v>3406</v>
      </c>
      <c r="D188" s="51" t="s">
        <v>106</v>
      </c>
      <c r="E188" s="51"/>
      <c r="F188" s="51"/>
      <c r="G188" s="51" t="s">
        <v>2876</v>
      </c>
      <c r="H188" s="297"/>
      <c r="I188" s="297"/>
    </row>
    <row r="189" spans="1:9" ht="20" x14ac:dyDescent="0.2">
      <c r="A189" s="6"/>
      <c r="B189" s="151" t="s">
        <v>2442</v>
      </c>
      <c r="C189" s="51" t="s">
        <v>2094</v>
      </c>
      <c r="D189" s="51" t="s">
        <v>106</v>
      </c>
      <c r="E189" s="51"/>
      <c r="F189" s="51"/>
      <c r="G189" s="51" t="s">
        <v>2876</v>
      </c>
      <c r="H189" s="19"/>
      <c r="I189" s="19"/>
    </row>
    <row r="190" spans="1:9" ht="20" x14ac:dyDescent="0.2">
      <c r="A190" s="6"/>
      <c r="B190" s="151" t="s">
        <v>1633</v>
      </c>
      <c r="C190" s="51" t="s">
        <v>3400</v>
      </c>
      <c r="D190" s="51" t="s">
        <v>106</v>
      </c>
      <c r="E190" s="51"/>
      <c r="F190" s="51"/>
      <c r="G190" s="51" t="s">
        <v>2876</v>
      </c>
      <c r="H190" s="19"/>
      <c r="I190" s="19"/>
    </row>
    <row r="191" spans="1:9" ht="20" x14ac:dyDescent="0.2">
      <c r="A191" s="6"/>
      <c r="B191" s="151" t="s">
        <v>2482</v>
      </c>
      <c r="C191" s="51" t="s">
        <v>2136</v>
      </c>
      <c r="D191" s="51" t="s">
        <v>106</v>
      </c>
      <c r="E191" s="51"/>
      <c r="F191" s="51"/>
      <c r="G191" s="51" t="s">
        <v>2876</v>
      </c>
      <c r="H191" s="19"/>
      <c r="I191" s="19"/>
    </row>
    <row r="192" spans="1:9" ht="20" x14ac:dyDescent="0.2">
      <c r="A192" s="6"/>
      <c r="B192" s="230" t="s">
        <v>2721</v>
      </c>
      <c r="C192" s="51" t="s">
        <v>3109</v>
      </c>
      <c r="D192" s="51" t="s">
        <v>173</v>
      </c>
      <c r="E192" s="299">
        <v>49.468876799999997</v>
      </c>
      <c r="F192" s="299">
        <v>-117.46863</v>
      </c>
      <c r="G192" s="51" t="s">
        <v>2876</v>
      </c>
      <c r="H192" s="19"/>
      <c r="I192" s="19"/>
    </row>
    <row r="193" spans="1:9" ht="20" x14ac:dyDescent="0.2">
      <c r="A193" s="6"/>
      <c r="B193" s="230" t="s">
        <v>2717</v>
      </c>
      <c r="C193" s="51" t="s">
        <v>3236</v>
      </c>
      <c r="D193" s="51" t="s">
        <v>173</v>
      </c>
      <c r="E193" s="51"/>
      <c r="F193" s="51"/>
      <c r="G193" s="51" t="s">
        <v>2876</v>
      </c>
      <c r="H193" s="297"/>
      <c r="I193" s="297"/>
    </row>
    <row r="194" spans="1:9" ht="20" x14ac:dyDescent="0.2">
      <c r="A194" s="6"/>
      <c r="B194" s="151" t="s">
        <v>107</v>
      </c>
      <c r="C194" s="51" t="s">
        <v>3232</v>
      </c>
      <c r="D194" s="51" t="s">
        <v>106</v>
      </c>
      <c r="E194" s="299">
        <v>49.6690118</v>
      </c>
      <c r="F194" s="299">
        <v>-115.94762799999999</v>
      </c>
      <c r="G194" s="51" t="s">
        <v>2876</v>
      </c>
      <c r="H194" s="19"/>
      <c r="I194" s="19"/>
    </row>
    <row r="195" spans="1:9" ht="20" x14ac:dyDescent="0.2">
      <c r="A195" s="6"/>
      <c r="B195" s="230" t="s">
        <v>2727</v>
      </c>
      <c r="C195" s="51" t="s">
        <v>3237</v>
      </c>
      <c r="D195" s="51" t="s">
        <v>173</v>
      </c>
      <c r="E195" s="51"/>
      <c r="F195" s="51"/>
      <c r="G195" s="51" t="s">
        <v>2876</v>
      </c>
      <c r="H195" s="297"/>
      <c r="I195" s="297"/>
    </row>
    <row r="196" spans="1:9" ht="20" x14ac:dyDescent="0.2">
      <c r="A196" s="6"/>
      <c r="B196" s="151" t="s">
        <v>1613</v>
      </c>
      <c r="C196" s="51" t="s">
        <v>3416</v>
      </c>
      <c r="D196" s="51" t="s">
        <v>106</v>
      </c>
      <c r="E196" s="51"/>
      <c r="F196" s="51"/>
      <c r="G196" s="51" t="s">
        <v>2876</v>
      </c>
      <c r="H196" s="19"/>
      <c r="I196" s="19"/>
    </row>
    <row r="197" spans="1:9" ht="20" x14ac:dyDescent="0.2">
      <c r="A197" s="6"/>
      <c r="B197" s="151" t="s">
        <v>1634</v>
      </c>
      <c r="C197" s="51" t="s">
        <v>3401</v>
      </c>
      <c r="D197" s="51" t="s">
        <v>106</v>
      </c>
      <c r="E197" s="51"/>
      <c r="F197" s="51"/>
      <c r="G197" s="51" t="s">
        <v>2876</v>
      </c>
      <c r="H197" s="19"/>
      <c r="I197" s="19"/>
    </row>
    <row r="198" spans="1:9" ht="20" x14ac:dyDescent="0.2">
      <c r="A198" s="6"/>
      <c r="B198" s="151" t="s">
        <v>2551</v>
      </c>
      <c r="C198" s="51" t="s">
        <v>2209</v>
      </c>
      <c r="D198" s="51" t="s">
        <v>106</v>
      </c>
      <c r="E198" s="51"/>
      <c r="F198" s="51"/>
      <c r="G198" s="51" t="s">
        <v>2876</v>
      </c>
      <c r="H198" s="19"/>
      <c r="I198" s="19"/>
    </row>
    <row r="199" spans="1:9" ht="20" x14ac:dyDescent="0.2">
      <c r="A199" s="6"/>
      <c r="B199" s="295" t="s">
        <v>1637</v>
      </c>
      <c r="C199" s="179" t="s">
        <v>3207</v>
      </c>
      <c r="D199" s="51" t="s">
        <v>106</v>
      </c>
      <c r="E199" s="299">
        <v>49.528363800000001</v>
      </c>
      <c r="F199" s="299">
        <v>-115.7577758</v>
      </c>
      <c r="G199" s="51" t="s">
        <v>2876</v>
      </c>
      <c r="H199" s="19"/>
      <c r="I199" s="19"/>
    </row>
    <row r="200" spans="1:9" ht="20" x14ac:dyDescent="0.2">
      <c r="A200" s="6"/>
      <c r="B200" s="230" t="s">
        <v>2724</v>
      </c>
      <c r="C200" s="179" t="s">
        <v>3358</v>
      </c>
      <c r="D200" s="51" t="s">
        <v>173</v>
      </c>
      <c r="E200" s="51"/>
      <c r="F200" s="51"/>
      <c r="G200" s="51" t="s">
        <v>2876</v>
      </c>
      <c r="H200" s="19"/>
      <c r="I200" s="19"/>
    </row>
    <row r="201" spans="1:9" ht="20" x14ac:dyDescent="0.2">
      <c r="A201" s="6"/>
      <c r="B201" s="151" t="s">
        <v>2565</v>
      </c>
      <c r="C201" s="51" t="s">
        <v>2224</v>
      </c>
      <c r="D201" s="51" t="s">
        <v>106</v>
      </c>
      <c r="E201" s="51"/>
      <c r="F201" s="51"/>
      <c r="G201" s="51" t="s">
        <v>2876</v>
      </c>
      <c r="H201" s="19"/>
      <c r="I201" s="19"/>
    </row>
    <row r="202" spans="1:9" ht="20" x14ac:dyDescent="0.2">
      <c r="A202" s="6"/>
      <c r="B202" s="151" t="s">
        <v>2342</v>
      </c>
      <c r="C202" s="179" t="s">
        <v>3111</v>
      </c>
      <c r="D202" s="51" t="s">
        <v>106</v>
      </c>
      <c r="E202" s="299">
        <v>49.647393700000002</v>
      </c>
      <c r="F202" s="299">
        <v>-114.71509279999999</v>
      </c>
      <c r="G202" s="51" t="s">
        <v>2876</v>
      </c>
      <c r="H202" s="19"/>
      <c r="I202" s="19"/>
    </row>
    <row r="203" spans="1:9" ht="20" x14ac:dyDescent="0.2">
      <c r="A203" s="6"/>
      <c r="B203" s="151" t="s">
        <v>1640</v>
      </c>
      <c r="C203" s="51" t="s">
        <v>3113</v>
      </c>
      <c r="D203" s="51" t="s">
        <v>106</v>
      </c>
      <c r="E203" s="299">
        <v>49.8771816</v>
      </c>
      <c r="F203" s="299">
        <v>-123.1598934</v>
      </c>
      <c r="G203" s="51" t="s">
        <v>2876</v>
      </c>
      <c r="H203" s="19"/>
      <c r="I203" s="19"/>
    </row>
    <row r="204" spans="1:9" ht="20" x14ac:dyDescent="0.2">
      <c r="A204" s="6"/>
      <c r="B204" s="151" t="s">
        <v>1643</v>
      </c>
      <c r="C204" s="51" t="s">
        <v>3242</v>
      </c>
      <c r="D204" s="51" t="s">
        <v>106</v>
      </c>
      <c r="E204" s="51"/>
      <c r="F204" s="51"/>
      <c r="G204" s="51" t="s">
        <v>2876</v>
      </c>
      <c r="H204" s="297"/>
      <c r="I204" s="297"/>
    </row>
    <row r="205" spans="1:9" ht="20" x14ac:dyDescent="0.2">
      <c r="A205" s="6"/>
      <c r="B205" s="151" t="s">
        <v>1647</v>
      </c>
      <c r="C205" s="51" t="s">
        <v>3482</v>
      </c>
      <c r="D205" s="51" t="s">
        <v>106</v>
      </c>
      <c r="E205" s="51"/>
      <c r="F205" s="51"/>
      <c r="G205" s="51" t="s">
        <v>2876</v>
      </c>
      <c r="H205" s="19"/>
      <c r="I205" s="19"/>
    </row>
    <row r="206" spans="1:9" ht="20" x14ac:dyDescent="0.2">
      <c r="A206" s="6"/>
      <c r="B206" s="151" t="s">
        <v>1645</v>
      </c>
      <c r="C206" s="51" t="s">
        <v>3411</v>
      </c>
      <c r="D206" s="51" t="s">
        <v>106</v>
      </c>
      <c r="E206" s="51"/>
      <c r="F206" s="51"/>
      <c r="G206" s="51" t="s">
        <v>2876</v>
      </c>
      <c r="H206" s="19"/>
      <c r="I206" s="19"/>
    </row>
    <row r="207" spans="1:9" ht="20" x14ac:dyDescent="0.2">
      <c r="A207" s="6"/>
      <c r="B207" s="151" t="s">
        <v>2426</v>
      </c>
      <c r="C207" s="51" t="s">
        <v>2077</v>
      </c>
      <c r="D207" s="51" t="s">
        <v>106</v>
      </c>
      <c r="E207" s="51"/>
      <c r="F207" s="51"/>
      <c r="G207" s="51" t="s">
        <v>2876</v>
      </c>
      <c r="H207" s="297"/>
      <c r="I207" s="297"/>
    </row>
    <row r="208" spans="1:9" ht="20" x14ac:dyDescent="0.2">
      <c r="A208" s="6"/>
      <c r="B208" s="151" t="s">
        <v>2305</v>
      </c>
      <c r="C208" s="51" t="s">
        <v>3116</v>
      </c>
      <c r="D208" s="51" t="s">
        <v>106</v>
      </c>
      <c r="E208" s="299">
        <v>54.383480499999997</v>
      </c>
      <c r="F208" s="299">
        <v>-128.91485299999999</v>
      </c>
      <c r="G208" s="51" t="s">
        <v>2876</v>
      </c>
      <c r="H208" s="19"/>
      <c r="I208" s="19"/>
    </row>
    <row r="209" spans="1:9" ht="20" x14ac:dyDescent="0.2">
      <c r="A209" s="6"/>
      <c r="B209" s="151" t="s">
        <v>125</v>
      </c>
      <c r="C209" s="51" t="s">
        <v>3377</v>
      </c>
      <c r="D209" s="51" t="s">
        <v>106</v>
      </c>
      <c r="E209" s="51"/>
      <c r="F209" s="51"/>
      <c r="G209" s="51" t="s">
        <v>2876</v>
      </c>
      <c r="H209" s="297"/>
      <c r="I209" s="297"/>
    </row>
    <row r="210" spans="1:9" ht="20" x14ac:dyDescent="0.2">
      <c r="A210" s="6"/>
      <c r="B210" s="151" t="s">
        <v>1644</v>
      </c>
      <c r="C210" s="179" t="s">
        <v>3410</v>
      </c>
      <c r="D210" s="51" t="s">
        <v>106</v>
      </c>
      <c r="E210" s="51"/>
      <c r="F210" s="51"/>
      <c r="G210" s="51" t="s">
        <v>2876</v>
      </c>
      <c r="H210" s="19"/>
      <c r="I210" s="19"/>
    </row>
    <row r="211" spans="1:9" ht="20" x14ac:dyDescent="0.2">
      <c r="A211" s="6"/>
      <c r="B211" s="151" t="s">
        <v>2533</v>
      </c>
      <c r="C211" s="51" t="s">
        <v>2192</v>
      </c>
      <c r="D211" s="51" t="s">
        <v>106</v>
      </c>
      <c r="E211" s="51"/>
      <c r="F211" s="51"/>
      <c r="G211" s="51" t="s">
        <v>2876</v>
      </c>
      <c r="H211" s="19"/>
      <c r="I211" s="19"/>
    </row>
    <row r="212" spans="1:9" ht="20" x14ac:dyDescent="0.2">
      <c r="A212" s="6"/>
      <c r="B212" s="151" t="s">
        <v>1652</v>
      </c>
      <c r="C212" s="51" t="s">
        <v>3413</v>
      </c>
      <c r="D212" s="51" t="s">
        <v>106</v>
      </c>
      <c r="E212" s="51"/>
      <c r="F212" s="51"/>
      <c r="G212" s="51" t="s">
        <v>2876</v>
      </c>
      <c r="H212" s="297"/>
      <c r="I212" s="297"/>
    </row>
    <row r="213" spans="1:9" ht="20" x14ac:dyDescent="0.2">
      <c r="A213" s="6"/>
      <c r="B213" s="151" t="s">
        <v>2511</v>
      </c>
      <c r="C213" s="51" t="s">
        <v>2169</v>
      </c>
      <c r="D213" s="51" t="s">
        <v>106</v>
      </c>
      <c r="E213" s="51"/>
      <c r="F213" s="51"/>
      <c r="G213" s="51" t="s">
        <v>2876</v>
      </c>
      <c r="H213" s="19"/>
      <c r="I213" s="19"/>
    </row>
    <row r="214" spans="1:9" ht="20" x14ac:dyDescent="0.2">
      <c r="A214" s="6"/>
      <c r="B214" s="230" t="s">
        <v>1646</v>
      </c>
      <c r="C214" s="51" t="s">
        <v>3210</v>
      </c>
      <c r="D214" s="51" t="s">
        <v>173</v>
      </c>
      <c r="E214" s="299">
        <v>49.901380000000003</v>
      </c>
      <c r="F214" s="299">
        <v>-119.49938</v>
      </c>
      <c r="G214" s="51" t="s">
        <v>2876</v>
      </c>
      <c r="H214" s="19"/>
      <c r="I214" s="19"/>
    </row>
    <row r="215" spans="1:9" ht="20" x14ac:dyDescent="0.2">
      <c r="A215" s="6"/>
      <c r="B215" s="151" t="s">
        <v>1648</v>
      </c>
      <c r="C215" s="51" t="s">
        <v>3412</v>
      </c>
      <c r="D215" s="51" t="s">
        <v>106</v>
      </c>
      <c r="E215" s="51"/>
      <c r="F215" s="51"/>
      <c r="G215" s="51" t="s">
        <v>2876</v>
      </c>
      <c r="H215" s="297"/>
      <c r="I215" s="297"/>
    </row>
    <row r="216" spans="1:9" ht="20" x14ac:dyDescent="0.2">
      <c r="A216" s="6"/>
      <c r="B216" s="151" t="s">
        <v>2603</v>
      </c>
      <c r="C216" s="51" t="s">
        <v>2263</v>
      </c>
      <c r="D216" s="51" t="s">
        <v>106</v>
      </c>
      <c r="E216" s="51"/>
      <c r="F216" s="51"/>
      <c r="G216" s="51" t="s">
        <v>2876</v>
      </c>
      <c r="H216" s="19"/>
      <c r="I216" s="19"/>
    </row>
    <row r="217" spans="1:9" ht="20" x14ac:dyDescent="0.2">
      <c r="A217" s="6"/>
      <c r="B217" s="151" t="s">
        <v>1649</v>
      </c>
      <c r="C217" s="51" t="s">
        <v>3243</v>
      </c>
      <c r="D217" s="51" t="s">
        <v>106</v>
      </c>
      <c r="E217" s="51"/>
      <c r="F217" s="51"/>
      <c r="G217" s="51" t="s">
        <v>2876</v>
      </c>
      <c r="H217" s="19"/>
      <c r="I217" s="19"/>
    </row>
    <row r="218" spans="1:9" ht="20" x14ac:dyDescent="0.2">
      <c r="A218" s="6"/>
      <c r="B218" s="151" t="s">
        <v>2304</v>
      </c>
      <c r="C218" s="51" t="s">
        <v>3115</v>
      </c>
      <c r="D218" s="51" t="s">
        <v>106</v>
      </c>
      <c r="E218" s="299">
        <v>55.811774700000001</v>
      </c>
      <c r="F218" s="299">
        <v>-122.24735339999999</v>
      </c>
      <c r="G218" s="51" t="s">
        <v>2876</v>
      </c>
      <c r="H218" s="19"/>
      <c r="I218" s="19"/>
    </row>
    <row r="219" spans="1:9" ht="20" x14ac:dyDescent="0.2">
      <c r="A219" s="6"/>
      <c r="B219" s="151" t="s">
        <v>2347</v>
      </c>
      <c r="C219" s="51" t="s">
        <v>3630</v>
      </c>
      <c r="D219" s="51" t="s">
        <v>106</v>
      </c>
      <c r="E219" s="299">
        <v>50.689371399999999</v>
      </c>
      <c r="F219" s="299">
        <v>-120.4053366</v>
      </c>
      <c r="G219" s="51" t="s">
        <v>2876</v>
      </c>
      <c r="H219" s="297"/>
      <c r="I219" s="297"/>
    </row>
    <row r="220" spans="1:9" ht="20" x14ac:dyDescent="0.2">
      <c r="A220" s="6"/>
      <c r="B220" s="151" t="s">
        <v>1653</v>
      </c>
      <c r="C220" s="51" t="s">
        <v>3117</v>
      </c>
      <c r="D220" s="51" t="s">
        <v>106</v>
      </c>
      <c r="E220" s="299">
        <v>49.2964269</v>
      </c>
      <c r="F220" s="299">
        <v>-125.2755331</v>
      </c>
      <c r="G220" s="51" t="s">
        <v>2876</v>
      </c>
      <c r="H220" s="19"/>
      <c r="I220" s="19"/>
    </row>
    <row r="221" spans="1:9" ht="20" x14ac:dyDescent="0.2">
      <c r="A221" s="6"/>
      <c r="B221" s="151" t="s">
        <v>2538</v>
      </c>
      <c r="C221" s="51" t="s">
        <v>2197</v>
      </c>
      <c r="D221" s="51" t="s">
        <v>106</v>
      </c>
      <c r="E221" s="51"/>
      <c r="F221" s="51"/>
      <c r="G221" s="51" t="s">
        <v>2876</v>
      </c>
      <c r="H221" s="19"/>
      <c r="I221" s="19"/>
    </row>
    <row r="222" spans="1:9" ht="20" x14ac:dyDescent="0.2">
      <c r="A222" s="6"/>
      <c r="B222" s="151" t="s">
        <v>2303</v>
      </c>
      <c r="C222" s="51" t="s">
        <v>3114</v>
      </c>
      <c r="D222" s="51" t="s">
        <v>106</v>
      </c>
      <c r="E222" s="299">
        <v>49.7675628</v>
      </c>
      <c r="F222" s="299">
        <v>-122.1509539</v>
      </c>
      <c r="G222" s="51" t="s">
        <v>2876</v>
      </c>
      <c r="H222" s="297"/>
      <c r="I222" s="297"/>
    </row>
    <row r="223" spans="1:9" ht="20" x14ac:dyDescent="0.2">
      <c r="A223" s="6"/>
      <c r="B223" s="151" t="s">
        <v>1654</v>
      </c>
      <c r="C223" s="51" t="s">
        <v>3246</v>
      </c>
      <c r="D223" s="51" t="s">
        <v>106</v>
      </c>
      <c r="E223" s="51"/>
      <c r="F223" s="51"/>
      <c r="G223" s="51" t="s">
        <v>2876</v>
      </c>
      <c r="H223" s="19"/>
      <c r="I223" s="19"/>
    </row>
    <row r="224" spans="1:9" ht="20" x14ac:dyDescent="0.2">
      <c r="A224" s="6"/>
      <c r="B224" s="230" t="s">
        <v>2645</v>
      </c>
      <c r="C224" s="51" t="s">
        <v>3245</v>
      </c>
      <c r="D224" s="51" t="s">
        <v>173</v>
      </c>
      <c r="E224" s="299">
        <v>50.019015099999997</v>
      </c>
      <c r="F224" s="299">
        <v>-119.3589375</v>
      </c>
      <c r="G224" s="51" t="s">
        <v>2876</v>
      </c>
      <c r="H224" s="297"/>
      <c r="I224" s="297"/>
    </row>
    <row r="225" spans="1:9" ht="20" x14ac:dyDescent="0.2">
      <c r="A225" s="6"/>
      <c r="B225" s="151" t="s">
        <v>1650</v>
      </c>
      <c r="C225" s="51" t="s">
        <v>3631</v>
      </c>
      <c r="D225" s="51" t="s">
        <v>106</v>
      </c>
      <c r="E225" s="51"/>
      <c r="F225" s="51"/>
      <c r="G225" s="51" t="s">
        <v>2876</v>
      </c>
      <c r="H225" s="19"/>
      <c r="I225" s="19"/>
    </row>
    <row r="226" spans="1:9" ht="20" x14ac:dyDescent="0.2">
      <c r="A226" s="6"/>
      <c r="B226" s="151" t="s">
        <v>2595</v>
      </c>
      <c r="C226" s="51" t="s">
        <v>2253</v>
      </c>
      <c r="D226" s="51" t="s">
        <v>106</v>
      </c>
      <c r="E226" s="51"/>
      <c r="F226" s="51"/>
      <c r="G226" s="51" t="s">
        <v>2876</v>
      </c>
      <c r="H226" s="297"/>
      <c r="I226" s="297"/>
    </row>
    <row r="227" spans="1:9" ht="20" x14ac:dyDescent="0.2">
      <c r="A227" s="6"/>
      <c r="B227" s="151" t="s">
        <v>1651</v>
      </c>
      <c r="C227" s="51" t="s">
        <v>3244</v>
      </c>
      <c r="D227" s="51" t="s">
        <v>106</v>
      </c>
      <c r="E227" s="51"/>
      <c r="F227" s="51"/>
      <c r="G227" s="51" t="s">
        <v>2876</v>
      </c>
      <c r="H227" s="19"/>
      <c r="I227" s="19"/>
    </row>
    <row r="228" spans="1:9" ht="20" x14ac:dyDescent="0.2">
      <c r="A228" s="6"/>
      <c r="B228" s="151" t="s">
        <v>2306</v>
      </c>
      <c r="C228" s="51" t="s">
        <v>3119</v>
      </c>
      <c r="D228" s="51" t="s">
        <v>106</v>
      </c>
      <c r="E228" s="299">
        <v>50.675080800000003</v>
      </c>
      <c r="F228" s="299">
        <v>-123.9602757</v>
      </c>
      <c r="G228" s="51" t="s">
        <v>2876</v>
      </c>
      <c r="H228" s="297"/>
      <c r="I228" s="297"/>
    </row>
    <row r="229" spans="1:9" ht="20" x14ac:dyDescent="0.2">
      <c r="A229" s="6"/>
      <c r="B229" s="151" t="s">
        <v>1657</v>
      </c>
      <c r="C229" s="51" t="s">
        <v>3632</v>
      </c>
      <c r="D229" s="51" t="s">
        <v>106</v>
      </c>
      <c r="E229" s="51"/>
      <c r="F229" s="51"/>
      <c r="G229" s="51" t="s">
        <v>2876</v>
      </c>
      <c r="H229" s="19"/>
      <c r="I229" s="19"/>
    </row>
    <row r="230" spans="1:9" ht="20" x14ac:dyDescent="0.2">
      <c r="A230" s="6"/>
      <c r="B230" s="151" t="s">
        <v>2269</v>
      </c>
      <c r="C230" s="51" t="s">
        <v>3415</v>
      </c>
      <c r="D230" s="51" t="s">
        <v>106</v>
      </c>
      <c r="E230" s="51"/>
      <c r="F230" s="51"/>
      <c r="G230" s="51" t="s">
        <v>2876</v>
      </c>
      <c r="H230" s="297"/>
      <c r="I230" s="297"/>
    </row>
    <row r="231" spans="1:9" ht="20" x14ac:dyDescent="0.2">
      <c r="A231" s="6"/>
      <c r="B231" s="151" t="s">
        <v>2444</v>
      </c>
      <c r="C231" s="51" t="s">
        <v>2095</v>
      </c>
      <c r="D231" s="51" t="s">
        <v>106</v>
      </c>
      <c r="E231" s="51"/>
      <c r="F231" s="51"/>
      <c r="G231" s="51" t="s">
        <v>2876</v>
      </c>
      <c r="H231" s="19"/>
      <c r="I231" s="19"/>
    </row>
    <row r="232" spans="1:9" ht="20" x14ac:dyDescent="0.2">
      <c r="A232" s="6"/>
      <c r="B232" s="151" t="s">
        <v>1659</v>
      </c>
      <c r="C232" s="51" t="s">
        <v>3118</v>
      </c>
      <c r="D232" s="51" t="s">
        <v>106</v>
      </c>
      <c r="E232" s="299">
        <v>49.290066600000003</v>
      </c>
      <c r="F232" s="299">
        <v>-115.10461340000001</v>
      </c>
      <c r="G232" s="51" t="s">
        <v>2876</v>
      </c>
      <c r="H232" s="19"/>
      <c r="I232" s="19"/>
    </row>
    <row r="233" spans="1:9" ht="20" x14ac:dyDescent="0.2">
      <c r="A233" s="6"/>
      <c r="B233" s="151" t="s">
        <v>1667</v>
      </c>
      <c r="C233" s="51" t="s">
        <v>3633</v>
      </c>
      <c r="D233" s="51" t="s">
        <v>106</v>
      </c>
      <c r="E233" s="51"/>
      <c r="F233" s="51"/>
      <c r="G233" s="51" t="s">
        <v>2876</v>
      </c>
      <c r="H233" s="19"/>
      <c r="I233" s="19"/>
    </row>
    <row r="234" spans="1:9" ht="20" x14ac:dyDescent="0.2">
      <c r="A234" s="6"/>
      <c r="B234" s="230" t="s">
        <v>2647</v>
      </c>
      <c r="C234" s="51" t="s">
        <v>3414</v>
      </c>
      <c r="D234" s="51" t="s">
        <v>173</v>
      </c>
      <c r="E234" s="51"/>
      <c r="F234" s="51"/>
      <c r="G234" s="51" t="s">
        <v>2876</v>
      </c>
      <c r="H234" s="19"/>
      <c r="I234" s="19"/>
    </row>
    <row r="235" spans="1:9" ht="20" x14ac:dyDescent="0.2">
      <c r="A235" s="6"/>
      <c r="B235" s="151" t="s">
        <v>1668</v>
      </c>
      <c r="C235" s="51" t="s">
        <v>3419</v>
      </c>
      <c r="D235" s="51" t="s">
        <v>106</v>
      </c>
      <c r="E235" s="51"/>
      <c r="F235" s="51"/>
      <c r="G235" s="51" t="s">
        <v>2876</v>
      </c>
      <c r="H235" s="19"/>
      <c r="I235" s="19"/>
    </row>
    <row r="236" spans="1:9" ht="20" x14ac:dyDescent="0.2">
      <c r="A236" s="6"/>
      <c r="B236" s="151" t="s">
        <v>2464</v>
      </c>
      <c r="C236" s="51" t="s">
        <v>2116</v>
      </c>
      <c r="D236" s="51" t="s">
        <v>106</v>
      </c>
      <c r="E236" s="51"/>
      <c r="F236" s="51"/>
      <c r="G236" s="51" t="s">
        <v>2876</v>
      </c>
      <c r="H236" s="19"/>
      <c r="I236" s="19"/>
    </row>
    <row r="237" spans="1:9" ht="20" x14ac:dyDescent="0.2">
      <c r="A237" s="6"/>
      <c r="B237" s="230" t="s">
        <v>3582</v>
      </c>
      <c r="C237" s="51" t="s">
        <v>3583</v>
      </c>
      <c r="D237" s="51" t="s">
        <v>173</v>
      </c>
      <c r="E237" s="51"/>
      <c r="F237" s="51"/>
      <c r="G237" s="51" t="s">
        <v>2876</v>
      </c>
      <c r="H237" s="297"/>
      <c r="I237" s="297"/>
    </row>
    <row r="238" spans="1:9" ht="20" x14ac:dyDescent="0.2">
      <c r="A238" s="6"/>
      <c r="B238" s="151" t="s">
        <v>1655</v>
      </c>
      <c r="C238" s="51" t="s">
        <v>3634</v>
      </c>
      <c r="D238" s="51" t="s">
        <v>106</v>
      </c>
      <c r="E238" s="51"/>
      <c r="F238" s="51"/>
      <c r="G238" s="51" t="s">
        <v>2876</v>
      </c>
      <c r="H238" s="19"/>
      <c r="I238" s="19"/>
    </row>
    <row r="239" spans="1:9" ht="20" x14ac:dyDescent="0.2">
      <c r="A239" s="6"/>
      <c r="B239" s="151" t="s">
        <v>2450</v>
      </c>
      <c r="C239" s="51" t="s">
        <v>2101</v>
      </c>
      <c r="D239" s="51" t="s">
        <v>106</v>
      </c>
      <c r="E239" s="51"/>
      <c r="F239" s="51"/>
      <c r="G239" s="51" t="s">
        <v>2876</v>
      </c>
      <c r="H239" s="19"/>
      <c r="I239" s="19"/>
    </row>
    <row r="240" spans="1:9" ht="20" x14ac:dyDescent="0.2">
      <c r="A240" s="6"/>
      <c r="B240" s="151" t="s">
        <v>1656</v>
      </c>
      <c r="C240" s="51" t="s">
        <v>3635</v>
      </c>
      <c r="D240" s="51" t="s">
        <v>106</v>
      </c>
      <c r="E240" s="51"/>
      <c r="F240" s="51"/>
      <c r="G240" s="51" t="s">
        <v>2876</v>
      </c>
      <c r="H240" s="297"/>
      <c r="I240" s="297"/>
    </row>
    <row r="241" spans="1:9" ht="20" x14ac:dyDescent="0.2">
      <c r="A241" s="6"/>
      <c r="B241" s="151" t="s">
        <v>2449</v>
      </c>
      <c r="C241" s="51" t="s">
        <v>2102</v>
      </c>
      <c r="D241" s="51" t="s">
        <v>106</v>
      </c>
      <c r="E241" s="51"/>
      <c r="F241" s="51"/>
      <c r="G241" s="51" t="s">
        <v>2876</v>
      </c>
      <c r="H241" s="19"/>
      <c r="I241" s="19"/>
    </row>
    <row r="242" spans="1:9" ht="20" x14ac:dyDescent="0.2">
      <c r="A242" s="6"/>
      <c r="B242" s="151" t="s">
        <v>1751</v>
      </c>
      <c r="C242" s="51" t="s">
        <v>3636</v>
      </c>
      <c r="D242" s="51" t="s">
        <v>106</v>
      </c>
      <c r="E242" s="51"/>
      <c r="F242" s="51"/>
      <c r="G242" s="51" t="s">
        <v>2876</v>
      </c>
      <c r="H242" s="19"/>
      <c r="I242" s="19"/>
    </row>
    <row r="243" spans="1:9" ht="20" x14ac:dyDescent="0.2">
      <c r="A243" s="6"/>
      <c r="B243" s="151" t="s">
        <v>1665</v>
      </c>
      <c r="C243" s="51" t="s">
        <v>3637</v>
      </c>
      <c r="D243" s="51" t="s">
        <v>106</v>
      </c>
      <c r="E243" s="51"/>
      <c r="F243" s="51"/>
      <c r="G243" s="51" t="s">
        <v>2876</v>
      </c>
      <c r="H243" s="19"/>
      <c r="I243" s="19"/>
    </row>
    <row r="244" spans="1:9" ht="20" x14ac:dyDescent="0.2">
      <c r="A244" s="6"/>
      <c r="B244" s="151" t="s">
        <v>2462</v>
      </c>
      <c r="C244" s="51" t="s">
        <v>2113</v>
      </c>
      <c r="D244" s="51" t="s">
        <v>106</v>
      </c>
      <c r="E244" s="51"/>
      <c r="F244" s="51"/>
      <c r="G244" s="51" t="s">
        <v>2876</v>
      </c>
      <c r="H244" s="19"/>
      <c r="I244" s="19"/>
    </row>
    <row r="245" spans="1:9" ht="20" x14ac:dyDescent="0.2">
      <c r="A245" s="6"/>
      <c r="B245" s="151" t="s">
        <v>1658</v>
      </c>
      <c r="C245" s="179" t="s">
        <v>3434</v>
      </c>
      <c r="D245" s="51" t="s">
        <v>106</v>
      </c>
      <c r="E245" s="51"/>
      <c r="F245" s="51"/>
      <c r="G245" s="51" t="s">
        <v>2876</v>
      </c>
      <c r="H245" s="19"/>
      <c r="I245" s="19"/>
    </row>
    <row r="246" spans="1:9" ht="20" x14ac:dyDescent="0.2">
      <c r="A246" s="6"/>
      <c r="B246" s="151" t="s">
        <v>1660</v>
      </c>
      <c r="C246" s="51" t="s">
        <v>3418</v>
      </c>
      <c r="D246" s="51" t="s">
        <v>106</v>
      </c>
      <c r="E246" s="51"/>
      <c r="F246" s="51"/>
      <c r="G246" s="51" t="s">
        <v>2876</v>
      </c>
      <c r="H246" s="297"/>
      <c r="I246" s="297"/>
    </row>
    <row r="247" spans="1:9" ht="20" x14ac:dyDescent="0.2">
      <c r="A247" s="6"/>
      <c r="B247" s="151" t="s">
        <v>2435</v>
      </c>
      <c r="C247" s="51" t="s">
        <v>2087</v>
      </c>
      <c r="D247" s="51" t="s">
        <v>106</v>
      </c>
      <c r="E247" s="51"/>
      <c r="F247" s="51"/>
      <c r="G247" s="51" t="s">
        <v>2876</v>
      </c>
      <c r="H247" s="19"/>
      <c r="I247" s="19"/>
    </row>
    <row r="248" spans="1:9" ht="20" x14ac:dyDescent="0.2">
      <c r="A248" s="6"/>
      <c r="B248" s="151" t="s">
        <v>1661</v>
      </c>
      <c r="C248" s="51" t="s">
        <v>3638</v>
      </c>
      <c r="D248" s="51" t="s">
        <v>106</v>
      </c>
      <c r="E248" s="51"/>
      <c r="F248" s="51"/>
      <c r="G248" s="51" t="s">
        <v>2876</v>
      </c>
      <c r="H248" s="19"/>
      <c r="I248" s="19"/>
    </row>
    <row r="249" spans="1:9" ht="20" x14ac:dyDescent="0.2">
      <c r="A249" s="6"/>
      <c r="B249" s="151" t="s">
        <v>1662</v>
      </c>
      <c r="C249" s="51" t="s">
        <v>3639</v>
      </c>
      <c r="D249" s="51" t="s">
        <v>106</v>
      </c>
      <c r="E249" s="51"/>
      <c r="F249" s="51"/>
      <c r="G249" s="51" t="s">
        <v>2876</v>
      </c>
      <c r="H249" s="19"/>
      <c r="I249" s="19"/>
    </row>
    <row r="250" spans="1:9" ht="20" x14ac:dyDescent="0.2">
      <c r="A250" s="6"/>
      <c r="B250" s="151" t="s">
        <v>1663</v>
      </c>
      <c r="C250" s="51" t="s">
        <v>3640</v>
      </c>
      <c r="D250" s="51" t="s">
        <v>106</v>
      </c>
      <c r="E250" s="51"/>
      <c r="F250" s="51"/>
      <c r="G250" s="51" t="s">
        <v>2876</v>
      </c>
      <c r="H250" s="297"/>
      <c r="I250" s="297"/>
    </row>
    <row r="251" spans="1:9" ht="20" x14ac:dyDescent="0.2">
      <c r="A251" s="6"/>
      <c r="B251" s="151" t="s">
        <v>2493</v>
      </c>
      <c r="C251" s="51" t="s">
        <v>2150</v>
      </c>
      <c r="D251" s="51" t="s">
        <v>106</v>
      </c>
      <c r="E251" s="51"/>
      <c r="F251" s="51"/>
      <c r="G251" s="51" t="s">
        <v>2876</v>
      </c>
      <c r="H251" s="19"/>
      <c r="I251" s="19"/>
    </row>
    <row r="252" spans="1:9" ht="20" x14ac:dyDescent="0.2">
      <c r="A252" s="6"/>
      <c r="B252" s="151" t="s">
        <v>1664</v>
      </c>
      <c r="C252" s="51" t="s">
        <v>3378</v>
      </c>
      <c r="D252" s="51" t="s">
        <v>106</v>
      </c>
      <c r="E252" s="51"/>
      <c r="F252" s="51"/>
      <c r="G252" s="51" t="s">
        <v>2876</v>
      </c>
      <c r="H252" s="297"/>
      <c r="I252" s="297"/>
    </row>
    <row r="253" spans="1:9" ht="20" x14ac:dyDescent="0.2">
      <c r="A253" s="6"/>
      <c r="B253" s="151" t="s">
        <v>1666</v>
      </c>
      <c r="C253" s="51" t="s">
        <v>3641</v>
      </c>
      <c r="D253" s="51" t="s">
        <v>106</v>
      </c>
      <c r="E253" s="51"/>
      <c r="F253" s="51"/>
      <c r="G253" s="51" t="s">
        <v>2876</v>
      </c>
      <c r="H253" s="19"/>
      <c r="I253" s="19"/>
    </row>
    <row r="254" spans="1:9" ht="20" x14ac:dyDescent="0.2">
      <c r="A254" s="6"/>
      <c r="B254" s="230" t="s">
        <v>3574</v>
      </c>
      <c r="C254" s="51" t="s">
        <v>3575</v>
      </c>
      <c r="D254" s="51" t="s">
        <v>173</v>
      </c>
      <c r="E254" s="51"/>
      <c r="F254" s="51"/>
      <c r="G254" s="51" t="s">
        <v>2876</v>
      </c>
      <c r="H254" s="19"/>
      <c r="I254" s="19"/>
    </row>
    <row r="255" spans="1:9" ht="20" x14ac:dyDescent="0.2">
      <c r="A255" s="6"/>
      <c r="B255" s="151" t="s">
        <v>1679</v>
      </c>
      <c r="C255" s="51" t="s">
        <v>3425</v>
      </c>
      <c r="D255" s="51" t="s">
        <v>106</v>
      </c>
      <c r="E255" s="51"/>
      <c r="F255" s="51"/>
      <c r="G255" s="51" t="s">
        <v>2876</v>
      </c>
      <c r="H255" s="297"/>
      <c r="I255" s="297"/>
    </row>
    <row r="256" spans="1:9" ht="20" x14ac:dyDescent="0.2">
      <c r="A256" s="6"/>
      <c r="B256" s="151" t="s">
        <v>2553</v>
      </c>
      <c r="C256" s="51" t="s">
        <v>2210</v>
      </c>
      <c r="D256" s="51" t="s">
        <v>106</v>
      </c>
      <c r="E256" s="51"/>
      <c r="F256" s="51"/>
      <c r="G256" s="51" t="s">
        <v>2876</v>
      </c>
      <c r="H256" s="19"/>
      <c r="I256" s="19"/>
    </row>
    <row r="257" spans="1:9" ht="20" x14ac:dyDescent="0.2">
      <c r="A257" s="6"/>
      <c r="B257" s="151" t="s">
        <v>1956</v>
      </c>
      <c r="C257" s="51" t="s">
        <v>3122</v>
      </c>
      <c r="D257" s="51" t="s">
        <v>106</v>
      </c>
      <c r="E257" s="299">
        <v>53.983530700000003</v>
      </c>
      <c r="F257" s="299">
        <v>-129.7342438</v>
      </c>
      <c r="G257" s="51" t="s">
        <v>2876</v>
      </c>
      <c r="H257" s="19"/>
      <c r="I257" s="19"/>
    </row>
    <row r="258" spans="1:9" ht="20" x14ac:dyDescent="0.2">
      <c r="A258" s="6"/>
      <c r="B258" s="151" t="s">
        <v>1841</v>
      </c>
      <c r="C258" s="51" t="s">
        <v>3642</v>
      </c>
      <c r="D258" s="51" t="s">
        <v>106</v>
      </c>
      <c r="E258" s="51"/>
      <c r="F258" s="51"/>
      <c r="G258" s="51" t="s">
        <v>2876</v>
      </c>
      <c r="H258" s="19"/>
      <c r="I258" s="19"/>
    </row>
    <row r="259" spans="1:9" ht="20" x14ac:dyDescent="0.2">
      <c r="A259" s="6"/>
      <c r="B259" s="151" t="s">
        <v>2606</v>
      </c>
      <c r="C259" s="51" t="s">
        <v>2265</v>
      </c>
      <c r="D259" s="51" t="s">
        <v>106</v>
      </c>
      <c r="E259" s="51"/>
      <c r="F259" s="51"/>
      <c r="G259" s="51" t="s">
        <v>2876</v>
      </c>
      <c r="H259" s="19"/>
      <c r="I259" s="19"/>
    </row>
    <row r="260" spans="1:9" ht="20" x14ac:dyDescent="0.2">
      <c r="A260" s="6"/>
      <c r="B260" s="151" t="s">
        <v>1681</v>
      </c>
      <c r="C260" s="51" t="s">
        <v>3250</v>
      </c>
      <c r="D260" s="51" t="s">
        <v>106</v>
      </c>
      <c r="E260" s="51"/>
      <c r="F260" s="51"/>
      <c r="G260" s="51" t="s">
        <v>2876</v>
      </c>
      <c r="H260" s="297"/>
      <c r="I260" s="297"/>
    </row>
    <row r="261" spans="1:9" ht="20" x14ac:dyDescent="0.2">
      <c r="A261" s="6"/>
      <c r="B261" s="151" t="s">
        <v>1669</v>
      </c>
      <c r="C261" s="51" t="s">
        <v>3420</v>
      </c>
      <c r="D261" s="51" t="s">
        <v>106</v>
      </c>
      <c r="E261" s="51"/>
      <c r="F261" s="51"/>
      <c r="G261" s="51" t="s">
        <v>2876</v>
      </c>
      <c r="H261" s="19"/>
      <c r="I261" s="19"/>
    </row>
    <row r="262" spans="1:9" ht="20" x14ac:dyDescent="0.2">
      <c r="A262" s="6"/>
      <c r="B262" s="151" t="s">
        <v>2460</v>
      </c>
      <c r="C262" s="51" t="s">
        <v>2111</v>
      </c>
      <c r="D262" s="51" t="s">
        <v>106</v>
      </c>
      <c r="E262" s="51"/>
      <c r="F262" s="51"/>
      <c r="G262" s="51" t="s">
        <v>2876</v>
      </c>
      <c r="H262" s="19"/>
      <c r="I262" s="19"/>
    </row>
    <row r="263" spans="1:9" ht="20" x14ac:dyDescent="0.2">
      <c r="A263" s="6"/>
      <c r="B263" s="151" t="s">
        <v>1673</v>
      </c>
      <c r="C263" s="51" t="s">
        <v>3643</v>
      </c>
      <c r="D263" s="51" t="s">
        <v>106</v>
      </c>
      <c r="E263" s="51"/>
      <c r="F263" s="51"/>
      <c r="G263" s="51" t="s">
        <v>2876</v>
      </c>
      <c r="H263" s="19"/>
      <c r="I263" s="19"/>
    </row>
    <row r="264" spans="1:9" ht="20" x14ac:dyDescent="0.2">
      <c r="A264" s="6"/>
      <c r="B264" s="151" t="s">
        <v>1684</v>
      </c>
      <c r="C264" s="51" t="s">
        <v>3428</v>
      </c>
      <c r="D264" s="51" t="s">
        <v>106</v>
      </c>
      <c r="E264" s="51"/>
      <c r="F264" s="51"/>
      <c r="G264" s="51" t="s">
        <v>2876</v>
      </c>
      <c r="H264" s="19"/>
      <c r="I264" s="19"/>
    </row>
    <row r="265" spans="1:9" ht="20" x14ac:dyDescent="0.2">
      <c r="A265" s="6"/>
      <c r="B265" s="151" t="s">
        <v>2432</v>
      </c>
      <c r="C265" s="51" t="s">
        <v>2085</v>
      </c>
      <c r="D265" s="51" t="s">
        <v>106</v>
      </c>
      <c r="E265" s="51"/>
      <c r="F265" s="51"/>
      <c r="G265" s="51" t="s">
        <v>2876</v>
      </c>
      <c r="H265" s="297"/>
      <c r="I265" s="297"/>
    </row>
    <row r="266" spans="1:9" ht="20" x14ac:dyDescent="0.2">
      <c r="A266" s="6"/>
      <c r="B266" s="151" t="s">
        <v>2308</v>
      </c>
      <c r="C266" s="51" t="s">
        <v>3124</v>
      </c>
      <c r="D266" s="51" t="s">
        <v>106</v>
      </c>
      <c r="E266" s="299">
        <v>49.783363299999998</v>
      </c>
      <c r="F266" s="299">
        <v>-122.2346636</v>
      </c>
      <c r="G266" s="51" t="s">
        <v>2876</v>
      </c>
      <c r="H266" s="19"/>
      <c r="I266" s="19"/>
    </row>
    <row r="267" spans="1:9" ht="20" x14ac:dyDescent="0.2">
      <c r="A267" s="6"/>
      <c r="B267" s="151" t="s">
        <v>1676</v>
      </c>
      <c r="C267" s="51" t="s">
        <v>3248</v>
      </c>
      <c r="D267" s="51" t="s">
        <v>106</v>
      </c>
      <c r="E267" s="51"/>
      <c r="F267" s="51"/>
      <c r="G267" s="51" t="s">
        <v>2876</v>
      </c>
      <c r="H267" s="19"/>
      <c r="I267" s="19"/>
    </row>
    <row r="268" spans="1:9" ht="20" x14ac:dyDescent="0.2">
      <c r="A268" s="6"/>
      <c r="B268" s="151" t="s">
        <v>1670</v>
      </c>
      <c r="C268" s="51" t="s">
        <v>3644</v>
      </c>
      <c r="D268" s="51" t="s">
        <v>106</v>
      </c>
      <c r="E268" s="51"/>
      <c r="F268" s="51"/>
      <c r="G268" s="51" t="s">
        <v>2876</v>
      </c>
      <c r="H268" s="19"/>
      <c r="I268" s="19"/>
    </row>
    <row r="269" spans="1:9" ht="20" x14ac:dyDescent="0.2">
      <c r="A269" s="6"/>
      <c r="B269" s="151" t="s">
        <v>1678</v>
      </c>
      <c r="C269" s="51" t="s">
        <v>3645</v>
      </c>
      <c r="D269" s="51" t="s">
        <v>106</v>
      </c>
      <c r="E269" s="51"/>
      <c r="F269" s="51"/>
      <c r="G269" s="51" t="s">
        <v>2876</v>
      </c>
      <c r="H269" s="19"/>
      <c r="I269" s="19"/>
    </row>
    <row r="270" spans="1:9" ht="20" x14ac:dyDescent="0.2">
      <c r="A270" s="6"/>
      <c r="B270" s="151" t="s">
        <v>2590</v>
      </c>
      <c r="C270" s="51" t="s">
        <v>2249</v>
      </c>
      <c r="D270" s="51" t="s">
        <v>106</v>
      </c>
      <c r="E270" s="51"/>
      <c r="F270" s="51"/>
      <c r="G270" s="51" t="s">
        <v>2876</v>
      </c>
      <c r="H270" s="297"/>
      <c r="I270" s="297"/>
    </row>
    <row r="271" spans="1:9" ht="20" x14ac:dyDescent="0.2">
      <c r="A271" s="6"/>
      <c r="B271" s="151" t="s">
        <v>1674</v>
      </c>
      <c r="C271" s="51" t="s">
        <v>3422</v>
      </c>
      <c r="D271" s="51" t="s">
        <v>106</v>
      </c>
      <c r="E271" s="51"/>
      <c r="F271" s="51"/>
      <c r="G271" s="51" t="s">
        <v>2876</v>
      </c>
      <c r="H271" s="19"/>
      <c r="I271" s="19"/>
    </row>
    <row r="272" spans="1:9" ht="20" x14ac:dyDescent="0.2">
      <c r="A272" s="6"/>
      <c r="B272" s="151" t="s">
        <v>2598</v>
      </c>
      <c r="C272" s="51" t="s">
        <v>2257</v>
      </c>
      <c r="D272" s="51" t="s">
        <v>106</v>
      </c>
      <c r="E272" s="51"/>
      <c r="F272" s="51"/>
      <c r="G272" s="51" t="s">
        <v>2876</v>
      </c>
      <c r="H272" s="19"/>
      <c r="I272" s="19"/>
    </row>
    <row r="273" spans="1:9" ht="20" x14ac:dyDescent="0.2">
      <c r="A273" s="6"/>
      <c r="B273" s="151" t="s">
        <v>1686</v>
      </c>
      <c r="C273" s="51" t="s">
        <v>3646</v>
      </c>
      <c r="D273" s="51" t="s">
        <v>106</v>
      </c>
      <c r="E273" s="51"/>
      <c r="F273" s="51"/>
      <c r="G273" s="51" t="s">
        <v>2876</v>
      </c>
      <c r="H273" s="19"/>
      <c r="I273" s="19"/>
    </row>
    <row r="274" spans="1:9" ht="20" x14ac:dyDescent="0.2">
      <c r="A274" s="6"/>
      <c r="B274" s="151" t="s">
        <v>2446</v>
      </c>
      <c r="C274" s="51" t="s">
        <v>2096</v>
      </c>
      <c r="D274" s="51" t="s">
        <v>106</v>
      </c>
      <c r="E274" s="51"/>
      <c r="F274" s="51"/>
      <c r="G274" s="51" t="s">
        <v>2876</v>
      </c>
      <c r="H274" s="19"/>
      <c r="I274" s="19"/>
    </row>
    <row r="275" spans="1:9" ht="20" x14ac:dyDescent="0.2">
      <c r="A275" s="6"/>
      <c r="B275" s="151" t="s">
        <v>2307</v>
      </c>
      <c r="C275" s="51" t="s">
        <v>3121</v>
      </c>
      <c r="D275" s="51" t="s">
        <v>106</v>
      </c>
      <c r="E275" s="299">
        <v>56.7171618</v>
      </c>
      <c r="F275" s="299">
        <v>-130.6866014</v>
      </c>
      <c r="G275" s="51" t="s">
        <v>2876</v>
      </c>
      <c r="H275" s="297"/>
      <c r="I275" s="297"/>
    </row>
    <row r="276" spans="1:9" ht="20" x14ac:dyDescent="0.2">
      <c r="A276" s="6"/>
      <c r="B276" s="151" t="s">
        <v>1689</v>
      </c>
      <c r="C276" s="51" t="s">
        <v>3431</v>
      </c>
      <c r="D276" s="51" t="s">
        <v>106</v>
      </c>
      <c r="E276" s="51"/>
      <c r="F276" s="51"/>
      <c r="G276" s="51" t="s">
        <v>2876</v>
      </c>
      <c r="H276" s="297"/>
      <c r="I276" s="297"/>
    </row>
    <row r="277" spans="1:9" ht="20" x14ac:dyDescent="0.2">
      <c r="A277" s="6"/>
      <c r="B277" s="151" t="s">
        <v>2393</v>
      </c>
      <c r="C277" s="51" t="s">
        <v>2041</v>
      </c>
      <c r="D277" s="51" t="s">
        <v>106</v>
      </c>
      <c r="E277" s="51"/>
      <c r="F277" s="51"/>
      <c r="G277" s="51" t="s">
        <v>2876</v>
      </c>
      <c r="H277" s="19"/>
      <c r="I277" s="19"/>
    </row>
    <row r="278" spans="1:9" ht="20" x14ac:dyDescent="0.2">
      <c r="A278" s="6"/>
      <c r="B278" s="295" t="s">
        <v>1682</v>
      </c>
      <c r="C278" s="179" t="s">
        <v>3123</v>
      </c>
      <c r="D278" s="51" t="s">
        <v>106</v>
      </c>
      <c r="E278" s="299">
        <v>58.651698923375001</v>
      </c>
      <c r="F278" s="299">
        <v>-122.693082201699</v>
      </c>
      <c r="G278" s="51" t="s">
        <v>3716</v>
      </c>
      <c r="H278" s="297"/>
      <c r="I278" s="297"/>
    </row>
    <row r="279" spans="1:9" ht="20" x14ac:dyDescent="0.2">
      <c r="A279" s="6"/>
      <c r="B279" s="151" t="s">
        <v>1677</v>
      </c>
      <c r="C279" s="51" t="s">
        <v>3249</v>
      </c>
      <c r="D279" s="51" t="s">
        <v>106</v>
      </c>
      <c r="E279" s="51"/>
      <c r="F279" s="51"/>
      <c r="G279" s="51" t="s">
        <v>2876</v>
      </c>
      <c r="H279" s="19"/>
      <c r="I279" s="19"/>
    </row>
    <row r="280" spans="1:9" ht="20" x14ac:dyDescent="0.2">
      <c r="A280" s="6"/>
      <c r="B280" s="151" t="s">
        <v>2368</v>
      </c>
      <c r="C280" s="51" t="s">
        <v>3120</v>
      </c>
      <c r="D280" s="51" t="s">
        <v>106</v>
      </c>
      <c r="E280" s="299">
        <v>54.489317</v>
      </c>
      <c r="F280" s="299">
        <v>-124.21527500000001</v>
      </c>
      <c r="G280" s="51" t="s">
        <v>2876</v>
      </c>
      <c r="H280" s="297"/>
      <c r="I280" s="297"/>
    </row>
    <row r="281" spans="1:9" ht="20" x14ac:dyDescent="0.2">
      <c r="A281" s="6"/>
      <c r="B281" s="151" t="s">
        <v>1675</v>
      </c>
      <c r="C281" s="51" t="s">
        <v>3247</v>
      </c>
      <c r="D281" s="51" t="s">
        <v>106</v>
      </c>
      <c r="E281" s="51"/>
      <c r="F281" s="51"/>
      <c r="G281" s="51" t="s">
        <v>2876</v>
      </c>
      <c r="H281" s="19"/>
      <c r="I281" s="19"/>
    </row>
    <row r="282" spans="1:9" ht="20" x14ac:dyDescent="0.2">
      <c r="A282" s="6"/>
      <c r="B282" s="151" t="s">
        <v>1688</v>
      </c>
      <c r="C282" s="51" t="s">
        <v>3430</v>
      </c>
      <c r="D282" s="51" t="s">
        <v>106</v>
      </c>
      <c r="E282" s="51"/>
      <c r="F282" s="51"/>
      <c r="G282" s="51" t="s">
        <v>2876</v>
      </c>
      <c r="H282" s="19"/>
      <c r="I282" s="19"/>
    </row>
    <row r="283" spans="1:9" ht="20" x14ac:dyDescent="0.2">
      <c r="A283" s="6"/>
      <c r="B283" s="151" t="s">
        <v>2559</v>
      </c>
      <c r="C283" s="51" t="s">
        <v>2216</v>
      </c>
      <c r="D283" s="51" t="s">
        <v>106</v>
      </c>
      <c r="E283" s="51"/>
      <c r="F283" s="51"/>
      <c r="G283" s="51" t="s">
        <v>2876</v>
      </c>
      <c r="H283" s="297"/>
      <c r="I283" s="297"/>
    </row>
    <row r="284" spans="1:9" ht="20" x14ac:dyDescent="0.2">
      <c r="A284" s="6"/>
      <c r="B284" s="151" t="s">
        <v>1683</v>
      </c>
      <c r="C284" s="51" t="s">
        <v>3427</v>
      </c>
      <c r="D284" s="51" t="s">
        <v>106</v>
      </c>
      <c r="E284" s="51"/>
      <c r="F284" s="51"/>
      <c r="G284" s="51" t="s">
        <v>2876</v>
      </c>
      <c r="H284" s="19"/>
      <c r="I284" s="19"/>
    </row>
    <row r="285" spans="1:9" ht="20" x14ac:dyDescent="0.2">
      <c r="A285" s="6"/>
      <c r="B285" s="151" t="s">
        <v>2455</v>
      </c>
      <c r="C285" s="51" t="s">
        <v>2335</v>
      </c>
      <c r="D285" s="51" t="s">
        <v>106</v>
      </c>
      <c r="E285" s="51"/>
      <c r="F285" s="51"/>
      <c r="G285" s="51" t="s">
        <v>2876</v>
      </c>
      <c r="H285" s="19"/>
      <c r="I285" s="19"/>
    </row>
    <row r="286" spans="1:9" ht="20" x14ac:dyDescent="0.2">
      <c r="A286" s="6"/>
      <c r="B286" s="151" t="s">
        <v>209</v>
      </c>
      <c r="C286" s="51" t="s">
        <v>3190</v>
      </c>
      <c r="D286" s="51" t="s">
        <v>106</v>
      </c>
      <c r="E286" s="299">
        <v>54.067329200000003</v>
      </c>
      <c r="F286" s="299">
        <v>-124.7483902</v>
      </c>
      <c r="G286" s="51" t="s">
        <v>2876</v>
      </c>
      <c r="H286" s="297"/>
      <c r="I286" s="297"/>
    </row>
    <row r="287" spans="1:9" ht="20" x14ac:dyDescent="0.2">
      <c r="A287" s="6"/>
      <c r="B287" s="151" t="s">
        <v>2596</v>
      </c>
      <c r="C287" s="51" t="s">
        <v>2255</v>
      </c>
      <c r="D287" s="51" t="s">
        <v>106</v>
      </c>
      <c r="E287" s="51"/>
      <c r="F287" s="51"/>
      <c r="G287" s="51" t="s">
        <v>2876</v>
      </c>
      <c r="H287" s="19"/>
      <c r="I287" s="19"/>
    </row>
    <row r="288" spans="1:9" ht="20" x14ac:dyDescent="0.2">
      <c r="A288" s="6"/>
      <c r="B288" s="151" t="s">
        <v>1687</v>
      </c>
      <c r="C288" s="51" t="s">
        <v>3647</v>
      </c>
      <c r="D288" s="51" t="s">
        <v>106</v>
      </c>
      <c r="E288" s="51"/>
      <c r="F288" s="51"/>
      <c r="G288" s="51" t="s">
        <v>2876</v>
      </c>
      <c r="H288" s="19"/>
      <c r="I288" s="19"/>
    </row>
    <row r="289" spans="1:9" ht="20" x14ac:dyDescent="0.2">
      <c r="A289" s="6"/>
      <c r="B289" s="151" t="s">
        <v>2597</v>
      </c>
      <c r="C289" s="51" t="s">
        <v>2256</v>
      </c>
      <c r="D289" s="51" t="s">
        <v>106</v>
      </c>
      <c r="E289" s="51"/>
      <c r="F289" s="51"/>
      <c r="G289" s="51" t="s">
        <v>2876</v>
      </c>
      <c r="H289" s="19"/>
      <c r="I289" s="19"/>
    </row>
    <row r="290" spans="1:9" ht="20" x14ac:dyDescent="0.2">
      <c r="A290" s="6"/>
      <c r="B290" s="230" t="s">
        <v>2712</v>
      </c>
      <c r="C290" s="51" t="s">
        <v>3251</v>
      </c>
      <c r="D290" s="51" t="s">
        <v>173</v>
      </c>
      <c r="E290" s="51"/>
      <c r="F290" s="51"/>
      <c r="G290" s="51" t="s">
        <v>2876</v>
      </c>
      <c r="H290" s="297"/>
      <c r="I290" s="297"/>
    </row>
    <row r="291" spans="1:9" ht="20" x14ac:dyDescent="0.2">
      <c r="A291" s="6"/>
      <c r="B291" s="151" t="s">
        <v>1671</v>
      </c>
      <c r="C291" s="51" t="s">
        <v>3183</v>
      </c>
      <c r="D291" s="51" t="s">
        <v>106</v>
      </c>
      <c r="E291" s="299">
        <v>49.978254100000001</v>
      </c>
      <c r="F291" s="299">
        <v>-123.1417333</v>
      </c>
      <c r="G291" s="51" t="s">
        <v>2876</v>
      </c>
      <c r="H291" s="19"/>
      <c r="I291" s="19"/>
    </row>
    <row r="292" spans="1:9" ht="20" x14ac:dyDescent="0.2">
      <c r="A292" s="6"/>
      <c r="B292" s="151" t="s">
        <v>213</v>
      </c>
      <c r="C292" s="51" t="s">
        <v>3429</v>
      </c>
      <c r="D292" s="51" t="s">
        <v>106</v>
      </c>
      <c r="E292" s="51"/>
      <c r="F292" s="51"/>
      <c r="G292" s="51" t="s">
        <v>2876</v>
      </c>
      <c r="H292" s="19"/>
      <c r="I292" s="19"/>
    </row>
    <row r="293" spans="1:9" ht="20" x14ac:dyDescent="0.2">
      <c r="A293" s="6"/>
      <c r="B293" s="151" t="s">
        <v>1685</v>
      </c>
      <c r="C293" s="51" t="s">
        <v>3125</v>
      </c>
      <c r="D293" s="51" t="s">
        <v>106</v>
      </c>
      <c r="E293" s="299">
        <v>49.579287899999997</v>
      </c>
      <c r="F293" s="299">
        <v>-123.2019765</v>
      </c>
      <c r="G293" s="51" t="s">
        <v>2876</v>
      </c>
      <c r="H293" s="297"/>
      <c r="I293" s="297"/>
    </row>
    <row r="294" spans="1:9" ht="20" x14ac:dyDescent="0.2">
      <c r="A294" s="6"/>
      <c r="B294" s="151" t="s">
        <v>2525</v>
      </c>
      <c r="C294" s="51" t="s">
        <v>2184</v>
      </c>
      <c r="D294" s="51" t="s">
        <v>106</v>
      </c>
      <c r="E294" s="51"/>
      <c r="F294" s="51"/>
      <c r="G294" s="51" t="s">
        <v>2876</v>
      </c>
      <c r="H294" s="19"/>
      <c r="I294" s="19"/>
    </row>
    <row r="295" spans="1:9" ht="20" x14ac:dyDescent="0.2">
      <c r="A295" s="6"/>
      <c r="B295" s="151" t="s">
        <v>2524</v>
      </c>
      <c r="C295" s="51" t="s">
        <v>2183</v>
      </c>
      <c r="D295" s="51" t="s">
        <v>106</v>
      </c>
      <c r="E295" s="51"/>
      <c r="F295" s="51"/>
      <c r="G295" s="51" t="s">
        <v>2876</v>
      </c>
      <c r="H295" s="297"/>
      <c r="I295" s="297"/>
    </row>
    <row r="296" spans="1:9" ht="20" x14ac:dyDescent="0.2">
      <c r="A296" s="6"/>
      <c r="B296" s="151" t="s">
        <v>1697</v>
      </c>
      <c r="C296" s="51" t="s">
        <v>3435</v>
      </c>
      <c r="D296" s="51" t="s">
        <v>106</v>
      </c>
      <c r="E296" s="51"/>
      <c r="F296" s="51"/>
      <c r="G296" s="51" t="s">
        <v>2876</v>
      </c>
      <c r="H296" s="19"/>
      <c r="I296" s="19"/>
    </row>
    <row r="297" spans="1:9" ht="20" x14ac:dyDescent="0.2">
      <c r="A297" s="6"/>
      <c r="B297" s="151" t="s">
        <v>2388</v>
      </c>
      <c r="C297" s="51" t="s">
        <v>2037</v>
      </c>
      <c r="D297" s="51" t="s">
        <v>106</v>
      </c>
      <c r="E297" s="51"/>
      <c r="F297" s="51"/>
      <c r="G297" s="51" t="s">
        <v>2876</v>
      </c>
      <c r="H297" s="19"/>
      <c r="I297" s="19"/>
    </row>
    <row r="298" spans="1:9" ht="20" x14ac:dyDescent="0.2">
      <c r="A298" s="6"/>
      <c r="B298" s="151" t="s">
        <v>2615</v>
      </c>
      <c r="C298" s="51" t="s">
        <v>3444</v>
      </c>
      <c r="D298" s="51" t="s">
        <v>106</v>
      </c>
      <c r="E298" s="51"/>
      <c r="F298" s="51"/>
      <c r="G298" s="51" t="s">
        <v>2876</v>
      </c>
      <c r="H298" s="297"/>
      <c r="I298" s="297"/>
    </row>
    <row r="299" spans="1:9" ht="20" x14ac:dyDescent="0.2">
      <c r="A299" s="6"/>
      <c r="B299" s="151" t="s">
        <v>2612</v>
      </c>
      <c r="C299" s="51" t="s">
        <v>2613</v>
      </c>
      <c r="D299" s="51" t="s">
        <v>106</v>
      </c>
      <c r="E299" s="51"/>
      <c r="F299" s="51"/>
      <c r="G299" s="51" t="s">
        <v>2876</v>
      </c>
      <c r="H299" s="19"/>
      <c r="I299" s="19"/>
    </row>
    <row r="300" spans="1:9" ht="20" x14ac:dyDescent="0.2">
      <c r="A300" s="6"/>
      <c r="B300" s="151" t="s">
        <v>1693</v>
      </c>
      <c r="C300" s="51" t="s">
        <v>3252</v>
      </c>
      <c r="D300" s="51" t="s">
        <v>106</v>
      </c>
      <c r="E300" s="51"/>
      <c r="F300" s="51"/>
      <c r="G300" s="51" t="s">
        <v>2876</v>
      </c>
      <c r="H300" s="19"/>
      <c r="I300" s="19"/>
    </row>
    <row r="301" spans="1:9" ht="20" x14ac:dyDescent="0.2">
      <c r="A301" s="6"/>
      <c r="B301" s="151" t="s">
        <v>1707</v>
      </c>
      <c r="C301" s="51" t="s">
        <v>3258</v>
      </c>
      <c r="D301" s="51" t="s">
        <v>106</v>
      </c>
      <c r="E301" s="51"/>
      <c r="F301" s="51"/>
      <c r="G301" s="51" t="s">
        <v>2876</v>
      </c>
      <c r="H301" s="297"/>
      <c r="I301" s="297"/>
    </row>
    <row r="302" spans="1:9" ht="20" x14ac:dyDescent="0.2">
      <c r="A302" s="6"/>
      <c r="B302" s="151" t="s">
        <v>1690</v>
      </c>
      <c r="C302" s="51" t="s">
        <v>3433</v>
      </c>
      <c r="D302" s="51" t="s">
        <v>106</v>
      </c>
      <c r="E302" s="51"/>
      <c r="F302" s="51"/>
      <c r="G302" s="51" t="s">
        <v>2876</v>
      </c>
      <c r="H302" s="19"/>
      <c r="I302" s="19"/>
    </row>
    <row r="303" spans="1:9" ht="20" x14ac:dyDescent="0.2">
      <c r="A303" s="6"/>
      <c r="B303" s="151" t="s">
        <v>2582</v>
      </c>
      <c r="C303" s="51" t="s">
        <v>2241</v>
      </c>
      <c r="D303" s="51" t="s">
        <v>106</v>
      </c>
      <c r="E303" s="51"/>
      <c r="F303" s="51"/>
      <c r="G303" s="51" t="s">
        <v>2876</v>
      </c>
      <c r="H303" s="19"/>
      <c r="I303" s="19"/>
    </row>
    <row r="304" spans="1:9" ht="20" x14ac:dyDescent="0.2">
      <c r="A304" s="6"/>
      <c r="B304" s="151" t="s">
        <v>1691</v>
      </c>
      <c r="C304" s="51" t="s">
        <v>3648</v>
      </c>
      <c r="D304" s="51" t="s">
        <v>106</v>
      </c>
      <c r="E304" s="51"/>
      <c r="F304" s="51"/>
      <c r="G304" s="51" t="s">
        <v>2876</v>
      </c>
      <c r="H304" s="297"/>
      <c r="I304" s="297"/>
    </row>
    <row r="305" spans="1:9" ht="20" x14ac:dyDescent="0.2">
      <c r="A305" s="6"/>
      <c r="B305" s="151" t="s">
        <v>2270</v>
      </c>
      <c r="C305" s="51" t="s">
        <v>3649</v>
      </c>
      <c r="D305" s="51" t="s">
        <v>106</v>
      </c>
      <c r="E305" s="51"/>
      <c r="F305" s="51"/>
      <c r="G305" s="51" t="s">
        <v>2876</v>
      </c>
      <c r="H305" s="19"/>
      <c r="I305" s="19"/>
    </row>
    <row r="306" spans="1:9" ht="20" x14ac:dyDescent="0.2">
      <c r="A306" s="6"/>
      <c r="B306" s="151" t="s">
        <v>2570</v>
      </c>
      <c r="C306" s="51" t="s">
        <v>2227</v>
      </c>
      <c r="D306" s="51" t="s">
        <v>106</v>
      </c>
      <c r="E306" s="51"/>
      <c r="F306" s="51"/>
      <c r="G306" s="51" t="s">
        <v>2876</v>
      </c>
      <c r="H306" s="19"/>
      <c r="I306" s="19"/>
    </row>
    <row r="307" spans="1:9" ht="20" x14ac:dyDescent="0.2">
      <c r="A307" s="6"/>
      <c r="B307" s="151" t="s">
        <v>1694</v>
      </c>
      <c r="C307" s="51" t="s">
        <v>3197</v>
      </c>
      <c r="D307" s="51" t="s">
        <v>106</v>
      </c>
      <c r="E307" s="299">
        <v>49.515817300000002</v>
      </c>
      <c r="F307" s="299">
        <v>-123.5015484</v>
      </c>
      <c r="G307" s="51" t="s">
        <v>2876</v>
      </c>
      <c r="H307" s="19"/>
      <c r="I307" s="19"/>
    </row>
    <row r="308" spans="1:9" ht="20" x14ac:dyDescent="0.2">
      <c r="A308" s="6"/>
      <c r="B308" s="151" t="s">
        <v>1695</v>
      </c>
      <c r="C308" s="51" t="s">
        <v>3256</v>
      </c>
      <c r="D308" s="51" t="s">
        <v>106</v>
      </c>
      <c r="E308" s="51"/>
      <c r="F308" s="51"/>
      <c r="G308" s="51" t="s">
        <v>2876</v>
      </c>
      <c r="H308" s="19"/>
      <c r="I308" s="19"/>
    </row>
    <row r="309" spans="1:9" ht="20" x14ac:dyDescent="0.2">
      <c r="A309" s="6"/>
      <c r="B309" s="230" t="s">
        <v>2710</v>
      </c>
      <c r="C309" s="51" t="s">
        <v>3255</v>
      </c>
      <c r="D309" s="51" t="s">
        <v>173</v>
      </c>
      <c r="E309" s="51"/>
      <c r="F309" s="51"/>
      <c r="G309" s="51" t="s">
        <v>2876</v>
      </c>
      <c r="H309" s="297"/>
      <c r="I309" s="297"/>
    </row>
    <row r="310" spans="1:9" ht="20" x14ac:dyDescent="0.2">
      <c r="A310" s="6"/>
      <c r="B310" s="230" t="s">
        <v>3875</v>
      </c>
      <c r="C310" s="51" t="s">
        <v>3254</v>
      </c>
      <c r="D310" s="51" t="s">
        <v>173</v>
      </c>
      <c r="E310" s="51"/>
      <c r="F310" s="51"/>
      <c r="G310" s="51" t="s">
        <v>2876</v>
      </c>
      <c r="H310" s="19"/>
      <c r="I310" s="19"/>
    </row>
    <row r="311" spans="1:9" ht="20" x14ac:dyDescent="0.2">
      <c r="A311" s="6"/>
      <c r="B311" s="151" t="s">
        <v>3876</v>
      </c>
      <c r="C311" s="51" t="s">
        <v>3399</v>
      </c>
      <c r="D311" s="51" t="s">
        <v>106</v>
      </c>
      <c r="E311" s="51"/>
      <c r="F311" s="51"/>
      <c r="G311" s="51" t="s">
        <v>2876</v>
      </c>
      <c r="H311" s="19"/>
      <c r="I311" s="19"/>
    </row>
    <row r="312" spans="1:9" ht="20" x14ac:dyDescent="0.2">
      <c r="A312" s="6"/>
      <c r="B312" s="151" t="s">
        <v>1698</v>
      </c>
      <c r="C312" s="51" t="s">
        <v>3436</v>
      </c>
      <c r="D312" s="51" t="s">
        <v>106</v>
      </c>
      <c r="E312" s="51"/>
      <c r="F312" s="51"/>
      <c r="G312" s="51" t="s">
        <v>2876</v>
      </c>
      <c r="H312" s="19"/>
      <c r="I312" s="19"/>
    </row>
    <row r="313" spans="1:9" ht="20" x14ac:dyDescent="0.2">
      <c r="A313" s="6"/>
      <c r="B313" s="151" t="s">
        <v>2625</v>
      </c>
      <c r="C313" s="51" t="s">
        <v>2140</v>
      </c>
      <c r="D313" s="51" t="s">
        <v>106</v>
      </c>
      <c r="E313" s="51"/>
      <c r="F313" s="51"/>
      <c r="G313" s="51" t="s">
        <v>2876</v>
      </c>
      <c r="H313" s="297"/>
      <c r="I313" s="297"/>
    </row>
    <row r="314" spans="1:9" ht="20" x14ac:dyDescent="0.2">
      <c r="A314" s="6"/>
      <c r="B314" s="151" t="s">
        <v>1699</v>
      </c>
      <c r="C314" s="51" t="s">
        <v>3126</v>
      </c>
      <c r="D314" s="51" t="s">
        <v>106</v>
      </c>
      <c r="E314" s="299">
        <v>56.014797000000002</v>
      </c>
      <c r="F314" s="299">
        <v>-122.1957438</v>
      </c>
      <c r="G314" s="51" t="s">
        <v>2876</v>
      </c>
      <c r="H314" s="19"/>
      <c r="I314" s="19"/>
    </row>
    <row r="315" spans="1:9" ht="20" x14ac:dyDescent="0.2">
      <c r="A315" s="6"/>
      <c r="B315" s="151" t="s">
        <v>184</v>
      </c>
      <c r="C315" s="51" t="s">
        <v>3253</v>
      </c>
      <c r="D315" s="51" t="s">
        <v>106</v>
      </c>
      <c r="E315" s="299">
        <v>49.842748499999999</v>
      </c>
      <c r="F315" s="299">
        <v>-126.1276611</v>
      </c>
      <c r="G315" s="51" t="s">
        <v>2876</v>
      </c>
      <c r="H315" s="19"/>
      <c r="I315" s="19"/>
    </row>
    <row r="316" spans="1:9" ht="20" x14ac:dyDescent="0.2">
      <c r="A316" s="6"/>
      <c r="B316" s="151" t="s">
        <v>1702</v>
      </c>
      <c r="C316" s="51" t="s">
        <v>3650</v>
      </c>
      <c r="D316" s="51" t="s">
        <v>106</v>
      </c>
      <c r="E316" s="299">
        <v>49.682745099999998</v>
      </c>
      <c r="F316" s="299">
        <v>-126.1252618</v>
      </c>
      <c r="G316" s="51" t="s">
        <v>2876</v>
      </c>
      <c r="H316" s="297"/>
      <c r="I316" s="297"/>
    </row>
    <row r="317" spans="1:9" ht="20" x14ac:dyDescent="0.2">
      <c r="A317" s="6"/>
      <c r="B317" s="151" t="s">
        <v>263</v>
      </c>
      <c r="C317" s="51" t="s">
        <v>3463</v>
      </c>
      <c r="D317" s="51" t="s">
        <v>106</v>
      </c>
      <c r="E317" s="51"/>
      <c r="F317" s="51"/>
      <c r="G317" s="51" t="s">
        <v>2876</v>
      </c>
      <c r="H317" s="19"/>
      <c r="I317" s="19"/>
    </row>
    <row r="318" spans="1:9" ht="20" x14ac:dyDescent="0.2">
      <c r="A318" s="6"/>
      <c r="B318" s="151" t="s">
        <v>1706</v>
      </c>
      <c r="C318" s="51" t="s">
        <v>3442</v>
      </c>
      <c r="D318" s="51" t="s">
        <v>106</v>
      </c>
      <c r="E318" s="51"/>
      <c r="F318" s="51"/>
      <c r="G318" s="51" t="s">
        <v>2876</v>
      </c>
      <c r="H318" s="19"/>
      <c r="I318" s="19"/>
    </row>
    <row r="319" spans="1:9" ht="20" x14ac:dyDescent="0.2">
      <c r="A319" s="6"/>
      <c r="B319" s="151" t="s">
        <v>2548</v>
      </c>
      <c r="C319" s="51" t="s">
        <v>2205</v>
      </c>
      <c r="D319" s="51" t="s">
        <v>106</v>
      </c>
      <c r="E319" s="51"/>
      <c r="F319" s="51"/>
      <c r="G319" s="51" t="s">
        <v>2876</v>
      </c>
      <c r="H319" s="19"/>
      <c r="I319" s="19"/>
    </row>
    <row r="320" spans="1:9" ht="20" x14ac:dyDescent="0.2">
      <c r="A320" s="6"/>
      <c r="B320" s="151" t="s">
        <v>1704</v>
      </c>
      <c r="C320" s="51" t="s">
        <v>3651</v>
      </c>
      <c r="D320" s="51" t="s">
        <v>106</v>
      </c>
      <c r="E320" s="51"/>
      <c r="F320" s="51"/>
      <c r="G320" s="51" t="s">
        <v>2876</v>
      </c>
      <c r="H320" s="19"/>
      <c r="I320" s="19"/>
    </row>
    <row r="321" spans="1:9" ht="20" x14ac:dyDescent="0.2">
      <c r="A321" s="6"/>
      <c r="B321" s="151" t="s">
        <v>1700</v>
      </c>
      <c r="C321" s="51" t="s">
        <v>3257</v>
      </c>
      <c r="D321" s="51" t="s">
        <v>106</v>
      </c>
      <c r="E321" s="51"/>
      <c r="F321" s="51"/>
      <c r="G321" s="51" t="s">
        <v>2876</v>
      </c>
      <c r="H321" s="19"/>
      <c r="I321" s="19"/>
    </row>
    <row r="322" spans="1:9" ht="20" x14ac:dyDescent="0.2">
      <c r="A322" s="6"/>
      <c r="B322" s="230" t="s">
        <v>3565</v>
      </c>
      <c r="C322" s="51" t="s">
        <v>3566</v>
      </c>
      <c r="D322" s="51" t="s">
        <v>173</v>
      </c>
      <c r="E322" s="51"/>
      <c r="F322" s="51"/>
      <c r="G322" s="51" t="s">
        <v>2876</v>
      </c>
      <c r="H322" s="297"/>
      <c r="I322" s="297"/>
    </row>
    <row r="323" spans="1:9" ht="20" x14ac:dyDescent="0.2">
      <c r="A323" s="6"/>
      <c r="B323" s="151" t="s">
        <v>1692</v>
      </c>
      <c r="C323" s="51" t="s">
        <v>3192</v>
      </c>
      <c r="D323" s="51" t="s">
        <v>106</v>
      </c>
      <c r="E323" s="299">
        <v>49.217652999999999</v>
      </c>
      <c r="F323" s="299">
        <v>-125.508224</v>
      </c>
      <c r="G323" s="51" t="s">
        <v>2876</v>
      </c>
      <c r="H323" s="19"/>
      <c r="I323" s="19"/>
    </row>
    <row r="324" spans="1:9" ht="20" x14ac:dyDescent="0.2">
      <c r="A324" s="6"/>
      <c r="B324" s="151" t="s">
        <v>1703</v>
      </c>
      <c r="C324" s="51" t="s">
        <v>3440</v>
      </c>
      <c r="D324" s="51" t="s">
        <v>106</v>
      </c>
      <c r="E324" s="51"/>
      <c r="F324" s="51"/>
      <c r="G324" s="51" t="s">
        <v>2876</v>
      </c>
      <c r="H324" s="297"/>
      <c r="I324" s="297"/>
    </row>
    <row r="325" spans="1:9" ht="20" x14ac:dyDescent="0.2">
      <c r="A325" s="6"/>
      <c r="B325" s="151" t="s">
        <v>2604</v>
      </c>
      <c r="C325" s="51" t="s">
        <v>2264</v>
      </c>
      <c r="D325" s="51" t="s">
        <v>106</v>
      </c>
      <c r="E325" s="51"/>
      <c r="F325" s="51"/>
      <c r="G325" s="51" t="s">
        <v>2876</v>
      </c>
      <c r="H325" s="19"/>
      <c r="I325" s="19"/>
    </row>
    <row r="326" spans="1:9" ht="20" x14ac:dyDescent="0.2">
      <c r="A326" s="6"/>
      <c r="B326" s="151" t="s">
        <v>2023</v>
      </c>
      <c r="C326" s="179" t="s">
        <v>3439</v>
      </c>
      <c r="D326" s="51" t="s">
        <v>106</v>
      </c>
      <c r="E326" s="51"/>
      <c r="F326" s="51"/>
      <c r="G326" s="51" t="s">
        <v>2876</v>
      </c>
      <c r="H326" s="297"/>
      <c r="I326" s="297"/>
    </row>
    <row r="327" spans="1:9" ht="20" x14ac:dyDescent="0.2">
      <c r="A327" s="6"/>
      <c r="B327" s="151" t="s">
        <v>2445</v>
      </c>
      <c r="C327" s="51" t="s">
        <v>2097</v>
      </c>
      <c r="D327" s="51" t="s">
        <v>106</v>
      </c>
      <c r="E327" s="51"/>
      <c r="F327" s="51"/>
      <c r="G327" s="51" t="s">
        <v>2876</v>
      </c>
      <c r="H327" s="19"/>
      <c r="I327" s="19"/>
    </row>
    <row r="328" spans="1:9" ht="20" x14ac:dyDescent="0.2">
      <c r="A328" s="6"/>
      <c r="B328" s="151" t="s">
        <v>1701</v>
      </c>
      <c r="C328" s="51" t="s">
        <v>3438</v>
      </c>
      <c r="D328" s="51" t="s">
        <v>106</v>
      </c>
      <c r="E328" s="51"/>
      <c r="F328" s="51"/>
      <c r="G328" s="51" t="s">
        <v>2876</v>
      </c>
      <c r="H328" s="297"/>
      <c r="I328" s="297"/>
    </row>
    <row r="329" spans="1:9" ht="20" x14ac:dyDescent="0.2">
      <c r="A329" s="6"/>
      <c r="B329" s="151" t="s">
        <v>2392</v>
      </c>
      <c r="C329" s="51" t="s">
        <v>2042</v>
      </c>
      <c r="D329" s="51" t="s">
        <v>106</v>
      </c>
      <c r="E329" s="51"/>
      <c r="F329" s="51"/>
      <c r="G329" s="51" t="s">
        <v>2876</v>
      </c>
      <c r="H329" s="19"/>
      <c r="I329" s="19"/>
    </row>
    <row r="330" spans="1:9" ht="20" x14ac:dyDescent="0.2">
      <c r="A330" s="6"/>
      <c r="B330" s="151" t="s">
        <v>1705</v>
      </c>
      <c r="C330" s="51" t="s">
        <v>3441</v>
      </c>
      <c r="D330" s="51" t="s">
        <v>106</v>
      </c>
      <c r="E330" s="51"/>
      <c r="F330" s="51"/>
      <c r="G330" s="51" t="s">
        <v>2876</v>
      </c>
      <c r="H330" s="19"/>
      <c r="I330" s="19"/>
    </row>
    <row r="331" spans="1:9" ht="20" x14ac:dyDescent="0.2">
      <c r="A331" s="6"/>
      <c r="B331" s="151" t="s">
        <v>2492</v>
      </c>
      <c r="C331" s="51" t="s">
        <v>2148</v>
      </c>
      <c r="D331" s="51" t="s">
        <v>106</v>
      </c>
      <c r="E331" s="51"/>
      <c r="F331" s="51"/>
      <c r="G331" s="51" t="s">
        <v>2876</v>
      </c>
      <c r="H331" s="19"/>
      <c r="I331" s="19"/>
    </row>
    <row r="332" spans="1:9" ht="20" x14ac:dyDescent="0.2">
      <c r="A332" s="6"/>
      <c r="B332" s="151" t="s">
        <v>1708</v>
      </c>
      <c r="C332" s="51" t="s">
        <v>3599</v>
      </c>
      <c r="D332" s="51" t="s">
        <v>106</v>
      </c>
      <c r="E332" s="299">
        <v>49.247922899999999</v>
      </c>
      <c r="F332" s="299">
        <v>-125.3836702</v>
      </c>
      <c r="G332" s="51" t="s">
        <v>2876</v>
      </c>
      <c r="H332" s="19"/>
      <c r="I332" s="19"/>
    </row>
    <row r="333" spans="1:9" ht="20" x14ac:dyDescent="0.2">
      <c r="A333" s="6"/>
      <c r="B333" s="151" t="s">
        <v>2541</v>
      </c>
      <c r="C333" s="51" t="s">
        <v>2198</v>
      </c>
      <c r="D333" s="51" t="s">
        <v>106</v>
      </c>
      <c r="E333" s="51"/>
      <c r="F333" s="51"/>
      <c r="G333" s="51" t="s">
        <v>2876</v>
      </c>
      <c r="H333" s="297"/>
      <c r="I333" s="297"/>
    </row>
    <row r="334" spans="1:9" ht="20" x14ac:dyDescent="0.2">
      <c r="A334" s="6"/>
      <c r="B334" s="151" t="s">
        <v>1716</v>
      </c>
      <c r="C334" s="51" t="s">
        <v>3263</v>
      </c>
      <c r="D334" s="51" t="s">
        <v>106</v>
      </c>
      <c r="E334" s="51"/>
      <c r="F334" s="51"/>
      <c r="G334" s="51" t="s">
        <v>2876</v>
      </c>
      <c r="H334" s="297"/>
      <c r="I334" s="297"/>
    </row>
    <row r="335" spans="1:9" ht="20" x14ac:dyDescent="0.2">
      <c r="A335" s="6"/>
      <c r="B335" s="151" t="s">
        <v>1725</v>
      </c>
      <c r="C335" s="51" t="s">
        <v>3453</v>
      </c>
      <c r="D335" s="51" t="s">
        <v>106</v>
      </c>
      <c r="E335" s="51"/>
      <c r="F335" s="51"/>
      <c r="G335" s="51" t="s">
        <v>2876</v>
      </c>
      <c r="H335" s="19"/>
      <c r="I335" s="19"/>
    </row>
    <row r="336" spans="1:9" ht="20" x14ac:dyDescent="0.2">
      <c r="A336" s="6"/>
      <c r="B336" s="151" t="s">
        <v>2403</v>
      </c>
      <c r="C336" s="51" t="s">
        <v>2053</v>
      </c>
      <c r="D336" s="51" t="s">
        <v>106</v>
      </c>
      <c r="E336" s="51"/>
      <c r="F336" s="51"/>
      <c r="G336" s="51" t="s">
        <v>2876</v>
      </c>
      <c r="H336" s="297"/>
      <c r="I336" s="297"/>
    </row>
    <row r="337" spans="1:9" ht="20" x14ac:dyDescent="0.2">
      <c r="A337" s="6"/>
      <c r="B337" s="151" t="s">
        <v>1726</v>
      </c>
      <c r="C337" s="51" t="s">
        <v>3269</v>
      </c>
      <c r="D337" s="51" t="s">
        <v>106</v>
      </c>
      <c r="E337" s="51"/>
      <c r="F337" s="51"/>
      <c r="G337" s="51" t="s">
        <v>2876</v>
      </c>
      <c r="H337" s="19"/>
      <c r="I337" s="19"/>
    </row>
    <row r="338" spans="1:9" ht="20" x14ac:dyDescent="0.2">
      <c r="A338" s="6"/>
      <c r="B338" s="151" t="s">
        <v>2475</v>
      </c>
      <c r="C338" s="51" t="s">
        <v>2127</v>
      </c>
      <c r="D338" s="51" t="s">
        <v>106</v>
      </c>
      <c r="E338" s="51"/>
      <c r="F338" s="51"/>
      <c r="G338" s="51" t="s">
        <v>2876</v>
      </c>
      <c r="H338" s="297"/>
      <c r="I338" s="297"/>
    </row>
    <row r="339" spans="1:9" ht="20" x14ac:dyDescent="0.2">
      <c r="A339" s="6"/>
      <c r="B339" s="151" t="s">
        <v>1713</v>
      </c>
      <c r="C339" s="51" t="s">
        <v>3193</v>
      </c>
      <c r="D339" s="51" t="s">
        <v>106</v>
      </c>
      <c r="E339" s="299">
        <v>49.138461100000001</v>
      </c>
      <c r="F339" s="299">
        <v>-123.85707499999999</v>
      </c>
      <c r="G339" s="51" t="s">
        <v>2876</v>
      </c>
      <c r="H339" s="19"/>
      <c r="I339" s="19"/>
    </row>
    <row r="340" spans="1:9" ht="20" x14ac:dyDescent="0.2">
      <c r="A340" s="6"/>
      <c r="B340" s="151" t="s">
        <v>1680</v>
      </c>
      <c r="C340" s="51" t="s">
        <v>3652</v>
      </c>
      <c r="D340" s="51" t="s">
        <v>106</v>
      </c>
      <c r="E340" s="299">
        <v>58.5578083040782</v>
      </c>
      <c r="F340" s="299">
        <v>-120.08051196636301</v>
      </c>
      <c r="G340" s="51" t="s">
        <v>3716</v>
      </c>
      <c r="H340" s="19"/>
      <c r="I340" s="19"/>
    </row>
    <row r="341" spans="1:9" ht="20" x14ac:dyDescent="0.2">
      <c r="A341" s="6"/>
      <c r="B341" s="151" t="s">
        <v>2452</v>
      </c>
      <c r="C341" s="51" t="s">
        <v>2103</v>
      </c>
      <c r="D341" s="51" t="s">
        <v>106</v>
      </c>
      <c r="E341" s="51"/>
      <c r="F341" s="51"/>
      <c r="G341" s="51" t="s">
        <v>2876</v>
      </c>
      <c r="H341" s="19"/>
      <c r="I341" s="19"/>
    </row>
    <row r="342" spans="1:9" ht="20" x14ac:dyDescent="0.2">
      <c r="A342" s="6"/>
      <c r="B342" s="151" t="s">
        <v>1719</v>
      </c>
      <c r="C342" s="51" t="s">
        <v>3449</v>
      </c>
      <c r="D342" s="51" t="s">
        <v>106</v>
      </c>
      <c r="E342" s="51"/>
      <c r="F342" s="51"/>
      <c r="G342" s="51" t="s">
        <v>2876</v>
      </c>
      <c r="H342" s="297"/>
      <c r="I342" s="297"/>
    </row>
    <row r="343" spans="1:9" ht="20" x14ac:dyDescent="0.2">
      <c r="A343" s="6"/>
      <c r="B343" s="151" t="s">
        <v>2531</v>
      </c>
      <c r="C343" s="51" t="s">
        <v>2189</v>
      </c>
      <c r="D343" s="51" t="s">
        <v>106</v>
      </c>
      <c r="E343" s="51"/>
      <c r="F343" s="51"/>
      <c r="G343" s="51" t="s">
        <v>2876</v>
      </c>
      <c r="H343" s="19"/>
      <c r="I343" s="19"/>
    </row>
    <row r="344" spans="1:9" ht="20" x14ac:dyDescent="0.2">
      <c r="A344" s="6"/>
      <c r="B344" s="151" t="s">
        <v>1727</v>
      </c>
      <c r="C344" s="51" t="s">
        <v>3528</v>
      </c>
      <c r="D344" s="51" t="s">
        <v>106</v>
      </c>
      <c r="E344" s="51"/>
      <c r="F344" s="51"/>
      <c r="G344" s="51" t="s">
        <v>2876</v>
      </c>
      <c r="H344" s="19"/>
      <c r="I344" s="19"/>
    </row>
    <row r="345" spans="1:9" ht="20" x14ac:dyDescent="0.2">
      <c r="A345" s="6"/>
      <c r="B345" s="230" t="s">
        <v>2713</v>
      </c>
      <c r="C345" s="51" t="s">
        <v>3260</v>
      </c>
      <c r="D345" s="51" t="s">
        <v>173</v>
      </c>
      <c r="E345" s="51"/>
      <c r="F345" s="51"/>
      <c r="G345" s="51" t="s">
        <v>2876</v>
      </c>
      <c r="H345" s="297"/>
      <c r="I345" s="297"/>
    </row>
    <row r="346" spans="1:9" ht="20" x14ac:dyDescent="0.2">
      <c r="A346" s="6"/>
      <c r="B346" s="230" t="s">
        <v>2656</v>
      </c>
      <c r="C346" s="51" t="s">
        <v>3259</v>
      </c>
      <c r="D346" s="51" t="s">
        <v>173</v>
      </c>
      <c r="E346" s="51"/>
      <c r="F346" s="51"/>
      <c r="G346" s="51" t="s">
        <v>2876</v>
      </c>
      <c r="H346" s="19"/>
      <c r="I346" s="19"/>
    </row>
    <row r="347" spans="1:9" ht="20" x14ac:dyDescent="0.2">
      <c r="A347" s="6"/>
      <c r="B347" s="151" t="s">
        <v>1711</v>
      </c>
      <c r="C347" s="179" t="s">
        <v>3446</v>
      </c>
      <c r="D347" s="51" t="s">
        <v>106</v>
      </c>
      <c r="E347" s="51"/>
      <c r="F347" s="51"/>
      <c r="G347" s="51" t="s">
        <v>2876</v>
      </c>
      <c r="H347" s="19"/>
      <c r="I347" s="19"/>
    </row>
    <row r="348" spans="1:9" ht="20" x14ac:dyDescent="0.2">
      <c r="A348" s="6"/>
      <c r="B348" s="151" t="s">
        <v>2424</v>
      </c>
      <c r="C348" s="51" t="s">
        <v>2078</v>
      </c>
      <c r="D348" s="51" t="s">
        <v>106</v>
      </c>
      <c r="E348" s="51"/>
      <c r="F348" s="51"/>
      <c r="G348" s="51" t="s">
        <v>2876</v>
      </c>
      <c r="H348" s="19"/>
      <c r="I348" s="19"/>
    </row>
    <row r="349" spans="1:9" ht="20" x14ac:dyDescent="0.2">
      <c r="A349" s="6"/>
      <c r="B349" s="151" t="s">
        <v>1712</v>
      </c>
      <c r="C349" s="51" t="s">
        <v>3261</v>
      </c>
      <c r="D349" s="51" t="s">
        <v>106</v>
      </c>
      <c r="E349" s="51"/>
      <c r="F349" s="51"/>
      <c r="G349" s="51" t="s">
        <v>2876</v>
      </c>
      <c r="H349" s="19"/>
      <c r="I349" s="19"/>
    </row>
    <row r="350" spans="1:9" ht="20" x14ac:dyDescent="0.2">
      <c r="A350" s="6"/>
      <c r="B350" s="151" t="s">
        <v>1724</v>
      </c>
      <c r="C350" s="51" t="s">
        <v>3452</v>
      </c>
      <c r="D350" s="51" t="s">
        <v>106</v>
      </c>
      <c r="E350" s="51"/>
      <c r="F350" s="51"/>
      <c r="G350" s="51" t="s">
        <v>2876</v>
      </c>
      <c r="H350" s="19"/>
      <c r="I350" s="19"/>
    </row>
    <row r="351" spans="1:9" ht="20" x14ac:dyDescent="0.2">
      <c r="A351" s="6"/>
      <c r="B351" s="151" t="s">
        <v>2396</v>
      </c>
      <c r="C351" s="51" t="s">
        <v>2045</v>
      </c>
      <c r="D351" s="51" t="s">
        <v>106</v>
      </c>
      <c r="E351" s="51"/>
      <c r="F351" s="51"/>
      <c r="G351" s="51" t="s">
        <v>2876</v>
      </c>
      <c r="H351" s="19"/>
      <c r="I351" s="19"/>
    </row>
    <row r="352" spans="1:9" ht="20" x14ac:dyDescent="0.2">
      <c r="A352" s="6"/>
      <c r="B352" s="151" t="s">
        <v>1710</v>
      </c>
      <c r="C352" s="51" t="s">
        <v>3445</v>
      </c>
      <c r="D352" s="51" t="s">
        <v>106</v>
      </c>
      <c r="E352" s="51"/>
      <c r="F352" s="51"/>
      <c r="G352" s="51" t="s">
        <v>2876</v>
      </c>
      <c r="H352" s="297"/>
      <c r="I352" s="297"/>
    </row>
    <row r="353" spans="1:9" ht="20" x14ac:dyDescent="0.2">
      <c r="A353" s="6"/>
      <c r="B353" s="151" t="s">
        <v>2518</v>
      </c>
      <c r="C353" s="51" t="s">
        <v>2177</v>
      </c>
      <c r="D353" s="51" t="s">
        <v>106</v>
      </c>
      <c r="E353" s="51"/>
      <c r="F353" s="51"/>
      <c r="G353" s="51" t="s">
        <v>2876</v>
      </c>
      <c r="H353" s="19"/>
      <c r="I353" s="19"/>
    </row>
    <row r="354" spans="1:9" ht="20" x14ac:dyDescent="0.2">
      <c r="A354" s="6"/>
      <c r="B354" s="230" t="s">
        <v>2634</v>
      </c>
      <c r="C354" s="51" t="s">
        <v>3264</v>
      </c>
      <c r="D354" s="51" t="s">
        <v>173</v>
      </c>
      <c r="E354" s="51"/>
      <c r="F354" s="51"/>
      <c r="G354" s="51" t="s">
        <v>2876</v>
      </c>
      <c r="H354" s="19"/>
      <c r="I354" s="19"/>
    </row>
    <row r="355" spans="1:9" ht="20" x14ac:dyDescent="0.2">
      <c r="A355" s="6"/>
      <c r="B355" s="230" t="s">
        <v>2635</v>
      </c>
      <c r="C355" s="51" t="s">
        <v>2762</v>
      </c>
      <c r="D355" s="51" t="s">
        <v>173</v>
      </c>
      <c r="E355" s="51"/>
      <c r="F355" s="51"/>
      <c r="G355" s="51" t="s">
        <v>2876</v>
      </c>
      <c r="H355" s="19"/>
      <c r="I355" s="19"/>
    </row>
    <row r="356" spans="1:9" ht="20" x14ac:dyDescent="0.2">
      <c r="A356" s="6"/>
      <c r="B356" s="151" t="s">
        <v>228</v>
      </c>
      <c r="C356" s="51" t="s">
        <v>3195</v>
      </c>
      <c r="D356" s="51" t="s">
        <v>106</v>
      </c>
      <c r="E356" s="299">
        <v>49.364823999999999</v>
      </c>
      <c r="F356" s="299">
        <v>-121.57136300000001</v>
      </c>
      <c r="G356" s="51" t="s">
        <v>2876</v>
      </c>
      <c r="H356" s="19"/>
      <c r="I356" s="19"/>
    </row>
    <row r="357" spans="1:9" ht="20" x14ac:dyDescent="0.2">
      <c r="A357" s="6"/>
      <c r="B357" s="151" t="s">
        <v>1718</v>
      </c>
      <c r="C357" s="51" t="s">
        <v>3448</v>
      </c>
      <c r="D357" s="51" t="s">
        <v>106</v>
      </c>
      <c r="E357" s="51"/>
      <c r="F357" s="51"/>
      <c r="G357" s="51" t="s">
        <v>2876</v>
      </c>
      <c r="H357" s="19"/>
      <c r="I357" s="19"/>
    </row>
    <row r="358" spans="1:9" ht="20" x14ac:dyDescent="0.2">
      <c r="A358" s="6"/>
      <c r="B358" s="151" t="s">
        <v>2537</v>
      </c>
      <c r="C358" s="51" t="s">
        <v>2195</v>
      </c>
      <c r="D358" s="51" t="s">
        <v>106</v>
      </c>
      <c r="E358" s="51"/>
      <c r="F358" s="51"/>
      <c r="G358" s="51" t="s">
        <v>2876</v>
      </c>
      <c r="H358" s="297"/>
      <c r="I358" s="297"/>
    </row>
    <row r="359" spans="1:9" ht="20" x14ac:dyDescent="0.2">
      <c r="A359" s="6"/>
      <c r="B359" s="151" t="s">
        <v>1717</v>
      </c>
      <c r="C359" s="51" t="s">
        <v>3265</v>
      </c>
      <c r="D359" s="51" t="s">
        <v>106</v>
      </c>
      <c r="E359" s="51"/>
      <c r="F359" s="51"/>
      <c r="G359" s="51" t="s">
        <v>2876</v>
      </c>
      <c r="H359" s="19"/>
      <c r="I359" s="19"/>
    </row>
    <row r="360" spans="1:9" ht="20" x14ac:dyDescent="0.2">
      <c r="A360" s="6"/>
      <c r="B360" s="151" t="s">
        <v>1722</v>
      </c>
      <c r="C360" s="51" t="s">
        <v>3266</v>
      </c>
      <c r="D360" s="51" t="s">
        <v>106</v>
      </c>
      <c r="E360" s="51"/>
      <c r="F360" s="51"/>
      <c r="G360" s="51" t="s">
        <v>2876</v>
      </c>
      <c r="H360" s="19"/>
      <c r="I360" s="19"/>
    </row>
    <row r="361" spans="1:9" ht="20" x14ac:dyDescent="0.2">
      <c r="A361" s="6"/>
      <c r="B361" s="151" t="s">
        <v>1720</v>
      </c>
      <c r="C361" s="51" t="s">
        <v>3409</v>
      </c>
      <c r="D361" s="51" t="s">
        <v>106</v>
      </c>
      <c r="E361" s="51"/>
      <c r="F361" s="51"/>
      <c r="G361" s="51" t="s">
        <v>2876</v>
      </c>
      <c r="H361" s="297"/>
      <c r="I361" s="297"/>
    </row>
    <row r="362" spans="1:9" ht="20" x14ac:dyDescent="0.2">
      <c r="A362" s="6"/>
      <c r="B362" s="151" t="s">
        <v>1723</v>
      </c>
      <c r="C362" s="51" t="s">
        <v>3267</v>
      </c>
      <c r="D362" s="51" t="s">
        <v>106</v>
      </c>
      <c r="E362" s="51"/>
      <c r="F362" s="51"/>
      <c r="G362" s="51" t="s">
        <v>2876</v>
      </c>
      <c r="H362" s="19"/>
      <c r="I362" s="19"/>
    </row>
    <row r="363" spans="1:9" ht="20" x14ac:dyDescent="0.2">
      <c r="A363" s="6"/>
      <c r="B363" s="151" t="s">
        <v>1721</v>
      </c>
      <c r="C363" s="51" t="s">
        <v>3700</v>
      </c>
      <c r="D363" s="51" t="s">
        <v>106</v>
      </c>
      <c r="E363" s="299">
        <v>49.522021000000002</v>
      </c>
      <c r="F363" s="299">
        <v>-123.4861618</v>
      </c>
      <c r="G363" s="51" t="s">
        <v>2876</v>
      </c>
      <c r="H363" s="19"/>
      <c r="I363" s="19"/>
    </row>
    <row r="364" spans="1:9" ht="20" x14ac:dyDescent="0.2">
      <c r="A364" s="6"/>
      <c r="B364" s="151" t="s">
        <v>1715</v>
      </c>
      <c r="C364" s="51" t="s">
        <v>3450</v>
      </c>
      <c r="D364" s="51" t="s">
        <v>106</v>
      </c>
      <c r="E364" s="51"/>
      <c r="F364" s="51"/>
      <c r="G364" s="51" t="s">
        <v>2876</v>
      </c>
      <c r="H364" s="297"/>
      <c r="I364" s="297"/>
    </row>
    <row r="365" spans="1:9" ht="20" x14ac:dyDescent="0.2">
      <c r="A365" s="6"/>
      <c r="B365" s="151" t="s">
        <v>1714</v>
      </c>
      <c r="C365" s="51" t="s">
        <v>3262</v>
      </c>
      <c r="D365" s="51" t="s">
        <v>106</v>
      </c>
      <c r="E365" s="51"/>
      <c r="F365" s="51"/>
      <c r="G365" s="51" t="s">
        <v>2876</v>
      </c>
      <c r="H365" s="19"/>
      <c r="I365" s="19"/>
    </row>
    <row r="366" spans="1:9" ht="20" x14ac:dyDescent="0.2">
      <c r="A366" s="6"/>
      <c r="B366" s="230" t="s">
        <v>2673</v>
      </c>
      <c r="C366" s="51" t="s">
        <v>3268</v>
      </c>
      <c r="D366" s="51" t="s">
        <v>173</v>
      </c>
      <c r="E366" s="51"/>
      <c r="F366" s="51"/>
      <c r="G366" s="51" t="s">
        <v>2876</v>
      </c>
      <c r="H366" s="297"/>
      <c r="I366" s="297"/>
    </row>
    <row r="367" spans="1:9" ht="20" x14ac:dyDescent="0.2">
      <c r="A367" s="6"/>
      <c r="B367" s="151" t="s">
        <v>1729</v>
      </c>
      <c r="C367" s="51" t="s">
        <v>3202</v>
      </c>
      <c r="D367" s="51" t="s">
        <v>106</v>
      </c>
      <c r="E367" s="299">
        <v>50.822699999999998</v>
      </c>
      <c r="F367" s="299">
        <v>-118.0295</v>
      </c>
      <c r="G367" s="51" t="s">
        <v>2876</v>
      </c>
      <c r="H367" s="19"/>
      <c r="I367" s="19"/>
    </row>
    <row r="368" spans="1:9" ht="20" x14ac:dyDescent="0.2">
      <c r="A368" s="6"/>
      <c r="B368" s="151" t="s">
        <v>1730</v>
      </c>
      <c r="C368" s="51" t="s">
        <v>3204</v>
      </c>
      <c r="D368" s="51" t="s">
        <v>106</v>
      </c>
      <c r="E368" s="299">
        <v>49.186356699999997</v>
      </c>
      <c r="F368" s="299">
        <v>-122.97771899999999</v>
      </c>
      <c r="G368" s="51" t="s">
        <v>2876</v>
      </c>
      <c r="H368" s="297"/>
      <c r="I368" s="297"/>
    </row>
    <row r="369" spans="1:9" ht="20" x14ac:dyDescent="0.2">
      <c r="A369" s="6"/>
      <c r="B369" s="151" t="s">
        <v>2383</v>
      </c>
      <c r="C369" s="51" t="s">
        <v>2285</v>
      </c>
      <c r="D369" s="51" t="s">
        <v>3739</v>
      </c>
      <c r="E369" s="299">
        <v>49.002088783153397</v>
      </c>
      <c r="F369" s="299">
        <v>-122.723985915518</v>
      </c>
      <c r="G369" s="51" t="s">
        <v>2876</v>
      </c>
      <c r="H369" s="19"/>
      <c r="I369" s="19"/>
    </row>
    <row r="370" spans="1:9" ht="20" x14ac:dyDescent="0.2">
      <c r="A370" s="6"/>
      <c r="B370" s="151" t="s">
        <v>2384</v>
      </c>
      <c r="C370" s="51" t="s">
        <v>2284</v>
      </c>
      <c r="D370" s="51" t="s">
        <v>3739</v>
      </c>
      <c r="E370" s="299">
        <v>49.000238710220501</v>
      </c>
      <c r="F370" s="299">
        <v>-117.34234020350701</v>
      </c>
      <c r="G370" s="51" t="s">
        <v>2876</v>
      </c>
      <c r="H370" s="297"/>
      <c r="I370" s="297"/>
    </row>
    <row r="371" spans="1:9" ht="20" x14ac:dyDescent="0.2">
      <c r="A371" s="6"/>
      <c r="B371" s="151" t="s">
        <v>1731</v>
      </c>
      <c r="C371" s="51" t="s">
        <v>3208</v>
      </c>
      <c r="D371" s="51" t="s">
        <v>106</v>
      </c>
      <c r="E371" s="51"/>
      <c r="F371" s="51"/>
      <c r="G371" s="51" t="s">
        <v>2876</v>
      </c>
      <c r="H371" s="19"/>
      <c r="I371" s="19"/>
    </row>
    <row r="372" spans="1:9" ht="20" x14ac:dyDescent="0.2">
      <c r="A372" s="6"/>
      <c r="B372" s="151" t="s">
        <v>1732</v>
      </c>
      <c r="C372" s="51" t="s">
        <v>3701</v>
      </c>
      <c r="D372" s="51" t="s">
        <v>106</v>
      </c>
      <c r="E372" s="51"/>
      <c r="F372" s="51"/>
      <c r="G372" s="51" t="s">
        <v>2876</v>
      </c>
      <c r="H372" s="297"/>
      <c r="I372" s="297"/>
    </row>
    <row r="373" spans="1:9" ht="20" x14ac:dyDescent="0.2">
      <c r="A373" s="6"/>
      <c r="B373" s="151" t="s">
        <v>3735</v>
      </c>
      <c r="C373" s="51" t="s">
        <v>2283</v>
      </c>
      <c r="D373" s="51" t="s">
        <v>3740</v>
      </c>
      <c r="E373" s="299">
        <v>49.644751690016903</v>
      </c>
      <c r="F373" s="299">
        <v>-114.661874120859</v>
      </c>
      <c r="G373" s="51" t="s">
        <v>2876</v>
      </c>
      <c r="H373" s="19"/>
      <c r="I373" s="19"/>
    </row>
    <row r="374" spans="1:9" ht="20" x14ac:dyDescent="0.2">
      <c r="A374" s="6"/>
      <c r="B374" s="151" t="s">
        <v>3736</v>
      </c>
      <c r="C374" s="51" t="s">
        <v>2281</v>
      </c>
      <c r="D374" s="51" t="s">
        <v>3740</v>
      </c>
      <c r="E374" s="299">
        <v>49.645446551065199</v>
      </c>
      <c r="F374" s="299">
        <v>-114.661781416973</v>
      </c>
      <c r="G374" s="51" t="s">
        <v>2876</v>
      </c>
      <c r="H374" s="19"/>
      <c r="I374" s="19"/>
    </row>
    <row r="375" spans="1:9" ht="20" x14ac:dyDescent="0.2">
      <c r="A375" s="6"/>
      <c r="B375" s="151" t="s">
        <v>3737</v>
      </c>
      <c r="C375" s="51" t="s">
        <v>2857</v>
      </c>
      <c r="D375" s="51" t="s">
        <v>3740</v>
      </c>
      <c r="E375" s="299">
        <v>50.5867971867075</v>
      </c>
      <c r="F375" s="299">
        <v>-115.070472898492</v>
      </c>
      <c r="G375" s="51" t="s">
        <v>2876</v>
      </c>
      <c r="H375" s="297"/>
      <c r="I375" s="297"/>
    </row>
    <row r="376" spans="1:9" ht="20" x14ac:dyDescent="0.2">
      <c r="A376" s="6"/>
      <c r="B376" s="151" t="s">
        <v>3738</v>
      </c>
      <c r="C376" s="51" t="s">
        <v>2374</v>
      </c>
      <c r="D376" s="51" t="s">
        <v>3740</v>
      </c>
      <c r="E376" s="299">
        <v>58.544390642286999</v>
      </c>
      <c r="F376" s="299">
        <v>-120.00001388969299</v>
      </c>
      <c r="G376" s="51" t="s">
        <v>2876</v>
      </c>
      <c r="H376" s="19"/>
      <c r="I376" s="19"/>
    </row>
    <row r="377" spans="1:9" ht="20" x14ac:dyDescent="0.2">
      <c r="A377" s="6"/>
      <c r="B377" s="151" t="s">
        <v>1728</v>
      </c>
      <c r="C377" s="51" t="s">
        <v>3127</v>
      </c>
      <c r="D377" s="51" t="s">
        <v>106</v>
      </c>
      <c r="E377" s="299">
        <v>50.069090000000003</v>
      </c>
      <c r="F377" s="299">
        <v>-125.28187800000001</v>
      </c>
      <c r="G377" s="51" t="s">
        <v>2876</v>
      </c>
      <c r="H377" s="297"/>
      <c r="I377" s="297"/>
    </row>
    <row r="378" spans="1:9" ht="20" x14ac:dyDescent="0.2">
      <c r="A378" s="6"/>
      <c r="B378" s="151" t="s">
        <v>2401</v>
      </c>
      <c r="C378" s="51" t="s">
        <v>2051</v>
      </c>
      <c r="D378" s="51" t="s">
        <v>106</v>
      </c>
      <c r="E378" s="51"/>
      <c r="F378" s="51"/>
      <c r="G378" s="51" t="s">
        <v>2876</v>
      </c>
      <c r="H378" s="19"/>
      <c r="I378" s="19"/>
    </row>
    <row r="379" spans="1:9" ht="20" x14ac:dyDescent="0.2">
      <c r="A379" s="6"/>
      <c r="B379" s="151" t="s">
        <v>1733</v>
      </c>
      <c r="C379" s="51" t="s">
        <v>3455</v>
      </c>
      <c r="D379" s="51" t="s">
        <v>106</v>
      </c>
      <c r="E379" s="51"/>
      <c r="F379" s="51"/>
      <c r="G379" s="51" t="s">
        <v>2876</v>
      </c>
      <c r="H379" s="19"/>
      <c r="I379" s="19"/>
    </row>
    <row r="380" spans="1:9" ht="20" x14ac:dyDescent="0.2">
      <c r="A380" s="6"/>
      <c r="B380" s="151" t="s">
        <v>2600</v>
      </c>
      <c r="C380" s="51" t="s">
        <v>2259</v>
      </c>
      <c r="D380" s="51" t="s">
        <v>106</v>
      </c>
      <c r="E380" s="51"/>
      <c r="F380" s="51"/>
      <c r="G380" s="51" t="s">
        <v>2876</v>
      </c>
      <c r="H380" s="297"/>
      <c r="I380" s="297"/>
    </row>
    <row r="381" spans="1:9" ht="20" x14ac:dyDescent="0.2">
      <c r="A381" s="6"/>
      <c r="B381" s="151" t="s">
        <v>1739</v>
      </c>
      <c r="C381" s="51" t="s">
        <v>3458</v>
      </c>
      <c r="D381" s="51" t="s">
        <v>106</v>
      </c>
      <c r="E381" s="51"/>
      <c r="F381" s="51"/>
      <c r="G381" s="51" t="s">
        <v>2876</v>
      </c>
      <c r="H381" s="19"/>
      <c r="I381" s="19"/>
    </row>
    <row r="382" spans="1:9" ht="20" x14ac:dyDescent="0.2">
      <c r="A382" s="6"/>
      <c r="B382" s="151" t="s">
        <v>2515</v>
      </c>
      <c r="C382" s="51" t="s">
        <v>2174</v>
      </c>
      <c r="D382" s="51" t="s">
        <v>106</v>
      </c>
      <c r="E382" s="51"/>
      <c r="F382" s="51"/>
      <c r="G382" s="51" t="s">
        <v>2876</v>
      </c>
      <c r="H382" s="297"/>
      <c r="I382" s="297"/>
    </row>
    <row r="383" spans="1:9" ht="20" x14ac:dyDescent="0.2">
      <c r="A383" s="6"/>
      <c r="B383" s="151" t="s">
        <v>1736</v>
      </c>
      <c r="C383" s="51" t="s">
        <v>3130</v>
      </c>
      <c r="D383" s="51" t="s">
        <v>106</v>
      </c>
      <c r="E383" s="299">
        <v>50.828210400000003</v>
      </c>
      <c r="F383" s="299">
        <v>-123.05682</v>
      </c>
      <c r="G383" s="51" t="s">
        <v>2876</v>
      </c>
      <c r="H383" s="19"/>
      <c r="I383" s="19"/>
    </row>
    <row r="384" spans="1:9" ht="20" x14ac:dyDescent="0.2">
      <c r="A384" s="6"/>
      <c r="B384" s="151" t="s">
        <v>1740</v>
      </c>
      <c r="C384" s="51" t="s">
        <v>3201</v>
      </c>
      <c r="D384" s="51" t="s">
        <v>106</v>
      </c>
      <c r="E384" s="299">
        <v>50.383887399999999</v>
      </c>
      <c r="F384" s="299">
        <v>-127.450873</v>
      </c>
      <c r="G384" s="51" t="s">
        <v>2876</v>
      </c>
      <c r="H384" s="19"/>
      <c r="I384" s="19"/>
    </row>
    <row r="385" spans="1:9" ht="20" x14ac:dyDescent="0.2">
      <c r="A385" s="6"/>
      <c r="B385" s="151" t="s">
        <v>2309</v>
      </c>
      <c r="C385" s="51" t="s">
        <v>3129</v>
      </c>
      <c r="D385" s="51" t="s">
        <v>106</v>
      </c>
      <c r="E385" s="299">
        <v>50.604008200000003</v>
      </c>
      <c r="F385" s="299">
        <v>-124.02489129999999</v>
      </c>
      <c r="G385" s="51" t="s">
        <v>2876</v>
      </c>
      <c r="H385" s="19"/>
      <c r="I385" s="19"/>
    </row>
    <row r="386" spans="1:9" ht="20" x14ac:dyDescent="0.2">
      <c r="A386" s="6"/>
      <c r="B386" s="151" t="s">
        <v>1738</v>
      </c>
      <c r="C386" s="51" t="s">
        <v>3187</v>
      </c>
      <c r="D386" s="51" t="s">
        <v>106</v>
      </c>
      <c r="E386" s="299">
        <v>49.118385699999997</v>
      </c>
      <c r="F386" s="299">
        <v>-123.8964223</v>
      </c>
      <c r="G386" s="51" t="s">
        <v>2876</v>
      </c>
      <c r="H386" s="19"/>
      <c r="I386" s="19"/>
    </row>
    <row r="387" spans="1:9" ht="20" x14ac:dyDescent="0.2">
      <c r="A387" s="6"/>
      <c r="B387" s="230" t="s">
        <v>2649</v>
      </c>
      <c r="C387" s="51" t="s">
        <v>3713</v>
      </c>
      <c r="D387" s="51" t="s">
        <v>173</v>
      </c>
      <c r="E387" s="51"/>
      <c r="F387" s="51"/>
      <c r="G387" s="51" t="s">
        <v>2876</v>
      </c>
      <c r="H387" s="297"/>
      <c r="I387" s="297"/>
    </row>
    <row r="388" spans="1:9" ht="20" x14ac:dyDescent="0.2">
      <c r="A388" s="6"/>
      <c r="B388" s="151" t="s">
        <v>1734</v>
      </c>
      <c r="C388" s="51" t="s">
        <v>3128</v>
      </c>
      <c r="D388" s="51" t="s">
        <v>106</v>
      </c>
      <c r="E388" s="299">
        <v>50.043999999999997</v>
      </c>
      <c r="F388" s="299">
        <v>-125.3108929</v>
      </c>
      <c r="G388" s="51" t="s">
        <v>2876</v>
      </c>
      <c r="H388" s="19"/>
      <c r="I388" s="19"/>
    </row>
    <row r="389" spans="1:9" ht="20" x14ac:dyDescent="0.2">
      <c r="A389" s="6"/>
      <c r="B389" s="151" t="s">
        <v>1735</v>
      </c>
      <c r="C389" s="51" t="s">
        <v>3270</v>
      </c>
      <c r="D389" s="51" t="s">
        <v>106</v>
      </c>
      <c r="E389" s="51"/>
      <c r="F389" s="51"/>
      <c r="G389" s="51" t="s">
        <v>2876</v>
      </c>
      <c r="H389" s="19"/>
      <c r="I389" s="19"/>
    </row>
    <row r="390" spans="1:9" ht="20" x14ac:dyDescent="0.2">
      <c r="A390" s="6"/>
      <c r="B390" s="295" t="s">
        <v>2310</v>
      </c>
      <c r="C390" s="179" t="s">
        <v>3722</v>
      </c>
      <c r="D390" s="51" t="s">
        <v>106</v>
      </c>
      <c r="E390" s="299">
        <v>48.429655400000001</v>
      </c>
      <c r="F390" s="299">
        <v>-124.0522509</v>
      </c>
      <c r="G390" s="51" t="s">
        <v>2876</v>
      </c>
      <c r="H390" s="297"/>
      <c r="I390" s="297"/>
    </row>
    <row r="391" spans="1:9" ht="20" x14ac:dyDescent="0.2">
      <c r="A391" s="6"/>
      <c r="B391" s="151" t="s">
        <v>1737</v>
      </c>
      <c r="C391" s="51" t="s">
        <v>3271</v>
      </c>
      <c r="D391" s="51" t="s">
        <v>106</v>
      </c>
      <c r="E391" s="51"/>
      <c r="F391" s="51"/>
      <c r="G391" s="51" t="s">
        <v>2876</v>
      </c>
      <c r="H391" s="19"/>
      <c r="I391" s="19"/>
    </row>
    <row r="392" spans="1:9" ht="20" x14ac:dyDescent="0.2">
      <c r="A392" s="6"/>
      <c r="B392" s="230" t="s">
        <v>2672</v>
      </c>
      <c r="C392" s="51" t="s">
        <v>3272</v>
      </c>
      <c r="D392" s="51" t="s">
        <v>173</v>
      </c>
      <c r="E392" s="51"/>
      <c r="F392" s="51"/>
      <c r="G392" s="51" t="s">
        <v>2876</v>
      </c>
      <c r="H392" s="297"/>
      <c r="I392" s="297"/>
    </row>
    <row r="393" spans="1:9" ht="20" x14ac:dyDescent="0.2">
      <c r="A393" s="6"/>
      <c r="B393" s="151" t="s">
        <v>1741</v>
      </c>
      <c r="C393" s="51" t="s">
        <v>3520</v>
      </c>
      <c r="D393" s="51" t="s">
        <v>106</v>
      </c>
      <c r="E393" s="51"/>
      <c r="F393" s="51"/>
      <c r="G393" s="51" t="s">
        <v>2876</v>
      </c>
      <c r="H393" s="19"/>
      <c r="I393" s="19"/>
    </row>
    <row r="394" spans="1:9" ht="20" x14ac:dyDescent="0.2">
      <c r="A394" s="6"/>
      <c r="B394" s="151" t="s">
        <v>1757</v>
      </c>
      <c r="C394" s="51" t="s">
        <v>3284</v>
      </c>
      <c r="D394" s="51" t="s">
        <v>106</v>
      </c>
      <c r="E394" s="51"/>
      <c r="F394" s="51"/>
      <c r="G394" s="51" t="s">
        <v>2876</v>
      </c>
      <c r="H394" s="297"/>
      <c r="I394" s="297"/>
    </row>
    <row r="395" spans="1:9" ht="20" x14ac:dyDescent="0.2">
      <c r="A395" s="6"/>
      <c r="B395" s="230" t="s">
        <v>2732</v>
      </c>
      <c r="C395" s="51" t="s">
        <v>3396</v>
      </c>
      <c r="D395" s="51" t="s">
        <v>173</v>
      </c>
      <c r="E395" s="51"/>
      <c r="F395" s="51"/>
      <c r="G395" s="51" t="s">
        <v>2876</v>
      </c>
      <c r="H395" s="19"/>
      <c r="I395" s="19"/>
    </row>
    <row r="396" spans="1:9" ht="20" x14ac:dyDescent="0.2">
      <c r="A396" s="6"/>
      <c r="B396" s="151" t="s">
        <v>1756</v>
      </c>
      <c r="C396" s="51" t="s">
        <v>3283</v>
      </c>
      <c r="D396" s="51" t="s">
        <v>106</v>
      </c>
      <c r="E396" s="51"/>
      <c r="F396" s="51"/>
      <c r="G396" s="51" t="s">
        <v>2876</v>
      </c>
      <c r="H396" s="19"/>
      <c r="I396" s="19"/>
    </row>
    <row r="397" spans="1:9" ht="20" x14ac:dyDescent="0.2">
      <c r="A397" s="6"/>
      <c r="B397" s="151" t="s">
        <v>1753</v>
      </c>
      <c r="C397" s="51" t="s">
        <v>3282</v>
      </c>
      <c r="D397" s="51" t="s">
        <v>106</v>
      </c>
      <c r="E397" s="51"/>
      <c r="F397" s="51"/>
      <c r="G397" s="51" t="s">
        <v>2876</v>
      </c>
      <c r="H397" s="297"/>
      <c r="I397" s="297"/>
    </row>
    <row r="398" spans="1:9" ht="20" x14ac:dyDescent="0.2">
      <c r="A398" s="6"/>
      <c r="B398" s="151" t="s">
        <v>2348</v>
      </c>
      <c r="C398" s="51" t="s">
        <v>3134</v>
      </c>
      <c r="D398" s="51" t="s">
        <v>106</v>
      </c>
      <c r="E398" s="299">
        <v>53.563171400000002</v>
      </c>
      <c r="F398" s="299">
        <v>-127.94255579999999</v>
      </c>
      <c r="G398" s="51" t="s">
        <v>2876</v>
      </c>
      <c r="H398" s="19"/>
      <c r="I398" s="19"/>
    </row>
    <row r="399" spans="1:9" ht="20" x14ac:dyDescent="0.2">
      <c r="A399" s="6"/>
      <c r="B399" s="151" t="s">
        <v>1754</v>
      </c>
      <c r="C399" s="51" t="s">
        <v>3460</v>
      </c>
      <c r="D399" s="51" t="s">
        <v>106</v>
      </c>
      <c r="E399" s="51"/>
      <c r="F399" s="51"/>
      <c r="G399" s="51" t="s">
        <v>2876</v>
      </c>
      <c r="H399" s="19"/>
      <c r="I399" s="19"/>
    </row>
    <row r="400" spans="1:9" ht="20" x14ac:dyDescent="0.2">
      <c r="A400" s="6"/>
      <c r="B400" s="151" t="s">
        <v>1743</v>
      </c>
      <c r="C400" s="51" t="s">
        <v>3274</v>
      </c>
      <c r="D400" s="51" t="s">
        <v>106</v>
      </c>
      <c r="E400" s="51"/>
      <c r="F400" s="51"/>
      <c r="G400" s="51" t="s">
        <v>2876</v>
      </c>
      <c r="H400" s="19"/>
      <c r="I400" s="19"/>
    </row>
    <row r="401" spans="1:9" ht="20" x14ac:dyDescent="0.2">
      <c r="A401" s="6"/>
      <c r="B401" s="151" t="s">
        <v>1744</v>
      </c>
      <c r="C401" s="51" t="s">
        <v>3275</v>
      </c>
      <c r="D401" s="51" t="s">
        <v>106</v>
      </c>
      <c r="E401" s="51"/>
      <c r="F401" s="51"/>
      <c r="G401" s="51" t="s">
        <v>2876</v>
      </c>
      <c r="H401" s="19"/>
      <c r="I401" s="19"/>
    </row>
    <row r="402" spans="1:9" ht="20" x14ac:dyDescent="0.2">
      <c r="A402" s="6"/>
      <c r="B402" s="151" t="s">
        <v>1745</v>
      </c>
      <c r="C402" s="51" t="s">
        <v>3461</v>
      </c>
      <c r="D402" s="51" t="s">
        <v>106</v>
      </c>
      <c r="E402" s="51"/>
      <c r="F402" s="51"/>
      <c r="G402" s="51" t="s">
        <v>2876</v>
      </c>
      <c r="H402" s="19"/>
      <c r="I402" s="19"/>
    </row>
    <row r="403" spans="1:9" ht="20" x14ac:dyDescent="0.2">
      <c r="A403" s="6"/>
      <c r="B403" s="151" t="s">
        <v>2536</v>
      </c>
      <c r="C403" s="51" t="s">
        <v>2142</v>
      </c>
      <c r="D403" s="51" t="s">
        <v>106</v>
      </c>
      <c r="E403" s="51"/>
      <c r="F403" s="51"/>
      <c r="G403" s="51" t="s">
        <v>2876</v>
      </c>
      <c r="H403" s="19"/>
      <c r="I403" s="19"/>
    </row>
    <row r="404" spans="1:9" ht="20" x14ac:dyDescent="0.2">
      <c r="A404" s="6"/>
      <c r="B404" s="151" t="s">
        <v>1746</v>
      </c>
      <c r="C404" s="51" t="s">
        <v>3278</v>
      </c>
      <c r="D404" s="51" t="s">
        <v>106</v>
      </c>
      <c r="E404" s="51"/>
      <c r="F404" s="51"/>
      <c r="G404" s="51" t="s">
        <v>2876</v>
      </c>
      <c r="H404" s="19"/>
      <c r="I404" s="19"/>
    </row>
    <row r="405" spans="1:9" ht="20" x14ac:dyDescent="0.2">
      <c r="A405" s="6"/>
      <c r="B405" s="230" t="s">
        <v>2657</v>
      </c>
      <c r="C405" s="51" t="s">
        <v>3276</v>
      </c>
      <c r="D405" s="51" t="s">
        <v>173</v>
      </c>
      <c r="E405" s="51"/>
      <c r="F405" s="51"/>
      <c r="G405" s="51" t="s">
        <v>2876</v>
      </c>
      <c r="H405" s="19"/>
      <c r="I405" s="19"/>
    </row>
    <row r="406" spans="1:9" ht="20" x14ac:dyDescent="0.2">
      <c r="A406" s="6"/>
      <c r="B406" s="230" t="s">
        <v>2661</v>
      </c>
      <c r="C406" s="51" t="s">
        <v>3277</v>
      </c>
      <c r="D406" s="51" t="s">
        <v>173</v>
      </c>
      <c r="E406" s="51"/>
      <c r="F406" s="51"/>
      <c r="G406" s="51" t="s">
        <v>2876</v>
      </c>
      <c r="H406" s="19"/>
      <c r="I406" s="19"/>
    </row>
    <row r="407" spans="1:9" ht="20" x14ac:dyDescent="0.2">
      <c r="A407" s="6"/>
      <c r="B407" s="151" t="s">
        <v>1748</v>
      </c>
      <c r="C407" s="51" t="s">
        <v>3191</v>
      </c>
      <c r="D407" s="51" t="s">
        <v>106</v>
      </c>
      <c r="E407" s="299">
        <v>51.304671300000003</v>
      </c>
      <c r="F407" s="299">
        <v>-116.9760737</v>
      </c>
      <c r="G407" s="51" t="s">
        <v>2876</v>
      </c>
      <c r="H407" s="19"/>
      <c r="I407" s="19"/>
    </row>
    <row r="408" spans="1:9" ht="20" x14ac:dyDescent="0.2">
      <c r="A408" s="6"/>
      <c r="B408" s="151" t="s">
        <v>1749</v>
      </c>
      <c r="C408" s="51" t="s">
        <v>3279</v>
      </c>
      <c r="D408" s="51" t="s">
        <v>106</v>
      </c>
      <c r="E408" s="51"/>
      <c r="F408" s="51"/>
      <c r="G408" s="51" t="s">
        <v>2876</v>
      </c>
      <c r="H408" s="19"/>
      <c r="I408" s="19"/>
    </row>
    <row r="409" spans="1:9" ht="20" x14ac:dyDescent="0.2">
      <c r="A409" s="6"/>
      <c r="B409" s="151" t="s">
        <v>1750</v>
      </c>
      <c r="C409" s="51" t="s">
        <v>3280</v>
      </c>
      <c r="D409" s="51" t="s">
        <v>106</v>
      </c>
      <c r="E409" s="51"/>
      <c r="F409" s="51"/>
      <c r="G409" s="51" t="s">
        <v>2876</v>
      </c>
      <c r="H409" s="19"/>
      <c r="I409" s="19"/>
    </row>
    <row r="410" spans="1:9" ht="20" x14ac:dyDescent="0.2">
      <c r="A410" s="6"/>
      <c r="B410" s="151" t="s">
        <v>326</v>
      </c>
      <c r="C410" s="51" t="s">
        <v>3273</v>
      </c>
      <c r="D410" s="51" t="s">
        <v>106</v>
      </c>
      <c r="E410" s="51"/>
      <c r="F410" s="51"/>
      <c r="G410" s="51" t="s">
        <v>2876</v>
      </c>
      <c r="H410" s="19"/>
      <c r="I410" s="19"/>
    </row>
    <row r="411" spans="1:9" ht="20" x14ac:dyDescent="0.2">
      <c r="A411" s="6"/>
      <c r="B411" s="151" t="s">
        <v>244</v>
      </c>
      <c r="C411" s="51" t="s">
        <v>3281</v>
      </c>
      <c r="D411" s="51" t="s">
        <v>106</v>
      </c>
      <c r="E411" s="51"/>
      <c r="F411" s="51"/>
      <c r="G411" s="51" t="s">
        <v>2876</v>
      </c>
      <c r="H411" s="19"/>
      <c r="I411" s="19"/>
    </row>
    <row r="412" spans="1:9" ht="20" x14ac:dyDescent="0.2">
      <c r="A412" s="6"/>
      <c r="B412" s="151" t="s">
        <v>2312</v>
      </c>
      <c r="C412" s="51" t="s">
        <v>3133</v>
      </c>
      <c r="D412" s="51" t="s">
        <v>106</v>
      </c>
      <c r="E412" s="299">
        <v>50.519857100000003</v>
      </c>
      <c r="F412" s="299">
        <v>-126.87551089999999</v>
      </c>
      <c r="G412" s="51" t="s">
        <v>2876</v>
      </c>
      <c r="H412" s="19"/>
      <c r="I412" s="19"/>
    </row>
    <row r="413" spans="1:9" ht="20" x14ac:dyDescent="0.2">
      <c r="A413" s="6"/>
      <c r="B413" s="151" t="s">
        <v>3572</v>
      </c>
      <c r="C413" s="51" t="s">
        <v>3573</v>
      </c>
      <c r="D413" s="51" t="s">
        <v>106</v>
      </c>
      <c r="E413" s="51"/>
      <c r="F413" s="51"/>
      <c r="G413" s="51" t="s">
        <v>2876</v>
      </c>
      <c r="H413" s="19"/>
      <c r="I413" s="19"/>
    </row>
    <row r="414" spans="1:9" ht="20" x14ac:dyDescent="0.2">
      <c r="A414" s="6"/>
      <c r="B414" s="151" t="s">
        <v>1755</v>
      </c>
      <c r="C414" s="51" t="s">
        <v>3466</v>
      </c>
      <c r="D414" s="51" t="s">
        <v>106</v>
      </c>
      <c r="E414" s="51"/>
      <c r="F414" s="51"/>
      <c r="G414" s="51" t="s">
        <v>2876</v>
      </c>
      <c r="H414" s="19"/>
      <c r="I414" s="19"/>
    </row>
    <row r="415" spans="1:9" ht="20" x14ac:dyDescent="0.2">
      <c r="A415" s="6"/>
      <c r="B415" s="151" t="s">
        <v>2387</v>
      </c>
      <c r="C415" s="51" t="s">
        <v>2036</v>
      </c>
      <c r="D415" s="51" t="s">
        <v>106</v>
      </c>
      <c r="E415" s="51"/>
      <c r="F415" s="51"/>
      <c r="G415" s="51" t="s">
        <v>2876</v>
      </c>
      <c r="H415" s="19"/>
      <c r="I415" s="19"/>
    </row>
    <row r="416" spans="1:9" ht="20" x14ac:dyDescent="0.2">
      <c r="A416" s="6"/>
      <c r="B416" s="150" t="s">
        <v>1742</v>
      </c>
      <c r="C416" s="51" t="s">
        <v>3132</v>
      </c>
      <c r="D416" s="51" t="s">
        <v>173</v>
      </c>
      <c r="E416" s="299">
        <v>49.453257899999997</v>
      </c>
      <c r="F416" s="299">
        <v>-117.51789650000001</v>
      </c>
      <c r="G416" s="51" t="s">
        <v>2876</v>
      </c>
      <c r="H416" s="19"/>
      <c r="I416" s="19"/>
    </row>
    <row r="417" spans="1:9" ht="20" x14ac:dyDescent="0.2">
      <c r="A417" s="6"/>
      <c r="B417" s="230" t="s">
        <v>2751</v>
      </c>
      <c r="C417" s="51" t="s">
        <v>3106</v>
      </c>
      <c r="D417" s="51" t="s">
        <v>173</v>
      </c>
      <c r="E417" s="299">
        <v>49.336055899999998</v>
      </c>
      <c r="F417" s="299">
        <v>-117.7275496</v>
      </c>
      <c r="G417" s="51" t="s">
        <v>2876</v>
      </c>
      <c r="H417" s="297"/>
      <c r="I417" s="297"/>
    </row>
    <row r="418" spans="1:9" ht="20" x14ac:dyDescent="0.2">
      <c r="A418" s="6"/>
      <c r="B418" s="151" t="s">
        <v>2337</v>
      </c>
      <c r="C418" s="51" t="s">
        <v>3653</v>
      </c>
      <c r="D418" s="51" t="s">
        <v>106</v>
      </c>
      <c r="E418" s="299">
        <v>49.201349999999998</v>
      </c>
      <c r="F418" s="299">
        <v>-122.93658000000001</v>
      </c>
      <c r="G418" s="51" t="s">
        <v>2876</v>
      </c>
      <c r="H418" s="19"/>
      <c r="I418" s="19"/>
    </row>
    <row r="419" spans="1:9" ht="20" x14ac:dyDescent="0.2">
      <c r="A419" s="6"/>
      <c r="B419" s="151" t="s">
        <v>2520</v>
      </c>
      <c r="C419" s="51" t="s">
        <v>2179</v>
      </c>
      <c r="D419" s="51" t="s">
        <v>106</v>
      </c>
      <c r="E419" s="51"/>
      <c r="F419" s="51"/>
      <c r="G419" s="51" t="s">
        <v>2876</v>
      </c>
      <c r="H419" s="297"/>
      <c r="I419" s="297"/>
    </row>
    <row r="420" spans="1:9" ht="20" x14ac:dyDescent="0.2">
      <c r="A420" s="6"/>
      <c r="B420" s="151" t="s">
        <v>2313</v>
      </c>
      <c r="C420" s="51" t="s">
        <v>3589</v>
      </c>
      <c r="D420" s="51" t="s">
        <v>106</v>
      </c>
      <c r="E420" s="51"/>
      <c r="F420" s="51"/>
      <c r="G420" s="51" t="s">
        <v>2876</v>
      </c>
      <c r="H420" s="19"/>
      <c r="I420" s="19"/>
    </row>
    <row r="421" spans="1:9" ht="20" x14ac:dyDescent="0.2">
      <c r="A421" s="6"/>
      <c r="B421" s="151" t="s">
        <v>1747</v>
      </c>
      <c r="C421" s="51" t="s">
        <v>3462</v>
      </c>
      <c r="D421" s="51" t="s">
        <v>106</v>
      </c>
      <c r="E421" s="51"/>
      <c r="F421" s="51"/>
      <c r="G421" s="51" t="s">
        <v>2876</v>
      </c>
      <c r="H421" s="297"/>
      <c r="I421" s="297"/>
    </row>
    <row r="422" spans="1:9" ht="20" x14ac:dyDescent="0.2">
      <c r="A422" s="6"/>
      <c r="B422" s="151" t="s">
        <v>2476</v>
      </c>
      <c r="C422" s="51" t="s">
        <v>2131</v>
      </c>
      <c r="D422" s="51" t="s">
        <v>106</v>
      </c>
      <c r="E422" s="51"/>
      <c r="F422" s="51"/>
      <c r="G422" s="51" t="s">
        <v>2876</v>
      </c>
      <c r="H422" s="19"/>
      <c r="I422" s="19"/>
    </row>
    <row r="423" spans="1:9" ht="20" x14ac:dyDescent="0.2">
      <c r="A423" s="6"/>
      <c r="B423" s="151" t="s">
        <v>2311</v>
      </c>
      <c r="C423" s="51" t="s">
        <v>3131</v>
      </c>
      <c r="D423" s="51" t="s">
        <v>106</v>
      </c>
      <c r="E423" s="299">
        <v>50.105063399999999</v>
      </c>
      <c r="F423" s="299">
        <v>-121.5671347</v>
      </c>
      <c r="G423" s="51" t="s">
        <v>2876</v>
      </c>
      <c r="H423" s="19"/>
      <c r="I423" s="19"/>
    </row>
    <row r="424" spans="1:9" ht="20" x14ac:dyDescent="0.2">
      <c r="A424" s="6"/>
      <c r="B424" s="151" t="s">
        <v>1762</v>
      </c>
      <c r="C424" s="51" t="s">
        <v>3139</v>
      </c>
      <c r="D424" s="51" t="s">
        <v>106</v>
      </c>
      <c r="E424" s="299">
        <v>50.0173147</v>
      </c>
      <c r="F424" s="299">
        <v>-125.39301690000001</v>
      </c>
      <c r="G424" s="51" t="s">
        <v>2876</v>
      </c>
      <c r="H424" s="19"/>
      <c r="I424" s="19"/>
    </row>
    <row r="425" spans="1:9" ht="20" x14ac:dyDescent="0.2">
      <c r="A425" s="6"/>
      <c r="B425" s="151" t="s">
        <v>1763</v>
      </c>
      <c r="C425" s="51" t="s">
        <v>3469</v>
      </c>
      <c r="D425" s="51" t="s">
        <v>106</v>
      </c>
      <c r="E425" s="51"/>
      <c r="F425" s="51"/>
      <c r="G425" s="51" t="s">
        <v>2876</v>
      </c>
      <c r="H425" s="19"/>
      <c r="I425" s="19"/>
    </row>
    <row r="426" spans="1:9" ht="20" x14ac:dyDescent="0.2">
      <c r="A426" s="6"/>
      <c r="B426" s="151" t="s">
        <v>2408</v>
      </c>
      <c r="C426" s="51" t="s">
        <v>2059</v>
      </c>
      <c r="D426" s="51" t="s">
        <v>106</v>
      </c>
      <c r="E426" s="51"/>
      <c r="F426" s="51"/>
      <c r="G426" s="51" t="s">
        <v>2876</v>
      </c>
      <c r="H426" s="19"/>
      <c r="I426" s="19"/>
    </row>
    <row r="427" spans="1:9" ht="20" x14ac:dyDescent="0.2">
      <c r="A427" s="6"/>
      <c r="B427" s="151" t="s">
        <v>1764</v>
      </c>
      <c r="C427" s="51" t="s">
        <v>3654</v>
      </c>
      <c r="D427" s="51" t="s">
        <v>106</v>
      </c>
      <c r="E427" s="51"/>
      <c r="F427" s="51"/>
      <c r="G427" s="51" t="s">
        <v>2876</v>
      </c>
      <c r="H427" s="19"/>
      <c r="I427" s="19"/>
    </row>
    <row r="428" spans="1:9" ht="20" x14ac:dyDescent="0.2">
      <c r="A428" s="6"/>
      <c r="B428" s="151" t="s">
        <v>1765</v>
      </c>
      <c r="C428" s="51" t="s">
        <v>3655</v>
      </c>
      <c r="D428" s="51" t="s">
        <v>106</v>
      </c>
      <c r="E428" s="51"/>
      <c r="F428" s="51"/>
      <c r="G428" s="51" t="s">
        <v>2876</v>
      </c>
      <c r="H428" s="19"/>
      <c r="I428" s="19"/>
    </row>
    <row r="429" spans="1:9" ht="20" x14ac:dyDescent="0.2">
      <c r="A429" s="6"/>
      <c r="B429" s="151" t="s">
        <v>2420</v>
      </c>
      <c r="C429" s="51" t="s">
        <v>2072</v>
      </c>
      <c r="D429" s="51" t="s">
        <v>106</v>
      </c>
      <c r="E429" s="51"/>
      <c r="F429" s="51"/>
      <c r="G429" s="51" t="s">
        <v>2876</v>
      </c>
      <c r="H429" s="19"/>
      <c r="I429" s="19"/>
    </row>
    <row r="430" spans="1:9" ht="20" x14ac:dyDescent="0.2">
      <c r="A430" s="6"/>
      <c r="B430" s="151" t="s">
        <v>1758</v>
      </c>
      <c r="C430" s="51" t="s">
        <v>3728</v>
      </c>
      <c r="D430" s="51" t="s">
        <v>106</v>
      </c>
      <c r="E430" s="299">
        <v>50.839720399999997</v>
      </c>
      <c r="F430" s="299">
        <v>-122.85588989999999</v>
      </c>
      <c r="G430" s="51" t="s">
        <v>2876</v>
      </c>
      <c r="H430" s="19"/>
      <c r="I430" s="19"/>
    </row>
    <row r="431" spans="1:9" ht="20" x14ac:dyDescent="0.2">
      <c r="A431" s="6"/>
      <c r="B431" s="151" t="s">
        <v>2931</v>
      </c>
      <c r="C431" s="51" t="s">
        <v>3617</v>
      </c>
      <c r="D431" s="51" t="s">
        <v>106</v>
      </c>
      <c r="E431" s="51"/>
      <c r="F431" s="51"/>
      <c r="G431" s="51" t="s">
        <v>2876</v>
      </c>
      <c r="H431" s="19"/>
      <c r="I431" s="19"/>
    </row>
    <row r="432" spans="1:9" ht="20" x14ac:dyDescent="0.2">
      <c r="A432" s="6"/>
      <c r="B432" s="151" t="s">
        <v>2929</v>
      </c>
      <c r="C432" s="51" t="s">
        <v>3723</v>
      </c>
      <c r="D432" s="51" t="s">
        <v>106</v>
      </c>
      <c r="E432" s="299">
        <v>49.370559800000002</v>
      </c>
      <c r="F432" s="299">
        <v>-122.87359189999999</v>
      </c>
      <c r="G432" s="51" t="s">
        <v>2876</v>
      </c>
      <c r="H432" s="19"/>
      <c r="I432" s="19"/>
    </row>
    <row r="433" spans="1:9" ht="20" x14ac:dyDescent="0.2">
      <c r="A433" s="6"/>
      <c r="B433" s="151" t="s">
        <v>1957</v>
      </c>
      <c r="C433" s="51" t="s">
        <v>3508</v>
      </c>
      <c r="D433" s="51" t="s">
        <v>106</v>
      </c>
      <c r="E433" s="51"/>
      <c r="F433" s="51"/>
      <c r="G433" s="51" t="s">
        <v>2876</v>
      </c>
      <c r="H433" s="19"/>
      <c r="I433" s="19"/>
    </row>
    <row r="434" spans="1:9" ht="20" x14ac:dyDescent="0.2">
      <c r="A434" s="6"/>
      <c r="B434" s="151" t="s">
        <v>1968</v>
      </c>
      <c r="C434" s="51" t="s">
        <v>3590</v>
      </c>
      <c r="D434" s="51" t="s">
        <v>106</v>
      </c>
      <c r="E434" s="299">
        <v>49.568962300000003</v>
      </c>
      <c r="F434" s="299">
        <v>-122.3445983</v>
      </c>
      <c r="G434" s="51" t="s">
        <v>2876</v>
      </c>
      <c r="H434" s="19"/>
      <c r="I434" s="19"/>
    </row>
    <row r="435" spans="1:9" ht="20" x14ac:dyDescent="0.2">
      <c r="A435" s="6"/>
      <c r="B435" s="151" t="s">
        <v>1770</v>
      </c>
      <c r="C435" s="51" t="s">
        <v>3656</v>
      </c>
      <c r="D435" s="51" t="s">
        <v>106</v>
      </c>
      <c r="E435" s="51"/>
      <c r="F435" s="51"/>
      <c r="G435" s="51" t="s">
        <v>2876</v>
      </c>
      <c r="H435" s="19"/>
      <c r="I435" s="19"/>
    </row>
    <row r="436" spans="1:9" ht="20" x14ac:dyDescent="0.2">
      <c r="A436" s="6"/>
      <c r="B436" s="151" t="s">
        <v>1771</v>
      </c>
      <c r="C436" s="51" t="s">
        <v>3474</v>
      </c>
      <c r="D436" s="51" t="s">
        <v>106</v>
      </c>
      <c r="E436" s="51"/>
      <c r="F436" s="51"/>
      <c r="G436" s="51" t="s">
        <v>2876</v>
      </c>
      <c r="H436" s="19"/>
      <c r="I436" s="19"/>
    </row>
    <row r="437" spans="1:9" ht="20" x14ac:dyDescent="0.2">
      <c r="A437" s="6"/>
      <c r="B437" s="184" t="s">
        <v>2407</v>
      </c>
      <c r="C437" s="51" t="s">
        <v>2055</v>
      </c>
      <c r="D437" s="51" t="s">
        <v>106</v>
      </c>
      <c r="E437" s="51"/>
      <c r="F437" s="51"/>
      <c r="G437" s="51" t="s">
        <v>2876</v>
      </c>
      <c r="H437" s="19"/>
      <c r="I437" s="19"/>
    </row>
    <row r="438" spans="1:9" ht="20" x14ac:dyDescent="0.2">
      <c r="A438" s="6"/>
      <c r="B438" s="151" t="s">
        <v>1767</v>
      </c>
      <c r="C438" s="51" t="s">
        <v>3657</v>
      </c>
      <c r="D438" s="51" t="s">
        <v>106</v>
      </c>
      <c r="E438" s="51"/>
      <c r="F438" s="51"/>
      <c r="G438" s="51" t="s">
        <v>2876</v>
      </c>
      <c r="H438" s="19"/>
      <c r="I438" s="19"/>
    </row>
    <row r="439" spans="1:9" ht="20" x14ac:dyDescent="0.2">
      <c r="A439" s="6"/>
      <c r="B439" s="151" t="s">
        <v>1760</v>
      </c>
      <c r="C439" s="51" t="s">
        <v>3658</v>
      </c>
      <c r="D439" s="51" t="s">
        <v>106</v>
      </c>
      <c r="E439" s="51"/>
      <c r="F439" s="51"/>
      <c r="G439" s="51" t="s">
        <v>2876</v>
      </c>
      <c r="H439" s="19"/>
      <c r="I439" s="19"/>
    </row>
    <row r="440" spans="1:9" ht="20" x14ac:dyDescent="0.2">
      <c r="A440" s="6"/>
      <c r="B440" s="151" t="s">
        <v>2443</v>
      </c>
      <c r="C440" s="51" t="s">
        <v>2098</v>
      </c>
      <c r="D440" s="51" t="s">
        <v>106</v>
      </c>
      <c r="E440" s="51"/>
      <c r="F440" s="51"/>
      <c r="G440" s="51" t="s">
        <v>2876</v>
      </c>
      <c r="H440" s="19"/>
      <c r="I440" s="19"/>
    </row>
    <row r="441" spans="1:9" ht="20" x14ac:dyDescent="0.2">
      <c r="A441" s="6"/>
      <c r="B441" s="151" t="s">
        <v>215</v>
      </c>
      <c r="C441" s="51" t="s">
        <v>3468</v>
      </c>
      <c r="D441" s="51" t="s">
        <v>106</v>
      </c>
      <c r="E441" s="51"/>
      <c r="F441" s="51"/>
      <c r="G441" s="51" t="s">
        <v>2876</v>
      </c>
      <c r="H441" s="19"/>
      <c r="I441" s="19"/>
    </row>
    <row r="442" spans="1:9" ht="20" x14ac:dyDescent="0.2">
      <c r="A442" s="6"/>
      <c r="B442" s="151" t="s">
        <v>2527</v>
      </c>
      <c r="C442" s="51" t="s">
        <v>2185</v>
      </c>
      <c r="D442" s="51" t="s">
        <v>106</v>
      </c>
      <c r="E442" s="51"/>
      <c r="F442" s="51"/>
      <c r="G442" s="51" t="s">
        <v>2876</v>
      </c>
      <c r="H442" s="297"/>
      <c r="I442" s="297"/>
    </row>
    <row r="443" spans="1:9" ht="20" x14ac:dyDescent="0.2">
      <c r="A443" s="6"/>
      <c r="B443" s="151" t="s">
        <v>1759</v>
      </c>
      <c r="C443" s="51" t="s">
        <v>3394</v>
      </c>
      <c r="D443" s="51" t="s">
        <v>106</v>
      </c>
      <c r="E443" s="51"/>
      <c r="F443" s="51"/>
      <c r="G443" s="51" t="s">
        <v>2876</v>
      </c>
      <c r="H443" s="19"/>
      <c r="I443" s="19"/>
    </row>
    <row r="444" spans="1:9" ht="20" x14ac:dyDescent="0.2">
      <c r="A444" s="6"/>
      <c r="B444" s="151" t="s">
        <v>1768</v>
      </c>
      <c r="C444" s="51" t="s">
        <v>3285</v>
      </c>
      <c r="D444" s="51" t="s">
        <v>106</v>
      </c>
      <c r="E444" s="51"/>
      <c r="F444" s="51"/>
      <c r="G444" s="51" t="s">
        <v>2876</v>
      </c>
      <c r="H444" s="19"/>
      <c r="I444" s="19"/>
    </row>
    <row r="445" spans="1:9" ht="20" x14ac:dyDescent="0.2">
      <c r="A445" s="6"/>
      <c r="B445" s="151" t="s">
        <v>2363</v>
      </c>
      <c r="C445" s="51" t="s">
        <v>3140</v>
      </c>
      <c r="D445" s="51" t="s">
        <v>106</v>
      </c>
      <c r="E445" s="299">
        <v>56.062313699999997</v>
      </c>
      <c r="F445" s="299">
        <v>-130.01849490000001</v>
      </c>
      <c r="G445" s="51" t="s">
        <v>2876</v>
      </c>
      <c r="H445" s="19"/>
      <c r="I445" s="19"/>
    </row>
    <row r="446" spans="1:9" ht="20" x14ac:dyDescent="0.2">
      <c r="A446" s="6"/>
      <c r="B446" s="151" t="s">
        <v>2287</v>
      </c>
      <c r="C446" s="51" t="s">
        <v>3659</v>
      </c>
      <c r="D446" s="51" t="s">
        <v>106</v>
      </c>
      <c r="E446" s="51"/>
      <c r="F446" s="51"/>
      <c r="G446" s="51" t="s">
        <v>2876</v>
      </c>
      <c r="H446" s="19"/>
      <c r="I446" s="19"/>
    </row>
    <row r="447" spans="1:9" ht="20" x14ac:dyDescent="0.2">
      <c r="A447" s="6"/>
      <c r="B447" s="151" t="s">
        <v>1766</v>
      </c>
      <c r="C447" s="51" t="s">
        <v>3660</v>
      </c>
      <c r="D447" s="51" t="s">
        <v>106</v>
      </c>
      <c r="E447" s="51"/>
      <c r="F447" s="51"/>
      <c r="G447" s="51" t="s">
        <v>2876</v>
      </c>
      <c r="H447" s="19"/>
      <c r="I447" s="19"/>
    </row>
    <row r="448" spans="1:9" ht="20" x14ac:dyDescent="0.2">
      <c r="A448" s="6"/>
      <c r="B448" s="151" t="s">
        <v>1769</v>
      </c>
      <c r="C448" s="51" t="s">
        <v>3473</v>
      </c>
      <c r="D448" s="51" t="s">
        <v>106</v>
      </c>
      <c r="E448" s="51"/>
      <c r="F448" s="51"/>
      <c r="G448" s="51" t="s">
        <v>2876</v>
      </c>
      <c r="H448" s="19"/>
      <c r="I448" s="19"/>
    </row>
    <row r="449" spans="1:9" ht="20" x14ac:dyDescent="0.2">
      <c r="A449" s="6"/>
      <c r="B449" s="151" t="s">
        <v>2504</v>
      </c>
      <c r="C449" s="51" t="s">
        <v>2164</v>
      </c>
      <c r="D449" s="51" t="s">
        <v>106</v>
      </c>
      <c r="E449" s="51"/>
      <c r="F449" s="51"/>
      <c r="G449" s="51" t="s">
        <v>2876</v>
      </c>
      <c r="H449" s="19"/>
      <c r="I449" s="19"/>
    </row>
    <row r="450" spans="1:9" ht="20" x14ac:dyDescent="0.2">
      <c r="A450" s="6"/>
      <c r="B450" s="151" t="s">
        <v>2292</v>
      </c>
      <c r="C450" s="51" t="s">
        <v>3093</v>
      </c>
      <c r="D450" s="51" t="s">
        <v>106</v>
      </c>
      <c r="E450" s="299">
        <v>49.748007999999999</v>
      </c>
      <c r="F450" s="299">
        <v>-123.5159238</v>
      </c>
      <c r="G450" s="51" t="s">
        <v>2876</v>
      </c>
      <c r="H450" s="19"/>
      <c r="I450" s="19"/>
    </row>
    <row r="451" spans="1:9" ht="20" x14ac:dyDescent="0.2">
      <c r="A451" s="6"/>
      <c r="B451" s="230" t="s">
        <v>2735</v>
      </c>
      <c r="C451" s="51" t="s">
        <v>3137</v>
      </c>
      <c r="D451" s="51" t="s">
        <v>173</v>
      </c>
      <c r="E451" s="299">
        <v>49.461708899999998</v>
      </c>
      <c r="F451" s="299">
        <v>-117.5004247</v>
      </c>
      <c r="G451" s="51" t="s">
        <v>2876</v>
      </c>
      <c r="H451" s="19"/>
      <c r="I451" s="19"/>
    </row>
    <row r="452" spans="1:9" ht="20" x14ac:dyDescent="0.2">
      <c r="A452" s="6"/>
      <c r="B452" s="151" t="s">
        <v>3699</v>
      </c>
      <c r="C452" s="51" t="s">
        <v>3138</v>
      </c>
      <c r="D452" s="51" t="s">
        <v>106</v>
      </c>
      <c r="E452" s="299">
        <v>49.817606400000003</v>
      </c>
      <c r="F452" s="299">
        <v>-123.3973405</v>
      </c>
      <c r="G452" s="51" t="s">
        <v>2876</v>
      </c>
      <c r="H452" s="297"/>
      <c r="I452" s="297"/>
    </row>
    <row r="453" spans="1:9" ht="20" x14ac:dyDescent="0.2">
      <c r="A453" s="6"/>
      <c r="B453" s="151" t="s">
        <v>1772</v>
      </c>
      <c r="C453" s="51" t="s">
        <v>3661</v>
      </c>
      <c r="D453" s="51" t="s">
        <v>106</v>
      </c>
      <c r="E453" s="51"/>
      <c r="F453" s="51"/>
      <c r="G453" s="51" t="s">
        <v>2876</v>
      </c>
      <c r="H453" s="19"/>
      <c r="I453" s="19"/>
    </row>
    <row r="454" spans="1:9" ht="20" x14ac:dyDescent="0.2">
      <c r="A454" s="6"/>
      <c r="B454" s="151" t="s">
        <v>2416</v>
      </c>
      <c r="C454" s="51" t="s">
        <v>2067</v>
      </c>
      <c r="D454" s="51" t="s">
        <v>106</v>
      </c>
      <c r="E454" s="51"/>
      <c r="F454" s="51"/>
      <c r="G454" s="51" t="s">
        <v>2876</v>
      </c>
      <c r="H454" s="297"/>
      <c r="I454" s="297"/>
    </row>
    <row r="455" spans="1:9" ht="20" x14ac:dyDescent="0.2">
      <c r="A455" s="6"/>
      <c r="B455" s="151" t="s">
        <v>1773</v>
      </c>
      <c r="C455" s="51" t="s">
        <v>3286</v>
      </c>
      <c r="D455" s="51" t="s">
        <v>106</v>
      </c>
      <c r="E455" s="51"/>
      <c r="F455" s="51"/>
      <c r="G455" s="51" t="s">
        <v>2876</v>
      </c>
      <c r="H455" s="19"/>
      <c r="I455" s="19"/>
    </row>
    <row r="456" spans="1:9" ht="20" x14ac:dyDescent="0.2">
      <c r="A456" s="6"/>
      <c r="B456" s="151" t="s">
        <v>1776</v>
      </c>
      <c r="C456" s="51" t="s">
        <v>3287</v>
      </c>
      <c r="D456" s="51" t="s">
        <v>106</v>
      </c>
      <c r="E456" s="51"/>
      <c r="F456" s="51"/>
      <c r="G456" s="51" t="s">
        <v>2876</v>
      </c>
      <c r="H456" s="19"/>
      <c r="I456" s="19"/>
    </row>
    <row r="457" spans="1:9" ht="20" x14ac:dyDescent="0.2">
      <c r="A457" s="6"/>
      <c r="B457" s="151" t="s">
        <v>1795</v>
      </c>
      <c r="C457" s="51" t="s">
        <v>3199</v>
      </c>
      <c r="D457" s="51" t="s">
        <v>106</v>
      </c>
      <c r="E457" s="299">
        <v>49.829455000000003</v>
      </c>
      <c r="F457" s="299">
        <v>-123.664242</v>
      </c>
      <c r="G457" s="51" t="s">
        <v>2876</v>
      </c>
      <c r="H457" s="19"/>
      <c r="I457" s="19"/>
    </row>
    <row r="458" spans="1:9" ht="20" x14ac:dyDescent="0.2">
      <c r="A458" s="6"/>
      <c r="B458" s="151" t="s">
        <v>1775</v>
      </c>
      <c r="C458" s="51" t="s">
        <v>3142</v>
      </c>
      <c r="D458" s="51" t="s">
        <v>106</v>
      </c>
      <c r="E458" s="299">
        <v>49.721443299999997</v>
      </c>
      <c r="F458" s="299">
        <v>-123.0918942</v>
      </c>
      <c r="G458" s="51" t="s">
        <v>2876</v>
      </c>
      <c r="H458" s="297"/>
      <c r="I458" s="297"/>
    </row>
    <row r="459" spans="1:9" ht="20" x14ac:dyDescent="0.2">
      <c r="A459" s="6"/>
      <c r="B459" s="151" t="s">
        <v>2521</v>
      </c>
      <c r="C459" s="51" t="s">
        <v>2180</v>
      </c>
      <c r="D459" s="51" t="s">
        <v>106</v>
      </c>
      <c r="E459" s="51"/>
      <c r="F459" s="51"/>
      <c r="G459" s="51" t="s">
        <v>2876</v>
      </c>
      <c r="H459" s="19"/>
      <c r="I459" s="19"/>
    </row>
    <row r="460" spans="1:9" ht="20" x14ac:dyDescent="0.2">
      <c r="A460" s="6"/>
      <c r="B460" s="151" t="s">
        <v>1793</v>
      </c>
      <c r="C460" s="51" t="s">
        <v>3481</v>
      </c>
      <c r="D460" s="51" t="s">
        <v>106</v>
      </c>
      <c r="E460" s="51"/>
      <c r="F460" s="51"/>
      <c r="G460" s="51" t="s">
        <v>2876</v>
      </c>
      <c r="H460" s="19"/>
      <c r="I460" s="19"/>
    </row>
    <row r="461" spans="1:9" ht="20" x14ac:dyDescent="0.2">
      <c r="A461" s="6"/>
      <c r="B461" s="151" t="s">
        <v>2481</v>
      </c>
      <c r="C461" s="51" t="s">
        <v>2137</v>
      </c>
      <c r="D461" s="51" t="s">
        <v>106</v>
      </c>
      <c r="E461" s="51"/>
      <c r="F461" s="51"/>
      <c r="G461" s="51" t="s">
        <v>2876</v>
      </c>
      <c r="H461" s="297"/>
      <c r="I461" s="297"/>
    </row>
    <row r="462" spans="1:9" ht="20" x14ac:dyDescent="0.2">
      <c r="A462" s="6"/>
      <c r="B462" s="151" t="s">
        <v>1794</v>
      </c>
      <c r="C462" s="51" t="s">
        <v>3662</v>
      </c>
      <c r="D462" s="51" t="s">
        <v>106</v>
      </c>
      <c r="E462" s="51"/>
      <c r="F462" s="51"/>
      <c r="G462" s="51" t="s">
        <v>2876</v>
      </c>
      <c r="H462" s="19"/>
      <c r="I462" s="19"/>
    </row>
    <row r="463" spans="1:9" ht="20" x14ac:dyDescent="0.2">
      <c r="A463" s="6"/>
      <c r="B463" s="151" t="s">
        <v>2410</v>
      </c>
      <c r="C463" s="51" t="s">
        <v>2061</v>
      </c>
      <c r="D463" s="51" t="s">
        <v>106</v>
      </c>
      <c r="E463" s="51"/>
      <c r="F463" s="51"/>
      <c r="G463" s="51" t="s">
        <v>2876</v>
      </c>
      <c r="H463" s="19"/>
      <c r="I463" s="19"/>
    </row>
    <row r="464" spans="1:9" ht="20" x14ac:dyDescent="0.2">
      <c r="A464" s="6"/>
      <c r="B464" s="151" t="s">
        <v>1783</v>
      </c>
      <c r="C464" s="51" t="s">
        <v>3477</v>
      </c>
      <c r="D464" s="51" t="s">
        <v>106</v>
      </c>
      <c r="E464" s="51"/>
      <c r="F464" s="51"/>
      <c r="G464" s="51" t="s">
        <v>2876</v>
      </c>
      <c r="H464" s="19"/>
      <c r="I464" s="19"/>
    </row>
    <row r="465" spans="1:9" ht="20" x14ac:dyDescent="0.2">
      <c r="A465" s="6"/>
      <c r="B465" s="151" t="s">
        <v>2569</v>
      </c>
      <c r="C465" s="51" t="s">
        <v>2228</v>
      </c>
      <c r="D465" s="51" t="s">
        <v>106</v>
      </c>
      <c r="E465" s="51"/>
      <c r="F465" s="51"/>
      <c r="G465" s="51" t="s">
        <v>2876</v>
      </c>
      <c r="H465" s="297"/>
      <c r="I465" s="297"/>
    </row>
    <row r="466" spans="1:9" ht="20" x14ac:dyDescent="0.2">
      <c r="A466" s="6"/>
      <c r="B466" s="151" t="s">
        <v>1774</v>
      </c>
      <c r="C466" s="51" t="s">
        <v>3141</v>
      </c>
      <c r="D466" s="51" t="s">
        <v>106</v>
      </c>
      <c r="E466" s="299">
        <v>49.234214799999997</v>
      </c>
      <c r="F466" s="299">
        <v>-125.356863</v>
      </c>
      <c r="G466" s="51" t="s">
        <v>2876</v>
      </c>
      <c r="H466" s="19"/>
      <c r="I466" s="19"/>
    </row>
    <row r="467" spans="1:9" ht="20" x14ac:dyDescent="0.2">
      <c r="A467" s="6"/>
      <c r="B467" s="151" t="s">
        <v>2542</v>
      </c>
      <c r="C467" s="51" t="s">
        <v>3086</v>
      </c>
      <c r="D467" s="51" t="s">
        <v>106</v>
      </c>
      <c r="E467" s="51"/>
      <c r="F467" s="51"/>
      <c r="G467" s="51" t="s">
        <v>2876</v>
      </c>
      <c r="H467" s="19"/>
      <c r="I467" s="19"/>
    </row>
    <row r="468" spans="1:9" ht="20" x14ac:dyDescent="0.2">
      <c r="A468" s="6"/>
      <c r="B468" s="151" t="s">
        <v>1799</v>
      </c>
      <c r="C468" s="51" t="s">
        <v>3483</v>
      </c>
      <c r="D468" s="51" t="s">
        <v>106</v>
      </c>
      <c r="E468" s="51"/>
      <c r="F468" s="51"/>
      <c r="G468" s="51" t="s">
        <v>2876</v>
      </c>
      <c r="H468" s="297"/>
      <c r="I468" s="297"/>
    </row>
    <row r="469" spans="1:9" ht="20" x14ac:dyDescent="0.2">
      <c r="A469" s="6"/>
      <c r="B469" s="151" t="s">
        <v>2560</v>
      </c>
      <c r="C469" s="51" t="s">
        <v>2217</v>
      </c>
      <c r="D469" s="51" t="s">
        <v>106</v>
      </c>
      <c r="E469" s="51"/>
      <c r="F469" s="51"/>
      <c r="G469" s="51" t="s">
        <v>2876</v>
      </c>
      <c r="H469" s="19"/>
      <c r="I469" s="19"/>
    </row>
    <row r="470" spans="1:9" ht="20" x14ac:dyDescent="0.2">
      <c r="A470" s="6"/>
      <c r="B470" s="230" t="s">
        <v>2659</v>
      </c>
      <c r="C470" s="51" t="s">
        <v>3663</v>
      </c>
      <c r="D470" s="51" t="s">
        <v>173</v>
      </c>
      <c r="E470" s="51"/>
      <c r="F470" s="51"/>
      <c r="G470" s="51" t="s">
        <v>2876</v>
      </c>
      <c r="H470" s="19"/>
      <c r="I470" s="19"/>
    </row>
    <row r="471" spans="1:9" ht="20" x14ac:dyDescent="0.2">
      <c r="A471" s="6"/>
      <c r="B471" s="151" t="s">
        <v>1778</v>
      </c>
      <c r="C471" s="51" t="s">
        <v>3475</v>
      </c>
      <c r="D471" s="51" t="s">
        <v>106</v>
      </c>
      <c r="E471" s="51"/>
      <c r="F471" s="51"/>
      <c r="G471" s="51" t="s">
        <v>2876</v>
      </c>
      <c r="H471" s="19"/>
      <c r="I471" s="19"/>
    </row>
    <row r="472" spans="1:9" ht="20" x14ac:dyDescent="0.2">
      <c r="A472" s="6"/>
      <c r="B472" s="151" t="s">
        <v>2549</v>
      </c>
      <c r="C472" s="51" t="s">
        <v>2206</v>
      </c>
      <c r="D472" s="51" t="s">
        <v>106</v>
      </c>
      <c r="E472" s="51"/>
      <c r="F472" s="51"/>
      <c r="G472" s="51" t="s">
        <v>2876</v>
      </c>
      <c r="H472" s="19"/>
      <c r="I472" s="19"/>
    </row>
    <row r="473" spans="1:9" ht="20" x14ac:dyDescent="0.2">
      <c r="A473" s="6"/>
      <c r="B473" s="151" t="s">
        <v>1800</v>
      </c>
      <c r="C473" s="51" t="s">
        <v>3484</v>
      </c>
      <c r="D473" s="51" t="s">
        <v>106</v>
      </c>
      <c r="E473" s="51"/>
      <c r="F473" s="51"/>
      <c r="G473" s="51" t="s">
        <v>2876</v>
      </c>
      <c r="H473" s="19"/>
      <c r="I473" s="19"/>
    </row>
    <row r="474" spans="1:9" ht="20" x14ac:dyDescent="0.2">
      <c r="A474" s="6"/>
      <c r="B474" s="151" t="s">
        <v>2456</v>
      </c>
      <c r="C474" s="51" t="s">
        <v>2108</v>
      </c>
      <c r="D474" s="51" t="s">
        <v>106</v>
      </c>
      <c r="E474" s="51"/>
      <c r="F474" s="51"/>
      <c r="G474" s="51" t="s">
        <v>2876</v>
      </c>
      <c r="H474" s="19"/>
      <c r="I474" s="19"/>
    </row>
    <row r="475" spans="1:9" ht="20" x14ac:dyDescent="0.2">
      <c r="A475" s="6"/>
      <c r="B475" s="151" t="s">
        <v>1789</v>
      </c>
      <c r="C475" s="51" t="s">
        <v>3292</v>
      </c>
      <c r="D475" s="51" t="s">
        <v>106</v>
      </c>
      <c r="E475" s="51"/>
      <c r="F475" s="51"/>
      <c r="G475" s="51" t="s">
        <v>2876</v>
      </c>
      <c r="H475" s="19"/>
      <c r="I475" s="19"/>
    </row>
    <row r="476" spans="1:9" ht="20" x14ac:dyDescent="0.2">
      <c r="A476" s="6"/>
      <c r="B476" s="151" t="s">
        <v>1782</v>
      </c>
      <c r="C476" s="51" t="s">
        <v>3664</v>
      </c>
      <c r="D476" s="51" t="s">
        <v>106</v>
      </c>
      <c r="E476" s="51"/>
      <c r="F476" s="51"/>
      <c r="G476" s="51" t="s">
        <v>2876</v>
      </c>
      <c r="H476" s="297"/>
      <c r="I476" s="297"/>
    </row>
    <row r="477" spans="1:9" ht="20" x14ac:dyDescent="0.2">
      <c r="A477" s="6"/>
      <c r="B477" s="151" t="s">
        <v>2315</v>
      </c>
      <c r="C477" s="51" t="s">
        <v>3144</v>
      </c>
      <c r="D477" s="51" t="s">
        <v>106</v>
      </c>
      <c r="E477" s="299">
        <v>56.146329999999999</v>
      </c>
      <c r="F477" s="299">
        <v>-120.67107300000001</v>
      </c>
      <c r="G477" s="51" t="s">
        <v>2876</v>
      </c>
      <c r="H477" s="19"/>
      <c r="I477" s="19"/>
    </row>
    <row r="478" spans="1:9" ht="20" x14ac:dyDescent="0.2">
      <c r="A478" s="6"/>
      <c r="B478" s="151" t="s">
        <v>2459</v>
      </c>
      <c r="C478" s="51" t="s">
        <v>2112</v>
      </c>
      <c r="D478" s="51" t="s">
        <v>106</v>
      </c>
      <c r="E478" s="51"/>
      <c r="F478" s="51"/>
      <c r="G478" s="51" t="s">
        <v>2876</v>
      </c>
      <c r="H478" s="19"/>
      <c r="I478" s="19"/>
    </row>
    <row r="479" spans="1:9" ht="20" x14ac:dyDescent="0.2">
      <c r="A479" s="6"/>
      <c r="B479" s="151" t="s">
        <v>1787</v>
      </c>
      <c r="C479" s="51" t="s">
        <v>3146</v>
      </c>
      <c r="D479" s="51" t="s">
        <v>106</v>
      </c>
      <c r="E479" s="299">
        <v>55.2855597</v>
      </c>
      <c r="F479" s="299">
        <v>-121.4690559</v>
      </c>
      <c r="G479" s="51" t="s">
        <v>2876</v>
      </c>
      <c r="H479" s="297"/>
      <c r="I479" s="297"/>
    </row>
    <row r="480" spans="1:9" ht="20" x14ac:dyDescent="0.2">
      <c r="A480" s="6"/>
      <c r="B480" s="151" t="s">
        <v>3586</v>
      </c>
      <c r="C480" s="51" t="s">
        <v>3587</v>
      </c>
      <c r="D480" s="51" t="s">
        <v>106</v>
      </c>
      <c r="E480" s="51"/>
      <c r="F480" s="51"/>
      <c r="G480" s="51" t="s">
        <v>2876</v>
      </c>
      <c r="H480" s="19"/>
      <c r="I480" s="19"/>
    </row>
    <row r="481" spans="1:9" ht="20" x14ac:dyDescent="0.2">
      <c r="A481" s="6"/>
      <c r="B481" s="151" t="s">
        <v>1779</v>
      </c>
      <c r="C481" s="51" t="s">
        <v>3288</v>
      </c>
      <c r="D481" s="51" t="s">
        <v>106</v>
      </c>
      <c r="E481" s="51"/>
      <c r="F481" s="51"/>
      <c r="G481" s="51" t="s">
        <v>2876</v>
      </c>
      <c r="H481" s="297"/>
      <c r="I481" s="297"/>
    </row>
    <row r="482" spans="1:9" ht="20" x14ac:dyDescent="0.2">
      <c r="A482" s="6"/>
      <c r="B482" s="151" t="s">
        <v>277</v>
      </c>
      <c r="C482" s="51" t="s">
        <v>3447</v>
      </c>
      <c r="D482" s="51" t="s">
        <v>106</v>
      </c>
      <c r="E482" s="51"/>
      <c r="F482" s="51"/>
      <c r="G482" s="51" t="s">
        <v>2876</v>
      </c>
      <c r="H482" s="19"/>
      <c r="I482" s="19"/>
    </row>
    <row r="483" spans="1:9" ht="20" x14ac:dyDescent="0.2">
      <c r="A483" s="6"/>
      <c r="B483" s="151" t="s">
        <v>2316</v>
      </c>
      <c r="C483" s="51" t="s">
        <v>3145</v>
      </c>
      <c r="D483" s="51" t="s">
        <v>106</v>
      </c>
      <c r="E483" s="299">
        <v>50.097098000000003</v>
      </c>
      <c r="F483" s="299">
        <v>-120.795714</v>
      </c>
      <c r="G483" s="51" t="s">
        <v>2876</v>
      </c>
      <c r="H483" s="19"/>
      <c r="I483" s="19"/>
    </row>
    <row r="484" spans="1:9" ht="20" x14ac:dyDescent="0.2">
      <c r="A484" s="6"/>
      <c r="B484" s="151" t="s">
        <v>1784</v>
      </c>
      <c r="C484" s="51" t="s">
        <v>3665</v>
      </c>
      <c r="D484" s="51" t="s">
        <v>106</v>
      </c>
      <c r="E484" s="51"/>
      <c r="F484" s="51"/>
      <c r="G484" s="51" t="s">
        <v>2876</v>
      </c>
      <c r="H484" s="19"/>
      <c r="I484" s="19"/>
    </row>
    <row r="485" spans="1:9" ht="20" x14ac:dyDescent="0.2">
      <c r="A485" s="6"/>
      <c r="B485" s="151" t="s">
        <v>1780</v>
      </c>
      <c r="C485" s="51" t="s">
        <v>3476</v>
      </c>
      <c r="D485" s="51" t="s">
        <v>106</v>
      </c>
      <c r="E485" s="51"/>
      <c r="F485" s="51"/>
      <c r="G485" s="51" t="s">
        <v>2876</v>
      </c>
      <c r="H485" s="19"/>
      <c r="I485" s="19"/>
    </row>
    <row r="486" spans="1:9" ht="20" x14ac:dyDescent="0.2">
      <c r="A486" s="6"/>
      <c r="B486" s="151" t="s">
        <v>2465</v>
      </c>
      <c r="C486" s="51" t="s">
        <v>2117</v>
      </c>
      <c r="D486" s="51" t="s">
        <v>106</v>
      </c>
      <c r="E486" s="51"/>
      <c r="F486" s="51"/>
      <c r="G486" s="51" t="s">
        <v>2876</v>
      </c>
      <c r="H486" s="19"/>
      <c r="I486" s="19"/>
    </row>
    <row r="487" spans="1:9" ht="20" x14ac:dyDescent="0.2">
      <c r="A487" s="6"/>
      <c r="B487" s="151" t="s">
        <v>1777</v>
      </c>
      <c r="C487" s="51" t="s">
        <v>3143</v>
      </c>
      <c r="D487" s="51" t="s">
        <v>106</v>
      </c>
      <c r="E487" s="299">
        <v>52.075871999999997</v>
      </c>
      <c r="F487" s="299">
        <v>-118.57051490000001</v>
      </c>
      <c r="G487" s="51" t="s">
        <v>2876</v>
      </c>
      <c r="H487" s="19"/>
      <c r="I487" s="19"/>
    </row>
    <row r="488" spans="1:9" ht="20" x14ac:dyDescent="0.2">
      <c r="A488" s="6"/>
      <c r="B488" s="151" t="s">
        <v>1786</v>
      </c>
      <c r="C488" s="51" t="s">
        <v>3290</v>
      </c>
      <c r="D488" s="51" t="s">
        <v>106</v>
      </c>
      <c r="E488" s="51"/>
      <c r="F488" s="51"/>
      <c r="G488" s="51" t="s">
        <v>2876</v>
      </c>
      <c r="H488" s="297"/>
      <c r="I488" s="297"/>
    </row>
    <row r="489" spans="1:9" ht="20" x14ac:dyDescent="0.2">
      <c r="A489" s="6"/>
      <c r="B489" s="151" t="s">
        <v>190</v>
      </c>
      <c r="C489" s="51" t="s">
        <v>3479</v>
      </c>
      <c r="D489" s="51" t="s">
        <v>106</v>
      </c>
      <c r="E489" s="51"/>
      <c r="F489" s="51"/>
      <c r="G489" s="51" t="s">
        <v>2876</v>
      </c>
      <c r="H489" s="19"/>
      <c r="I489" s="19"/>
    </row>
    <row r="490" spans="1:9" ht="20" x14ac:dyDescent="0.2">
      <c r="A490" s="6"/>
      <c r="B490" s="151" t="s">
        <v>2488</v>
      </c>
      <c r="C490" s="51" t="s">
        <v>2145</v>
      </c>
      <c r="D490" s="51" t="s">
        <v>106</v>
      </c>
      <c r="E490" s="51"/>
      <c r="F490" s="51"/>
      <c r="G490" s="51" t="s">
        <v>2876</v>
      </c>
      <c r="H490" s="19"/>
      <c r="I490" s="19"/>
    </row>
    <row r="491" spans="1:9" ht="20" x14ac:dyDescent="0.2">
      <c r="A491" s="6"/>
      <c r="B491" s="151" t="s">
        <v>1791</v>
      </c>
      <c r="C491" s="51" t="s">
        <v>3293</v>
      </c>
      <c r="D491" s="51" t="s">
        <v>106</v>
      </c>
      <c r="E491" s="51"/>
      <c r="F491" s="51"/>
      <c r="G491" s="51" t="s">
        <v>2876</v>
      </c>
      <c r="H491" s="19"/>
      <c r="I491" s="19"/>
    </row>
    <row r="492" spans="1:9" ht="20" x14ac:dyDescent="0.2">
      <c r="A492" s="6"/>
      <c r="B492" s="151" t="s">
        <v>1796</v>
      </c>
      <c r="C492" s="51" t="s">
        <v>3559</v>
      </c>
      <c r="D492" s="51" t="s">
        <v>106</v>
      </c>
      <c r="E492" s="51"/>
      <c r="F492" s="51"/>
      <c r="G492" s="51" t="s">
        <v>2876</v>
      </c>
      <c r="H492" s="19"/>
      <c r="I492" s="19"/>
    </row>
    <row r="493" spans="1:9" ht="20" x14ac:dyDescent="0.2">
      <c r="A493" s="6"/>
      <c r="B493" s="151" t="s">
        <v>2318</v>
      </c>
      <c r="C493" s="51" t="s">
        <v>3601</v>
      </c>
      <c r="D493" s="51" t="s">
        <v>106</v>
      </c>
      <c r="E493" s="299">
        <v>50.623136199999998</v>
      </c>
      <c r="F493" s="299">
        <v>-124.1873317</v>
      </c>
      <c r="G493" s="51" t="s">
        <v>2876</v>
      </c>
      <c r="H493" s="297"/>
      <c r="I493" s="297"/>
    </row>
    <row r="494" spans="1:9" ht="20" x14ac:dyDescent="0.2">
      <c r="A494" s="6"/>
      <c r="B494" s="151" t="s">
        <v>2317</v>
      </c>
      <c r="C494" s="51" t="s">
        <v>3147</v>
      </c>
      <c r="D494" s="51" t="s">
        <v>106</v>
      </c>
      <c r="E494" s="299">
        <v>55.285632999999997</v>
      </c>
      <c r="F494" s="299">
        <v>-121.298571</v>
      </c>
      <c r="G494" s="51" t="s">
        <v>2876</v>
      </c>
      <c r="H494" s="19"/>
      <c r="I494" s="19"/>
    </row>
    <row r="495" spans="1:9" ht="20" x14ac:dyDescent="0.2">
      <c r="A495" s="6"/>
      <c r="B495" s="151" t="s">
        <v>2479</v>
      </c>
      <c r="C495" s="51" t="s">
        <v>2134</v>
      </c>
      <c r="D495" s="51" t="s">
        <v>106</v>
      </c>
      <c r="E495" s="51"/>
      <c r="F495" s="51"/>
      <c r="G495" s="51" t="s">
        <v>2876</v>
      </c>
      <c r="H495" s="19"/>
      <c r="I495" s="19"/>
    </row>
    <row r="496" spans="1:9" ht="20" x14ac:dyDescent="0.2">
      <c r="A496" s="6"/>
      <c r="B496" s="151" t="s">
        <v>1781</v>
      </c>
      <c r="C496" s="51" t="s">
        <v>3289</v>
      </c>
      <c r="D496" s="51" t="s">
        <v>106</v>
      </c>
      <c r="E496" s="51"/>
      <c r="F496" s="51"/>
      <c r="G496" s="51" t="s">
        <v>2876</v>
      </c>
      <c r="H496" s="19"/>
      <c r="I496" s="19"/>
    </row>
    <row r="497" spans="1:9" ht="20" x14ac:dyDescent="0.2">
      <c r="A497" s="6"/>
      <c r="B497" s="151" t="s">
        <v>1788</v>
      </c>
      <c r="C497" s="51" t="s">
        <v>3291</v>
      </c>
      <c r="D497" s="51" t="s">
        <v>106</v>
      </c>
      <c r="E497" s="51"/>
      <c r="F497" s="51"/>
      <c r="G497" s="51" t="s">
        <v>2876</v>
      </c>
      <c r="H497" s="19"/>
      <c r="I497" s="19"/>
    </row>
    <row r="498" spans="1:9" ht="20" x14ac:dyDescent="0.2">
      <c r="A498" s="6"/>
      <c r="B498" s="151" t="s">
        <v>1790</v>
      </c>
      <c r="C498" s="51" t="s">
        <v>3459</v>
      </c>
      <c r="D498" s="51" t="s">
        <v>106</v>
      </c>
      <c r="E498" s="51"/>
      <c r="F498" s="51"/>
      <c r="G498" s="51" t="s">
        <v>2876</v>
      </c>
      <c r="H498" s="297"/>
      <c r="I498" s="297"/>
    </row>
    <row r="499" spans="1:9" ht="20" x14ac:dyDescent="0.2">
      <c r="A499" s="6"/>
      <c r="B499" s="151" t="s">
        <v>1792</v>
      </c>
      <c r="C499" s="51" t="s">
        <v>3404</v>
      </c>
      <c r="D499" s="51" t="s">
        <v>106</v>
      </c>
      <c r="E499" s="51"/>
      <c r="F499" s="51"/>
      <c r="G499" s="51" t="s">
        <v>2876</v>
      </c>
      <c r="H499" s="19"/>
      <c r="I499" s="19"/>
    </row>
    <row r="500" spans="1:9" ht="20" x14ac:dyDescent="0.2">
      <c r="A500" s="6"/>
      <c r="B500" s="151" t="s">
        <v>1797</v>
      </c>
      <c r="C500" s="51" t="s">
        <v>3443</v>
      </c>
      <c r="D500" s="51" t="s">
        <v>106</v>
      </c>
      <c r="E500" s="51"/>
      <c r="F500" s="51"/>
      <c r="G500" s="51" t="s">
        <v>2876</v>
      </c>
      <c r="H500" s="297"/>
      <c r="I500" s="297"/>
    </row>
    <row r="501" spans="1:9" ht="20" x14ac:dyDescent="0.2">
      <c r="A501" s="6"/>
      <c r="B501" s="151" t="s">
        <v>2568</v>
      </c>
      <c r="C501" s="51" t="s">
        <v>2229</v>
      </c>
      <c r="D501" s="51" t="s">
        <v>106</v>
      </c>
      <c r="E501" s="51"/>
      <c r="F501" s="51"/>
      <c r="G501" s="51" t="s">
        <v>2876</v>
      </c>
      <c r="H501" s="19"/>
      <c r="I501" s="19"/>
    </row>
    <row r="502" spans="1:9" ht="20" x14ac:dyDescent="0.2">
      <c r="A502" s="6"/>
      <c r="B502" s="151" t="s">
        <v>1801</v>
      </c>
      <c r="C502" s="51" t="s">
        <v>3485</v>
      </c>
      <c r="D502" s="51" t="s">
        <v>106</v>
      </c>
      <c r="E502" s="51"/>
      <c r="F502" s="51"/>
      <c r="G502" s="51" t="s">
        <v>2876</v>
      </c>
      <c r="H502" s="297"/>
      <c r="I502" s="297"/>
    </row>
    <row r="503" spans="1:9" ht="20" x14ac:dyDescent="0.2">
      <c r="A503" s="6"/>
      <c r="B503" s="151" t="s">
        <v>2561</v>
      </c>
      <c r="C503" s="51" t="s">
        <v>2218</v>
      </c>
      <c r="D503" s="51" t="s">
        <v>106</v>
      </c>
      <c r="E503" s="51"/>
      <c r="F503" s="51"/>
      <c r="G503" s="51" t="s">
        <v>2876</v>
      </c>
      <c r="H503" s="19"/>
      <c r="I503" s="19"/>
    </row>
    <row r="504" spans="1:9" ht="20" x14ac:dyDescent="0.2">
      <c r="A504" s="6"/>
      <c r="B504" s="151" t="s">
        <v>1785</v>
      </c>
      <c r="C504" s="51" t="s">
        <v>3478</v>
      </c>
      <c r="D504" s="51" t="s">
        <v>106</v>
      </c>
      <c r="E504" s="51"/>
      <c r="F504" s="51"/>
      <c r="G504" s="51" t="s">
        <v>2876</v>
      </c>
      <c r="H504" s="297"/>
      <c r="I504" s="297"/>
    </row>
    <row r="505" spans="1:9" ht="20" x14ac:dyDescent="0.2">
      <c r="A505" s="6"/>
      <c r="B505" s="151" t="s">
        <v>2412</v>
      </c>
      <c r="C505" s="51" t="s">
        <v>2063</v>
      </c>
      <c r="D505" s="51" t="s">
        <v>106</v>
      </c>
      <c r="E505" s="51"/>
      <c r="F505" s="51"/>
      <c r="G505" s="51" t="s">
        <v>2876</v>
      </c>
      <c r="H505" s="19"/>
      <c r="I505" s="19"/>
    </row>
    <row r="506" spans="1:9" ht="20" x14ac:dyDescent="0.2">
      <c r="A506" s="6"/>
      <c r="B506" s="151" t="s">
        <v>2024</v>
      </c>
      <c r="C506" s="51" t="s">
        <v>3666</v>
      </c>
      <c r="D506" s="51" t="s">
        <v>106</v>
      </c>
      <c r="E506" s="51"/>
      <c r="F506" s="51"/>
      <c r="G506" s="51" t="s">
        <v>2876</v>
      </c>
      <c r="H506" s="297"/>
      <c r="I506" s="297"/>
    </row>
    <row r="507" spans="1:9" ht="20" x14ac:dyDescent="0.2">
      <c r="A507" s="6"/>
      <c r="B507" s="151" t="s">
        <v>2478</v>
      </c>
      <c r="C507" s="51" t="s">
        <v>2133</v>
      </c>
      <c r="D507" s="51" t="s">
        <v>106</v>
      </c>
      <c r="E507" s="51"/>
      <c r="F507" s="51"/>
      <c r="G507" s="51" t="s">
        <v>2876</v>
      </c>
      <c r="H507" s="19"/>
      <c r="I507" s="19"/>
    </row>
    <row r="508" spans="1:9" ht="20" x14ac:dyDescent="0.2">
      <c r="A508" s="6"/>
      <c r="B508" s="151" t="s">
        <v>1798</v>
      </c>
      <c r="C508" s="51" t="s">
        <v>3294</v>
      </c>
      <c r="D508" s="51" t="s">
        <v>106</v>
      </c>
      <c r="E508" s="51"/>
      <c r="F508" s="51"/>
      <c r="G508" s="51" t="s">
        <v>2876</v>
      </c>
      <c r="H508" s="297"/>
      <c r="I508" s="297"/>
    </row>
    <row r="509" spans="1:9" ht="20" x14ac:dyDescent="0.2">
      <c r="A509" s="6"/>
      <c r="B509" s="151" t="s">
        <v>1802</v>
      </c>
      <c r="C509" s="51" t="s">
        <v>3486</v>
      </c>
      <c r="D509" s="51" t="s">
        <v>106</v>
      </c>
      <c r="E509" s="51"/>
      <c r="F509" s="51"/>
      <c r="G509" s="51" t="s">
        <v>2876</v>
      </c>
      <c r="H509" s="19"/>
      <c r="I509" s="19"/>
    </row>
    <row r="510" spans="1:9" ht="20" x14ac:dyDescent="0.2">
      <c r="A510" s="6"/>
      <c r="B510" s="151" t="s">
        <v>1810</v>
      </c>
      <c r="C510" s="51" t="s">
        <v>3602</v>
      </c>
      <c r="D510" s="51" t="s">
        <v>106</v>
      </c>
      <c r="E510" s="51"/>
      <c r="F510" s="51"/>
      <c r="G510" s="51" t="s">
        <v>2876</v>
      </c>
      <c r="H510" s="19"/>
      <c r="I510" s="19"/>
    </row>
    <row r="511" spans="1:9" ht="20" x14ac:dyDescent="0.2">
      <c r="A511" s="6"/>
      <c r="B511" s="151" t="s">
        <v>2394</v>
      </c>
      <c r="C511" s="51" t="s">
        <v>2043</v>
      </c>
      <c r="D511" s="51" t="s">
        <v>106</v>
      </c>
      <c r="E511" s="51"/>
      <c r="F511" s="51"/>
      <c r="G511" s="51" t="s">
        <v>2876</v>
      </c>
      <c r="H511" s="297"/>
      <c r="I511" s="297"/>
    </row>
    <row r="512" spans="1:9" ht="20" x14ac:dyDescent="0.2">
      <c r="A512" s="6"/>
      <c r="B512" s="151" t="s">
        <v>1819</v>
      </c>
      <c r="C512" s="51" t="s">
        <v>3299</v>
      </c>
      <c r="D512" s="51" t="s">
        <v>106</v>
      </c>
      <c r="E512" s="51"/>
      <c r="F512" s="51"/>
      <c r="G512" s="51" t="s">
        <v>2876</v>
      </c>
      <c r="H512" s="19"/>
      <c r="I512" s="19"/>
    </row>
    <row r="513" spans="1:9" ht="20" x14ac:dyDescent="0.2">
      <c r="A513" s="6"/>
      <c r="B513" s="151" t="s">
        <v>812</v>
      </c>
      <c r="C513" s="51" t="s">
        <v>3490</v>
      </c>
      <c r="D513" s="51" t="s">
        <v>106</v>
      </c>
      <c r="E513" s="51"/>
      <c r="F513" s="51"/>
      <c r="G513" s="51" t="s">
        <v>2876</v>
      </c>
      <c r="H513" s="297"/>
      <c r="I513" s="297"/>
    </row>
    <row r="514" spans="1:9" ht="20" x14ac:dyDescent="0.2">
      <c r="A514" s="6"/>
      <c r="B514" s="151" t="s">
        <v>2585</v>
      </c>
      <c r="C514" s="51" t="s">
        <v>2242</v>
      </c>
      <c r="D514" s="51" t="s">
        <v>106</v>
      </c>
      <c r="E514" s="51"/>
      <c r="F514" s="51"/>
      <c r="G514" s="51" t="s">
        <v>2876</v>
      </c>
      <c r="H514" s="19"/>
      <c r="I514" s="19"/>
    </row>
    <row r="515" spans="1:9" ht="20" x14ac:dyDescent="0.2">
      <c r="A515" s="6"/>
      <c r="B515" s="230" t="s">
        <v>2719</v>
      </c>
      <c r="C515" s="51" t="s">
        <v>3182</v>
      </c>
      <c r="D515" s="51" t="s">
        <v>173</v>
      </c>
      <c r="E515" s="299">
        <v>49.458201899999999</v>
      </c>
      <c r="F515" s="299">
        <v>-117.4854103</v>
      </c>
      <c r="G515" s="51" t="s">
        <v>2876</v>
      </c>
      <c r="H515" s="19"/>
      <c r="I515" s="19"/>
    </row>
    <row r="516" spans="1:9" ht="20" x14ac:dyDescent="0.2">
      <c r="A516" s="6"/>
      <c r="B516" s="230" t="s">
        <v>2720</v>
      </c>
      <c r="C516" s="51" t="s">
        <v>2761</v>
      </c>
      <c r="D516" s="51" t="s">
        <v>173</v>
      </c>
      <c r="E516" s="51"/>
      <c r="F516" s="51"/>
      <c r="G516" s="51" t="s">
        <v>2876</v>
      </c>
      <c r="H516" s="19"/>
      <c r="I516" s="19"/>
    </row>
    <row r="517" spans="1:9" ht="20" x14ac:dyDescent="0.2">
      <c r="A517" s="6"/>
      <c r="B517" s="151" t="s">
        <v>1815</v>
      </c>
      <c r="C517" s="51" t="s">
        <v>3297</v>
      </c>
      <c r="D517" s="51" t="s">
        <v>106</v>
      </c>
      <c r="E517" s="51"/>
      <c r="F517" s="51"/>
      <c r="G517" s="51" t="s">
        <v>2876</v>
      </c>
      <c r="H517" s="297"/>
      <c r="I517" s="297"/>
    </row>
    <row r="518" spans="1:9" ht="20" x14ac:dyDescent="0.2">
      <c r="A518" s="6"/>
      <c r="B518" s="151" t="s">
        <v>1761</v>
      </c>
      <c r="C518" s="51" t="s">
        <v>3718</v>
      </c>
      <c r="D518" s="51" t="s">
        <v>106</v>
      </c>
      <c r="E518" s="51"/>
      <c r="F518" s="51"/>
      <c r="G518" s="51" t="s">
        <v>2876</v>
      </c>
      <c r="H518" s="297"/>
      <c r="I518" s="297"/>
    </row>
    <row r="519" spans="1:9" ht="20" x14ac:dyDescent="0.2">
      <c r="A519" s="6"/>
      <c r="B519" s="151" t="s">
        <v>2513</v>
      </c>
      <c r="C519" s="51" t="s">
        <v>2172</v>
      </c>
      <c r="D519" s="51" t="s">
        <v>106</v>
      </c>
      <c r="E519" s="51"/>
      <c r="F519" s="51"/>
      <c r="G519" s="51" t="s">
        <v>2876</v>
      </c>
      <c r="H519" s="19"/>
      <c r="I519" s="19"/>
    </row>
    <row r="520" spans="1:9" ht="20" x14ac:dyDescent="0.2">
      <c r="A520" s="6"/>
      <c r="B520" s="151" t="s">
        <v>1803</v>
      </c>
      <c r="C520" s="51" t="s">
        <v>3487</v>
      </c>
      <c r="D520" s="51" t="s">
        <v>106</v>
      </c>
      <c r="E520" s="51"/>
      <c r="F520" s="51"/>
      <c r="G520" s="51" t="s">
        <v>2876</v>
      </c>
      <c r="H520" s="19"/>
      <c r="I520" s="19"/>
    </row>
    <row r="521" spans="1:9" ht="20" x14ac:dyDescent="0.2">
      <c r="A521" s="6"/>
      <c r="B521" s="151" t="s">
        <v>2546</v>
      </c>
      <c r="C521" s="51" t="s">
        <v>2203</v>
      </c>
      <c r="D521" s="51" t="s">
        <v>106</v>
      </c>
      <c r="E521" s="51"/>
      <c r="F521" s="51"/>
      <c r="G521" s="51" t="s">
        <v>2876</v>
      </c>
      <c r="H521" s="19"/>
      <c r="I521" s="19"/>
    </row>
    <row r="522" spans="1:9" ht="20" x14ac:dyDescent="0.2">
      <c r="A522" s="6"/>
      <c r="B522" s="151" t="s">
        <v>809</v>
      </c>
      <c r="C522" s="51" t="s">
        <v>3301</v>
      </c>
      <c r="D522" s="51" t="s">
        <v>106</v>
      </c>
      <c r="E522" s="51"/>
      <c r="F522" s="51"/>
      <c r="G522" s="51" t="s">
        <v>2876</v>
      </c>
      <c r="H522" s="19"/>
      <c r="I522" s="19"/>
    </row>
    <row r="523" spans="1:9" ht="20" x14ac:dyDescent="0.2">
      <c r="A523" s="6"/>
      <c r="B523" s="151" t="s">
        <v>2490</v>
      </c>
      <c r="C523" s="51" t="s">
        <v>2147</v>
      </c>
      <c r="D523" s="51" t="s">
        <v>106</v>
      </c>
      <c r="E523" s="51"/>
      <c r="F523" s="51"/>
      <c r="G523" s="51" t="s">
        <v>2876</v>
      </c>
      <c r="H523" s="19"/>
      <c r="I523" s="19"/>
    </row>
    <row r="524" spans="1:9" ht="20" x14ac:dyDescent="0.2">
      <c r="A524" s="6"/>
      <c r="B524" s="151" t="s">
        <v>1804</v>
      </c>
      <c r="C524" s="51" t="s">
        <v>3295</v>
      </c>
      <c r="D524" s="51" t="s">
        <v>106</v>
      </c>
      <c r="E524" s="51"/>
      <c r="F524" s="51"/>
      <c r="G524" s="51" t="s">
        <v>2876</v>
      </c>
      <c r="H524" s="19"/>
      <c r="I524" s="19"/>
    </row>
    <row r="525" spans="1:9" ht="20" x14ac:dyDescent="0.2">
      <c r="A525" s="6"/>
      <c r="B525" s="151" t="s">
        <v>1818</v>
      </c>
      <c r="C525" s="51" t="s">
        <v>3667</v>
      </c>
      <c r="D525" s="51" t="s">
        <v>106</v>
      </c>
      <c r="E525" s="51"/>
      <c r="F525" s="51"/>
      <c r="G525" s="51" t="s">
        <v>2876</v>
      </c>
      <c r="H525" s="297"/>
      <c r="I525" s="297"/>
    </row>
    <row r="526" spans="1:9" ht="20" x14ac:dyDescent="0.2">
      <c r="A526" s="6"/>
      <c r="B526" s="151" t="s">
        <v>2491</v>
      </c>
      <c r="C526" s="51" t="s">
        <v>2149</v>
      </c>
      <c r="D526" s="51" t="s">
        <v>106</v>
      </c>
      <c r="E526" s="51"/>
      <c r="F526" s="51"/>
      <c r="G526" s="51" t="s">
        <v>2876</v>
      </c>
      <c r="H526" s="19"/>
      <c r="I526" s="19"/>
    </row>
    <row r="527" spans="1:9" ht="20" x14ac:dyDescent="0.2">
      <c r="A527" s="6"/>
      <c r="B527" s="151" t="s">
        <v>1809</v>
      </c>
      <c r="C527" s="51" t="s">
        <v>3296</v>
      </c>
      <c r="D527" s="51" t="s">
        <v>106</v>
      </c>
      <c r="E527" s="51"/>
      <c r="F527" s="51"/>
      <c r="G527" s="51" t="s">
        <v>2876</v>
      </c>
      <c r="H527" s="19"/>
      <c r="I527" s="19"/>
    </row>
    <row r="528" spans="1:9" ht="20" x14ac:dyDescent="0.2">
      <c r="A528" s="6"/>
      <c r="B528" s="151" t="s">
        <v>1811</v>
      </c>
      <c r="C528" s="51" t="s">
        <v>3488</v>
      </c>
      <c r="D528" s="51" t="s">
        <v>106</v>
      </c>
      <c r="E528" s="51"/>
      <c r="F528" s="51"/>
      <c r="G528" s="51" t="s">
        <v>2876</v>
      </c>
      <c r="H528" s="19"/>
      <c r="I528" s="19"/>
    </row>
    <row r="529" spans="1:9" ht="20" x14ac:dyDescent="0.2">
      <c r="A529" s="6"/>
      <c r="B529" s="151" t="s">
        <v>2529</v>
      </c>
      <c r="C529" s="51" t="s">
        <v>2188</v>
      </c>
      <c r="D529" s="51" t="s">
        <v>106</v>
      </c>
      <c r="E529" s="51"/>
      <c r="F529" s="51"/>
      <c r="G529" s="51" t="s">
        <v>2876</v>
      </c>
      <c r="H529" s="297"/>
      <c r="I529" s="297"/>
    </row>
    <row r="530" spans="1:9" ht="20" x14ac:dyDescent="0.2">
      <c r="A530" s="6"/>
      <c r="B530" s="230" t="s">
        <v>2663</v>
      </c>
      <c r="C530" s="51" t="s">
        <v>3371</v>
      </c>
      <c r="D530" s="51" t="s">
        <v>173</v>
      </c>
      <c r="E530" s="51"/>
      <c r="F530" s="51"/>
      <c r="G530" s="51" t="s">
        <v>2876</v>
      </c>
      <c r="H530" s="19"/>
      <c r="I530" s="19"/>
    </row>
    <row r="531" spans="1:9" ht="20" x14ac:dyDescent="0.2">
      <c r="A531" s="6"/>
      <c r="B531" s="151" t="s">
        <v>1820</v>
      </c>
      <c r="C531" s="51" t="s">
        <v>3300</v>
      </c>
      <c r="D531" s="51" t="s">
        <v>106</v>
      </c>
      <c r="E531" s="51"/>
      <c r="F531" s="51"/>
      <c r="G531" s="51" t="s">
        <v>2876</v>
      </c>
      <c r="H531" s="19"/>
      <c r="I531" s="19"/>
    </row>
    <row r="532" spans="1:9" ht="20" x14ac:dyDescent="0.2">
      <c r="A532" s="6"/>
      <c r="B532" s="151" t="s">
        <v>1821</v>
      </c>
      <c r="C532" s="51" t="s">
        <v>3668</v>
      </c>
      <c r="D532" s="51" t="s">
        <v>106</v>
      </c>
      <c r="E532" s="299">
        <v>52.161254599999999</v>
      </c>
      <c r="F532" s="299">
        <v>-122.17115149999999</v>
      </c>
      <c r="G532" s="51" t="s">
        <v>2876</v>
      </c>
      <c r="H532" s="19"/>
      <c r="I532" s="19"/>
    </row>
    <row r="533" spans="1:9" ht="20" x14ac:dyDescent="0.2">
      <c r="A533" s="6"/>
      <c r="B533" s="151" t="s">
        <v>1806</v>
      </c>
      <c r="C533" s="51" t="s">
        <v>3457</v>
      </c>
      <c r="D533" s="51" t="s">
        <v>106</v>
      </c>
      <c r="E533" s="51"/>
      <c r="F533" s="51"/>
      <c r="G533" s="51" t="s">
        <v>2876</v>
      </c>
      <c r="H533" s="19"/>
      <c r="I533" s="19"/>
    </row>
    <row r="534" spans="1:9" ht="20" x14ac:dyDescent="0.2">
      <c r="A534" s="6"/>
      <c r="B534" s="151" t="s">
        <v>1816</v>
      </c>
      <c r="C534" s="51" t="s">
        <v>3298</v>
      </c>
      <c r="D534" s="51" t="s">
        <v>106</v>
      </c>
      <c r="E534" s="51"/>
      <c r="F534" s="51"/>
      <c r="G534" s="51" t="s">
        <v>2876</v>
      </c>
      <c r="H534" s="297"/>
      <c r="I534" s="297"/>
    </row>
    <row r="535" spans="1:9" ht="20" x14ac:dyDescent="0.2">
      <c r="A535" s="6"/>
      <c r="B535" s="151" t="s">
        <v>2319</v>
      </c>
      <c r="C535" s="51" t="s">
        <v>3148</v>
      </c>
      <c r="D535" s="51" t="s">
        <v>106</v>
      </c>
      <c r="E535" s="299">
        <v>49.628056299999997</v>
      </c>
      <c r="F535" s="299">
        <v>-122.46253230000001</v>
      </c>
      <c r="G535" s="51" t="s">
        <v>2876</v>
      </c>
      <c r="H535" s="19"/>
      <c r="I535" s="19"/>
    </row>
    <row r="536" spans="1:9" ht="20" x14ac:dyDescent="0.2">
      <c r="A536" s="6"/>
      <c r="B536" s="151" t="s">
        <v>1822</v>
      </c>
      <c r="C536" s="51" t="s">
        <v>3402</v>
      </c>
      <c r="D536" s="51" t="s">
        <v>106</v>
      </c>
      <c r="E536" s="299">
        <v>53.979192900000001</v>
      </c>
      <c r="F536" s="299">
        <v>-122.69363920000001</v>
      </c>
      <c r="G536" s="51" t="s">
        <v>2876</v>
      </c>
      <c r="H536" s="19"/>
      <c r="I536" s="19"/>
    </row>
    <row r="537" spans="1:9" ht="20" x14ac:dyDescent="0.2">
      <c r="A537" s="6"/>
      <c r="B537" s="230" t="s">
        <v>2671</v>
      </c>
      <c r="C537" s="51" t="s">
        <v>3302</v>
      </c>
      <c r="D537" s="51" t="s">
        <v>173</v>
      </c>
      <c r="E537" s="51"/>
      <c r="F537" s="51"/>
      <c r="G537" s="51" t="s">
        <v>2876</v>
      </c>
      <c r="H537" s="19"/>
      <c r="I537" s="19"/>
    </row>
    <row r="538" spans="1:9" ht="20" x14ac:dyDescent="0.2">
      <c r="A538" s="6"/>
      <c r="B538" s="230" t="s">
        <v>2637</v>
      </c>
      <c r="C538" s="51" t="s">
        <v>3303</v>
      </c>
      <c r="D538" s="51" t="s">
        <v>173</v>
      </c>
      <c r="E538" s="51"/>
      <c r="F538" s="51"/>
      <c r="G538" s="51" t="s">
        <v>2876</v>
      </c>
      <c r="H538" s="19"/>
      <c r="I538" s="19"/>
    </row>
    <row r="539" spans="1:9" ht="20" x14ac:dyDescent="0.2">
      <c r="A539" s="6"/>
      <c r="B539" s="151" t="s">
        <v>1824</v>
      </c>
      <c r="C539" s="51" t="s">
        <v>3504</v>
      </c>
      <c r="D539" s="51" t="s">
        <v>106</v>
      </c>
      <c r="E539" s="51"/>
      <c r="F539" s="51"/>
      <c r="G539" s="51" t="s">
        <v>2876</v>
      </c>
      <c r="H539" s="19"/>
      <c r="I539" s="19"/>
    </row>
    <row r="540" spans="1:9" ht="20" x14ac:dyDescent="0.2">
      <c r="A540" s="6"/>
      <c r="B540" s="230" t="s">
        <v>2666</v>
      </c>
      <c r="C540" s="51" t="s">
        <v>3304</v>
      </c>
      <c r="D540" s="51" t="s">
        <v>173</v>
      </c>
      <c r="E540" s="51"/>
      <c r="F540" s="51"/>
      <c r="G540" s="51" t="s">
        <v>2876</v>
      </c>
      <c r="H540" s="297"/>
      <c r="I540" s="297"/>
    </row>
    <row r="541" spans="1:9" ht="20" x14ac:dyDescent="0.2">
      <c r="A541" s="6"/>
      <c r="B541" s="230" t="s">
        <v>2749</v>
      </c>
      <c r="C541" s="51" t="s">
        <v>3305</v>
      </c>
      <c r="D541" s="51" t="s">
        <v>173</v>
      </c>
      <c r="E541" s="51"/>
      <c r="F541" s="51"/>
      <c r="G541" s="51" t="s">
        <v>2876</v>
      </c>
      <c r="H541" s="19"/>
      <c r="I541" s="19"/>
    </row>
    <row r="542" spans="1:9" ht="20" x14ac:dyDescent="0.2">
      <c r="A542" s="6"/>
      <c r="B542" s="230" t="s">
        <v>2669</v>
      </c>
      <c r="C542" s="51" t="s">
        <v>3502</v>
      </c>
      <c r="D542" s="51" t="s">
        <v>173</v>
      </c>
      <c r="E542" s="51"/>
      <c r="F542" s="51"/>
      <c r="G542" s="51" t="s">
        <v>2876</v>
      </c>
      <c r="H542" s="297"/>
      <c r="I542" s="297"/>
    </row>
    <row r="543" spans="1:9" ht="20" x14ac:dyDescent="0.2">
      <c r="A543" s="6"/>
      <c r="B543" s="151" t="s">
        <v>1825</v>
      </c>
      <c r="C543" s="51" t="s">
        <v>3494</v>
      </c>
      <c r="D543" s="51" t="s">
        <v>106</v>
      </c>
      <c r="E543" s="51"/>
      <c r="F543" s="51"/>
      <c r="G543" s="51" t="s">
        <v>2876</v>
      </c>
      <c r="H543" s="19"/>
      <c r="I543" s="19"/>
    </row>
    <row r="544" spans="1:9" ht="20" x14ac:dyDescent="0.2">
      <c r="A544" s="6"/>
      <c r="B544" s="151" t="s">
        <v>2399</v>
      </c>
      <c r="C544" s="51" t="s">
        <v>2048</v>
      </c>
      <c r="D544" s="51" t="s">
        <v>106</v>
      </c>
      <c r="E544" s="51"/>
      <c r="F544" s="51"/>
      <c r="G544" s="51" t="s">
        <v>2876</v>
      </c>
      <c r="H544" s="297"/>
      <c r="I544" s="297"/>
    </row>
    <row r="545" spans="1:9" ht="20" x14ac:dyDescent="0.2">
      <c r="A545" s="6"/>
      <c r="B545" s="151" t="s">
        <v>1834</v>
      </c>
      <c r="C545" s="51" t="s">
        <v>3500</v>
      </c>
      <c r="D545" s="51" t="s">
        <v>106</v>
      </c>
      <c r="E545" s="51"/>
      <c r="F545" s="51"/>
      <c r="G545" s="51" t="s">
        <v>2876</v>
      </c>
      <c r="H545" s="19"/>
      <c r="I545" s="19"/>
    </row>
    <row r="546" spans="1:9" ht="20" x14ac:dyDescent="0.2">
      <c r="A546" s="6"/>
      <c r="B546" s="151" t="s">
        <v>2463</v>
      </c>
      <c r="C546" s="51" t="s">
        <v>2114</v>
      </c>
      <c r="D546" s="51" t="s">
        <v>106</v>
      </c>
      <c r="E546" s="51"/>
      <c r="F546" s="51"/>
      <c r="G546" s="51" t="s">
        <v>2876</v>
      </c>
      <c r="H546" s="297"/>
      <c r="I546" s="297"/>
    </row>
    <row r="547" spans="1:9" ht="20" x14ac:dyDescent="0.2">
      <c r="A547" s="6"/>
      <c r="B547" s="151" t="s">
        <v>1845</v>
      </c>
      <c r="C547" s="51" t="s">
        <v>3507</v>
      </c>
      <c r="D547" s="51" t="s">
        <v>106</v>
      </c>
      <c r="E547" s="51"/>
      <c r="F547" s="51"/>
      <c r="G547" s="51" t="s">
        <v>2876</v>
      </c>
      <c r="H547" s="19"/>
      <c r="I547" s="19"/>
    </row>
    <row r="548" spans="1:9" ht="20" x14ac:dyDescent="0.2">
      <c r="A548" s="6"/>
      <c r="B548" s="184" t="s">
        <v>2406</v>
      </c>
      <c r="C548" s="51" t="s">
        <v>2056</v>
      </c>
      <c r="D548" s="51" t="s">
        <v>106</v>
      </c>
      <c r="E548" s="51"/>
      <c r="F548" s="51"/>
      <c r="G548" s="51" t="s">
        <v>2876</v>
      </c>
      <c r="H548" s="19"/>
      <c r="I548" s="19"/>
    </row>
    <row r="549" spans="1:9" ht="20" x14ac:dyDescent="0.2">
      <c r="A549" s="6"/>
      <c r="B549" s="151" t="s">
        <v>1840</v>
      </c>
      <c r="C549" s="51" t="s">
        <v>3188</v>
      </c>
      <c r="D549" s="51" t="s">
        <v>106</v>
      </c>
      <c r="E549" s="299">
        <v>55.337000000000003</v>
      </c>
      <c r="F549" s="299">
        <v>-123.182284</v>
      </c>
      <c r="G549" s="51" t="s">
        <v>2876</v>
      </c>
      <c r="H549" s="19"/>
      <c r="I549" s="19"/>
    </row>
    <row r="550" spans="1:9" ht="20" x14ac:dyDescent="0.2">
      <c r="A550" s="6"/>
      <c r="B550" s="151" t="s">
        <v>2458</v>
      </c>
      <c r="C550" s="51" t="s">
        <v>2110</v>
      </c>
      <c r="D550" s="51" t="s">
        <v>106</v>
      </c>
      <c r="E550" s="51"/>
      <c r="F550" s="51"/>
      <c r="G550" s="51" t="s">
        <v>2876</v>
      </c>
      <c r="H550" s="297"/>
      <c r="I550" s="297"/>
    </row>
    <row r="551" spans="1:9" ht="20" x14ac:dyDescent="0.2">
      <c r="A551" s="6"/>
      <c r="B551" s="151" t="s">
        <v>1842</v>
      </c>
      <c r="C551" s="51" t="s">
        <v>3505</v>
      </c>
      <c r="D551" s="51" t="s">
        <v>106</v>
      </c>
      <c r="E551" s="51"/>
      <c r="F551" s="51"/>
      <c r="G551" s="51" t="s">
        <v>2876</v>
      </c>
      <c r="H551" s="19"/>
      <c r="I551" s="19"/>
    </row>
    <row r="552" spans="1:9" ht="20" x14ac:dyDescent="0.2">
      <c r="A552" s="6"/>
      <c r="B552" s="151" t="s">
        <v>2557</v>
      </c>
      <c r="C552" s="51" t="s">
        <v>2212</v>
      </c>
      <c r="D552" s="51" t="s">
        <v>106</v>
      </c>
      <c r="E552" s="51"/>
      <c r="F552" s="51"/>
      <c r="G552" s="51" t="s">
        <v>2876</v>
      </c>
      <c r="H552" s="19"/>
      <c r="I552" s="19"/>
    </row>
    <row r="553" spans="1:9" ht="20" x14ac:dyDescent="0.2">
      <c r="A553" s="6"/>
      <c r="B553" s="230" t="s">
        <v>2745</v>
      </c>
      <c r="C553" s="51" t="s">
        <v>3306</v>
      </c>
      <c r="D553" s="51" t="s">
        <v>173</v>
      </c>
      <c r="E553" s="51"/>
      <c r="F553" s="51"/>
      <c r="G553" s="51" t="s">
        <v>2876</v>
      </c>
      <c r="H553" s="297"/>
      <c r="I553" s="297"/>
    </row>
    <row r="554" spans="1:9" ht="20" x14ac:dyDescent="0.2">
      <c r="A554" s="6"/>
      <c r="B554" s="151" t="s">
        <v>1827</v>
      </c>
      <c r="C554" s="51" t="s">
        <v>3212</v>
      </c>
      <c r="D554" s="51" t="s">
        <v>106</v>
      </c>
      <c r="E554" s="299">
        <v>53.892630400000002</v>
      </c>
      <c r="F554" s="299">
        <v>-122.81492729999999</v>
      </c>
      <c r="G554" s="51" t="s">
        <v>2876</v>
      </c>
      <c r="H554" s="19"/>
      <c r="I554" s="19"/>
    </row>
    <row r="555" spans="1:9" ht="20" x14ac:dyDescent="0.2">
      <c r="A555" s="6"/>
      <c r="B555" s="151" t="s">
        <v>2599</v>
      </c>
      <c r="C555" s="51" t="s">
        <v>2258</v>
      </c>
      <c r="D555" s="51" t="s">
        <v>106</v>
      </c>
      <c r="E555" s="51"/>
      <c r="F555" s="51"/>
      <c r="G555" s="51" t="s">
        <v>2876</v>
      </c>
      <c r="H555" s="297"/>
      <c r="I555" s="297"/>
    </row>
    <row r="556" spans="1:9" ht="20" x14ac:dyDescent="0.2">
      <c r="A556" s="6"/>
      <c r="B556" s="151" t="s">
        <v>1826</v>
      </c>
      <c r="C556" s="51" t="s">
        <v>3496</v>
      </c>
      <c r="D556" s="51" t="s">
        <v>106</v>
      </c>
      <c r="E556" s="51"/>
      <c r="F556" s="51"/>
      <c r="G556" s="51" t="s">
        <v>2876</v>
      </c>
      <c r="H556" s="19"/>
      <c r="I556" s="19"/>
    </row>
    <row r="557" spans="1:9" ht="20" x14ac:dyDescent="0.2">
      <c r="A557" s="6"/>
      <c r="B557" s="151" t="s">
        <v>2494</v>
      </c>
      <c r="C557" s="51" t="s">
        <v>2152</v>
      </c>
      <c r="D557" s="51" t="s">
        <v>106</v>
      </c>
      <c r="E557" s="51"/>
      <c r="F557" s="51"/>
      <c r="G557" s="51" t="s">
        <v>2876</v>
      </c>
      <c r="H557" s="297"/>
      <c r="I557" s="297"/>
    </row>
    <row r="558" spans="1:9" ht="20" x14ac:dyDescent="0.2">
      <c r="A558" s="6"/>
      <c r="B558" s="151" t="s">
        <v>1828</v>
      </c>
      <c r="C558" s="51" t="s">
        <v>3149</v>
      </c>
      <c r="D558" s="51" t="s">
        <v>106</v>
      </c>
      <c r="E558" s="299">
        <v>55.982571200000002</v>
      </c>
      <c r="F558" s="299">
        <v>-121.99496980000001</v>
      </c>
      <c r="G558" s="51" t="s">
        <v>2876</v>
      </c>
      <c r="H558" s="297"/>
      <c r="I558" s="297"/>
    </row>
    <row r="559" spans="1:9" ht="20" x14ac:dyDescent="0.2">
      <c r="A559" s="6"/>
      <c r="B559" s="151" t="s">
        <v>134</v>
      </c>
      <c r="C559" s="51" t="s">
        <v>3498</v>
      </c>
      <c r="D559" s="51" t="s">
        <v>106</v>
      </c>
      <c r="E559" s="51"/>
      <c r="F559" s="51"/>
      <c r="G559" s="51" t="s">
        <v>2876</v>
      </c>
      <c r="H559" s="19"/>
      <c r="I559" s="19"/>
    </row>
    <row r="560" spans="1:9" ht="20" x14ac:dyDescent="0.2">
      <c r="A560" s="6"/>
      <c r="B560" s="151" t="s">
        <v>2470</v>
      </c>
      <c r="C560" s="51" t="s">
        <v>2122</v>
      </c>
      <c r="D560" s="51" t="s">
        <v>106</v>
      </c>
      <c r="E560" s="51"/>
      <c r="F560" s="51"/>
      <c r="G560" s="51" t="s">
        <v>2876</v>
      </c>
      <c r="H560" s="297"/>
      <c r="I560" s="297"/>
    </row>
    <row r="561" spans="1:9" ht="20" x14ac:dyDescent="0.2">
      <c r="A561" s="6"/>
      <c r="B561" s="151" t="s">
        <v>1830</v>
      </c>
      <c r="C561" s="51" t="s">
        <v>3307</v>
      </c>
      <c r="D561" s="51" t="s">
        <v>106</v>
      </c>
      <c r="E561" s="51"/>
      <c r="F561" s="51"/>
      <c r="G561" s="51" t="s">
        <v>2876</v>
      </c>
      <c r="H561" s="19"/>
      <c r="I561" s="19"/>
    </row>
    <row r="562" spans="1:9" ht="20" x14ac:dyDescent="0.2">
      <c r="A562" s="6"/>
      <c r="B562" s="151" t="s">
        <v>2321</v>
      </c>
      <c r="C562" s="51" t="s">
        <v>3150</v>
      </c>
      <c r="D562" s="51" t="s">
        <v>106</v>
      </c>
      <c r="E562" s="299">
        <v>49.9256113</v>
      </c>
      <c r="F562" s="299">
        <v>-120.10928079999999</v>
      </c>
      <c r="G562" s="51" t="s">
        <v>2876</v>
      </c>
      <c r="H562" s="297"/>
      <c r="I562" s="297"/>
    </row>
    <row r="563" spans="1:9" ht="20" x14ac:dyDescent="0.2">
      <c r="A563" s="6"/>
      <c r="B563" s="151" t="s">
        <v>2440</v>
      </c>
      <c r="C563" s="51" t="s">
        <v>2093</v>
      </c>
      <c r="D563" s="51" t="s">
        <v>106</v>
      </c>
      <c r="E563" s="51"/>
      <c r="F563" s="51"/>
      <c r="G563" s="51" t="s">
        <v>2876</v>
      </c>
      <c r="H563" s="19"/>
      <c r="I563" s="19"/>
    </row>
    <row r="564" spans="1:9" ht="20" x14ac:dyDescent="0.2">
      <c r="A564" s="6"/>
      <c r="B564" s="151" t="s">
        <v>2271</v>
      </c>
      <c r="C564" s="51" t="s">
        <v>3669</v>
      </c>
      <c r="D564" s="51" t="s">
        <v>106</v>
      </c>
      <c r="E564" s="51"/>
      <c r="F564" s="51"/>
      <c r="G564" s="51" t="s">
        <v>2876</v>
      </c>
      <c r="H564" s="19"/>
      <c r="I564" s="19"/>
    </row>
    <row r="565" spans="1:9" ht="20" x14ac:dyDescent="0.2">
      <c r="A565" s="6"/>
      <c r="B565" s="151" t="s">
        <v>1752</v>
      </c>
      <c r="C565" s="51" t="s">
        <v>3464</v>
      </c>
      <c r="D565" s="51" t="s">
        <v>106</v>
      </c>
      <c r="E565" s="299">
        <v>58.627855125333298</v>
      </c>
      <c r="F565" s="299">
        <v>-122.252556474825</v>
      </c>
      <c r="G565" s="51" t="s">
        <v>3716</v>
      </c>
      <c r="H565" s="297"/>
      <c r="I565" s="297"/>
    </row>
    <row r="566" spans="1:9" ht="20" x14ac:dyDescent="0.2">
      <c r="A566" s="6"/>
      <c r="B566" s="151" t="s">
        <v>2451</v>
      </c>
      <c r="C566" s="51" t="s">
        <v>2104</v>
      </c>
      <c r="D566" s="51" t="s">
        <v>106</v>
      </c>
      <c r="E566" s="51"/>
      <c r="F566" s="51"/>
      <c r="G566" s="51" t="s">
        <v>2876</v>
      </c>
      <c r="H566" s="19"/>
      <c r="I566" s="19"/>
    </row>
    <row r="567" spans="1:9" ht="20" x14ac:dyDescent="0.2">
      <c r="A567" s="6"/>
      <c r="B567" s="151" t="s">
        <v>1831</v>
      </c>
      <c r="C567" s="51" t="s">
        <v>3308</v>
      </c>
      <c r="D567" s="51" t="s">
        <v>106</v>
      </c>
      <c r="E567" s="51"/>
      <c r="F567" s="51"/>
      <c r="G567" s="51" t="s">
        <v>2876</v>
      </c>
      <c r="H567" s="19"/>
      <c r="I567" s="19"/>
    </row>
    <row r="568" spans="1:9" ht="20" x14ac:dyDescent="0.2">
      <c r="A568" s="6"/>
      <c r="B568" s="230" t="s">
        <v>2668</v>
      </c>
      <c r="C568" s="51" t="s">
        <v>3311</v>
      </c>
      <c r="D568" s="51" t="s">
        <v>173</v>
      </c>
      <c r="E568" s="51"/>
      <c r="F568" s="51"/>
      <c r="G568" s="51" t="s">
        <v>2876</v>
      </c>
      <c r="H568" s="297"/>
      <c r="I568" s="297"/>
    </row>
    <row r="569" spans="1:9" ht="20" x14ac:dyDescent="0.2">
      <c r="A569" s="6"/>
      <c r="B569" s="151" t="s">
        <v>1847</v>
      </c>
      <c r="C569" s="51" t="s">
        <v>3509</v>
      </c>
      <c r="D569" s="51" t="s">
        <v>106</v>
      </c>
      <c r="E569" s="51"/>
      <c r="F569" s="51"/>
      <c r="G569" s="51" t="s">
        <v>2876</v>
      </c>
      <c r="H569" s="19"/>
      <c r="I569" s="19"/>
    </row>
    <row r="570" spans="1:9" ht="20" x14ac:dyDescent="0.2">
      <c r="A570" s="6"/>
      <c r="B570" s="151" t="s">
        <v>2587</v>
      </c>
      <c r="C570" s="51" t="s">
        <v>2247</v>
      </c>
      <c r="D570" s="51" t="s">
        <v>106</v>
      </c>
      <c r="E570" s="51"/>
      <c r="F570" s="51"/>
      <c r="G570" s="51" t="s">
        <v>2876</v>
      </c>
      <c r="H570" s="19"/>
      <c r="I570" s="19"/>
    </row>
    <row r="571" spans="1:9" ht="20" x14ac:dyDescent="0.2">
      <c r="A571" s="6"/>
      <c r="B571" s="151" t="s">
        <v>2320</v>
      </c>
      <c r="C571" s="51" t="s">
        <v>3110</v>
      </c>
      <c r="D571" s="51" t="s">
        <v>106</v>
      </c>
      <c r="E571" s="299">
        <v>50.771577000000001</v>
      </c>
      <c r="F571" s="299">
        <v>-118.1041359</v>
      </c>
      <c r="G571" s="51" t="s">
        <v>2876</v>
      </c>
      <c r="H571" s="19"/>
      <c r="I571" s="19"/>
    </row>
    <row r="572" spans="1:9" ht="20" x14ac:dyDescent="0.2">
      <c r="A572" s="6"/>
      <c r="B572" s="151" t="s">
        <v>2272</v>
      </c>
      <c r="C572" s="51" t="s">
        <v>3670</v>
      </c>
      <c r="D572" s="51" t="s">
        <v>106</v>
      </c>
      <c r="E572" s="51"/>
      <c r="F572" s="51"/>
      <c r="G572" s="51" t="s">
        <v>2876</v>
      </c>
      <c r="H572" s="19"/>
      <c r="I572" s="19"/>
    </row>
    <row r="573" spans="1:9" ht="20" x14ac:dyDescent="0.2">
      <c r="A573" s="6"/>
      <c r="B573" s="151" t="s">
        <v>2466</v>
      </c>
      <c r="C573" s="51" t="s">
        <v>2119</v>
      </c>
      <c r="D573" s="51" t="s">
        <v>106</v>
      </c>
      <c r="E573" s="51"/>
      <c r="F573" s="51"/>
      <c r="G573" s="51" t="s">
        <v>2876</v>
      </c>
      <c r="H573" s="19"/>
      <c r="I573" s="19"/>
    </row>
    <row r="574" spans="1:9" ht="20" x14ac:dyDescent="0.2">
      <c r="A574" s="6"/>
      <c r="B574" s="151" t="s">
        <v>1836</v>
      </c>
      <c r="C574" s="51" t="s">
        <v>3671</v>
      </c>
      <c r="D574" s="51" t="s">
        <v>106</v>
      </c>
      <c r="E574" s="51"/>
      <c r="F574" s="51"/>
      <c r="G574" s="51" t="s">
        <v>2876</v>
      </c>
      <c r="H574" s="19"/>
      <c r="I574" s="19"/>
    </row>
    <row r="575" spans="1:9" ht="20" x14ac:dyDescent="0.2">
      <c r="A575" s="6"/>
      <c r="B575" s="151" t="s">
        <v>2593</v>
      </c>
      <c r="C575" s="51" t="s">
        <v>2254</v>
      </c>
      <c r="D575" s="51" t="s">
        <v>106</v>
      </c>
      <c r="E575" s="51"/>
      <c r="F575" s="51"/>
      <c r="G575" s="51" t="s">
        <v>2876</v>
      </c>
      <c r="H575" s="19"/>
      <c r="I575" s="19"/>
    </row>
    <row r="576" spans="1:9" ht="20" x14ac:dyDescent="0.2">
      <c r="A576" s="6"/>
      <c r="B576" s="230" t="s">
        <v>2743</v>
      </c>
      <c r="C576" s="51" t="s">
        <v>3310</v>
      </c>
      <c r="D576" s="51" t="s">
        <v>173</v>
      </c>
      <c r="E576" s="51"/>
      <c r="F576" s="51"/>
      <c r="G576" s="51" t="s">
        <v>2876</v>
      </c>
      <c r="H576" s="19"/>
      <c r="I576" s="19"/>
    </row>
    <row r="577" spans="1:9" ht="20" x14ac:dyDescent="0.2">
      <c r="A577" s="6"/>
      <c r="B577" s="151" t="s">
        <v>167</v>
      </c>
      <c r="C577" s="51" t="s">
        <v>3186</v>
      </c>
      <c r="D577" s="51" t="s">
        <v>106</v>
      </c>
      <c r="E577" s="299">
        <v>49.247370799999999</v>
      </c>
      <c r="F577" s="299">
        <v>-124.81118530000001</v>
      </c>
      <c r="G577" s="51" t="s">
        <v>2876</v>
      </c>
      <c r="H577" s="19"/>
      <c r="I577" s="19"/>
    </row>
    <row r="578" spans="1:9" ht="20" x14ac:dyDescent="0.2">
      <c r="A578" s="6"/>
      <c r="B578" s="151" t="s">
        <v>1829</v>
      </c>
      <c r="C578" s="51" t="s">
        <v>3497</v>
      </c>
      <c r="D578" s="51" t="s">
        <v>106</v>
      </c>
      <c r="E578" s="51"/>
      <c r="F578" s="51"/>
      <c r="G578" s="51" t="s">
        <v>2876</v>
      </c>
      <c r="H578" s="19"/>
      <c r="I578" s="19"/>
    </row>
    <row r="579" spans="1:9" ht="20" x14ac:dyDescent="0.2">
      <c r="A579" s="6"/>
      <c r="B579" s="151" t="s">
        <v>2607</v>
      </c>
      <c r="C579" s="51" t="s">
        <v>2266</v>
      </c>
      <c r="D579" s="51" t="s">
        <v>106</v>
      </c>
      <c r="E579" s="51"/>
      <c r="F579" s="51"/>
      <c r="G579" s="51" t="s">
        <v>2876</v>
      </c>
      <c r="H579" s="19"/>
      <c r="I579" s="19"/>
    </row>
    <row r="580" spans="1:9" ht="20" x14ac:dyDescent="0.2">
      <c r="A580" s="6"/>
      <c r="B580" s="151" t="s">
        <v>155</v>
      </c>
      <c r="C580" s="51" t="s">
        <v>3405</v>
      </c>
      <c r="D580" s="51" t="s">
        <v>106</v>
      </c>
      <c r="E580" s="51"/>
      <c r="F580" s="51"/>
      <c r="G580" s="51" t="s">
        <v>2876</v>
      </c>
      <c r="H580" s="19"/>
      <c r="I580" s="19"/>
    </row>
    <row r="581" spans="1:9" ht="20" x14ac:dyDescent="0.2">
      <c r="A581" s="6"/>
      <c r="B581" s="151" t="s">
        <v>1832</v>
      </c>
      <c r="C581" s="51" t="s">
        <v>3309</v>
      </c>
      <c r="D581" s="51" t="s">
        <v>106</v>
      </c>
      <c r="E581" s="51"/>
      <c r="F581" s="51"/>
      <c r="G581" s="51" t="s">
        <v>2876</v>
      </c>
      <c r="H581" s="19"/>
      <c r="I581" s="19"/>
    </row>
    <row r="582" spans="1:9" ht="20" x14ac:dyDescent="0.2">
      <c r="A582" s="6"/>
      <c r="B582" s="151" t="s">
        <v>2610</v>
      </c>
      <c r="C582" s="51" t="s">
        <v>2139</v>
      </c>
      <c r="D582" s="51" t="s">
        <v>106</v>
      </c>
      <c r="E582" s="51"/>
      <c r="F582" s="51"/>
      <c r="G582" s="51" t="s">
        <v>2876</v>
      </c>
      <c r="H582" s="19"/>
      <c r="I582" s="19"/>
    </row>
    <row r="583" spans="1:9" ht="20" x14ac:dyDescent="0.2">
      <c r="A583" s="6"/>
      <c r="B583" s="151" t="s">
        <v>1833</v>
      </c>
      <c r="C583" s="51" t="s">
        <v>3499</v>
      </c>
      <c r="D583" s="51" t="s">
        <v>106</v>
      </c>
      <c r="E583" s="51"/>
      <c r="F583" s="51"/>
      <c r="G583" s="51" t="s">
        <v>2876</v>
      </c>
      <c r="H583" s="297"/>
      <c r="I583" s="297"/>
    </row>
    <row r="584" spans="1:9" ht="20" x14ac:dyDescent="0.2">
      <c r="A584" s="6"/>
      <c r="B584" s="151" t="s">
        <v>2532</v>
      </c>
      <c r="C584" s="51" t="s">
        <v>2191</v>
      </c>
      <c r="D584" s="51" t="s">
        <v>106</v>
      </c>
      <c r="E584" s="51"/>
      <c r="F584" s="51"/>
      <c r="G584" s="51" t="s">
        <v>2876</v>
      </c>
      <c r="H584" s="19"/>
      <c r="I584" s="19"/>
    </row>
    <row r="585" spans="1:9" ht="20" x14ac:dyDescent="0.2">
      <c r="A585" s="6"/>
      <c r="B585" s="151" t="s">
        <v>247</v>
      </c>
      <c r="C585" s="51" t="s">
        <v>3501</v>
      </c>
      <c r="D585" s="51" t="s">
        <v>106</v>
      </c>
      <c r="E585" s="51"/>
      <c r="F585" s="51"/>
      <c r="G585" s="51" t="s">
        <v>2876</v>
      </c>
      <c r="H585" s="297"/>
      <c r="I585" s="297"/>
    </row>
    <row r="586" spans="1:9" ht="20" x14ac:dyDescent="0.2">
      <c r="A586" s="6"/>
      <c r="B586" s="151" t="s">
        <v>2409</v>
      </c>
      <c r="C586" s="51" t="s">
        <v>2060</v>
      </c>
      <c r="D586" s="51" t="s">
        <v>106</v>
      </c>
      <c r="E586" s="51"/>
      <c r="F586" s="51"/>
      <c r="G586" s="51" t="s">
        <v>2876</v>
      </c>
      <c r="H586" s="19"/>
      <c r="I586" s="19"/>
    </row>
    <row r="587" spans="1:9" ht="20" x14ac:dyDescent="0.2">
      <c r="A587" s="6"/>
      <c r="B587" s="151" t="s">
        <v>1838</v>
      </c>
      <c r="C587" s="51" t="s">
        <v>3503</v>
      </c>
      <c r="D587" s="51" t="s">
        <v>106</v>
      </c>
      <c r="E587" s="51"/>
      <c r="F587" s="51"/>
      <c r="G587" s="51" t="s">
        <v>2876</v>
      </c>
      <c r="H587" s="297"/>
      <c r="I587" s="297"/>
    </row>
    <row r="588" spans="1:9" ht="20" x14ac:dyDescent="0.2">
      <c r="A588" s="6"/>
      <c r="B588" s="151" t="s">
        <v>2454</v>
      </c>
      <c r="C588" s="51" t="s">
        <v>2107</v>
      </c>
      <c r="D588" s="51" t="s">
        <v>106</v>
      </c>
      <c r="E588" s="51"/>
      <c r="F588" s="51"/>
      <c r="G588" s="51" t="s">
        <v>2876</v>
      </c>
      <c r="H588" s="19"/>
      <c r="I588" s="19"/>
    </row>
    <row r="589" spans="1:9" ht="20" x14ac:dyDescent="0.2">
      <c r="A589" s="6"/>
      <c r="B589" s="151" t="s">
        <v>1843</v>
      </c>
      <c r="C589" s="51" t="s">
        <v>3506</v>
      </c>
      <c r="D589" s="51" t="s">
        <v>106</v>
      </c>
      <c r="E589" s="51"/>
      <c r="F589" s="51"/>
      <c r="G589" s="51" t="s">
        <v>2876</v>
      </c>
      <c r="H589" s="297"/>
      <c r="I589" s="297"/>
    </row>
    <row r="590" spans="1:9" ht="20" x14ac:dyDescent="0.2">
      <c r="A590" s="6"/>
      <c r="B590" s="151" t="s">
        <v>2526</v>
      </c>
      <c r="C590" s="51" t="s">
        <v>2186</v>
      </c>
      <c r="D590" s="51" t="s">
        <v>106</v>
      </c>
      <c r="E590" s="51"/>
      <c r="F590" s="51"/>
      <c r="G590" s="51" t="s">
        <v>2876</v>
      </c>
      <c r="H590" s="19"/>
      <c r="I590" s="19"/>
    </row>
    <row r="591" spans="1:9" ht="20" x14ac:dyDescent="0.2">
      <c r="A591" s="6"/>
      <c r="B591" s="151" t="s">
        <v>1837</v>
      </c>
      <c r="C591" s="51" t="s">
        <v>3432</v>
      </c>
      <c r="D591" s="51" t="s">
        <v>106</v>
      </c>
      <c r="E591" s="299">
        <v>49.8723478</v>
      </c>
      <c r="F591" s="299">
        <v>-124.55770390000001</v>
      </c>
      <c r="G591" s="51" t="s">
        <v>2876</v>
      </c>
      <c r="H591" s="297"/>
      <c r="I591" s="297"/>
    </row>
    <row r="592" spans="1:9" ht="20" x14ac:dyDescent="0.2">
      <c r="A592" s="6"/>
      <c r="B592" s="151" t="s">
        <v>1846</v>
      </c>
      <c r="C592" s="51" t="s">
        <v>3313</v>
      </c>
      <c r="D592" s="51" t="s">
        <v>106</v>
      </c>
      <c r="E592" s="51"/>
      <c r="F592" s="51"/>
      <c r="G592" s="51" t="s">
        <v>2876</v>
      </c>
      <c r="H592" s="19"/>
      <c r="I592" s="19"/>
    </row>
    <row r="593" spans="1:9" ht="20" x14ac:dyDescent="0.2">
      <c r="A593" s="6"/>
      <c r="B593" s="151" t="s">
        <v>1709</v>
      </c>
      <c r="C593" s="51" t="s">
        <v>3672</v>
      </c>
      <c r="D593" s="51" t="s">
        <v>106</v>
      </c>
      <c r="E593" s="299">
        <v>53.923461799999998</v>
      </c>
      <c r="F593" s="299">
        <v>-122.69565059999999</v>
      </c>
      <c r="G593" s="51" t="s">
        <v>2876</v>
      </c>
      <c r="H593" s="19"/>
      <c r="I593" s="19"/>
    </row>
    <row r="594" spans="1:9" ht="20" x14ac:dyDescent="0.2">
      <c r="A594" s="6"/>
      <c r="B594" s="184" t="s">
        <v>2592</v>
      </c>
      <c r="C594" s="51" t="s">
        <v>2251</v>
      </c>
      <c r="D594" s="51" t="s">
        <v>106</v>
      </c>
      <c r="E594" s="51"/>
      <c r="F594" s="51"/>
      <c r="G594" s="51" t="s">
        <v>2876</v>
      </c>
      <c r="H594" s="297"/>
      <c r="I594" s="297"/>
    </row>
    <row r="595" spans="1:9" ht="20" x14ac:dyDescent="0.2">
      <c r="A595" s="6"/>
      <c r="B595" s="151" t="s">
        <v>1839</v>
      </c>
      <c r="C595" s="51" t="s">
        <v>3673</v>
      </c>
      <c r="D595" s="51" t="s">
        <v>106</v>
      </c>
      <c r="E595" s="51"/>
      <c r="F595" s="51"/>
      <c r="G595" s="51" t="s">
        <v>2876</v>
      </c>
      <c r="H595" s="19"/>
      <c r="I595" s="19"/>
    </row>
    <row r="596" spans="1:9" ht="20" x14ac:dyDescent="0.2">
      <c r="A596" s="6"/>
      <c r="B596" s="151" t="s">
        <v>2609</v>
      </c>
      <c r="C596" s="51" t="s">
        <v>2267</v>
      </c>
      <c r="D596" s="51" t="s">
        <v>106</v>
      </c>
      <c r="E596" s="51"/>
      <c r="F596" s="51"/>
      <c r="G596" s="51" t="s">
        <v>2876</v>
      </c>
      <c r="H596" s="297"/>
      <c r="I596" s="297"/>
    </row>
    <row r="597" spans="1:9" ht="20" x14ac:dyDescent="0.2">
      <c r="A597" s="6"/>
      <c r="B597" s="230" t="s">
        <v>2652</v>
      </c>
      <c r="C597" s="51" t="s">
        <v>3312</v>
      </c>
      <c r="D597" s="51" t="s">
        <v>173</v>
      </c>
      <c r="E597" s="51"/>
      <c r="F597" s="51"/>
      <c r="G597" s="51" t="s">
        <v>2876</v>
      </c>
      <c r="H597" s="19"/>
      <c r="I597" s="19"/>
    </row>
    <row r="598" spans="1:9" ht="20" x14ac:dyDescent="0.2">
      <c r="A598" s="6"/>
      <c r="B598" s="151" t="s">
        <v>2653</v>
      </c>
      <c r="C598" s="51" t="s">
        <v>2654</v>
      </c>
      <c r="D598" s="51" t="s">
        <v>106</v>
      </c>
      <c r="E598" s="51"/>
      <c r="F598" s="51"/>
      <c r="G598" s="51" t="s">
        <v>2876</v>
      </c>
      <c r="H598" s="297"/>
      <c r="I598" s="297"/>
    </row>
    <row r="599" spans="1:9" ht="20" x14ac:dyDescent="0.2">
      <c r="A599" s="6"/>
      <c r="B599" s="151" t="s">
        <v>1844</v>
      </c>
      <c r="C599" s="51" t="s">
        <v>3724</v>
      </c>
      <c r="D599" s="51" t="s">
        <v>106</v>
      </c>
      <c r="E599" s="299">
        <v>49.6649648</v>
      </c>
      <c r="F599" s="299">
        <v>-125.0939051</v>
      </c>
      <c r="G599" s="51" t="s">
        <v>2876</v>
      </c>
      <c r="H599" s="19"/>
      <c r="I599" s="19"/>
    </row>
    <row r="600" spans="1:9" ht="20" x14ac:dyDescent="0.2">
      <c r="A600" s="6"/>
      <c r="B600" s="151" t="s">
        <v>1848</v>
      </c>
      <c r="C600" s="51" t="s">
        <v>3510</v>
      </c>
      <c r="D600" s="51" t="s">
        <v>106</v>
      </c>
      <c r="E600" s="51"/>
      <c r="F600" s="51"/>
      <c r="G600" s="51" t="s">
        <v>2876</v>
      </c>
      <c r="H600" s="19"/>
      <c r="I600" s="19"/>
    </row>
    <row r="601" spans="1:9" ht="20" x14ac:dyDescent="0.2">
      <c r="A601" s="6"/>
      <c r="B601" s="151" t="s">
        <v>2405</v>
      </c>
      <c r="C601" s="51" t="s">
        <v>2057</v>
      </c>
      <c r="D601" s="51" t="s">
        <v>106</v>
      </c>
      <c r="E601" s="51"/>
      <c r="F601" s="51"/>
      <c r="G601" s="51" t="s">
        <v>2876</v>
      </c>
      <c r="H601" s="297"/>
      <c r="I601" s="297"/>
    </row>
    <row r="602" spans="1:9" ht="20" x14ac:dyDescent="0.2">
      <c r="A602" s="6"/>
      <c r="B602" s="151" t="s">
        <v>2322</v>
      </c>
      <c r="C602" s="51" t="s">
        <v>3151</v>
      </c>
      <c r="D602" s="51" t="s">
        <v>106</v>
      </c>
      <c r="E602" s="299">
        <v>55.184598899999997</v>
      </c>
      <c r="F602" s="299">
        <v>-120.8546767</v>
      </c>
      <c r="G602" s="51" t="s">
        <v>2876</v>
      </c>
      <c r="H602" s="19"/>
      <c r="I602" s="19"/>
    </row>
    <row r="603" spans="1:9" ht="20" x14ac:dyDescent="0.2">
      <c r="A603" s="6"/>
      <c r="B603" s="151" t="s">
        <v>157</v>
      </c>
      <c r="C603" s="51" t="s">
        <v>3314</v>
      </c>
      <c r="D603" s="51" t="s">
        <v>106</v>
      </c>
      <c r="E603" s="51"/>
      <c r="F603" s="51"/>
      <c r="G603" s="51" t="s">
        <v>2876</v>
      </c>
      <c r="H603" s="19"/>
      <c r="I603" s="19"/>
    </row>
    <row r="604" spans="1:9" ht="20" x14ac:dyDescent="0.2">
      <c r="A604" s="6"/>
      <c r="B604" s="151" t="s">
        <v>1850</v>
      </c>
      <c r="C604" s="51" t="s">
        <v>3674</v>
      </c>
      <c r="D604" s="51" t="s">
        <v>106</v>
      </c>
      <c r="E604" s="51"/>
      <c r="F604" s="51"/>
      <c r="G604" s="51" t="s">
        <v>2876</v>
      </c>
      <c r="H604" s="297"/>
      <c r="I604" s="297"/>
    </row>
    <row r="605" spans="1:9" ht="20" x14ac:dyDescent="0.2">
      <c r="A605" s="6"/>
      <c r="B605" s="151" t="s">
        <v>1849</v>
      </c>
      <c r="C605" s="51" t="s">
        <v>3480</v>
      </c>
      <c r="D605" s="51" t="s">
        <v>106</v>
      </c>
      <c r="E605" s="51"/>
      <c r="F605" s="51"/>
      <c r="G605" s="51" t="s">
        <v>2876</v>
      </c>
      <c r="H605" s="19"/>
      <c r="I605" s="19"/>
    </row>
    <row r="606" spans="1:9" ht="20" x14ac:dyDescent="0.2">
      <c r="A606" s="6"/>
      <c r="B606" s="151" t="s">
        <v>1853</v>
      </c>
      <c r="C606" s="51" t="s">
        <v>3512</v>
      </c>
      <c r="D606" s="51" t="s">
        <v>106</v>
      </c>
      <c r="E606" s="51"/>
      <c r="F606" s="51"/>
      <c r="G606" s="51" t="s">
        <v>2876</v>
      </c>
      <c r="H606" s="19"/>
      <c r="I606" s="19"/>
    </row>
    <row r="607" spans="1:9" ht="20" x14ac:dyDescent="0.2">
      <c r="A607" s="6"/>
      <c r="B607" s="151" t="s">
        <v>2555</v>
      </c>
      <c r="C607" s="51" t="s">
        <v>2213</v>
      </c>
      <c r="D607" s="51" t="s">
        <v>106</v>
      </c>
      <c r="E607" s="51"/>
      <c r="F607" s="51"/>
      <c r="G607" s="51" t="s">
        <v>2876</v>
      </c>
      <c r="H607" s="19"/>
      <c r="I607" s="19"/>
    </row>
    <row r="608" spans="1:9" ht="20" x14ac:dyDescent="0.2">
      <c r="A608" s="6"/>
      <c r="B608" s="151" t="s">
        <v>1852</v>
      </c>
      <c r="C608" s="51" t="s">
        <v>3511</v>
      </c>
      <c r="D608" s="51" t="s">
        <v>106</v>
      </c>
      <c r="E608" s="51"/>
      <c r="F608" s="51"/>
      <c r="G608" s="51" t="s">
        <v>2876</v>
      </c>
      <c r="H608" s="297"/>
      <c r="I608" s="297"/>
    </row>
    <row r="609" spans="1:9" ht="20" x14ac:dyDescent="0.2">
      <c r="A609" s="6"/>
      <c r="B609" s="151" t="s">
        <v>2469</v>
      </c>
      <c r="C609" s="51" t="s">
        <v>2121</v>
      </c>
      <c r="D609" s="51" t="s">
        <v>106</v>
      </c>
      <c r="E609" s="51"/>
      <c r="F609" s="51"/>
      <c r="G609" s="51" t="s">
        <v>2876</v>
      </c>
      <c r="H609" s="19"/>
      <c r="I609" s="19"/>
    </row>
    <row r="610" spans="1:9" ht="20" x14ac:dyDescent="0.2">
      <c r="A610" s="6"/>
      <c r="B610" s="151" t="s">
        <v>1854</v>
      </c>
      <c r="C610" s="51" t="s">
        <v>3185</v>
      </c>
      <c r="D610" s="51" t="s">
        <v>106</v>
      </c>
      <c r="E610" s="299">
        <v>53.109166700000003</v>
      </c>
      <c r="F610" s="299">
        <v>-120.1941667</v>
      </c>
      <c r="G610" s="51" t="s">
        <v>2876</v>
      </c>
      <c r="H610" s="19"/>
      <c r="I610" s="19"/>
    </row>
    <row r="611" spans="1:9" ht="20" x14ac:dyDescent="0.2">
      <c r="A611" s="6"/>
      <c r="B611" s="230" t="s">
        <v>2632</v>
      </c>
      <c r="C611" s="51" t="s">
        <v>3316</v>
      </c>
      <c r="D611" s="51" t="s">
        <v>173</v>
      </c>
      <c r="E611" s="51"/>
      <c r="F611" s="51"/>
      <c r="G611" s="51" t="s">
        <v>2876</v>
      </c>
      <c r="H611" s="297"/>
      <c r="I611" s="297"/>
    </row>
    <row r="612" spans="1:9" ht="20" x14ac:dyDescent="0.2">
      <c r="A612" s="6"/>
      <c r="B612" s="151" t="s">
        <v>1851</v>
      </c>
      <c r="C612" s="51" t="s">
        <v>3315</v>
      </c>
      <c r="D612" s="51" t="s">
        <v>106</v>
      </c>
      <c r="E612" s="51"/>
      <c r="F612" s="51"/>
      <c r="G612" s="51" t="s">
        <v>2876</v>
      </c>
      <c r="H612" s="19"/>
      <c r="I612" s="19"/>
    </row>
    <row r="613" spans="1:9" ht="20" x14ac:dyDescent="0.2">
      <c r="A613" s="6"/>
      <c r="B613" s="151" t="s">
        <v>1855</v>
      </c>
      <c r="C613" s="51" t="s">
        <v>3152</v>
      </c>
      <c r="D613" s="51" t="s">
        <v>106</v>
      </c>
      <c r="E613" s="299">
        <v>51.048563100000003</v>
      </c>
      <c r="F613" s="299">
        <v>-118.1939447</v>
      </c>
      <c r="G613" s="51" t="s">
        <v>2876</v>
      </c>
      <c r="H613" s="297"/>
      <c r="I613" s="297"/>
    </row>
    <row r="614" spans="1:9" ht="20" x14ac:dyDescent="0.2">
      <c r="A614" s="6"/>
      <c r="B614" s="230" t="s">
        <v>1856</v>
      </c>
      <c r="C614" s="51" t="s">
        <v>3205</v>
      </c>
      <c r="D614" s="51" t="s">
        <v>173</v>
      </c>
      <c r="E614" s="299">
        <v>49.6601754</v>
      </c>
      <c r="F614" s="299">
        <v>-120.1222123</v>
      </c>
      <c r="G614" s="51" t="s">
        <v>2876</v>
      </c>
      <c r="H614" s="19"/>
      <c r="I614" s="19"/>
    </row>
    <row r="615" spans="1:9" ht="20" x14ac:dyDescent="0.2">
      <c r="A615" s="6"/>
      <c r="B615" s="151" t="s">
        <v>212</v>
      </c>
      <c r="C615" s="51" t="s">
        <v>3516</v>
      </c>
      <c r="D615" s="51" t="s">
        <v>106</v>
      </c>
      <c r="E615" s="51"/>
      <c r="F615" s="51"/>
      <c r="G615" s="51" t="s">
        <v>2876</v>
      </c>
      <c r="H615" s="19"/>
      <c r="I615" s="19"/>
    </row>
    <row r="616" spans="1:9" ht="20" x14ac:dyDescent="0.2">
      <c r="A616" s="6"/>
      <c r="B616" s="151" t="s">
        <v>1860</v>
      </c>
      <c r="C616" s="51" t="s">
        <v>3675</v>
      </c>
      <c r="D616" s="51" t="s">
        <v>106</v>
      </c>
      <c r="E616" s="51"/>
      <c r="F616" s="51"/>
      <c r="G616" s="51" t="s">
        <v>2876</v>
      </c>
      <c r="H616" s="19"/>
      <c r="I616" s="19"/>
    </row>
    <row r="617" spans="1:9" ht="20" x14ac:dyDescent="0.2">
      <c r="A617" s="6"/>
      <c r="B617" s="151" t="s">
        <v>1861</v>
      </c>
      <c r="C617" s="51" t="s">
        <v>3676</v>
      </c>
      <c r="D617" s="51" t="s">
        <v>106</v>
      </c>
      <c r="E617" s="51"/>
      <c r="F617" s="51"/>
      <c r="G617" s="51" t="s">
        <v>2876</v>
      </c>
      <c r="H617" s="297"/>
      <c r="I617" s="297"/>
    </row>
    <row r="618" spans="1:9" ht="20" x14ac:dyDescent="0.2">
      <c r="A618" s="6"/>
      <c r="B618" s="151" t="s">
        <v>1864</v>
      </c>
      <c r="C618" s="51" t="s">
        <v>3513</v>
      </c>
      <c r="D618" s="51" t="s">
        <v>106</v>
      </c>
      <c r="E618" s="51"/>
      <c r="F618" s="51"/>
      <c r="G618" s="51" t="s">
        <v>2876</v>
      </c>
      <c r="H618" s="19"/>
      <c r="I618" s="19"/>
    </row>
    <row r="619" spans="1:9" ht="20" x14ac:dyDescent="0.2">
      <c r="A619" s="6"/>
      <c r="B619" s="151" t="s">
        <v>2437</v>
      </c>
      <c r="C619" s="51" t="s">
        <v>2089</v>
      </c>
      <c r="D619" s="51" t="s">
        <v>106</v>
      </c>
      <c r="E619" s="51"/>
      <c r="F619" s="51"/>
      <c r="G619" s="51" t="s">
        <v>2876</v>
      </c>
      <c r="H619" s="19"/>
      <c r="I619" s="19"/>
    </row>
    <row r="620" spans="1:9" ht="20" x14ac:dyDescent="0.2">
      <c r="A620" s="6"/>
      <c r="B620" s="151" t="s">
        <v>1858</v>
      </c>
      <c r="C620" s="51" t="s">
        <v>3203</v>
      </c>
      <c r="D620" s="51" t="s">
        <v>106</v>
      </c>
      <c r="E620" s="299">
        <v>49.332616700000003</v>
      </c>
      <c r="F620" s="299">
        <v>-121.880117</v>
      </c>
      <c r="G620" s="51" t="s">
        <v>2876</v>
      </c>
      <c r="H620" s="297"/>
      <c r="I620" s="297"/>
    </row>
    <row r="621" spans="1:9" ht="20" x14ac:dyDescent="0.2">
      <c r="A621" s="6"/>
      <c r="B621" s="230" t="s">
        <v>2718</v>
      </c>
      <c r="C621" s="51" t="s">
        <v>3317</v>
      </c>
      <c r="D621" s="51" t="s">
        <v>173</v>
      </c>
      <c r="E621" s="51"/>
      <c r="F621" s="51"/>
      <c r="G621" s="51" t="s">
        <v>2876</v>
      </c>
      <c r="H621" s="19"/>
      <c r="I621" s="19"/>
    </row>
    <row r="622" spans="1:9" ht="20" x14ac:dyDescent="0.2">
      <c r="A622" s="6"/>
      <c r="B622" s="151" t="s">
        <v>1857</v>
      </c>
      <c r="C622" s="51" t="s">
        <v>3492</v>
      </c>
      <c r="D622" s="51" t="s">
        <v>106</v>
      </c>
      <c r="E622" s="51"/>
      <c r="F622" s="51"/>
      <c r="G622" s="51" t="s">
        <v>2876</v>
      </c>
      <c r="H622" s="297"/>
      <c r="I622" s="297"/>
    </row>
    <row r="623" spans="1:9" ht="20" x14ac:dyDescent="0.2">
      <c r="A623" s="6"/>
      <c r="B623" s="230" t="s">
        <v>2693</v>
      </c>
      <c r="C623" s="51" t="s">
        <v>3380</v>
      </c>
      <c r="D623" s="51" t="s">
        <v>173</v>
      </c>
      <c r="E623" s="51"/>
      <c r="F623" s="51"/>
      <c r="G623" s="51" t="s">
        <v>2876</v>
      </c>
      <c r="H623" s="19"/>
      <c r="I623" s="19"/>
    </row>
    <row r="624" spans="1:9" ht="20" x14ac:dyDescent="0.2">
      <c r="A624" s="6"/>
      <c r="B624" s="230" t="s">
        <v>2688</v>
      </c>
      <c r="C624" s="51" t="s">
        <v>2758</v>
      </c>
      <c r="D624" s="51" t="s">
        <v>173</v>
      </c>
      <c r="E624" s="51"/>
      <c r="F624" s="51"/>
      <c r="G624" s="51" t="s">
        <v>2876</v>
      </c>
      <c r="H624" s="297"/>
      <c r="I624" s="297"/>
    </row>
    <row r="625" spans="1:9" ht="20" x14ac:dyDescent="0.2">
      <c r="A625" s="6"/>
      <c r="B625" s="151" t="s">
        <v>1862</v>
      </c>
      <c r="C625" s="51" t="s">
        <v>3318</v>
      </c>
      <c r="D625" s="51" t="s">
        <v>106</v>
      </c>
      <c r="E625" s="51"/>
      <c r="F625" s="51"/>
      <c r="G625" s="51" t="s">
        <v>2876</v>
      </c>
      <c r="H625" s="19"/>
      <c r="I625" s="19"/>
    </row>
    <row r="626" spans="1:9" ht="20" x14ac:dyDescent="0.2">
      <c r="A626" s="6"/>
      <c r="B626" s="151" t="s">
        <v>1859</v>
      </c>
      <c r="C626" s="51" t="s">
        <v>3153</v>
      </c>
      <c r="D626" s="51" t="s">
        <v>106</v>
      </c>
      <c r="E626" s="299">
        <v>54.314334000000002</v>
      </c>
      <c r="F626" s="299">
        <v>-130.29442399999999</v>
      </c>
      <c r="G626" s="51" t="s">
        <v>2876</v>
      </c>
      <c r="H626" s="297"/>
      <c r="I626" s="297"/>
    </row>
    <row r="627" spans="1:9" ht="20" x14ac:dyDescent="0.2">
      <c r="A627" s="6"/>
      <c r="B627" s="151" t="s">
        <v>1863</v>
      </c>
      <c r="C627" s="51" t="s">
        <v>3154</v>
      </c>
      <c r="D627" s="51" t="s">
        <v>106</v>
      </c>
      <c r="E627" s="299">
        <v>49.1949732</v>
      </c>
      <c r="F627" s="299">
        <v>-122.4083408</v>
      </c>
      <c r="G627" s="51" t="s">
        <v>2876</v>
      </c>
      <c r="H627" s="19"/>
      <c r="I627" s="19"/>
    </row>
    <row r="628" spans="1:9" ht="20" x14ac:dyDescent="0.2">
      <c r="A628" s="6"/>
      <c r="B628" s="151" t="s">
        <v>2323</v>
      </c>
      <c r="C628" s="51" t="s">
        <v>3155</v>
      </c>
      <c r="D628" s="51" t="s">
        <v>106</v>
      </c>
      <c r="E628" s="299">
        <v>50.272697100000002</v>
      </c>
      <c r="F628" s="299">
        <v>-122.8669537</v>
      </c>
      <c r="G628" s="51" t="s">
        <v>2876</v>
      </c>
      <c r="H628" s="19"/>
      <c r="I628" s="19"/>
    </row>
    <row r="629" spans="1:9" ht="20" x14ac:dyDescent="0.2">
      <c r="A629" s="6"/>
      <c r="B629" s="151" t="s">
        <v>2471</v>
      </c>
      <c r="C629" s="51" t="s">
        <v>2123</v>
      </c>
      <c r="D629" s="51" t="s">
        <v>106</v>
      </c>
      <c r="E629" s="51"/>
      <c r="F629" s="51"/>
      <c r="G629" s="51" t="s">
        <v>2876</v>
      </c>
      <c r="H629" s="19"/>
      <c r="I629" s="19"/>
    </row>
    <row r="630" spans="1:9" ht="20" x14ac:dyDescent="0.2">
      <c r="A630" s="6"/>
      <c r="B630" s="151" t="s">
        <v>2616</v>
      </c>
      <c r="C630" s="51" t="s">
        <v>3319</v>
      </c>
      <c r="D630" s="51" t="s">
        <v>106</v>
      </c>
      <c r="E630" s="51"/>
      <c r="F630" s="51"/>
      <c r="G630" s="51" t="s">
        <v>2876</v>
      </c>
      <c r="H630" s="19"/>
      <c r="I630" s="19"/>
    </row>
    <row r="631" spans="1:9" ht="20" x14ac:dyDescent="0.2">
      <c r="A631" s="6"/>
      <c r="B631" s="151" t="s">
        <v>1958</v>
      </c>
      <c r="C631" s="51" t="s">
        <v>3321</v>
      </c>
      <c r="D631" s="51" t="s">
        <v>106</v>
      </c>
      <c r="E631" s="51"/>
      <c r="F631" s="51"/>
      <c r="G631" s="51" t="s">
        <v>2876</v>
      </c>
      <c r="H631" s="297"/>
      <c r="I631" s="297"/>
    </row>
    <row r="632" spans="1:9" ht="20" x14ac:dyDescent="0.2">
      <c r="A632" s="6"/>
      <c r="B632" s="230" t="s">
        <v>2714</v>
      </c>
      <c r="C632" s="179" t="s">
        <v>3712</v>
      </c>
      <c r="D632" s="51" t="s">
        <v>173</v>
      </c>
      <c r="E632" s="51"/>
      <c r="F632" s="51"/>
      <c r="G632" s="51" t="s">
        <v>2876</v>
      </c>
      <c r="H632" s="297"/>
      <c r="I632" s="297"/>
    </row>
    <row r="633" spans="1:9" ht="20" x14ac:dyDescent="0.2">
      <c r="A633" s="6"/>
      <c r="B633" s="151" t="s">
        <v>1866</v>
      </c>
      <c r="C633" s="51" t="s">
        <v>3320</v>
      </c>
      <c r="D633" s="51" t="s">
        <v>106</v>
      </c>
      <c r="E633" s="51"/>
      <c r="F633" s="51"/>
      <c r="G633" s="51" t="s">
        <v>2876</v>
      </c>
      <c r="H633" s="19"/>
      <c r="I633" s="19"/>
    </row>
    <row r="634" spans="1:9" ht="20" x14ac:dyDescent="0.2">
      <c r="A634" s="6"/>
      <c r="B634" s="151" t="s">
        <v>1904</v>
      </c>
      <c r="C634" s="51" t="s">
        <v>3337</v>
      </c>
      <c r="D634" s="51" t="s">
        <v>106</v>
      </c>
      <c r="E634" s="51"/>
      <c r="F634" s="51"/>
      <c r="G634" s="51" t="s">
        <v>2876</v>
      </c>
      <c r="H634" s="19"/>
      <c r="I634" s="19"/>
    </row>
    <row r="635" spans="1:9" ht="20" x14ac:dyDescent="0.2">
      <c r="A635" s="6"/>
      <c r="B635" s="151" t="s">
        <v>1867</v>
      </c>
      <c r="C635" s="51" t="s">
        <v>3196</v>
      </c>
      <c r="D635" s="51" t="s">
        <v>106</v>
      </c>
      <c r="E635" s="299">
        <v>49.7699018</v>
      </c>
      <c r="F635" s="299">
        <v>-124.3169893</v>
      </c>
      <c r="G635" s="51" t="s">
        <v>2876</v>
      </c>
      <c r="H635" s="297"/>
      <c r="I635" s="297"/>
    </row>
    <row r="636" spans="1:9" ht="20" x14ac:dyDescent="0.2">
      <c r="A636" s="6"/>
      <c r="B636" s="151" t="s">
        <v>1865</v>
      </c>
      <c r="C636" s="51" t="s">
        <v>3514</v>
      </c>
      <c r="D636" s="51" t="s">
        <v>106</v>
      </c>
      <c r="E636" s="51"/>
      <c r="F636" s="51"/>
      <c r="G636" s="51" t="s">
        <v>2876</v>
      </c>
      <c r="H636" s="19"/>
      <c r="I636" s="19"/>
    </row>
    <row r="637" spans="1:9" ht="20" x14ac:dyDescent="0.2">
      <c r="A637" s="6"/>
      <c r="B637" s="151" t="s">
        <v>2389</v>
      </c>
      <c r="C637" s="51" t="s">
        <v>2038</v>
      </c>
      <c r="D637" s="51" t="s">
        <v>106</v>
      </c>
      <c r="E637" s="51"/>
      <c r="F637" s="51"/>
      <c r="G637" s="51" t="s">
        <v>2876</v>
      </c>
      <c r="H637" s="19"/>
      <c r="I637" s="19"/>
    </row>
    <row r="638" spans="1:9" ht="20" x14ac:dyDescent="0.2">
      <c r="A638" s="6"/>
      <c r="B638" s="151" t="s">
        <v>1906</v>
      </c>
      <c r="C638" s="51" t="s">
        <v>3677</v>
      </c>
      <c r="D638" s="51" t="s">
        <v>106</v>
      </c>
      <c r="E638" s="51"/>
      <c r="F638" s="51"/>
      <c r="G638" s="51" t="s">
        <v>2876</v>
      </c>
      <c r="H638" s="297"/>
      <c r="I638" s="297"/>
    </row>
    <row r="639" spans="1:9" ht="20" x14ac:dyDescent="0.2">
      <c r="A639" s="6"/>
      <c r="B639" s="151" t="s">
        <v>2514</v>
      </c>
      <c r="C639" s="51" t="s">
        <v>2173</v>
      </c>
      <c r="D639" s="51" t="s">
        <v>106</v>
      </c>
      <c r="E639" s="51"/>
      <c r="F639" s="51"/>
      <c r="G639" s="51" t="s">
        <v>2876</v>
      </c>
      <c r="H639" s="19"/>
      <c r="I639" s="19"/>
    </row>
    <row r="640" spans="1:9" ht="20" x14ac:dyDescent="0.2">
      <c r="A640" s="6"/>
      <c r="B640" s="230" t="s">
        <v>2633</v>
      </c>
      <c r="C640" s="51" t="s">
        <v>3322</v>
      </c>
      <c r="D640" s="51" t="s">
        <v>173</v>
      </c>
      <c r="E640" s="51"/>
      <c r="F640" s="51"/>
      <c r="G640" s="51" t="s">
        <v>2876</v>
      </c>
      <c r="H640" s="19"/>
      <c r="I640" s="19"/>
    </row>
    <row r="641" spans="1:9" ht="20" x14ac:dyDescent="0.2">
      <c r="A641" s="6"/>
      <c r="B641" s="184" t="s">
        <v>2817</v>
      </c>
      <c r="C641" s="291" t="s">
        <v>3725</v>
      </c>
      <c r="D641" s="51" t="s">
        <v>106</v>
      </c>
      <c r="E641" s="299">
        <v>50.748750399999999</v>
      </c>
      <c r="F641" s="299">
        <v>-120.855051</v>
      </c>
      <c r="G641" s="51" t="s">
        <v>2876</v>
      </c>
      <c r="H641" s="19"/>
      <c r="I641" s="19"/>
    </row>
    <row r="642" spans="1:9" ht="20" x14ac:dyDescent="0.2">
      <c r="A642" s="6"/>
      <c r="B642" s="151" t="s">
        <v>2273</v>
      </c>
      <c r="C642" s="51" t="s">
        <v>3515</v>
      </c>
      <c r="D642" s="51" t="s">
        <v>106</v>
      </c>
      <c r="E642" s="51"/>
      <c r="F642" s="51"/>
      <c r="G642" s="51" t="s">
        <v>2876</v>
      </c>
      <c r="H642" s="19"/>
      <c r="I642" s="19"/>
    </row>
    <row r="643" spans="1:9" ht="20" x14ac:dyDescent="0.2">
      <c r="A643" s="6"/>
      <c r="B643" s="151" t="s">
        <v>2530</v>
      </c>
      <c r="C643" s="51" t="s">
        <v>2190</v>
      </c>
      <c r="D643" s="51" t="s">
        <v>106</v>
      </c>
      <c r="E643" s="51"/>
      <c r="F643" s="51"/>
      <c r="G643" s="51" t="s">
        <v>2876</v>
      </c>
      <c r="H643" s="19"/>
      <c r="I643" s="19"/>
    </row>
    <row r="644" spans="1:9" ht="20" x14ac:dyDescent="0.2">
      <c r="A644" s="6"/>
      <c r="B644" s="151" t="s">
        <v>1875</v>
      </c>
      <c r="C644" s="51" t="s">
        <v>3324</v>
      </c>
      <c r="D644" s="51" t="s">
        <v>106</v>
      </c>
      <c r="E644" s="51"/>
      <c r="F644" s="51"/>
      <c r="G644" s="51" t="s">
        <v>2876</v>
      </c>
      <c r="H644" s="19"/>
      <c r="I644" s="19"/>
    </row>
    <row r="645" spans="1:9" ht="20" x14ac:dyDescent="0.2">
      <c r="A645" s="6"/>
      <c r="B645" s="151" t="s">
        <v>2506</v>
      </c>
      <c r="C645" s="51" t="s">
        <v>2165</v>
      </c>
      <c r="D645" s="51" t="s">
        <v>106</v>
      </c>
      <c r="E645" s="51"/>
      <c r="F645" s="51"/>
      <c r="G645" s="51" t="s">
        <v>2876</v>
      </c>
      <c r="H645" s="19"/>
      <c r="I645" s="19"/>
    </row>
    <row r="646" spans="1:9" ht="20" x14ac:dyDescent="0.2">
      <c r="A646" s="6"/>
      <c r="B646" s="151" t="s">
        <v>257</v>
      </c>
      <c r="C646" s="51" t="s">
        <v>3325</v>
      </c>
      <c r="D646" s="51" t="s">
        <v>106</v>
      </c>
      <c r="E646" s="51"/>
      <c r="F646" s="51"/>
      <c r="G646" s="51" t="s">
        <v>2876</v>
      </c>
      <c r="H646" s="19"/>
      <c r="I646" s="19"/>
    </row>
    <row r="647" spans="1:9" ht="20" x14ac:dyDescent="0.2">
      <c r="A647" s="6"/>
      <c r="B647" s="151" t="s">
        <v>1871</v>
      </c>
      <c r="C647" s="51" t="s">
        <v>3603</v>
      </c>
      <c r="D647" s="51" t="s">
        <v>106</v>
      </c>
      <c r="E647" s="299">
        <v>49.677481865232799</v>
      </c>
      <c r="F647" s="299">
        <v>-123.548070101096</v>
      </c>
      <c r="G647" s="51" t="s">
        <v>2876</v>
      </c>
      <c r="H647" s="19"/>
      <c r="I647" s="19"/>
    </row>
    <row r="648" spans="1:9" ht="20" x14ac:dyDescent="0.2">
      <c r="A648" s="6"/>
      <c r="B648" s="151" t="s">
        <v>2395</v>
      </c>
      <c r="C648" s="51" t="s">
        <v>2044</v>
      </c>
      <c r="D648" s="51" t="s">
        <v>106</v>
      </c>
      <c r="E648" s="51"/>
      <c r="F648" s="51"/>
      <c r="G648" s="51" t="s">
        <v>2876</v>
      </c>
      <c r="H648" s="19"/>
      <c r="I648" s="19"/>
    </row>
    <row r="649" spans="1:9" ht="20" x14ac:dyDescent="0.2">
      <c r="A649" s="6"/>
      <c r="B649" s="151" t="s">
        <v>1876</v>
      </c>
      <c r="C649" s="51" t="s">
        <v>3326</v>
      </c>
      <c r="D649" s="51" t="s">
        <v>106</v>
      </c>
      <c r="E649" s="51"/>
      <c r="F649" s="51"/>
      <c r="G649" s="51" t="s">
        <v>2876</v>
      </c>
      <c r="H649" s="19"/>
      <c r="I649" s="19"/>
    </row>
    <row r="650" spans="1:9" ht="20" x14ac:dyDescent="0.2">
      <c r="A650" s="6"/>
      <c r="B650" s="151" t="s">
        <v>1877</v>
      </c>
      <c r="C650" s="51" t="s">
        <v>3517</v>
      </c>
      <c r="D650" s="51" t="s">
        <v>106</v>
      </c>
      <c r="E650" s="51"/>
      <c r="F650" s="51"/>
      <c r="G650" s="51" t="s">
        <v>2876</v>
      </c>
      <c r="H650" s="19"/>
      <c r="I650" s="19"/>
    </row>
    <row r="651" spans="1:9" ht="20" x14ac:dyDescent="0.2">
      <c r="A651" s="6"/>
      <c r="B651" s="151" t="s">
        <v>2461</v>
      </c>
      <c r="C651" s="51" t="s">
        <v>2115</v>
      </c>
      <c r="D651" s="51" t="s">
        <v>106</v>
      </c>
      <c r="E651" s="51"/>
      <c r="F651" s="51"/>
      <c r="G651" s="51" t="s">
        <v>2876</v>
      </c>
      <c r="H651" s="19"/>
      <c r="I651" s="19"/>
    </row>
    <row r="652" spans="1:9" ht="20" x14ac:dyDescent="0.2">
      <c r="A652" s="6"/>
      <c r="B652" s="151" t="s">
        <v>1893</v>
      </c>
      <c r="C652" s="51" t="s">
        <v>3729</v>
      </c>
      <c r="D652" s="51" t="s">
        <v>106</v>
      </c>
      <c r="E652" s="299">
        <v>50.672741500000001</v>
      </c>
      <c r="F652" s="299">
        <v>-121.9241239</v>
      </c>
      <c r="G652" s="51" t="s">
        <v>2876</v>
      </c>
      <c r="H652" s="19"/>
      <c r="I652" s="19"/>
    </row>
    <row r="653" spans="1:9" ht="20" x14ac:dyDescent="0.2">
      <c r="A653" s="6"/>
      <c r="B653" s="151" t="s">
        <v>1878</v>
      </c>
      <c r="C653" s="51" t="s">
        <v>3158</v>
      </c>
      <c r="D653" s="51" t="s">
        <v>106</v>
      </c>
      <c r="E653" s="299">
        <v>49.030161200000002</v>
      </c>
      <c r="F653" s="299">
        <v>-117.5040983</v>
      </c>
      <c r="G653" s="51" t="s">
        <v>2876</v>
      </c>
      <c r="H653" s="19"/>
      <c r="I653" s="19"/>
    </row>
    <row r="654" spans="1:9" ht="20" x14ac:dyDescent="0.2">
      <c r="A654" s="6"/>
      <c r="B654" s="151" t="s">
        <v>1959</v>
      </c>
      <c r="C654" s="51" t="s">
        <v>3522</v>
      </c>
      <c r="D654" s="51" t="s">
        <v>106</v>
      </c>
      <c r="E654" s="51"/>
      <c r="F654" s="51"/>
      <c r="G654" s="51" t="s">
        <v>2876</v>
      </c>
      <c r="H654" s="19"/>
      <c r="I654" s="19"/>
    </row>
    <row r="655" spans="1:9" ht="20" x14ac:dyDescent="0.2">
      <c r="A655" s="6"/>
      <c r="B655" s="151" t="s">
        <v>2573</v>
      </c>
      <c r="C655" s="51" t="s">
        <v>2232</v>
      </c>
      <c r="D655" s="51" t="s">
        <v>106</v>
      </c>
      <c r="E655" s="51"/>
      <c r="F655" s="51"/>
      <c r="G655" s="51" t="s">
        <v>2876</v>
      </c>
      <c r="H655" s="19"/>
      <c r="I655" s="19"/>
    </row>
    <row r="656" spans="1:9" ht="20" x14ac:dyDescent="0.2">
      <c r="A656" s="6"/>
      <c r="B656" s="230" t="s">
        <v>2631</v>
      </c>
      <c r="C656" s="51" t="s">
        <v>3327</v>
      </c>
      <c r="D656" s="51" t="s">
        <v>173</v>
      </c>
      <c r="E656" s="51"/>
      <c r="F656" s="51"/>
      <c r="G656" s="51" t="s">
        <v>2876</v>
      </c>
      <c r="H656" s="19"/>
      <c r="I656" s="19"/>
    </row>
    <row r="657" spans="1:9" ht="20" x14ac:dyDescent="0.2">
      <c r="A657" s="6"/>
      <c r="B657" s="151" t="s">
        <v>1882</v>
      </c>
      <c r="C657" s="51" t="s">
        <v>3519</v>
      </c>
      <c r="D657" s="51" t="s">
        <v>106</v>
      </c>
      <c r="E657" s="51"/>
      <c r="F657" s="51"/>
      <c r="G657" s="51" t="s">
        <v>2876</v>
      </c>
      <c r="H657" s="19"/>
      <c r="I657" s="19"/>
    </row>
    <row r="658" spans="1:9" ht="20" x14ac:dyDescent="0.2">
      <c r="A658" s="6"/>
      <c r="B658" s="151" t="s">
        <v>2386</v>
      </c>
      <c r="C658" s="51" t="s">
        <v>2035</v>
      </c>
      <c r="D658" s="51" t="s">
        <v>106</v>
      </c>
      <c r="E658" s="51"/>
      <c r="F658" s="51"/>
      <c r="G658" s="51" t="s">
        <v>2876</v>
      </c>
      <c r="H658" s="19"/>
      <c r="I658" s="19"/>
    </row>
    <row r="659" spans="1:9" ht="20" x14ac:dyDescent="0.2">
      <c r="A659" s="6"/>
      <c r="B659" s="151" t="s">
        <v>1883</v>
      </c>
      <c r="C659" s="51" t="s">
        <v>3408</v>
      </c>
      <c r="D659" s="51" t="s">
        <v>106</v>
      </c>
      <c r="E659" s="51"/>
      <c r="F659" s="51"/>
      <c r="G659" s="51" t="s">
        <v>2876</v>
      </c>
      <c r="H659" s="19"/>
      <c r="I659" s="19"/>
    </row>
    <row r="660" spans="1:9" ht="20" x14ac:dyDescent="0.2">
      <c r="A660" s="6"/>
      <c r="B660" s="151" t="s">
        <v>1881</v>
      </c>
      <c r="C660" s="51" t="s">
        <v>3678</v>
      </c>
      <c r="D660" s="51" t="s">
        <v>106</v>
      </c>
      <c r="E660" s="51"/>
      <c r="F660" s="51"/>
      <c r="G660" s="51" t="s">
        <v>2876</v>
      </c>
      <c r="H660" s="19"/>
      <c r="I660" s="19"/>
    </row>
    <row r="661" spans="1:9" ht="20" x14ac:dyDescent="0.2">
      <c r="A661" s="6"/>
      <c r="B661" s="151" t="s">
        <v>2278</v>
      </c>
      <c r="C661" s="51" t="s">
        <v>3679</v>
      </c>
      <c r="D661" s="51" t="s">
        <v>106</v>
      </c>
      <c r="E661" s="51"/>
      <c r="F661" s="51"/>
      <c r="G661" s="51" t="s">
        <v>2876</v>
      </c>
      <c r="H661" s="19"/>
      <c r="I661" s="19"/>
    </row>
    <row r="662" spans="1:9" ht="20" x14ac:dyDescent="0.2">
      <c r="A662" s="6"/>
      <c r="B662" s="151" t="s">
        <v>2480</v>
      </c>
      <c r="C662" s="51" t="s">
        <v>2135</v>
      </c>
      <c r="D662" s="51" t="s">
        <v>106</v>
      </c>
      <c r="E662" s="51"/>
      <c r="F662" s="51"/>
      <c r="G662" s="51" t="s">
        <v>2876</v>
      </c>
      <c r="H662" s="19"/>
      <c r="I662" s="19"/>
    </row>
    <row r="663" spans="1:9" ht="20" x14ac:dyDescent="0.2">
      <c r="A663" s="6"/>
      <c r="B663" s="151" t="s">
        <v>2279</v>
      </c>
      <c r="C663" s="51" t="s">
        <v>3680</v>
      </c>
      <c r="D663" s="51" t="s">
        <v>106</v>
      </c>
      <c r="E663" s="51"/>
      <c r="F663" s="51"/>
      <c r="G663" s="51" t="s">
        <v>2876</v>
      </c>
      <c r="H663" s="19"/>
      <c r="I663" s="19"/>
    </row>
    <row r="664" spans="1:9" ht="20" x14ac:dyDescent="0.2">
      <c r="A664" s="6"/>
      <c r="B664" s="151" t="s">
        <v>1873</v>
      </c>
      <c r="C664" s="51" t="s">
        <v>3421</v>
      </c>
      <c r="D664" s="51" t="s">
        <v>106</v>
      </c>
      <c r="E664" s="51"/>
      <c r="F664" s="51"/>
      <c r="G664" s="51" t="s">
        <v>2876</v>
      </c>
      <c r="H664" s="19"/>
      <c r="I664" s="19"/>
    </row>
    <row r="665" spans="1:9" ht="20" x14ac:dyDescent="0.2">
      <c r="A665" s="6"/>
      <c r="B665" s="151" t="s">
        <v>1903</v>
      </c>
      <c r="C665" s="51" t="s">
        <v>3336</v>
      </c>
      <c r="D665" s="51" t="s">
        <v>106</v>
      </c>
      <c r="E665" s="51"/>
      <c r="F665" s="51"/>
      <c r="G665" s="51" t="s">
        <v>2876</v>
      </c>
      <c r="H665" s="19"/>
      <c r="I665" s="19"/>
    </row>
    <row r="666" spans="1:9" ht="20" x14ac:dyDescent="0.2">
      <c r="A666" s="6"/>
      <c r="B666" s="151" t="s">
        <v>1874</v>
      </c>
      <c r="C666" s="51" t="s">
        <v>3407</v>
      </c>
      <c r="D666" s="51" t="s">
        <v>106</v>
      </c>
      <c r="E666" s="51"/>
      <c r="F666" s="51"/>
      <c r="G666" s="51" t="s">
        <v>2876</v>
      </c>
      <c r="H666" s="19"/>
      <c r="I666" s="19"/>
    </row>
    <row r="667" spans="1:9" ht="20" x14ac:dyDescent="0.2">
      <c r="A667" s="6"/>
      <c r="B667" s="151" t="s">
        <v>1880</v>
      </c>
      <c r="C667" s="51" t="s">
        <v>3518</v>
      </c>
      <c r="D667" s="51" t="s">
        <v>106</v>
      </c>
      <c r="E667" s="51"/>
      <c r="F667" s="51"/>
      <c r="G667" s="51" t="s">
        <v>2876</v>
      </c>
      <c r="H667" s="19"/>
      <c r="I667" s="19"/>
    </row>
    <row r="668" spans="1:9" ht="20" x14ac:dyDescent="0.2">
      <c r="A668" s="6"/>
      <c r="B668" s="151" t="s">
        <v>2487</v>
      </c>
      <c r="C668" s="51" t="s">
        <v>2144</v>
      </c>
      <c r="D668" s="51" t="s">
        <v>106</v>
      </c>
      <c r="E668" s="51"/>
      <c r="F668" s="51"/>
      <c r="G668" s="51" t="s">
        <v>2876</v>
      </c>
      <c r="H668" s="19"/>
      <c r="I668" s="19"/>
    </row>
    <row r="669" spans="1:9" ht="20" x14ac:dyDescent="0.2">
      <c r="A669" s="6"/>
      <c r="B669" s="151" t="s">
        <v>2327</v>
      </c>
      <c r="C669" s="51" t="s">
        <v>3164</v>
      </c>
      <c r="D669" s="51" t="s">
        <v>106</v>
      </c>
      <c r="E669" s="299">
        <v>56.196553999999999</v>
      </c>
      <c r="F669" s="299">
        <v>-120.913957</v>
      </c>
      <c r="G669" s="51" t="s">
        <v>2876</v>
      </c>
      <c r="H669" s="19"/>
      <c r="I669" s="19"/>
    </row>
    <row r="670" spans="1:9" ht="20" x14ac:dyDescent="0.2">
      <c r="A670" s="6"/>
      <c r="B670" s="151" t="s">
        <v>2453</v>
      </c>
      <c r="C670" s="51" t="s">
        <v>2106</v>
      </c>
      <c r="D670" s="51" t="s">
        <v>106</v>
      </c>
      <c r="E670" s="51"/>
      <c r="F670" s="51"/>
      <c r="G670" s="51" t="s">
        <v>2876</v>
      </c>
      <c r="H670" s="19"/>
      <c r="I670" s="19"/>
    </row>
    <row r="671" spans="1:9" ht="20" x14ac:dyDescent="0.2">
      <c r="A671" s="6"/>
      <c r="B671" s="151" t="s">
        <v>1884</v>
      </c>
      <c r="C671" s="51" t="s">
        <v>3328</v>
      </c>
      <c r="D671" s="51" t="s">
        <v>106</v>
      </c>
      <c r="E671" s="51"/>
      <c r="F671" s="51"/>
      <c r="G671" s="51" t="s">
        <v>2876</v>
      </c>
      <c r="H671" s="19"/>
      <c r="I671" s="19"/>
    </row>
    <row r="672" spans="1:9" ht="20" x14ac:dyDescent="0.2">
      <c r="A672" s="6"/>
      <c r="B672" s="151" t="s">
        <v>1885</v>
      </c>
      <c r="C672" s="51" t="s">
        <v>3681</v>
      </c>
      <c r="D672" s="51" t="s">
        <v>106</v>
      </c>
      <c r="E672" s="51"/>
      <c r="F672" s="51"/>
      <c r="G672" s="51" t="s">
        <v>2876</v>
      </c>
      <c r="H672" s="19"/>
      <c r="I672" s="19"/>
    </row>
    <row r="673" spans="1:9" ht="20" x14ac:dyDescent="0.2">
      <c r="A673" s="6"/>
      <c r="B673" s="151" t="s">
        <v>2608</v>
      </c>
      <c r="C673" s="51" t="s">
        <v>2268</v>
      </c>
      <c r="D673" s="51" t="s">
        <v>106</v>
      </c>
      <c r="E673" s="51"/>
      <c r="F673" s="51"/>
      <c r="G673" s="51" t="s">
        <v>2876</v>
      </c>
      <c r="H673" s="19"/>
      <c r="I673" s="19"/>
    </row>
    <row r="674" spans="1:9" ht="20" x14ac:dyDescent="0.2">
      <c r="A674" s="6"/>
      <c r="B674" s="151" t="s">
        <v>1886</v>
      </c>
      <c r="C674" s="51" t="s">
        <v>3161</v>
      </c>
      <c r="D674" s="51" t="s">
        <v>106</v>
      </c>
      <c r="E674" s="299">
        <v>49.7204719</v>
      </c>
      <c r="F674" s="299">
        <v>-122.9955731</v>
      </c>
      <c r="G674" s="51" t="s">
        <v>2876</v>
      </c>
      <c r="H674" s="19"/>
      <c r="I674" s="19"/>
    </row>
    <row r="675" spans="1:9" ht="20" x14ac:dyDescent="0.2">
      <c r="A675" s="6"/>
      <c r="B675" s="151" t="s">
        <v>313</v>
      </c>
      <c r="C675" s="51" t="s">
        <v>3329</v>
      </c>
      <c r="D675" s="51" t="s">
        <v>106</v>
      </c>
      <c r="E675" s="51"/>
      <c r="F675" s="51"/>
      <c r="G675" s="51" t="s">
        <v>2876</v>
      </c>
      <c r="H675" s="19"/>
      <c r="I675" s="19"/>
    </row>
    <row r="676" spans="1:9" ht="20" x14ac:dyDescent="0.2">
      <c r="A676" s="6"/>
      <c r="B676" s="151" t="s">
        <v>2550</v>
      </c>
      <c r="C676" s="51" t="s">
        <v>2211</v>
      </c>
      <c r="D676" s="51" t="s">
        <v>106</v>
      </c>
      <c r="E676" s="51"/>
      <c r="F676" s="51"/>
      <c r="G676" s="51" t="s">
        <v>2876</v>
      </c>
      <c r="H676" s="19"/>
      <c r="I676" s="19"/>
    </row>
    <row r="677" spans="1:9" ht="20" x14ac:dyDescent="0.2">
      <c r="A677" s="6"/>
      <c r="B677" s="151" t="s">
        <v>1898</v>
      </c>
      <c r="C677" s="51" t="s">
        <v>3334</v>
      </c>
      <c r="D677" s="51" t="s">
        <v>106</v>
      </c>
      <c r="E677" s="51"/>
      <c r="F677" s="51"/>
      <c r="G677" s="51" t="s">
        <v>2876</v>
      </c>
      <c r="H677" s="19"/>
      <c r="I677" s="19"/>
    </row>
    <row r="678" spans="1:9" ht="20" x14ac:dyDescent="0.2">
      <c r="A678" s="6"/>
      <c r="B678" s="151" t="s">
        <v>1872</v>
      </c>
      <c r="C678" s="51" t="s">
        <v>3180</v>
      </c>
      <c r="D678" s="51" t="s">
        <v>106</v>
      </c>
      <c r="E678" s="299">
        <v>52.128746999999997</v>
      </c>
      <c r="F678" s="299">
        <v>-121.92881300000001</v>
      </c>
      <c r="G678" s="51" t="s">
        <v>2876</v>
      </c>
      <c r="H678" s="19"/>
      <c r="I678" s="19"/>
    </row>
    <row r="679" spans="1:9" ht="20" x14ac:dyDescent="0.2">
      <c r="A679" s="6"/>
      <c r="B679" s="151" t="s">
        <v>1807</v>
      </c>
      <c r="C679" s="51" t="s">
        <v>3682</v>
      </c>
      <c r="D679" s="51" t="s">
        <v>106</v>
      </c>
      <c r="E679" s="51"/>
      <c r="F679" s="51"/>
      <c r="G679" s="51" t="s">
        <v>2876</v>
      </c>
      <c r="H679" s="19"/>
      <c r="I679" s="19"/>
    </row>
    <row r="680" spans="1:9" ht="20" x14ac:dyDescent="0.2">
      <c r="A680" s="6"/>
      <c r="B680" s="151" t="s">
        <v>1894</v>
      </c>
      <c r="C680" s="51" t="s">
        <v>3525</v>
      </c>
      <c r="D680" s="51" t="s">
        <v>106</v>
      </c>
      <c r="E680" s="51"/>
      <c r="F680" s="51"/>
      <c r="G680" s="51" t="s">
        <v>2876</v>
      </c>
      <c r="H680" s="19"/>
      <c r="I680" s="19"/>
    </row>
    <row r="681" spans="1:9" ht="20" x14ac:dyDescent="0.2">
      <c r="A681" s="6"/>
      <c r="B681" s="151" t="s">
        <v>2413</v>
      </c>
      <c r="C681" s="51" t="s">
        <v>2064</v>
      </c>
      <c r="D681" s="51" t="s">
        <v>106</v>
      </c>
      <c r="E681" s="51"/>
      <c r="F681" s="51"/>
      <c r="G681" s="51" t="s">
        <v>2876</v>
      </c>
      <c r="H681" s="19"/>
      <c r="I681" s="19"/>
    </row>
    <row r="682" spans="1:9" ht="20" x14ac:dyDescent="0.2">
      <c r="A682" s="6"/>
      <c r="B682" s="151" t="s">
        <v>1901</v>
      </c>
      <c r="C682" s="51" t="s">
        <v>3530</v>
      </c>
      <c r="D682" s="51" t="s">
        <v>106</v>
      </c>
      <c r="E682" s="51"/>
      <c r="F682" s="51"/>
      <c r="G682" s="51" t="s">
        <v>2876</v>
      </c>
      <c r="H682" s="19"/>
      <c r="I682" s="19"/>
    </row>
    <row r="683" spans="1:9" ht="20" x14ac:dyDescent="0.2">
      <c r="A683" s="6"/>
      <c r="B683" s="151" t="s">
        <v>2422</v>
      </c>
      <c r="C683" s="51" t="s">
        <v>2073</v>
      </c>
      <c r="D683" s="51" t="s">
        <v>106</v>
      </c>
      <c r="E683" s="51"/>
      <c r="F683" s="51"/>
      <c r="G683" s="51" t="s">
        <v>2876</v>
      </c>
      <c r="H683" s="19"/>
      <c r="I683" s="19"/>
    </row>
    <row r="684" spans="1:9" ht="20" x14ac:dyDescent="0.2">
      <c r="A684" s="6"/>
      <c r="B684" s="151" t="s">
        <v>1868</v>
      </c>
      <c r="C684" s="51" t="s">
        <v>3323</v>
      </c>
      <c r="D684" s="51" t="s">
        <v>106</v>
      </c>
      <c r="E684" s="51"/>
      <c r="F684" s="51"/>
      <c r="G684" s="51" t="s">
        <v>2876</v>
      </c>
      <c r="H684" s="19"/>
      <c r="I684" s="19"/>
    </row>
    <row r="685" spans="1:9" ht="20" x14ac:dyDescent="0.2">
      <c r="A685" s="6"/>
      <c r="B685" s="151" t="s">
        <v>1928</v>
      </c>
      <c r="C685" s="51" t="s">
        <v>3548</v>
      </c>
      <c r="D685" s="51" t="s">
        <v>106</v>
      </c>
      <c r="E685" s="51"/>
      <c r="F685" s="51"/>
      <c r="G685" s="51" t="s">
        <v>2876</v>
      </c>
      <c r="H685" s="19"/>
      <c r="I685" s="19"/>
    </row>
    <row r="686" spans="1:9" ht="20" x14ac:dyDescent="0.2">
      <c r="A686" s="6"/>
      <c r="B686" s="151" t="s">
        <v>2509</v>
      </c>
      <c r="C686" s="51" t="s">
        <v>2168</v>
      </c>
      <c r="D686" s="51" t="s">
        <v>106</v>
      </c>
      <c r="E686" s="51"/>
      <c r="F686" s="51"/>
      <c r="G686" s="51" t="s">
        <v>2876</v>
      </c>
      <c r="H686" s="19"/>
      <c r="I686" s="19"/>
    </row>
    <row r="687" spans="1:9" ht="20" x14ac:dyDescent="0.2">
      <c r="A687" s="6"/>
      <c r="B687" s="151" t="s">
        <v>1870</v>
      </c>
      <c r="C687" s="51" t="s">
        <v>3157</v>
      </c>
      <c r="D687" s="51" t="s">
        <v>106</v>
      </c>
      <c r="E687" s="299">
        <v>50.771577000000001</v>
      </c>
      <c r="F687" s="299">
        <v>-118.1041359</v>
      </c>
      <c r="G687" s="51" t="s">
        <v>2876</v>
      </c>
      <c r="H687" s="19"/>
      <c r="I687" s="19"/>
    </row>
    <row r="688" spans="1:9" ht="20" x14ac:dyDescent="0.2">
      <c r="A688" s="6"/>
      <c r="B688" s="151" t="s">
        <v>2547</v>
      </c>
      <c r="C688" s="51" t="s">
        <v>2204</v>
      </c>
      <c r="D688" s="51" t="s">
        <v>106</v>
      </c>
      <c r="E688" s="51"/>
      <c r="F688" s="51"/>
      <c r="G688" s="51" t="s">
        <v>2876</v>
      </c>
      <c r="H688" s="19"/>
      <c r="I688" s="19"/>
    </row>
    <row r="689" spans="1:9" ht="20" x14ac:dyDescent="0.2">
      <c r="A689" s="6"/>
      <c r="B689" s="230" t="s">
        <v>2326</v>
      </c>
      <c r="C689" s="51" t="s">
        <v>3162</v>
      </c>
      <c r="D689" s="51" t="s">
        <v>173</v>
      </c>
      <c r="E689" s="299">
        <v>49.455486499999999</v>
      </c>
      <c r="F689" s="299">
        <v>-117.5197117</v>
      </c>
      <c r="G689" s="51" t="s">
        <v>2876</v>
      </c>
      <c r="H689" s="19"/>
      <c r="I689" s="19"/>
    </row>
    <row r="690" spans="1:9" ht="20" x14ac:dyDescent="0.2">
      <c r="A690" s="6"/>
      <c r="B690" s="151" t="s">
        <v>2385</v>
      </c>
      <c r="C690" s="51" t="s">
        <v>3163</v>
      </c>
      <c r="D690" s="51" t="s">
        <v>106</v>
      </c>
      <c r="E690" s="299">
        <v>49.287611499999997</v>
      </c>
      <c r="F690" s="299">
        <v>-125.3092113</v>
      </c>
      <c r="G690" s="51" t="s">
        <v>2876</v>
      </c>
      <c r="H690" s="19"/>
      <c r="I690" s="19"/>
    </row>
    <row r="691" spans="1:9" ht="20" x14ac:dyDescent="0.2">
      <c r="A691" s="6"/>
      <c r="B691" s="151" t="s">
        <v>2539</v>
      </c>
      <c r="C691" s="51" t="s">
        <v>2199</v>
      </c>
      <c r="D691" s="51" t="s">
        <v>106</v>
      </c>
      <c r="E691" s="51"/>
      <c r="F691" s="51"/>
      <c r="G691" s="51" t="s">
        <v>2876</v>
      </c>
      <c r="H691" s="19"/>
      <c r="I691" s="19"/>
    </row>
    <row r="692" spans="1:9" ht="20" x14ac:dyDescent="0.2">
      <c r="A692" s="6"/>
      <c r="B692" s="151" t="s">
        <v>1905</v>
      </c>
      <c r="C692" s="51" t="s">
        <v>3531</v>
      </c>
      <c r="D692" s="51" t="s">
        <v>106</v>
      </c>
      <c r="E692" s="51"/>
      <c r="F692" s="51"/>
      <c r="G692" s="51" t="s">
        <v>2876</v>
      </c>
      <c r="H692" s="19"/>
      <c r="I692" s="19"/>
    </row>
    <row r="693" spans="1:9" ht="20" x14ac:dyDescent="0.2">
      <c r="A693" s="6"/>
      <c r="B693" s="151" t="s">
        <v>2402</v>
      </c>
      <c r="C693" s="51" t="s">
        <v>2052</v>
      </c>
      <c r="D693" s="51" t="s">
        <v>106</v>
      </c>
      <c r="E693" s="51"/>
      <c r="F693" s="51"/>
      <c r="G693" s="51" t="s">
        <v>2876</v>
      </c>
      <c r="H693" s="19"/>
      <c r="I693" s="19"/>
    </row>
    <row r="694" spans="1:9" ht="20" x14ac:dyDescent="0.2">
      <c r="A694" s="6"/>
      <c r="B694" s="151" t="s">
        <v>179</v>
      </c>
      <c r="C694" s="51" t="s">
        <v>3491</v>
      </c>
      <c r="D694" s="51" t="s">
        <v>106</v>
      </c>
      <c r="E694" s="51"/>
      <c r="F694" s="51"/>
      <c r="G694" s="51" t="s">
        <v>2876</v>
      </c>
      <c r="H694" s="19"/>
      <c r="I694" s="19"/>
    </row>
    <row r="695" spans="1:9" ht="20" x14ac:dyDescent="0.2">
      <c r="A695" s="6"/>
      <c r="B695" s="151" t="s">
        <v>2558</v>
      </c>
      <c r="C695" s="51" t="s">
        <v>2215</v>
      </c>
      <c r="D695" s="51" t="s">
        <v>106</v>
      </c>
      <c r="E695" s="51"/>
      <c r="F695" s="51"/>
      <c r="G695" s="51" t="s">
        <v>2876</v>
      </c>
      <c r="H695" s="19"/>
      <c r="I695" s="19"/>
    </row>
    <row r="696" spans="1:9" ht="20" x14ac:dyDescent="0.2">
      <c r="A696" s="6"/>
      <c r="B696" s="151" t="s">
        <v>1900</v>
      </c>
      <c r="C696" s="51" t="s">
        <v>3472</v>
      </c>
      <c r="D696" s="51" t="s">
        <v>106</v>
      </c>
      <c r="E696" s="51"/>
      <c r="F696" s="51"/>
      <c r="G696" s="51" t="s">
        <v>2876</v>
      </c>
      <c r="H696" s="19"/>
      <c r="I696" s="19"/>
    </row>
    <row r="697" spans="1:9" ht="20" x14ac:dyDescent="0.2">
      <c r="A697" s="6"/>
      <c r="B697" s="151" t="s">
        <v>1869</v>
      </c>
      <c r="C697" s="51" t="s">
        <v>3361</v>
      </c>
      <c r="D697" s="51" t="s">
        <v>106</v>
      </c>
      <c r="E697" s="51"/>
      <c r="F697" s="51"/>
      <c r="G697" s="51" t="s">
        <v>2876</v>
      </c>
      <c r="H697" s="19"/>
      <c r="I697" s="19"/>
    </row>
    <row r="698" spans="1:9" ht="20" x14ac:dyDescent="0.2">
      <c r="A698" s="6"/>
      <c r="B698" s="151" t="s">
        <v>1895</v>
      </c>
      <c r="C698" s="51" t="s">
        <v>3332</v>
      </c>
      <c r="D698" s="51" t="s">
        <v>106</v>
      </c>
      <c r="E698" s="51"/>
      <c r="F698" s="51"/>
      <c r="G698" s="51" t="s">
        <v>2876</v>
      </c>
      <c r="H698" s="19"/>
      <c r="I698" s="19"/>
    </row>
    <row r="699" spans="1:9" ht="20" x14ac:dyDescent="0.2">
      <c r="A699" s="6"/>
      <c r="B699" s="151" t="s">
        <v>1897</v>
      </c>
      <c r="C699" s="51" t="s">
        <v>3726</v>
      </c>
      <c r="D699" s="51" t="s">
        <v>106</v>
      </c>
      <c r="E699" s="299">
        <v>50.903362100000002</v>
      </c>
      <c r="F699" s="299">
        <v>-116.4089432</v>
      </c>
      <c r="G699" s="51" t="s">
        <v>2876</v>
      </c>
      <c r="H699" s="19"/>
      <c r="I699" s="19"/>
    </row>
    <row r="700" spans="1:9" ht="20" x14ac:dyDescent="0.2">
      <c r="A700" s="6"/>
      <c r="B700" s="151" t="s">
        <v>2556</v>
      </c>
      <c r="C700" s="51" t="s">
        <v>2214</v>
      </c>
      <c r="D700" s="51" t="s">
        <v>106</v>
      </c>
      <c r="E700" s="51"/>
      <c r="F700" s="51"/>
      <c r="G700" s="51" t="s">
        <v>2876</v>
      </c>
      <c r="H700" s="19"/>
      <c r="I700" s="19"/>
    </row>
    <row r="701" spans="1:9" ht="20" x14ac:dyDescent="0.2">
      <c r="A701" s="6"/>
      <c r="B701" s="151" t="s">
        <v>1908</v>
      </c>
      <c r="C701" s="51" t="s">
        <v>3338</v>
      </c>
      <c r="D701" s="51" t="s">
        <v>106</v>
      </c>
      <c r="E701" s="51"/>
      <c r="F701" s="51"/>
      <c r="G701" s="51" t="s">
        <v>2876</v>
      </c>
      <c r="H701" s="19"/>
      <c r="I701" s="19"/>
    </row>
    <row r="702" spans="1:9" ht="20" x14ac:dyDescent="0.2">
      <c r="A702" s="6"/>
      <c r="B702" s="151" t="s">
        <v>120</v>
      </c>
      <c r="C702" s="51" t="s">
        <v>3333</v>
      </c>
      <c r="D702" s="51" t="s">
        <v>106</v>
      </c>
      <c r="E702" s="51"/>
      <c r="F702" s="51"/>
      <c r="G702" s="51" t="s">
        <v>2876</v>
      </c>
      <c r="H702" s="19"/>
      <c r="I702" s="19"/>
    </row>
    <row r="703" spans="1:9" ht="20" x14ac:dyDescent="0.2">
      <c r="A703" s="6"/>
      <c r="B703" s="151" t="s">
        <v>1887</v>
      </c>
      <c r="C703" s="51" t="s">
        <v>3521</v>
      </c>
      <c r="D703" s="51" t="s">
        <v>106</v>
      </c>
      <c r="E703" s="51"/>
      <c r="F703" s="51"/>
      <c r="G703" s="51" t="s">
        <v>2876</v>
      </c>
      <c r="H703" s="19"/>
      <c r="I703" s="19"/>
    </row>
    <row r="704" spans="1:9" ht="20" x14ac:dyDescent="0.2">
      <c r="A704" s="6"/>
      <c r="B704" s="151" t="s">
        <v>2489</v>
      </c>
      <c r="C704" s="51" t="s">
        <v>2146</v>
      </c>
      <c r="D704" s="51" t="s">
        <v>106</v>
      </c>
      <c r="E704" s="51"/>
      <c r="F704" s="51"/>
      <c r="G704" s="51" t="s">
        <v>2876</v>
      </c>
      <c r="H704" s="19"/>
      <c r="I704" s="19"/>
    </row>
    <row r="705" spans="1:9" ht="20" x14ac:dyDescent="0.2">
      <c r="A705" s="6"/>
      <c r="B705" s="151" t="s">
        <v>1879</v>
      </c>
      <c r="C705" s="51" t="s">
        <v>3159</v>
      </c>
      <c r="D705" s="51" t="s">
        <v>106</v>
      </c>
      <c r="E705" s="299">
        <v>49.228836100000002</v>
      </c>
      <c r="F705" s="299">
        <v>-122.3561177</v>
      </c>
      <c r="G705" s="51" t="s">
        <v>2876</v>
      </c>
      <c r="H705" s="19"/>
      <c r="I705" s="19"/>
    </row>
    <row r="706" spans="1:9" ht="20" x14ac:dyDescent="0.2">
      <c r="A706" s="6"/>
      <c r="B706" s="151" t="s">
        <v>1896</v>
      </c>
      <c r="C706" s="51" t="s">
        <v>3527</v>
      </c>
      <c r="D706" s="51" t="s">
        <v>106</v>
      </c>
      <c r="E706" s="51"/>
      <c r="F706" s="51"/>
      <c r="G706" s="51" t="s">
        <v>2876</v>
      </c>
      <c r="H706" s="19"/>
      <c r="I706" s="19"/>
    </row>
    <row r="707" spans="1:9" ht="20" x14ac:dyDescent="0.2">
      <c r="A707" s="6"/>
      <c r="B707" s="151" t="s">
        <v>2567</v>
      </c>
      <c r="C707" s="51" t="s">
        <v>2226</v>
      </c>
      <c r="D707" s="51" t="s">
        <v>106</v>
      </c>
      <c r="E707" s="51"/>
      <c r="F707" s="51"/>
      <c r="G707" s="51" t="s">
        <v>2876</v>
      </c>
      <c r="H707" s="19"/>
      <c r="I707" s="19"/>
    </row>
    <row r="708" spans="1:9" ht="20" x14ac:dyDescent="0.2">
      <c r="A708" s="6"/>
      <c r="B708" s="151" t="s">
        <v>1902</v>
      </c>
      <c r="C708" s="51" t="s">
        <v>3335</v>
      </c>
      <c r="D708" s="51" t="s">
        <v>106</v>
      </c>
      <c r="E708" s="51"/>
      <c r="F708" s="51"/>
      <c r="G708" s="51" t="s">
        <v>2876</v>
      </c>
      <c r="H708" s="19"/>
      <c r="I708" s="19"/>
    </row>
    <row r="709" spans="1:9" ht="20" x14ac:dyDescent="0.2">
      <c r="A709" s="6"/>
      <c r="B709" s="151" t="s">
        <v>204</v>
      </c>
      <c r="C709" s="51" t="s">
        <v>3555</v>
      </c>
      <c r="D709" s="51" t="s">
        <v>106</v>
      </c>
      <c r="E709" s="51"/>
      <c r="F709" s="51"/>
      <c r="G709" s="51" t="s">
        <v>2876</v>
      </c>
      <c r="H709" s="19"/>
      <c r="I709" s="19"/>
    </row>
    <row r="710" spans="1:9" ht="20" x14ac:dyDescent="0.2">
      <c r="A710" s="6"/>
      <c r="B710" s="151" t="s">
        <v>2325</v>
      </c>
      <c r="C710" s="51" t="s">
        <v>3160</v>
      </c>
      <c r="D710" s="51" t="s">
        <v>106</v>
      </c>
      <c r="E710" s="299">
        <v>49.711062200000001</v>
      </c>
      <c r="F710" s="299">
        <v>-122.0342551</v>
      </c>
      <c r="G710" s="51" t="s">
        <v>2876</v>
      </c>
      <c r="H710" s="19"/>
      <c r="I710" s="19"/>
    </row>
    <row r="711" spans="1:9" ht="20" x14ac:dyDescent="0.2">
      <c r="A711" s="6"/>
      <c r="B711" s="230" t="s">
        <v>2700</v>
      </c>
      <c r="C711" s="51" t="s">
        <v>3707</v>
      </c>
      <c r="D711" s="51" t="s">
        <v>173</v>
      </c>
      <c r="E711" s="51"/>
      <c r="F711" s="51"/>
      <c r="G711" s="51" t="s">
        <v>2876</v>
      </c>
      <c r="H711" s="19"/>
      <c r="I711" s="19"/>
    </row>
    <row r="712" spans="1:9" ht="20" x14ac:dyDescent="0.2">
      <c r="A712" s="6"/>
      <c r="B712" s="151" t="s">
        <v>2324</v>
      </c>
      <c r="C712" s="51" t="s">
        <v>3156</v>
      </c>
      <c r="D712" s="51" t="s">
        <v>106</v>
      </c>
      <c r="E712" s="299">
        <v>49.998081999999997</v>
      </c>
      <c r="F712" s="299">
        <v>-125.5855777</v>
      </c>
      <c r="G712" s="51" t="s">
        <v>2876</v>
      </c>
      <c r="H712" s="19"/>
      <c r="I712" s="19"/>
    </row>
    <row r="713" spans="1:9" ht="20" x14ac:dyDescent="0.2">
      <c r="A713" s="6"/>
      <c r="B713" s="151" t="s">
        <v>1907</v>
      </c>
      <c r="C713" s="51" t="s">
        <v>3532</v>
      </c>
      <c r="D713" s="51" t="s">
        <v>106</v>
      </c>
      <c r="E713" s="51"/>
      <c r="F713" s="51"/>
      <c r="G713" s="51" t="s">
        <v>2876</v>
      </c>
      <c r="H713" s="19"/>
      <c r="I713" s="19"/>
    </row>
    <row r="714" spans="1:9" ht="20" x14ac:dyDescent="0.2">
      <c r="A714" s="6"/>
      <c r="B714" s="151" t="s">
        <v>2473</v>
      </c>
      <c r="C714" s="51" t="s">
        <v>2125</v>
      </c>
      <c r="D714" s="51" t="s">
        <v>106</v>
      </c>
      <c r="E714" s="51"/>
      <c r="F714" s="51"/>
      <c r="G714" s="51" t="s">
        <v>2876</v>
      </c>
      <c r="H714" s="19"/>
      <c r="I714" s="19"/>
    </row>
    <row r="715" spans="1:9" ht="20" x14ac:dyDescent="0.2">
      <c r="A715" s="6"/>
      <c r="B715" s="151" t="s">
        <v>1891</v>
      </c>
      <c r="C715" s="51" t="s">
        <v>3331</v>
      </c>
      <c r="D715" s="51" t="s">
        <v>106</v>
      </c>
      <c r="E715" s="51"/>
      <c r="F715" s="51"/>
      <c r="G715" s="51" t="s">
        <v>2876</v>
      </c>
      <c r="H715" s="19"/>
      <c r="I715" s="19"/>
    </row>
    <row r="716" spans="1:9" ht="20" x14ac:dyDescent="0.2">
      <c r="A716" s="6"/>
      <c r="B716" s="151" t="s">
        <v>1889</v>
      </c>
      <c r="C716" s="51" t="s">
        <v>3523</v>
      </c>
      <c r="D716" s="51" t="s">
        <v>106</v>
      </c>
      <c r="E716" s="51"/>
      <c r="F716" s="51"/>
      <c r="G716" s="51" t="s">
        <v>2876</v>
      </c>
      <c r="H716" s="19"/>
      <c r="I716" s="19"/>
    </row>
    <row r="717" spans="1:9" ht="20" x14ac:dyDescent="0.2">
      <c r="A717" s="6"/>
      <c r="B717" s="151" t="s">
        <v>2508</v>
      </c>
      <c r="C717" s="51" t="s">
        <v>2166</v>
      </c>
      <c r="D717" s="51" t="s">
        <v>106</v>
      </c>
      <c r="E717" s="51"/>
      <c r="F717" s="51"/>
      <c r="G717" s="51" t="s">
        <v>2876</v>
      </c>
      <c r="H717" s="19"/>
      <c r="I717" s="19"/>
    </row>
    <row r="718" spans="1:9" ht="20" x14ac:dyDescent="0.2">
      <c r="A718" s="6"/>
      <c r="B718" s="230" t="s">
        <v>308</v>
      </c>
      <c r="C718" s="179" t="s">
        <v>3542</v>
      </c>
      <c r="D718" s="51" t="s">
        <v>173</v>
      </c>
      <c r="E718" s="51"/>
      <c r="F718" s="51"/>
      <c r="G718" s="51" t="s">
        <v>2876</v>
      </c>
      <c r="H718" s="19"/>
      <c r="I718" s="19"/>
    </row>
    <row r="719" spans="1:9" ht="20" x14ac:dyDescent="0.2">
      <c r="A719" s="6"/>
      <c r="B719" s="151" t="s">
        <v>1888</v>
      </c>
      <c r="C719" s="51" t="s">
        <v>3330</v>
      </c>
      <c r="D719" s="51" t="s">
        <v>106</v>
      </c>
      <c r="E719" s="51"/>
      <c r="F719" s="51"/>
      <c r="G719" s="51" t="s">
        <v>2876</v>
      </c>
      <c r="H719" s="19"/>
      <c r="I719" s="19"/>
    </row>
    <row r="720" spans="1:9" ht="20" x14ac:dyDescent="0.2">
      <c r="A720" s="6"/>
      <c r="B720" s="151" t="s">
        <v>1899</v>
      </c>
      <c r="C720" s="51" t="s">
        <v>3529</v>
      </c>
      <c r="D720" s="51" t="s">
        <v>106</v>
      </c>
      <c r="E720" s="51"/>
      <c r="F720" s="51"/>
      <c r="G720" s="51" t="s">
        <v>2876</v>
      </c>
      <c r="H720" s="19"/>
      <c r="I720" s="19"/>
    </row>
    <row r="721" spans="1:9" ht="20" x14ac:dyDescent="0.2">
      <c r="A721" s="6"/>
      <c r="B721" s="151" t="s">
        <v>2528</v>
      </c>
      <c r="C721" s="51" t="s">
        <v>2187</v>
      </c>
      <c r="D721" s="51" t="s">
        <v>106</v>
      </c>
      <c r="E721" s="51"/>
      <c r="F721" s="51"/>
      <c r="G721" s="51" t="s">
        <v>2876</v>
      </c>
      <c r="H721" s="19"/>
      <c r="I721" s="19"/>
    </row>
    <row r="722" spans="1:9" ht="20" x14ac:dyDescent="0.2">
      <c r="A722" s="6"/>
      <c r="B722" s="151" t="s">
        <v>1892</v>
      </c>
      <c r="C722" s="51" t="s">
        <v>3467</v>
      </c>
      <c r="D722" s="51" t="s">
        <v>106</v>
      </c>
      <c r="E722" s="51"/>
      <c r="F722" s="51"/>
      <c r="G722" s="51" t="s">
        <v>2876</v>
      </c>
      <c r="H722" s="19"/>
      <c r="I722" s="19"/>
    </row>
    <row r="723" spans="1:9" ht="20" x14ac:dyDescent="0.2">
      <c r="A723" s="6"/>
      <c r="B723" s="151" t="s">
        <v>1909</v>
      </c>
      <c r="C723" s="51" t="s">
        <v>3200</v>
      </c>
      <c r="D723" s="51" t="s">
        <v>106</v>
      </c>
      <c r="E723" s="299">
        <v>54.014716700000001</v>
      </c>
      <c r="F723" s="299">
        <v>-124.0513272</v>
      </c>
      <c r="G723" s="51" t="s">
        <v>2876</v>
      </c>
      <c r="H723" s="19"/>
      <c r="I723" s="19"/>
    </row>
    <row r="724" spans="1:9" ht="20" x14ac:dyDescent="0.2">
      <c r="A724" s="6"/>
      <c r="B724" s="151" t="s">
        <v>2584</v>
      </c>
      <c r="C724" s="51" t="s">
        <v>2244</v>
      </c>
      <c r="D724" s="51" t="s">
        <v>106</v>
      </c>
      <c r="E724" s="51"/>
      <c r="F724" s="51"/>
      <c r="G724" s="51" t="s">
        <v>2876</v>
      </c>
      <c r="H724" s="19"/>
      <c r="I724" s="19"/>
    </row>
    <row r="725" spans="1:9" ht="20" x14ac:dyDescent="0.2">
      <c r="A725" s="6"/>
      <c r="B725" s="151" t="s">
        <v>1921</v>
      </c>
      <c r="C725" s="51" t="s">
        <v>3181</v>
      </c>
      <c r="D725" s="51" t="s">
        <v>106</v>
      </c>
      <c r="E725" s="299">
        <v>49.9278142</v>
      </c>
      <c r="F725" s="299">
        <v>-126.76023600000001</v>
      </c>
      <c r="G725" s="51" t="s">
        <v>2876</v>
      </c>
      <c r="H725" s="19"/>
      <c r="I725" s="19"/>
    </row>
    <row r="726" spans="1:9" ht="20" x14ac:dyDescent="0.2">
      <c r="A726" s="6"/>
      <c r="B726" s="151" t="s">
        <v>1911</v>
      </c>
      <c r="C726" s="51" t="s">
        <v>3360</v>
      </c>
      <c r="D726" s="51" t="s">
        <v>106</v>
      </c>
      <c r="E726" s="51"/>
      <c r="F726" s="51"/>
      <c r="G726" s="51" t="s">
        <v>2876</v>
      </c>
      <c r="H726" s="19"/>
      <c r="I726" s="19"/>
    </row>
    <row r="727" spans="1:9" ht="20" x14ac:dyDescent="0.2">
      <c r="A727" s="6"/>
      <c r="B727" s="230" t="s">
        <v>2741</v>
      </c>
      <c r="C727" s="51" t="s">
        <v>3339</v>
      </c>
      <c r="D727" s="51" t="s">
        <v>173</v>
      </c>
      <c r="E727" s="51"/>
      <c r="F727" s="51"/>
      <c r="G727" s="51" t="s">
        <v>2876</v>
      </c>
      <c r="H727" s="19"/>
      <c r="I727" s="19"/>
    </row>
    <row r="728" spans="1:9" ht="20" x14ac:dyDescent="0.2">
      <c r="A728" s="6"/>
      <c r="B728" s="151" t="s">
        <v>1953</v>
      </c>
      <c r="C728" s="51" t="s">
        <v>3379</v>
      </c>
      <c r="D728" s="51" t="s">
        <v>106</v>
      </c>
      <c r="E728" s="51"/>
      <c r="F728" s="51"/>
      <c r="G728" s="51" t="s">
        <v>2876</v>
      </c>
      <c r="H728" s="19"/>
      <c r="I728" s="19"/>
    </row>
    <row r="729" spans="1:9" ht="20" x14ac:dyDescent="0.2">
      <c r="A729" s="6"/>
      <c r="B729" s="151" t="s">
        <v>270</v>
      </c>
      <c r="C729" s="51" t="s">
        <v>3340</v>
      </c>
      <c r="D729" s="51" t="s">
        <v>106</v>
      </c>
      <c r="E729" s="51"/>
      <c r="F729" s="51"/>
      <c r="G729" s="51" t="s">
        <v>2876</v>
      </c>
      <c r="H729" s="19"/>
      <c r="I729" s="19"/>
    </row>
    <row r="730" spans="1:9" ht="20" x14ac:dyDescent="0.2">
      <c r="A730" s="6"/>
      <c r="B730" s="151" t="s">
        <v>1919</v>
      </c>
      <c r="C730" s="51" t="s">
        <v>3543</v>
      </c>
      <c r="D730" s="51" t="s">
        <v>106</v>
      </c>
      <c r="E730" s="51"/>
      <c r="F730" s="51"/>
      <c r="G730" s="51" t="s">
        <v>2876</v>
      </c>
      <c r="H730" s="19"/>
      <c r="I730" s="19"/>
    </row>
    <row r="731" spans="1:9" ht="20" x14ac:dyDescent="0.2">
      <c r="A731" s="6"/>
      <c r="B731" s="151" t="s">
        <v>2540</v>
      </c>
      <c r="C731" s="51" t="s">
        <v>2200</v>
      </c>
      <c r="D731" s="51" t="s">
        <v>106</v>
      </c>
      <c r="E731" s="51"/>
      <c r="F731" s="51"/>
      <c r="G731" s="51" t="s">
        <v>2876</v>
      </c>
      <c r="H731" s="19"/>
      <c r="I731" s="19"/>
    </row>
    <row r="732" spans="1:9" ht="20" x14ac:dyDescent="0.2">
      <c r="A732" s="6"/>
      <c r="B732" s="151" t="s">
        <v>1914</v>
      </c>
      <c r="C732" s="51" t="s">
        <v>3342</v>
      </c>
      <c r="D732" s="51" t="s">
        <v>106</v>
      </c>
      <c r="E732" s="51"/>
      <c r="F732" s="51"/>
      <c r="G732" s="51" t="s">
        <v>2876</v>
      </c>
      <c r="H732" s="19"/>
      <c r="I732" s="19"/>
    </row>
    <row r="733" spans="1:9" ht="20" x14ac:dyDescent="0.2">
      <c r="A733" s="6"/>
      <c r="B733" s="151" t="s">
        <v>185</v>
      </c>
      <c r="C733" s="51" t="s">
        <v>3341</v>
      </c>
      <c r="D733" s="51" t="s">
        <v>106</v>
      </c>
      <c r="E733" s="51"/>
      <c r="F733" s="51"/>
      <c r="G733" s="51" t="s">
        <v>2876</v>
      </c>
      <c r="H733" s="19"/>
      <c r="I733" s="19"/>
    </row>
    <row r="734" spans="1:9" ht="20" x14ac:dyDescent="0.2">
      <c r="A734" s="6"/>
      <c r="B734" s="151" t="s">
        <v>1920</v>
      </c>
      <c r="C734" s="51" t="s">
        <v>3544</v>
      </c>
      <c r="D734" s="51" t="s">
        <v>106</v>
      </c>
      <c r="E734" s="51"/>
      <c r="F734" s="51"/>
      <c r="G734" s="51" t="s">
        <v>2876</v>
      </c>
      <c r="H734" s="19"/>
      <c r="I734" s="19"/>
    </row>
    <row r="735" spans="1:9" ht="20" x14ac:dyDescent="0.2">
      <c r="A735" s="6"/>
      <c r="B735" s="151" t="s">
        <v>2602</v>
      </c>
      <c r="C735" s="51" t="s">
        <v>2261</v>
      </c>
      <c r="D735" s="51" t="s">
        <v>106</v>
      </c>
      <c r="E735" s="51"/>
      <c r="F735" s="51"/>
      <c r="G735" s="51" t="s">
        <v>2876</v>
      </c>
      <c r="H735" s="19"/>
      <c r="I735" s="19"/>
    </row>
    <row r="736" spans="1:9" ht="20" x14ac:dyDescent="0.2">
      <c r="A736" s="6"/>
      <c r="B736" s="151" t="s">
        <v>1923</v>
      </c>
      <c r="C736" s="51" t="s">
        <v>3424</v>
      </c>
      <c r="D736" s="51" t="s">
        <v>106</v>
      </c>
      <c r="E736" s="51"/>
      <c r="F736" s="51"/>
      <c r="G736" s="51" t="s">
        <v>2876</v>
      </c>
      <c r="H736" s="19"/>
      <c r="I736" s="19"/>
    </row>
    <row r="737" spans="1:9" ht="20" x14ac:dyDescent="0.2">
      <c r="A737" s="6"/>
      <c r="B737" s="151" t="s">
        <v>2274</v>
      </c>
      <c r="C737" s="51" t="s">
        <v>3546</v>
      </c>
      <c r="D737" s="51" t="s">
        <v>106</v>
      </c>
      <c r="E737" s="51"/>
      <c r="F737" s="51"/>
      <c r="G737" s="51" t="s">
        <v>2876</v>
      </c>
      <c r="H737" s="19"/>
      <c r="I737" s="19"/>
    </row>
    <row r="738" spans="1:9" ht="20" x14ac:dyDescent="0.2">
      <c r="A738" s="6"/>
      <c r="B738" s="151" t="s">
        <v>2575</v>
      </c>
      <c r="C738" s="51" t="s">
        <v>2235</v>
      </c>
      <c r="D738" s="51" t="s">
        <v>106</v>
      </c>
      <c r="E738" s="51"/>
      <c r="F738" s="51"/>
      <c r="G738" s="51" t="s">
        <v>2876</v>
      </c>
      <c r="H738" s="19"/>
      <c r="I738" s="19"/>
    </row>
    <row r="739" spans="1:9" ht="20" x14ac:dyDescent="0.2">
      <c r="A739" s="6"/>
      <c r="B739" s="151" t="s">
        <v>1910</v>
      </c>
      <c r="C739" s="51" t="s">
        <v>3533</v>
      </c>
      <c r="D739" s="51" t="s">
        <v>106</v>
      </c>
      <c r="E739" s="51"/>
      <c r="F739" s="51"/>
      <c r="G739" s="51" t="s">
        <v>2876</v>
      </c>
      <c r="H739" s="19"/>
      <c r="I739" s="19"/>
    </row>
    <row r="740" spans="1:9" ht="20" x14ac:dyDescent="0.2">
      <c r="A740" s="6"/>
      <c r="B740" s="151" t="s">
        <v>2457</v>
      </c>
      <c r="C740" s="51" t="s">
        <v>2109</v>
      </c>
      <c r="D740" s="51" t="s">
        <v>106</v>
      </c>
      <c r="E740" s="51"/>
      <c r="F740" s="51"/>
      <c r="G740" s="51" t="s">
        <v>2876</v>
      </c>
      <c r="H740" s="19"/>
      <c r="I740" s="19"/>
    </row>
    <row r="741" spans="1:9" ht="20" x14ac:dyDescent="0.2">
      <c r="A741" s="6"/>
      <c r="B741" s="151" t="s">
        <v>2328</v>
      </c>
      <c r="C741" s="51" t="s">
        <v>3166</v>
      </c>
      <c r="D741" s="51" t="s">
        <v>106</v>
      </c>
      <c r="E741" s="299">
        <v>49.740917799999998</v>
      </c>
      <c r="F741" s="299">
        <v>-122.1622222</v>
      </c>
      <c r="G741" s="51" t="s">
        <v>2876</v>
      </c>
      <c r="H741" s="19"/>
      <c r="I741" s="19"/>
    </row>
    <row r="742" spans="1:9" ht="20" x14ac:dyDescent="0.2">
      <c r="A742" s="6"/>
      <c r="B742" s="151" t="s">
        <v>1913</v>
      </c>
      <c r="C742" s="51" t="s">
        <v>3198</v>
      </c>
      <c r="D742" s="51" t="s">
        <v>106</v>
      </c>
      <c r="E742" s="299">
        <v>50.3498831</v>
      </c>
      <c r="F742" s="299">
        <v>-122.87135170000001</v>
      </c>
      <c r="G742" s="51" t="s">
        <v>2876</v>
      </c>
      <c r="H742" s="19"/>
      <c r="I742" s="19"/>
    </row>
    <row r="743" spans="1:9" ht="20" x14ac:dyDescent="0.2">
      <c r="A743" s="6"/>
      <c r="B743" s="151" t="s">
        <v>2628</v>
      </c>
      <c r="C743" s="51" t="s">
        <v>3165</v>
      </c>
      <c r="D743" s="51" t="s">
        <v>106</v>
      </c>
      <c r="E743" s="299">
        <v>50.392242099999997</v>
      </c>
      <c r="F743" s="299">
        <v>-119.2259013</v>
      </c>
      <c r="G743" s="51" t="s">
        <v>2876</v>
      </c>
      <c r="H743" s="19"/>
      <c r="I743" s="19"/>
    </row>
    <row r="744" spans="1:9" ht="20" x14ac:dyDescent="0.2">
      <c r="A744" s="6"/>
      <c r="B744" s="151" t="s">
        <v>2629</v>
      </c>
      <c r="C744" s="51" t="s">
        <v>2088</v>
      </c>
      <c r="D744" s="51" t="s">
        <v>106</v>
      </c>
      <c r="E744" s="51"/>
      <c r="F744" s="51"/>
      <c r="G744" s="51" t="s">
        <v>2876</v>
      </c>
      <c r="H744" s="19"/>
      <c r="I744" s="19"/>
    </row>
    <row r="745" spans="1:9" ht="20" x14ac:dyDescent="0.2">
      <c r="A745" s="6"/>
      <c r="B745" s="151" t="s">
        <v>2277</v>
      </c>
      <c r="C745" s="51" t="s">
        <v>3540</v>
      </c>
      <c r="D745" s="51" t="s">
        <v>106</v>
      </c>
      <c r="E745" s="51"/>
      <c r="F745" s="51"/>
      <c r="G745" s="51" t="s">
        <v>2876</v>
      </c>
      <c r="H745" s="19"/>
      <c r="I745" s="19"/>
    </row>
    <row r="746" spans="1:9" ht="20" x14ac:dyDescent="0.2">
      <c r="A746" s="6"/>
      <c r="B746" s="151" t="s">
        <v>2423</v>
      </c>
      <c r="C746" s="51" t="s">
        <v>2080</v>
      </c>
      <c r="D746" s="51" t="s">
        <v>106</v>
      </c>
      <c r="E746" s="51"/>
      <c r="F746" s="51"/>
      <c r="G746" s="51" t="s">
        <v>2876</v>
      </c>
      <c r="H746" s="19"/>
      <c r="I746" s="19"/>
    </row>
    <row r="747" spans="1:9" ht="20" x14ac:dyDescent="0.2">
      <c r="A747" s="6"/>
      <c r="B747" s="151" t="s">
        <v>2276</v>
      </c>
      <c r="C747" s="51" t="s">
        <v>3535</v>
      </c>
      <c r="D747" s="51" t="s">
        <v>106</v>
      </c>
      <c r="E747" s="51"/>
      <c r="F747" s="51"/>
      <c r="G747" s="51" t="s">
        <v>2876</v>
      </c>
      <c r="H747" s="19"/>
      <c r="I747" s="19"/>
    </row>
    <row r="748" spans="1:9" ht="20" x14ac:dyDescent="0.2">
      <c r="A748" s="6"/>
      <c r="B748" s="151" t="s">
        <v>2417</v>
      </c>
      <c r="C748" s="51" t="s">
        <v>2068</v>
      </c>
      <c r="D748" s="51" t="s">
        <v>106</v>
      </c>
      <c r="E748" s="51"/>
      <c r="F748" s="51"/>
      <c r="G748" s="51" t="s">
        <v>2876</v>
      </c>
      <c r="H748" s="19"/>
      <c r="I748" s="19"/>
    </row>
    <row r="749" spans="1:9" ht="20" x14ac:dyDescent="0.2">
      <c r="A749" s="6"/>
      <c r="B749" s="151" t="s">
        <v>2275</v>
      </c>
      <c r="C749" s="51" t="s">
        <v>3470</v>
      </c>
      <c r="D749" s="51" t="s">
        <v>106</v>
      </c>
      <c r="E749" s="51"/>
      <c r="F749" s="51"/>
      <c r="G749" s="51" t="s">
        <v>2876</v>
      </c>
      <c r="H749" s="19"/>
      <c r="I749" s="19"/>
    </row>
    <row r="750" spans="1:9" ht="20" x14ac:dyDescent="0.2">
      <c r="A750" s="6"/>
      <c r="B750" s="151" t="s">
        <v>2577</v>
      </c>
      <c r="C750" s="51" t="s">
        <v>2234</v>
      </c>
      <c r="D750" s="51" t="s">
        <v>106</v>
      </c>
      <c r="E750" s="51"/>
      <c r="F750" s="51"/>
      <c r="G750" s="51" t="s">
        <v>2876</v>
      </c>
      <c r="H750" s="19"/>
      <c r="I750" s="19"/>
    </row>
    <row r="751" spans="1:9" ht="20" x14ac:dyDescent="0.2">
      <c r="A751" s="6"/>
      <c r="B751" s="151" t="s">
        <v>1918</v>
      </c>
      <c r="C751" s="51" t="s">
        <v>3344</v>
      </c>
      <c r="D751" s="51" t="s">
        <v>106</v>
      </c>
      <c r="E751" s="51"/>
      <c r="F751" s="51"/>
      <c r="G751" s="51" t="s">
        <v>2876</v>
      </c>
      <c r="H751" s="19"/>
      <c r="I751" s="19"/>
    </row>
    <row r="752" spans="1:9" ht="20" x14ac:dyDescent="0.2">
      <c r="A752" s="6"/>
      <c r="B752" s="151" t="s">
        <v>1916</v>
      </c>
      <c r="C752" s="51" t="s">
        <v>3538</v>
      </c>
      <c r="D752" s="51" t="s">
        <v>106</v>
      </c>
      <c r="E752" s="51"/>
      <c r="F752" s="51"/>
      <c r="G752" s="51" t="s">
        <v>2876</v>
      </c>
      <c r="H752" s="19"/>
      <c r="I752" s="19"/>
    </row>
    <row r="753" spans="1:9" ht="20" x14ac:dyDescent="0.2">
      <c r="A753" s="6"/>
      <c r="B753" s="151" t="s">
        <v>2507</v>
      </c>
      <c r="C753" s="51" t="s">
        <v>2167</v>
      </c>
      <c r="D753" s="51" t="s">
        <v>106</v>
      </c>
      <c r="E753" s="51"/>
      <c r="F753" s="51"/>
      <c r="G753" s="51" t="s">
        <v>2876</v>
      </c>
      <c r="H753" s="19"/>
      <c r="I753" s="19"/>
    </row>
    <row r="754" spans="1:9" ht="20" x14ac:dyDescent="0.2">
      <c r="A754" s="6"/>
      <c r="B754" s="151" t="s">
        <v>1917</v>
      </c>
      <c r="C754" s="51" t="s">
        <v>3539</v>
      </c>
      <c r="D754" s="51" t="s">
        <v>106</v>
      </c>
      <c r="E754" s="51"/>
      <c r="F754" s="51"/>
      <c r="G754" s="51" t="s">
        <v>2876</v>
      </c>
      <c r="H754" s="19"/>
      <c r="I754" s="19"/>
    </row>
    <row r="755" spans="1:9" ht="20" x14ac:dyDescent="0.2">
      <c r="A755" s="6"/>
      <c r="B755" s="151" t="s">
        <v>2419</v>
      </c>
      <c r="C755" s="51" t="s">
        <v>2070</v>
      </c>
      <c r="D755" s="51" t="s">
        <v>106</v>
      </c>
      <c r="E755" s="51"/>
      <c r="F755" s="51"/>
      <c r="G755" s="51" t="s">
        <v>2876</v>
      </c>
      <c r="H755" s="19"/>
      <c r="I755" s="19"/>
    </row>
    <row r="756" spans="1:9" ht="20" x14ac:dyDescent="0.2">
      <c r="A756" s="6"/>
      <c r="B756" s="151" t="s">
        <v>1915</v>
      </c>
      <c r="C756" s="51" t="s">
        <v>3537</v>
      </c>
      <c r="D756" s="51" t="s">
        <v>106</v>
      </c>
      <c r="E756" s="51"/>
      <c r="F756" s="51"/>
      <c r="G756" s="51" t="s">
        <v>2876</v>
      </c>
      <c r="H756" s="19"/>
      <c r="I756" s="19"/>
    </row>
    <row r="757" spans="1:9" ht="20" x14ac:dyDescent="0.2">
      <c r="A757" s="6"/>
      <c r="B757" s="151" t="s">
        <v>2430</v>
      </c>
      <c r="C757" s="51" t="s">
        <v>2079</v>
      </c>
      <c r="D757" s="51" t="s">
        <v>106</v>
      </c>
      <c r="E757" s="51"/>
      <c r="F757" s="51"/>
      <c r="G757" s="51" t="s">
        <v>2876</v>
      </c>
      <c r="H757" s="19"/>
      <c r="I757" s="19"/>
    </row>
    <row r="758" spans="1:9" ht="20" x14ac:dyDescent="0.2">
      <c r="A758" s="6"/>
      <c r="B758" s="151" t="s">
        <v>1912</v>
      </c>
      <c r="C758" s="51" t="s">
        <v>3534</v>
      </c>
      <c r="D758" s="51" t="s">
        <v>106</v>
      </c>
      <c r="E758" s="51"/>
      <c r="F758" s="51"/>
      <c r="G758" s="51" t="s">
        <v>2876</v>
      </c>
      <c r="H758" s="19"/>
      <c r="I758" s="19"/>
    </row>
    <row r="759" spans="1:9" ht="20" x14ac:dyDescent="0.2">
      <c r="A759" s="6"/>
      <c r="B759" s="151" t="s">
        <v>2500</v>
      </c>
      <c r="C759" s="51" t="s">
        <v>2161</v>
      </c>
      <c r="D759" s="51" t="s">
        <v>106</v>
      </c>
      <c r="E759" s="51"/>
      <c r="F759" s="51"/>
      <c r="G759" s="51" t="s">
        <v>2876</v>
      </c>
      <c r="H759" s="19"/>
      <c r="I759" s="19"/>
    </row>
    <row r="760" spans="1:9" ht="20" x14ac:dyDescent="0.2">
      <c r="A760" s="6"/>
      <c r="B760" s="151" t="s">
        <v>2329</v>
      </c>
      <c r="C760" s="51" t="s">
        <v>3168</v>
      </c>
      <c r="D760" s="51" t="s">
        <v>106</v>
      </c>
      <c r="E760" s="299">
        <v>49.703789999999998</v>
      </c>
      <c r="F760" s="299">
        <v>-122.079577</v>
      </c>
      <c r="G760" s="51" t="s">
        <v>2876</v>
      </c>
      <c r="H760" s="19"/>
      <c r="I760" s="19"/>
    </row>
    <row r="761" spans="1:9" ht="20" x14ac:dyDescent="0.2">
      <c r="A761" s="6"/>
      <c r="B761" s="151" t="s">
        <v>2611</v>
      </c>
      <c r="C761" s="51" t="s">
        <v>3167</v>
      </c>
      <c r="D761" s="51" t="s">
        <v>106</v>
      </c>
      <c r="E761" s="299">
        <v>49.628402000000001</v>
      </c>
      <c r="F761" s="299">
        <v>-122.032922</v>
      </c>
      <c r="G761" s="51" t="s">
        <v>2876</v>
      </c>
      <c r="H761" s="19"/>
      <c r="I761" s="19"/>
    </row>
    <row r="762" spans="1:9" ht="20" x14ac:dyDescent="0.2">
      <c r="A762" s="6"/>
      <c r="B762" s="230" t="s">
        <v>2681</v>
      </c>
      <c r="C762" s="51" t="s">
        <v>3345</v>
      </c>
      <c r="D762" s="51" t="s">
        <v>173</v>
      </c>
      <c r="E762" s="51"/>
      <c r="F762" s="51"/>
      <c r="G762" s="51" t="s">
        <v>2876</v>
      </c>
      <c r="H762" s="19"/>
      <c r="I762" s="19"/>
    </row>
    <row r="763" spans="1:9" ht="20" x14ac:dyDescent="0.2">
      <c r="A763" s="6"/>
      <c r="B763" s="151" t="s">
        <v>1922</v>
      </c>
      <c r="C763" s="51" t="s">
        <v>3545</v>
      </c>
      <c r="D763" s="51" t="s">
        <v>106</v>
      </c>
      <c r="E763" s="51"/>
      <c r="F763" s="51"/>
      <c r="G763" s="51" t="s">
        <v>2876</v>
      </c>
      <c r="H763" s="19"/>
      <c r="I763" s="19"/>
    </row>
    <row r="764" spans="1:9" ht="20" x14ac:dyDescent="0.2">
      <c r="A764" s="6"/>
      <c r="B764" s="151" t="s">
        <v>2510</v>
      </c>
      <c r="C764" s="51" t="s">
        <v>2170</v>
      </c>
      <c r="D764" s="51" t="s">
        <v>106</v>
      </c>
      <c r="E764" s="51"/>
      <c r="F764" s="51"/>
      <c r="G764" s="51" t="s">
        <v>2876</v>
      </c>
      <c r="H764" s="19"/>
      <c r="I764" s="19"/>
    </row>
    <row r="765" spans="1:9" ht="20" x14ac:dyDescent="0.2">
      <c r="A765" s="6"/>
      <c r="B765" s="151" t="s">
        <v>274</v>
      </c>
      <c r="C765" s="51" t="s">
        <v>3343</v>
      </c>
      <c r="D765" s="51" t="s">
        <v>106</v>
      </c>
      <c r="E765" s="51"/>
      <c r="F765" s="51"/>
      <c r="G765" s="51" t="s">
        <v>2876</v>
      </c>
      <c r="H765" s="19"/>
      <c r="I765" s="19"/>
    </row>
    <row r="766" spans="1:9" ht="20" x14ac:dyDescent="0.2">
      <c r="A766" s="6"/>
      <c r="B766" s="151" t="s">
        <v>1924</v>
      </c>
      <c r="C766" s="51" t="s">
        <v>3547</v>
      </c>
      <c r="D766" s="51" t="s">
        <v>106</v>
      </c>
      <c r="E766" s="51"/>
      <c r="F766" s="51"/>
      <c r="G766" s="51" t="s">
        <v>2876</v>
      </c>
      <c r="H766" s="19"/>
      <c r="I766" s="19"/>
    </row>
    <row r="767" spans="1:9" ht="20" x14ac:dyDescent="0.2">
      <c r="A767" s="6"/>
      <c r="B767" s="151" t="s">
        <v>2497</v>
      </c>
      <c r="C767" s="51" t="s">
        <v>2156</v>
      </c>
      <c r="D767" s="51" t="s">
        <v>106</v>
      </c>
      <c r="E767" s="51"/>
      <c r="F767" s="51"/>
      <c r="G767" s="51" t="s">
        <v>2876</v>
      </c>
      <c r="H767" s="19"/>
      <c r="I767" s="19"/>
    </row>
    <row r="768" spans="1:9" ht="20" x14ac:dyDescent="0.2">
      <c r="A768" s="6"/>
      <c r="B768" s="151" t="s">
        <v>1929</v>
      </c>
      <c r="C768" s="51" t="s">
        <v>3526</v>
      </c>
      <c r="D768" s="51" t="s">
        <v>106</v>
      </c>
      <c r="E768" s="51"/>
      <c r="F768" s="51"/>
      <c r="G768" s="51" t="s">
        <v>2876</v>
      </c>
      <c r="H768" s="19"/>
      <c r="I768" s="19"/>
    </row>
    <row r="769" spans="1:9" ht="20" x14ac:dyDescent="0.2">
      <c r="A769" s="6"/>
      <c r="B769" s="151" t="s">
        <v>2293</v>
      </c>
      <c r="C769" s="51" t="s">
        <v>3094</v>
      </c>
      <c r="D769" s="51" t="s">
        <v>106</v>
      </c>
      <c r="E769" s="299">
        <v>49.795389399999998</v>
      </c>
      <c r="F769" s="299">
        <v>-123.5720934</v>
      </c>
      <c r="G769" s="51" t="s">
        <v>2876</v>
      </c>
      <c r="H769" s="19"/>
      <c r="I769" s="19"/>
    </row>
    <row r="770" spans="1:9" ht="20" x14ac:dyDescent="0.2">
      <c r="A770" s="6"/>
      <c r="B770" s="230" t="s">
        <v>2723</v>
      </c>
      <c r="C770" s="51" t="s">
        <v>3169</v>
      </c>
      <c r="D770" s="51" t="s">
        <v>173</v>
      </c>
      <c r="E770" s="299">
        <v>49.460113300000003</v>
      </c>
      <c r="F770" s="299">
        <v>-117.484182</v>
      </c>
      <c r="G770" s="51" t="s">
        <v>2876</v>
      </c>
      <c r="H770" s="19"/>
      <c r="I770" s="19"/>
    </row>
    <row r="771" spans="1:9" ht="20" x14ac:dyDescent="0.2">
      <c r="A771" s="6"/>
      <c r="B771" s="230" t="s">
        <v>3584</v>
      </c>
      <c r="C771" s="51" t="s">
        <v>3585</v>
      </c>
      <c r="D771" s="51" t="s">
        <v>173</v>
      </c>
      <c r="E771" s="51"/>
      <c r="F771" s="51"/>
      <c r="G771" s="51" t="s">
        <v>2876</v>
      </c>
      <c r="H771" s="19"/>
      <c r="I771" s="19"/>
    </row>
    <row r="772" spans="1:9" ht="20" x14ac:dyDescent="0.2">
      <c r="A772" s="6"/>
      <c r="B772" s="151" t="s">
        <v>3698</v>
      </c>
      <c r="C772" s="51" t="s">
        <v>3170</v>
      </c>
      <c r="D772" s="51" t="s">
        <v>106</v>
      </c>
      <c r="E772" s="299">
        <v>49.8542767</v>
      </c>
      <c r="F772" s="299">
        <v>-123.4461156</v>
      </c>
      <c r="G772" s="51" t="s">
        <v>2876</v>
      </c>
      <c r="H772" s="19"/>
      <c r="I772" s="19"/>
    </row>
    <row r="773" spans="1:9" ht="20" x14ac:dyDescent="0.2">
      <c r="A773" s="6"/>
      <c r="B773" s="151" t="s">
        <v>1925</v>
      </c>
      <c r="C773" s="51" t="s">
        <v>3393</v>
      </c>
      <c r="D773" s="51" t="s">
        <v>106</v>
      </c>
      <c r="E773" s="51"/>
      <c r="F773" s="51"/>
      <c r="G773" s="51" t="s">
        <v>2876</v>
      </c>
      <c r="H773" s="19"/>
      <c r="I773" s="19"/>
    </row>
    <row r="774" spans="1:9" ht="20" x14ac:dyDescent="0.2">
      <c r="A774" s="6"/>
      <c r="B774" s="151" t="s">
        <v>1926</v>
      </c>
      <c r="C774" s="51" t="s">
        <v>3346</v>
      </c>
      <c r="D774" s="51" t="s">
        <v>106</v>
      </c>
      <c r="E774" s="51"/>
      <c r="F774" s="51"/>
      <c r="G774" s="51" t="s">
        <v>2876</v>
      </c>
      <c r="H774" s="19"/>
      <c r="I774" s="19"/>
    </row>
    <row r="775" spans="1:9" ht="20" x14ac:dyDescent="0.2">
      <c r="A775" s="6"/>
      <c r="B775" s="151" t="s">
        <v>2330</v>
      </c>
      <c r="C775" s="51" t="s">
        <v>3171</v>
      </c>
      <c r="D775" s="51" t="s">
        <v>106</v>
      </c>
      <c r="E775" s="299">
        <v>50.656999999999996</v>
      </c>
      <c r="F775" s="299">
        <v>-123.4476355</v>
      </c>
      <c r="G775" s="51" t="s">
        <v>2876</v>
      </c>
      <c r="H775" s="19"/>
      <c r="I775" s="19"/>
    </row>
    <row r="776" spans="1:9" ht="20" x14ac:dyDescent="0.2">
      <c r="A776" s="6"/>
      <c r="B776" s="151" t="s">
        <v>1927</v>
      </c>
      <c r="C776" s="51" t="s">
        <v>3172</v>
      </c>
      <c r="D776" s="51" t="s">
        <v>106</v>
      </c>
      <c r="E776" s="299">
        <v>49.717830999999997</v>
      </c>
      <c r="F776" s="299">
        <v>-123.05463229999999</v>
      </c>
      <c r="G776" s="51" t="s">
        <v>2876</v>
      </c>
      <c r="H776" s="19"/>
      <c r="I776" s="19"/>
    </row>
    <row r="777" spans="1:9" ht="20" x14ac:dyDescent="0.2">
      <c r="A777" s="6"/>
      <c r="B777" s="151" t="s">
        <v>2522</v>
      </c>
      <c r="C777" s="51" t="s">
        <v>2181</v>
      </c>
      <c r="D777" s="51" t="s">
        <v>106</v>
      </c>
      <c r="E777" s="51"/>
      <c r="F777" s="51"/>
      <c r="G777" s="51" t="s">
        <v>2876</v>
      </c>
      <c r="H777" s="19"/>
      <c r="I777" s="19"/>
    </row>
    <row r="778" spans="1:9" ht="20" x14ac:dyDescent="0.2">
      <c r="A778" s="6"/>
      <c r="B778" s="151" t="s">
        <v>2331</v>
      </c>
      <c r="C778" s="51" t="s">
        <v>3173</v>
      </c>
      <c r="D778" s="51" t="s">
        <v>106</v>
      </c>
      <c r="E778" s="299">
        <v>49.566046700000001</v>
      </c>
      <c r="F778" s="299">
        <v>-122.3502994</v>
      </c>
      <c r="G778" s="51" t="s">
        <v>2876</v>
      </c>
      <c r="H778" s="19"/>
      <c r="I778" s="19"/>
    </row>
    <row r="779" spans="1:9" ht="20" x14ac:dyDescent="0.2">
      <c r="A779" s="6"/>
      <c r="B779" s="151" t="s">
        <v>223</v>
      </c>
      <c r="C779" s="51" t="s">
        <v>3348</v>
      </c>
      <c r="D779" s="51" t="s">
        <v>106</v>
      </c>
      <c r="E779" s="299">
        <v>52.841270799999997</v>
      </c>
      <c r="F779" s="299">
        <v>-119.35239660000001</v>
      </c>
      <c r="G779" s="51" t="s">
        <v>2876</v>
      </c>
      <c r="H779" s="19"/>
      <c r="I779" s="19"/>
    </row>
    <row r="780" spans="1:9" ht="20" x14ac:dyDescent="0.2">
      <c r="A780" s="6"/>
      <c r="B780" s="230" t="s">
        <v>2746</v>
      </c>
      <c r="C780" s="51" t="s">
        <v>3495</v>
      </c>
      <c r="D780" s="51" t="s">
        <v>173</v>
      </c>
      <c r="E780" s="51"/>
      <c r="F780" s="51"/>
      <c r="G780" s="51" t="s">
        <v>2876</v>
      </c>
      <c r="H780" s="19"/>
      <c r="I780" s="19"/>
    </row>
    <row r="781" spans="1:9" ht="20" x14ac:dyDescent="0.2">
      <c r="A781" s="6"/>
      <c r="B781" s="151" t="s">
        <v>1934</v>
      </c>
      <c r="C781" s="51" t="s">
        <v>3350</v>
      </c>
      <c r="D781" s="51" t="s">
        <v>106</v>
      </c>
      <c r="E781" s="51"/>
      <c r="F781" s="51"/>
      <c r="G781" s="51" t="s">
        <v>2876</v>
      </c>
      <c r="H781" s="19"/>
      <c r="I781" s="19"/>
    </row>
    <row r="782" spans="1:9" ht="20" x14ac:dyDescent="0.2">
      <c r="A782" s="6"/>
      <c r="B782" s="151" t="s">
        <v>1932</v>
      </c>
      <c r="C782" s="51" t="s">
        <v>3683</v>
      </c>
      <c r="D782" s="51" t="s">
        <v>106</v>
      </c>
      <c r="E782" s="51"/>
      <c r="F782" s="51"/>
      <c r="G782" s="51" t="s">
        <v>2876</v>
      </c>
      <c r="H782" s="19"/>
      <c r="I782" s="19"/>
    </row>
    <row r="783" spans="1:9" ht="20" x14ac:dyDescent="0.2">
      <c r="A783" s="6"/>
      <c r="B783" s="151" t="s">
        <v>2516</v>
      </c>
      <c r="C783" s="51" t="s">
        <v>2175</v>
      </c>
      <c r="D783" s="51" t="s">
        <v>106</v>
      </c>
      <c r="E783" s="51"/>
      <c r="F783" s="51"/>
      <c r="G783" s="51" t="s">
        <v>2876</v>
      </c>
      <c r="H783" s="19"/>
      <c r="I783" s="19"/>
    </row>
    <row r="784" spans="1:9" ht="20" x14ac:dyDescent="0.2">
      <c r="A784" s="6"/>
      <c r="B784" s="151" t="s">
        <v>1952</v>
      </c>
      <c r="C784" s="51" t="s">
        <v>3684</v>
      </c>
      <c r="D784" s="51" t="s">
        <v>106</v>
      </c>
      <c r="E784" s="51"/>
      <c r="F784" s="51"/>
      <c r="G784" s="51" t="s">
        <v>2876</v>
      </c>
      <c r="H784" s="19"/>
      <c r="I784" s="19"/>
    </row>
    <row r="785" spans="1:9" ht="20" x14ac:dyDescent="0.2">
      <c r="A785" s="6"/>
      <c r="B785" s="151" t="s">
        <v>3576</v>
      </c>
      <c r="C785" s="51" t="s">
        <v>3577</v>
      </c>
      <c r="D785" s="51" t="s">
        <v>106</v>
      </c>
      <c r="E785" s="51"/>
      <c r="F785" s="51"/>
      <c r="G785" s="51" t="s">
        <v>2876</v>
      </c>
      <c r="H785" s="19"/>
      <c r="I785" s="19"/>
    </row>
    <row r="786" spans="1:9" ht="20" x14ac:dyDescent="0.2">
      <c r="A786" s="6"/>
      <c r="B786" s="151" t="s">
        <v>1954</v>
      </c>
      <c r="C786" s="51" t="s">
        <v>3685</v>
      </c>
      <c r="D786" s="51" t="s">
        <v>106</v>
      </c>
      <c r="E786" s="51"/>
      <c r="F786" s="51"/>
      <c r="G786" s="51" t="s">
        <v>2876</v>
      </c>
      <c r="H786" s="19"/>
      <c r="I786" s="19"/>
    </row>
    <row r="787" spans="1:9" ht="20" x14ac:dyDescent="0.2">
      <c r="A787" s="6"/>
      <c r="B787" s="151" t="s">
        <v>2517</v>
      </c>
      <c r="C787" s="51" t="s">
        <v>2176</v>
      </c>
      <c r="D787" s="51" t="s">
        <v>106</v>
      </c>
      <c r="E787" s="51"/>
      <c r="F787" s="51"/>
      <c r="G787" s="51" t="s">
        <v>2876</v>
      </c>
      <c r="H787" s="19"/>
      <c r="I787" s="19"/>
    </row>
    <row r="788" spans="1:9" ht="20" x14ac:dyDescent="0.2">
      <c r="A788" s="6"/>
      <c r="B788" s="151" t="s">
        <v>813</v>
      </c>
      <c r="C788" s="51" t="s">
        <v>3550</v>
      </c>
      <c r="D788" s="51" t="s">
        <v>106</v>
      </c>
      <c r="E788" s="51"/>
      <c r="F788" s="51"/>
      <c r="G788" s="51" t="s">
        <v>2876</v>
      </c>
      <c r="H788" s="19"/>
      <c r="I788" s="19"/>
    </row>
    <row r="789" spans="1:9" ht="20" x14ac:dyDescent="0.2">
      <c r="A789" s="6"/>
      <c r="B789" s="151" t="s">
        <v>2586</v>
      </c>
      <c r="C789" s="51" t="s">
        <v>2245</v>
      </c>
      <c r="D789" s="51" t="s">
        <v>106</v>
      </c>
      <c r="E789" s="51"/>
      <c r="F789" s="51"/>
      <c r="G789" s="51" t="s">
        <v>2876</v>
      </c>
      <c r="H789" s="19"/>
      <c r="I789" s="19"/>
    </row>
    <row r="790" spans="1:9" ht="20" x14ac:dyDescent="0.2">
      <c r="A790" s="6"/>
      <c r="B790" s="151" t="s">
        <v>1930</v>
      </c>
      <c r="C790" s="51" t="s">
        <v>3347</v>
      </c>
      <c r="D790" s="51" t="s">
        <v>106</v>
      </c>
      <c r="E790" s="51"/>
      <c r="F790" s="51"/>
      <c r="G790" s="51" t="s">
        <v>2876</v>
      </c>
      <c r="H790" s="19"/>
      <c r="I790" s="19"/>
    </row>
    <row r="791" spans="1:9" ht="20" x14ac:dyDescent="0.2">
      <c r="A791" s="6"/>
      <c r="B791" s="151" t="s">
        <v>1931</v>
      </c>
      <c r="C791" s="51" t="s">
        <v>3549</v>
      </c>
      <c r="D791" s="51" t="s">
        <v>106</v>
      </c>
      <c r="E791" s="51"/>
      <c r="F791" s="51"/>
      <c r="G791" s="51" t="s">
        <v>2876</v>
      </c>
      <c r="H791" s="19"/>
      <c r="I791" s="19"/>
    </row>
    <row r="792" spans="1:9" ht="20" x14ac:dyDescent="0.2">
      <c r="A792" s="6"/>
      <c r="B792" s="151" t="s">
        <v>2429</v>
      </c>
      <c r="C792" s="51" t="s">
        <v>2081</v>
      </c>
      <c r="D792" s="51" t="s">
        <v>106</v>
      </c>
      <c r="E792" s="51"/>
      <c r="F792" s="51"/>
      <c r="G792" s="51" t="s">
        <v>2876</v>
      </c>
      <c r="H792" s="19"/>
      <c r="I792" s="19"/>
    </row>
    <row r="793" spans="1:9" ht="20" x14ac:dyDescent="0.2">
      <c r="A793" s="6"/>
      <c r="B793" s="151" t="s">
        <v>1933</v>
      </c>
      <c r="C793" s="51" t="s">
        <v>3349</v>
      </c>
      <c r="D793" s="51" t="s">
        <v>106</v>
      </c>
      <c r="E793" s="51"/>
      <c r="F793" s="51"/>
      <c r="G793" s="51" t="s">
        <v>2876</v>
      </c>
      <c r="H793" s="19"/>
      <c r="I793" s="19"/>
    </row>
    <row r="794" spans="1:9" ht="20" x14ac:dyDescent="0.2">
      <c r="A794" s="6"/>
      <c r="B794" s="151" t="s">
        <v>1935</v>
      </c>
      <c r="C794" s="51" t="s">
        <v>3727</v>
      </c>
      <c r="D794" s="51" t="s">
        <v>106</v>
      </c>
      <c r="E794" s="299">
        <v>49.236626000000001</v>
      </c>
      <c r="F794" s="299">
        <v>-121.6806648</v>
      </c>
      <c r="G794" s="51" t="s">
        <v>2876</v>
      </c>
      <c r="H794" s="19"/>
      <c r="I794" s="19"/>
    </row>
    <row r="795" spans="1:9" ht="20" x14ac:dyDescent="0.2">
      <c r="A795" s="6"/>
      <c r="B795" s="151" t="s">
        <v>2485</v>
      </c>
      <c r="C795" s="51" t="s">
        <v>2343</v>
      </c>
      <c r="D795" s="51" t="s">
        <v>106</v>
      </c>
      <c r="E795" s="51"/>
      <c r="F795" s="51"/>
      <c r="G795" s="51" t="s">
        <v>2876</v>
      </c>
      <c r="H795" s="19"/>
      <c r="I795" s="19"/>
    </row>
    <row r="796" spans="1:9" ht="20" x14ac:dyDescent="0.2">
      <c r="A796" s="6"/>
      <c r="B796" s="151" t="s">
        <v>1941</v>
      </c>
      <c r="C796" s="51" t="s">
        <v>3551</v>
      </c>
      <c r="D796" s="51" t="s">
        <v>106</v>
      </c>
      <c r="E796" s="51"/>
      <c r="F796" s="51"/>
      <c r="G796" s="51" t="s">
        <v>2876</v>
      </c>
      <c r="H796" s="19"/>
      <c r="I796" s="19"/>
    </row>
    <row r="797" spans="1:9" ht="20" x14ac:dyDescent="0.2">
      <c r="A797" s="6"/>
      <c r="B797" s="151" t="s">
        <v>2535</v>
      </c>
      <c r="C797" s="51" t="s">
        <v>2194</v>
      </c>
      <c r="D797" s="51" t="s">
        <v>106</v>
      </c>
      <c r="E797" s="51"/>
      <c r="F797" s="51"/>
      <c r="G797" s="51" t="s">
        <v>2876</v>
      </c>
      <c r="H797" s="19"/>
      <c r="I797" s="19"/>
    </row>
    <row r="798" spans="1:9" ht="20" x14ac:dyDescent="0.2">
      <c r="A798" s="6"/>
      <c r="B798" s="151" t="s">
        <v>1938</v>
      </c>
      <c r="C798" s="51" t="s">
        <v>3176</v>
      </c>
      <c r="D798" s="51" t="s">
        <v>106</v>
      </c>
      <c r="E798" s="299">
        <v>50.660512099999998</v>
      </c>
      <c r="F798" s="299">
        <v>-121.98331</v>
      </c>
      <c r="G798" s="51" t="s">
        <v>2876</v>
      </c>
      <c r="H798" s="19"/>
      <c r="I798" s="19"/>
    </row>
    <row r="799" spans="1:9" ht="20" x14ac:dyDescent="0.2">
      <c r="A799" s="6"/>
      <c r="B799" s="151" t="s">
        <v>2496</v>
      </c>
      <c r="C799" s="51" t="s">
        <v>2154</v>
      </c>
      <c r="D799" s="51" t="s">
        <v>106</v>
      </c>
      <c r="E799" s="51"/>
      <c r="F799" s="51"/>
      <c r="G799" s="51" t="s">
        <v>2876</v>
      </c>
      <c r="H799" s="19"/>
      <c r="I799" s="19"/>
    </row>
    <row r="800" spans="1:9" ht="20" x14ac:dyDescent="0.2">
      <c r="A800" s="6"/>
      <c r="B800" s="151" t="s">
        <v>1940</v>
      </c>
      <c r="C800" s="51" t="s">
        <v>3178</v>
      </c>
      <c r="D800" s="51" t="s">
        <v>106</v>
      </c>
      <c r="E800" s="299">
        <v>50.813936900000002</v>
      </c>
      <c r="F800" s="299">
        <v>-118.06001000000001</v>
      </c>
      <c r="G800" s="51" t="s">
        <v>2876</v>
      </c>
      <c r="H800" s="19"/>
      <c r="I800" s="19"/>
    </row>
    <row r="801" spans="1:9" ht="20" x14ac:dyDescent="0.2">
      <c r="A801" s="6"/>
      <c r="B801" s="151" t="s">
        <v>1944</v>
      </c>
      <c r="C801" s="51" t="s">
        <v>3354</v>
      </c>
      <c r="D801" s="51" t="s">
        <v>106</v>
      </c>
      <c r="E801" s="51"/>
      <c r="F801" s="51"/>
      <c r="G801" s="51" t="s">
        <v>2876</v>
      </c>
      <c r="H801" s="19"/>
      <c r="I801" s="19"/>
    </row>
    <row r="802" spans="1:9" ht="20" x14ac:dyDescent="0.2">
      <c r="A802" s="6"/>
      <c r="B802" s="230" t="s">
        <v>2333</v>
      </c>
      <c r="C802" s="51" t="s">
        <v>3175</v>
      </c>
      <c r="D802" s="51" t="s">
        <v>173</v>
      </c>
      <c r="E802" s="299">
        <v>49.004674999999999</v>
      </c>
      <c r="F802" s="299">
        <v>-117.61599339999999</v>
      </c>
      <c r="G802" s="51" t="s">
        <v>2876</v>
      </c>
      <c r="H802" s="19"/>
      <c r="I802" s="19"/>
    </row>
    <row r="803" spans="1:9" ht="20" x14ac:dyDescent="0.2">
      <c r="A803" s="6"/>
      <c r="B803" s="230" t="s">
        <v>2332</v>
      </c>
      <c r="C803" s="51" t="s">
        <v>3174</v>
      </c>
      <c r="D803" s="51" t="s">
        <v>173</v>
      </c>
      <c r="E803" s="299">
        <v>49.004147699999997</v>
      </c>
      <c r="F803" s="299">
        <v>-117.6128674</v>
      </c>
      <c r="G803" s="51" t="s">
        <v>2876</v>
      </c>
      <c r="H803" s="19"/>
      <c r="I803" s="19"/>
    </row>
    <row r="804" spans="1:9" ht="20" x14ac:dyDescent="0.2">
      <c r="A804" s="6"/>
      <c r="B804" s="230" t="s">
        <v>3604</v>
      </c>
      <c r="C804" s="51" t="s">
        <v>3605</v>
      </c>
      <c r="D804" s="51" t="s">
        <v>173</v>
      </c>
      <c r="E804" s="51"/>
      <c r="F804" s="51"/>
      <c r="G804" s="51" t="s">
        <v>2876</v>
      </c>
      <c r="H804" s="19"/>
      <c r="I804" s="19"/>
    </row>
    <row r="805" spans="1:9" ht="20" x14ac:dyDescent="0.2">
      <c r="A805" s="6"/>
      <c r="B805" s="151" t="s">
        <v>2627</v>
      </c>
      <c r="C805" s="51" t="s">
        <v>3552</v>
      </c>
      <c r="D805" s="51" t="s">
        <v>106</v>
      </c>
      <c r="E805" s="51"/>
      <c r="F805" s="51"/>
      <c r="G805" s="51" t="s">
        <v>2876</v>
      </c>
      <c r="H805" s="19"/>
      <c r="I805" s="19"/>
    </row>
    <row r="806" spans="1:9" ht="20" x14ac:dyDescent="0.2">
      <c r="A806" s="6"/>
      <c r="B806" s="151" t="s">
        <v>2626</v>
      </c>
      <c r="C806" s="51" t="s">
        <v>2222</v>
      </c>
      <c r="D806" s="51" t="s">
        <v>106</v>
      </c>
      <c r="E806" s="51"/>
      <c r="F806" s="51"/>
      <c r="G806" s="51" t="s">
        <v>2876</v>
      </c>
      <c r="H806" s="19"/>
      <c r="I806" s="19"/>
    </row>
    <row r="807" spans="1:9" ht="20" x14ac:dyDescent="0.2">
      <c r="A807" s="6"/>
      <c r="B807" s="230" t="s">
        <v>1936</v>
      </c>
      <c r="C807" s="51" t="s">
        <v>3356</v>
      </c>
      <c r="D807" s="51" t="s">
        <v>173</v>
      </c>
      <c r="E807" s="51"/>
      <c r="F807" s="51"/>
      <c r="G807" s="51" t="s">
        <v>2876</v>
      </c>
      <c r="H807" s="19"/>
      <c r="I807" s="19"/>
    </row>
    <row r="808" spans="1:9" ht="20" x14ac:dyDescent="0.2">
      <c r="A808" s="6"/>
      <c r="B808" s="230" t="s">
        <v>2676</v>
      </c>
      <c r="C808" s="51" t="s">
        <v>3451</v>
      </c>
      <c r="D808" s="51" t="s">
        <v>173</v>
      </c>
      <c r="E808" s="51"/>
      <c r="F808" s="51"/>
      <c r="G808" s="51" t="s">
        <v>2876</v>
      </c>
      <c r="H808" s="19"/>
      <c r="I808" s="19"/>
    </row>
    <row r="809" spans="1:9" ht="20" x14ac:dyDescent="0.2">
      <c r="A809" s="6"/>
      <c r="B809" s="151" t="s">
        <v>1950</v>
      </c>
      <c r="C809" s="51" t="s">
        <v>3426</v>
      </c>
      <c r="D809" s="51" t="s">
        <v>106</v>
      </c>
      <c r="E809" s="299">
        <v>58.724171838064599</v>
      </c>
      <c r="F809" s="299">
        <v>-122.701608889185</v>
      </c>
      <c r="G809" s="51" t="s">
        <v>3716</v>
      </c>
      <c r="H809" s="19"/>
      <c r="I809" s="19"/>
    </row>
    <row r="810" spans="1:9" ht="20" x14ac:dyDescent="0.2">
      <c r="A810" s="6"/>
      <c r="B810" s="230" t="s">
        <v>2680</v>
      </c>
      <c r="C810" s="51" t="s">
        <v>3351</v>
      </c>
      <c r="D810" s="51" t="s">
        <v>173</v>
      </c>
      <c r="E810" s="51"/>
      <c r="F810" s="51"/>
      <c r="G810" s="51" t="s">
        <v>2876</v>
      </c>
      <c r="H810" s="19"/>
      <c r="I810" s="19"/>
    </row>
    <row r="811" spans="1:9" ht="20" x14ac:dyDescent="0.2">
      <c r="A811" s="6"/>
      <c r="B811" s="151" t="s">
        <v>1948</v>
      </c>
      <c r="C811" s="51" t="s">
        <v>3686</v>
      </c>
      <c r="D811" s="51" t="s">
        <v>106</v>
      </c>
      <c r="E811" s="51"/>
      <c r="F811" s="51"/>
      <c r="G811" s="51" t="s">
        <v>2876</v>
      </c>
      <c r="H811" s="19"/>
      <c r="I811" s="19"/>
    </row>
    <row r="812" spans="1:9" ht="20" x14ac:dyDescent="0.2">
      <c r="A812" s="6"/>
      <c r="B812" s="151" t="s">
        <v>2580</v>
      </c>
      <c r="C812" s="51" t="s">
        <v>2239</v>
      </c>
      <c r="D812" s="51" t="s">
        <v>106</v>
      </c>
      <c r="E812" s="51"/>
      <c r="F812" s="51"/>
      <c r="G812" s="51" t="s">
        <v>2876</v>
      </c>
      <c r="H812" s="19"/>
      <c r="I812" s="19"/>
    </row>
    <row r="813" spans="1:9" ht="20" x14ac:dyDescent="0.2">
      <c r="A813" s="6"/>
      <c r="B813" s="151" t="s">
        <v>2339</v>
      </c>
      <c r="C813" s="51" t="s">
        <v>3687</v>
      </c>
      <c r="D813" s="51" t="s">
        <v>106</v>
      </c>
      <c r="E813" s="51"/>
      <c r="F813" s="51"/>
      <c r="G813" s="51" t="s">
        <v>2876</v>
      </c>
      <c r="H813" s="19"/>
      <c r="I813" s="19"/>
    </row>
    <row r="814" spans="1:9" ht="20" x14ac:dyDescent="0.2">
      <c r="A814" s="6"/>
      <c r="B814" s="151" t="s">
        <v>2571</v>
      </c>
      <c r="C814" s="51" t="s">
        <v>2230</v>
      </c>
      <c r="D814" s="51" t="s">
        <v>106</v>
      </c>
      <c r="E814" s="51"/>
      <c r="F814" s="51"/>
      <c r="G814" s="51" t="s">
        <v>2876</v>
      </c>
      <c r="H814" s="19"/>
      <c r="I814" s="19"/>
    </row>
    <row r="815" spans="1:9" ht="20" x14ac:dyDescent="0.2">
      <c r="A815" s="6"/>
      <c r="B815" s="151" t="s">
        <v>2341</v>
      </c>
      <c r="C815" s="51" t="s">
        <v>3688</v>
      </c>
      <c r="D815" s="51" t="s">
        <v>106</v>
      </c>
      <c r="E815" s="51"/>
      <c r="F815" s="51"/>
      <c r="G815" s="51" t="s">
        <v>2876</v>
      </c>
      <c r="H815" s="19"/>
      <c r="I815" s="19"/>
    </row>
    <row r="816" spans="1:9" ht="20" x14ac:dyDescent="0.2">
      <c r="A816" s="6"/>
      <c r="B816" s="151" t="s">
        <v>2576</v>
      </c>
      <c r="C816" s="51" t="s">
        <v>2236</v>
      </c>
      <c r="D816" s="51" t="s">
        <v>106</v>
      </c>
      <c r="E816" s="51"/>
      <c r="F816" s="51"/>
      <c r="G816" s="51" t="s">
        <v>2876</v>
      </c>
      <c r="H816" s="19"/>
      <c r="I816" s="19"/>
    </row>
    <row r="817" spans="1:9" ht="20" x14ac:dyDescent="0.2">
      <c r="A817" s="6"/>
      <c r="B817" s="151" t="s">
        <v>2617</v>
      </c>
      <c r="C817" s="51" t="s">
        <v>3353</v>
      </c>
      <c r="D817" s="51" t="s">
        <v>106</v>
      </c>
      <c r="E817" s="51"/>
      <c r="F817" s="51"/>
      <c r="G817" s="51" t="s">
        <v>2876</v>
      </c>
      <c r="H817" s="19"/>
      <c r="I817" s="19"/>
    </row>
    <row r="818" spans="1:9" ht="20" x14ac:dyDescent="0.2">
      <c r="A818" s="6"/>
      <c r="B818" s="151" t="s">
        <v>2338</v>
      </c>
      <c r="C818" s="51" t="s">
        <v>3557</v>
      </c>
      <c r="D818" s="51" t="s">
        <v>106</v>
      </c>
      <c r="E818" s="51"/>
      <c r="F818" s="51"/>
      <c r="G818" s="51" t="s">
        <v>2876</v>
      </c>
      <c r="H818" s="19"/>
      <c r="I818" s="19"/>
    </row>
    <row r="819" spans="1:9" ht="20" x14ac:dyDescent="0.2">
      <c r="A819" s="6"/>
      <c r="B819" s="151" t="s">
        <v>2579</v>
      </c>
      <c r="C819" s="51" t="s">
        <v>2238</v>
      </c>
      <c r="D819" s="51" t="s">
        <v>106</v>
      </c>
      <c r="E819" s="51"/>
      <c r="F819" s="51"/>
      <c r="G819" s="51" t="s">
        <v>2876</v>
      </c>
      <c r="H819" s="19"/>
      <c r="I819" s="19"/>
    </row>
    <row r="820" spans="1:9" ht="20" x14ac:dyDescent="0.2">
      <c r="A820" s="6"/>
      <c r="B820" s="230" t="s">
        <v>2752</v>
      </c>
      <c r="C820" s="51" t="s">
        <v>3465</v>
      </c>
      <c r="D820" s="51" t="s">
        <v>173</v>
      </c>
      <c r="E820" s="51"/>
      <c r="F820" s="51"/>
      <c r="G820" s="51" t="s">
        <v>2876</v>
      </c>
      <c r="H820" s="19"/>
      <c r="I820" s="19"/>
    </row>
    <row r="821" spans="1:9" ht="20" x14ac:dyDescent="0.2">
      <c r="A821" s="6"/>
      <c r="B821" s="151" t="s">
        <v>288</v>
      </c>
      <c r="C821" s="51" t="s">
        <v>3370</v>
      </c>
      <c r="D821" s="51" t="s">
        <v>106</v>
      </c>
      <c r="E821" s="51"/>
      <c r="F821" s="51"/>
      <c r="G821" s="51" t="s">
        <v>2876</v>
      </c>
      <c r="H821" s="19"/>
      <c r="I821" s="19"/>
    </row>
    <row r="822" spans="1:9" ht="20" x14ac:dyDescent="0.2">
      <c r="A822" s="6"/>
      <c r="B822" s="151" t="s">
        <v>1937</v>
      </c>
      <c r="C822" s="51" t="s">
        <v>3689</v>
      </c>
      <c r="D822" s="51" t="s">
        <v>106</v>
      </c>
      <c r="E822" s="51"/>
      <c r="F822" s="51"/>
      <c r="G822" s="51" t="s">
        <v>2876</v>
      </c>
      <c r="H822" s="19"/>
      <c r="I822" s="19"/>
    </row>
    <row r="823" spans="1:9" ht="20" x14ac:dyDescent="0.2">
      <c r="A823" s="6"/>
      <c r="B823" s="151" t="s">
        <v>2503</v>
      </c>
      <c r="C823" s="51" t="s">
        <v>2162</v>
      </c>
      <c r="D823" s="51" t="s">
        <v>106</v>
      </c>
      <c r="E823" s="51"/>
      <c r="F823" s="51"/>
      <c r="G823" s="51" t="s">
        <v>2876</v>
      </c>
      <c r="H823" s="19"/>
      <c r="I823" s="19"/>
    </row>
    <row r="824" spans="1:9" ht="20" x14ac:dyDescent="0.2">
      <c r="A824" s="6"/>
      <c r="B824" s="151" t="s">
        <v>1946</v>
      </c>
      <c r="C824" s="51" t="s">
        <v>3690</v>
      </c>
      <c r="D824" s="51" t="s">
        <v>106</v>
      </c>
      <c r="E824" s="51"/>
      <c r="F824" s="51"/>
      <c r="G824" s="51" t="s">
        <v>2876</v>
      </c>
      <c r="H824" s="19"/>
      <c r="I824" s="19"/>
    </row>
    <row r="825" spans="1:9" ht="20" x14ac:dyDescent="0.2">
      <c r="A825" s="6"/>
      <c r="B825" s="151" t="s">
        <v>2468</v>
      </c>
      <c r="C825" s="51" t="s">
        <v>2120</v>
      </c>
      <c r="D825" s="51" t="s">
        <v>106</v>
      </c>
      <c r="E825" s="51"/>
      <c r="F825" s="51"/>
      <c r="G825" s="51" t="s">
        <v>2876</v>
      </c>
      <c r="H825" s="19"/>
      <c r="I825" s="19"/>
    </row>
    <row r="826" spans="1:9" ht="20" x14ac:dyDescent="0.2">
      <c r="A826" s="6"/>
      <c r="B826" s="230" t="s">
        <v>2682</v>
      </c>
      <c r="C826" s="51" t="s">
        <v>3352</v>
      </c>
      <c r="D826" s="51" t="s">
        <v>173</v>
      </c>
      <c r="E826" s="51"/>
      <c r="F826" s="51"/>
      <c r="G826" s="51" t="s">
        <v>2876</v>
      </c>
      <c r="H826" s="19"/>
      <c r="I826" s="19"/>
    </row>
    <row r="827" spans="1:9" ht="20" x14ac:dyDescent="0.2">
      <c r="A827" s="6"/>
      <c r="B827" s="151" t="s">
        <v>2340</v>
      </c>
      <c r="C827" s="51" t="s">
        <v>3691</v>
      </c>
      <c r="D827" s="51" t="s">
        <v>106</v>
      </c>
      <c r="E827" s="51"/>
      <c r="F827" s="51"/>
      <c r="G827" s="51" t="s">
        <v>2876</v>
      </c>
      <c r="H827" s="19"/>
      <c r="I827" s="19"/>
    </row>
    <row r="828" spans="1:9" ht="20" x14ac:dyDescent="0.2">
      <c r="A828" s="6"/>
      <c r="B828" s="151" t="s">
        <v>2512</v>
      </c>
      <c r="C828" s="51" t="s">
        <v>2171</v>
      </c>
      <c r="D828" s="51" t="s">
        <v>106</v>
      </c>
      <c r="E828" s="51"/>
      <c r="F828" s="51"/>
      <c r="G828" s="51" t="s">
        <v>2876</v>
      </c>
      <c r="H828" s="19"/>
      <c r="I828" s="19"/>
    </row>
    <row r="829" spans="1:9" ht="20" x14ac:dyDescent="0.2">
      <c r="A829" s="6"/>
      <c r="B829" s="151" t="s">
        <v>1951</v>
      </c>
      <c r="C829" s="51" t="s">
        <v>3558</v>
      </c>
      <c r="D829" s="51" t="s">
        <v>106</v>
      </c>
      <c r="E829" s="51"/>
      <c r="F829" s="51"/>
      <c r="G829" s="51" t="s">
        <v>2876</v>
      </c>
      <c r="H829" s="19"/>
      <c r="I829" s="19"/>
    </row>
    <row r="830" spans="1:9" ht="20" x14ac:dyDescent="0.2">
      <c r="A830" s="6"/>
      <c r="B830" s="151" t="s">
        <v>2544</v>
      </c>
      <c r="C830" s="51" t="s">
        <v>2201</v>
      </c>
      <c r="D830" s="51" t="s">
        <v>106</v>
      </c>
      <c r="E830" s="51"/>
      <c r="F830" s="51"/>
      <c r="G830" s="51" t="s">
        <v>2876</v>
      </c>
      <c r="H830" s="19"/>
      <c r="I830" s="19"/>
    </row>
    <row r="831" spans="1:9" ht="20" x14ac:dyDescent="0.2">
      <c r="A831" s="6"/>
      <c r="B831" s="151" t="s">
        <v>1942</v>
      </c>
      <c r="C831" s="179" t="s">
        <v>3454</v>
      </c>
      <c r="D831" s="51" t="s">
        <v>106</v>
      </c>
      <c r="E831" s="51"/>
      <c r="F831" s="51"/>
      <c r="G831" s="51" t="s">
        <v>2876</v>
      </c>
      <c r="H831" s="19"/>
      <c r="I831" s="19"/>
    </row>
    <row r="832" spans="1:9" ht="20" x14ac:dyDescent="0.2">
      <c r="A832" s="6"/>
      <c r="B832" s="151" t="s">
        <v>2334</v>
      </c>
      <c r="C832" s="51" t="s">
        <v>3177</v>
      </c>
      <c r="D832" s="51" t="s">
        <v>106</v>
      </c>
      <c r="E832" s="299">
        <v>49.910565200000001</v>
      </c>
      <c r="F832" s="299">
        <v>-118.0718139</v>
      </c>
      <c r="G832" s="51" t="s">
        <v>2876</v>
      </c>
      <c r="H832" s="19"/>
      <c r="I832" s="19"/>
    </row>
    <row r="833" spans="1:9" ht="20" x14ac:dyDescent="0.2">
      <c r="A833" s="6"/>
      <c r="B833" s="151" t="s">
        <v>1949</v>
      </c>
      <c r="C833" s="51" t="s">
        <v>3489</v>
      </c>
      <c r="D833" s="51" t="s">
        <v>106</v>
      </c>
      <c r="E833" s="51"/>
      <c r="F833" s="51"/>
      <c r="G833" s="51" t="s">
        <v>2876</v>
      </c>
      <c r="H833" s="19"/>
      <c r="I833" s="19"/>
    </row>
    <row r="834" spans="1:9" ht="20" x14ac:dyDescent="0.2">
      <c r="A834" s="6"/>
      <c r="B834" s="151" t="s">
        <v>1945</v>
      </c>
      <c r="C834" s="51" t="s">
        <v>3554</v>
      </c>
      <c r="D834" s="51" t="s">
        <v>106</v>
      </c>
      <c r="E834" s="51"/>
      <c r="F834" s="51"/>
      <c r="G834" s="51" t="s">
        <v>2876</v>
      </c>
      <c r="H834" s="19"/>
      <c r="I834" s="19"/>
    </row>
    <row r="835" spans="1:9" ht="20" x14ac:dyDescent="0.2">
      <c r="A835" s="6"/>
      <c r="B835" s="151" t="s">
        <v>2484</v>
      </c>
      <c r="C835" s="51" t="s">
        <v>2141</v>
      </c>
      <c r="D835" s="51" t="s">
        <v>106</v>
      </c>
      <c r="E835" s="51"/>
      <c r="F835" s="51"/>
      <c r="G835" s="51" t="s">
        <v>2876</v>
      </c>
      <c r="H835" s="19"/>
      <c r="I835" s="19"/>
    </row>
    <row r="836" spans="1:9" ht="20" x14ac:dyDescent="0.2">
      <c r="A836" s="6"/>
      <c r="B836" s="151" t="s">
        <v>280</v>
      </c>
      <c r="C836" s="51" t="s">
        <v>3471</v>
      </c>
      <c r="D836" s="51" t="s">
        <v>106</v>
      </c>
      <c r="E836" s="51"/>
      <c r="F836" s="51"/>
      <c r="G836" s="51" t="s">
        <v>2876</v>
      </c>
      <c r="H836" s="19"/>
      <c r="I836" s="19"/>
    </row>
    <row r="837" spans="1:9" ht="20" x14ac:dyDescent="0.2">
      <c r="A837" s="6"/>
      <c r="B837" s="151" t="s">
        <v>365</v>
      </c>
      <c r="C837" s="51" t="s">
        <v>3355</v>
      </c>
      <c r="D837" s="51" t="s">
        <v>106</v>
      </c>
      <c r="E837" s="51"/>
      <c r="F837" s="51"/>
      <c r="G837" s="51" t="s">
        <v>2876</v>
      </c>
      <c r="H837" s="19"/>
      <c r="I837" s="19"/>
    </row>
    <row r="838" spans="1:9" ht="20" x14ac:dyDescent="0.2">
      <c r="A838" s="6"/>
      <c r="B838" s="151" t="s">
        <v>1943</v>
      </c>
      <c r="C838" s="51" t="s">
        <v>3417</v>
      </c>
      <c r="D838" s="51" t="s">
        <v>106</v>
      </c>
      <c r="E838" s="51"/>
      <c r="F838" s="51"/>
      <c r="G838" s="51" t="s">
        <v>2876</v>
      </c>
      <c r="H838" s="19"/>
      <c r="I838" s="19"/>
    </row>
    <row r="839" spans="1:9" ht="20" x14ac:dyDescent="0.2">
      <c r="A839" s="6"/>
      <c r="B839" s="151" t="s">
        <v>2566</v>
      </c>
      <c r="C839" s="51" t="s">
        <v>2225</v>
      </c>
      <c r="D839" s="51" t="s">
        <v>106</v>
      </c>
      <c r="E839" s="51"/>
      <c r="F839" s="51"/>
      <c r="G839" s="51" t="s">
        <v>2876</v>
      </c>
      <c r="H839" s="19"/>
      <c r="I839" s="19"/>
    </row>
    <row r="840" spans="1:9" ht="20" x14ac:dyDescent="0.2">
      <c r="A840" s="6"/>
      <c r="B840" s="151" t="s">
        <v>1939</v>
      </c>
      <c r="C840" s="51" t="s">
        <v>3209</v>
      </c>
      <c r="D840" s="51" t="s">
        <v>106</v>
      </c>
      <c r="E840" s="299">
        <v>49.676097499999997</v>
      </c>
      <c r="F840" s="299">
        <v>-123.2613831</v>
      </c>
      <c r="G840" s="51" t="s">
        <v>2876</v>
      </c>
      <c r="H840" s="19"/>
      <c r="I840" s="19"/>
    </row>
    <row r="841" spans="1:9" ht="20" x14ac:dyDescent="0.2">
      <c r="A841" s="6"/>
      <c r="B841" s="151" t="s">
        <v>2390</v>
      </c>
      <c r="C841" s="51" t="s">
        <v>2040</v>
      </c>
      <c r="D841" s="51" t="s">
        <v>106</v>
      </c>
      <c r="E841" s="51"/>
      <c r="F841" s="51"/>
      <c r="G841" s="51" t="s">
        <v>2876</v>
      </c>
      <c r="H841" s="19"/>
      <c r="I841" s="19"/>
    </row>
    <row r="842" spans="1:9" ht="20" x14ac:dyDescent="0.2">
      <c r="A842" s="6"/>
      <c r="B842" s="151" t="s">
        <v>1947</v>
      </c>
      <c r="C842" s="51" t="s">
        <v>3556</v>
      </c>
      <c r="D842" s="51" t="s">
        <v>106</v>
      </c>
      <c r="E842" s="51"/>
      <c r="F842" s="51"/>
      <c r="G842" s="51" t="s">
        <v>2876</v>
      </c>
      <c r="H842" s="19"/>
      <c r="I842" s="19"/>
    </row>
    <row r="843" spans="1:9" ht="20" x14ac:dyDescent="0.2">
      <c r="A843" s="6"/>
      <c r="B843" s="151" t="s">
        <v>2414</v>
      </c>
      <c r="C843" s="51" t="s">
        <v>2066</v>
      </c>
      <c r="D843" s="51" t="s">
        <v>106</v>
      </c>
      <c r="E843" s="51"/>
      <c r="F843" s="51"/>
      <c r="G843" s="51" t="s">
        <v>2876</v>
      </c>
      <c r="H843" s="19"/>
      <c r="I843" s="19"/>
    </row>
    <row r="844" spans="1:9" ht="20" x14ac:dyDescent="0.2">
      <c r="A844" s="6"/>
      <c r="B844" s="230" t="s">
        <v>2716</v>
      </c>
      <c r="C844" s="51" t="s">
        <v>3357</v>
      </c>
      <c r="D844" s="51" t="s">
        <v>173</v>
      </c>
      <c r="E844" s="51"/>
      <c r="F844" s="51"/>
      <c r="G844" s="51" t="s">
        <v>2876</v>
      </c>
      <c r="H844" s="19"/>
      <c r="I844" s="19"/>
    </row>
    <row r="845" spans="1:9" ht="20" x14ac:dyDescent="0.2">
      <c r="A845" s="6"/>
      <c r="B845" s="151" t="s">
        <v>2366</v>
      </c>
      <c r="C845" s="51" t="s">
        <v>3179</v>
      </c>
      <c r="D845" s="51" t="s">
        <v>106</v>
      </c>
      <c r="E845" s="299">
        <v>50.053520599999999</v>
      </c>
      <c r="F845" s="299">
        <v>-126.7796544</v>
      </c>
      <c r="G845" s="51" t="s">
        <v>2876</v>
      </c>
      <c r="H845" s="19"/>
      <c r="I845" s="19"/>
    </row>
    <row r="846" spans="1:9" ht="20" x14ac:dyDescent="0.2">
      <c r="A846" s="6"/>
      <c r="B846" s="151" t="s">
        <v>3578</v>
      </c>
      <c r="C846" s="51" t="s">
        <v>3579</v>
      </c>
      <c r="D846" s="51" t="s">
        <v>106</v>
      </c>
      <c r="E846" s="51"/>
      <c r="F846" s="51"/>
      <c r="G846" s="51" t="s">
        <v>2876</v>
      </c>
      <c r="H846" s="19"/>
      <c r="I846" s="19"/>
    </row>
    <row r="847" spans="1:9" x14ac:dyDescent="0.2">
      <c r="A847" s="6"/>
      <c r="B847"/>
      <c r="C847"/>
      <c r="D847" s="296"/>
      <c r="E847" s="296"/>
      <c r="F847" s="296"/>
      <c r="G847" s="296"/>
      <c r="H847" s="296"/>
      <c r="I847" s="296"/>
    </row>
    <row r="848" spans="1:9" ht="19" x14ac:dyDescent="0.2">
      <c r="A848" s="292" t="s">
        <v>2031</v>
      </c>
      <c r="C848" s="254"/>
      <c r="D848" s="254"/>
      <c r="E848" s="254"/>
      <c r="F848" s="254"/>
      <c r="G848" s="254"/>
      <c r="H848" s="189"/>
    </row>
    <row r="849" spans="1:12" ht="19" x14ac:dyDescent="0.25">
      <c r="A849" s="7" t="s">
        <v>3741</v>
      </c>
      <c r="C849" s="254"/>
      <c r="D849" s="254"/>
      <c r="E849" s="254"/>
      <c r="F849" s="254"/>
      <c r="G849" s="254"/>
      <c r="H849" s="189"/>
    </row>
    <row r="850" spans="1:12" ht="19" x14ac:dyDescent="0.25">
      <c r="A850" s="7" t="s">
        <v>3592</v>
      </c>
      <c r="C850" s="254"/>
      <c r="D850" s="254"/>
      <c r="E850" s="254"/>
      <c r="F850" s="254"/>
      <c r="G850" s="254"/>
      <c r="H850" s="189"/>
    </row>
    <row r="851" spans="1:12" ht="19" x14ac:dyDescent="0.25">
      <c r="A851" s="7" t="s">
        <v>3593</v>
      </c>
      <c r="C851" s="254"/>
      <c r="D851" s="254"/>
      <c r="E851" s="254"/>
      <c r="F851" s="254"/>
      <c r="G851" s="254"/>
      <c r="H851" s="189"/>
    </row>
    <row r="852" spans="1:12" ht="19" x14ac:dyDescent="0.25">
      <c r="A852" s="7" t="s">
        <v>3594</v>
      </c>
      <c r="C852" s="254"/>
      <c r="D852" s="254"/>
      <c r="E852" s="254"/>
      <c r="F852" s="254"/>
      <c r="G852" s="254"/>
      <c r="H852" s="189"/>
    </row>
    <row r="853" spans="1:12" ht="19" x14ac:dyDescent="0.25">
      <c r="A853" s="7" t="s">
        <v>3595</v>
      </c>
      <c r="C853" s="254"/>
      <c r="D853" s="254"/>
      <c r="E853" s="254"/>
      <c r="F853" s="254"/>
      <c r="G853" s="254"/>
      <c r="H853" s="189"/>
    </row>
    <row r="854" spans="1:12" ht="19" x14ac:dyDescent="0.25">
      <c r="A854" s="7" t="s">
        <v>3742</v>
      </c>
      <c r="C854" s="254"/>
      <c r="D854" s="254"/>
      <c r="E854" s="254"/>
      <c r="F854" s="254"/>
      <c r="G854" s="254"/>
      <c r="H854" s="189"/>
    </row>
    <row r="855" spans="1:12" ht="19" x14ac:dyDescent="0.25">
      <c r="A855" s="7" t="s">
        <v>3743</v>
      </c>
      <c r="C855" s="254"/>
      <c r="D855" s="254"/>
      <c r="E855" s="254"/>
      <c r="F855" s="254"/>
      <c r="G855" s="254"/>
      <c r="H855" s="189"/>
    </row>
    <row r="856" spans="1:12" ht="19" x14ac:dyDescent="0.25">
      <c r="A856" s="7" t="s">
        <v>3596</v>
      </c>
      <c r="C856" s="254"/>
      <c r="D856" s="254"/>
      <c r="E856" s="254"/>
      <c r="F856" s="254"/>
      <c r="G856" s="254"/>
      <c r="H856" s="189"/>
    </row>
    <row r="857" spans="1:12" ht="19" x14ac:dyDescent="0.25">
      <c r="A857" s="7" t="s">
        <v>2032</v>
      </c>
      <c r="C857" s="254"/>
      <c r="D857" s="254"/>
      <c r="E857" s="254"/>
      <c r="F857" s="254"/>
      <c r="G857" s="254"/>
      <c r="H857" s="189"/>
    </row>
    <row r="858" spans="1:12" ht="19" x14ac:dyDescent="0.25">
      <c r="A858" s="7" t="s">
        <v>2033</v>
      </c>
      <c r="C858" s="254"/>
      <c r="D858" s="254"/>
      <c r="E858" s="254"/>
      <c r="H858" s="41"/>
    </row>
    <row r="859" spans="1:12" ht="19" x14ac:dyDescent="0.25">
      <c r="A859" s="7" t="s">
        <v>3597</v>
      </c>
      <c r="C859" s="254"/>
      <c r="D859" s="254"/>
      <c r="E859" s="254"/>
      <c r="F859" s="254"/>
      <c r="G859" s="254"/>
      <c r="H859" s="189"/>
    </row>
    <row r="860" spans="1:12" ht="19" x14ac:dyDescent="0.25">
      <c r="A860" s="7" t="s">
        <v>2034</v>
      </c>
      <c r="C860" s="254"/>
      <c r="D860" s="254"/>
      <c r="E860" s="254"/>
      <c r="H860" s="41"/>
    </row>
    <row r="861" spans="1:12" ht="19" x14ac:dyDescent="0.25">
      <c r="A861" s="7" t="s">
        <v>3598</v>
      </c>
      <c r="C861" s="254"/>
      <c r="D861" s="254"/>
      <c r="E861" s="254"/>
      <c r="F861" s="254"/>
      <c r="G861" s="254"/>
      <c r="H861" s="189"/>
    </row>
    <row r="862" spans="1:12" ht="19" x14ac:dyDescent="0.25">
      <c r="A862" s="7"/>
      <c r="C862" s="254"/>
      <c r="D862" s="254"/>
      <c r="E862" s="254"/>
      <c r="F862" s="254"/>
      <c r="G862" s="254"/>
      <c r="J862" s="189"/>
    </row>
    <row r="863" spans="1:12" ht="19" x14ac:dyDescent="0.2">
      <c r="A863" s="292" t="s">
        <v>1039</v>
      </c>
      <c r="B863" s="41"/>
      <c r="C863" s="38"/>
      <c r="H863" s="41"/>
      <c r="I863" s="41"/>
      <c r="J863" s="41"/>
      <c r="L863" s="41"/>
    </row>
    <row r="864" spans="1:12" ht="19" x14ac:dyDescent="0.25">
      <c r="A864" s="7" t="s">
        <v>2872</v>
      </c>
      <c r="B864" s="41"/>
      <c r="C864" s="41"/>
      <c r="L864" s="41"/>
    </row>
    <row r="865" spans="2:12" x14ac:dyDescent="0.2">
      <c r="B865"/>
      <c r="C865"/>
      <c r="D865" s="296"/>
      <c r="E865" s="296"/>
      <c r="F865" s="296"/>
      <c r="G865" s="296"/>
      <c r="H865" s="296"/>
      <c r="I865" s="296"/>
      <c r="J865" s="41"/>
      <c r="K865" s="90"/>
      <c r="L865" s="183"/>
    </row>
    <row r="866" spans="2:12" x14ac:dyDescent="0.2">
      <c r="B866"/>
      <c r="C866"/>
      <c r="D866" s="254"/>
      <c r="E866" s="254"/>
      <c r="F866" s="254"/>
      <c r="G866" s="254"/>
      <c r="J866" s="41"/>
      <c r="K866" s="90"/>
      <c r="L866" s="183"/>
    </row>
    <row r="867" spans="2:12" x14ac:dyDescent="0.2">
      <c r="B867"/>
      <c r="C867"/>
      <c r="D867" s="296"/>
      <c r="E867" s="296"/>
      <c r="F867" s="296"/>
      <c r="G867" s="296"/>
      <c r="H867" s="296"/>
      <c r="I867" s="296"/>
      <c r="J867" s="41"/>
      <c r="K867" s="90"/>
      <c r="L867" s="183"/>
    </row>
    <row r="868" spans="2:12" x14ac:dyDescent="0.2">
      <c r="B868"/>
      <c r="C868"/>
      <c r="D868" s="296"/>
      <c r="E868" s="296"/>
      <c r="F868" s="296"/>
      <c r="G868" s="296"/>
      <c r="H868" s="296"/>
      <c r="I868" s="296"/>
      <c r="J868" s="41"/>
      <c r="K868" s="90"/>
      <c r="L868" s="183"/>
    </row>
    <row r="869" spans="2:12" x14ac:dyDescent="0.2">
      <c r="B869"/>
      <c r="C869"/>
      <c r="D869"/>
      <c r="E869"/>
      <c r="F869"/>
      <c r="G869"/>
      <c r="H869"/>
      <c r="I869"/>
      <c r="J869" s="41"/>
      <c r="K869" s="90"/>
      <c r="L869" s="183"/>
    </row>
    <row r="870" spans="2:12" x14ac:dyDescent="0.2">
      <c r="B870"/>
      <c r="C870"/>
      <c r="D870"/>
      <c r="E870"/>
      <c r="F870"/>
      <c r="G870"/>
      <c r="H870"/>
      <c r="I870"/>
      <c r="J870" s="41"/>
      <c r="K870" s="90"/>
      <c r="L870" s="183"/>
    </row>
    <row r="871" spans="2:12" x14ac:dyDescent="0.2">
      <c r="B871"/>
      <c r="C871"/>
      <c r="D871"/>
      <c r="E871"/>
      <c r="F871"/>
      <c r="G871"/>
      <c r="H871"/>
      <c r="I871"/>
      <c r="J871" s="41"/>
      <c r="K871" s="90"/>
      <c r="L871" s="183"/>
    </row>
    <row r="872" spans="2:12" x14ac:dyDescent="0.2">
      <c r="B872"/>
      <c r="C872"/>
      <c r="D872"/>
      <c r="E872"/>
      <c r="F872"/>
      <c r="G872"/>
      <c r="H872"/>
      <c r="I872"/>
    </row>
    <row r="873" spans="2:12" x14ac:dyDescent="0.2">
      <c r="B873"/>
      <c r="C873"/>
      <c r="D873"/>
      <c r="E873"/>
      <c r="F873"/>
      <c r="G873"/>
      <c r="H873"/>
      <c r="I873"/>
    </row>
    <row r="874" spans="2:12" x14ac:dyDescent="0.2">
      <c r="B874"/>
      <c r="C874"/>
      <c r="D874"/>
      <c r="E874"/>
      <c r="F874"/>
      <c r="G874"/>
      <c r="H874"/>
      <c r="I874"/>
    </row>
    <row r="875" spans="2:12" x14ac:dyDescent="0.2">
      <c r="B875"/>
      <c r="C875"/>
      <c r="D875"/>
      <c r="E875"/>
      <c r="F875"/>
      <c r="G875"/>
      <c r="H875"/>
      <c r="I875"/>
    </row>
    <row r="876" spans="2:12" x14ac:dyDescent="0.2">
      <c r="B876"/>
      <c r="C876"/>
      <c r="D876"/>
      <c r="E876"/>
      <c r="F876"/>
      <c r="G876"/>
      <c r="H876"/>
      <c r="I876"/>
    </row>
    <row r="877" spans="2:12" x14ac:dyDescent="0.2">
      <c r="B877"/>
      <c r="C877"/>
      <c r="D877"/>
      <c r="E877"/>
      <c r="F877"/>
      <c r="G877"/>
      <c r="H877"/>
      <c r="I877"/>
    </row>
    <row r="878" spans="2:12" x14ac:dyDescent="0.2">
      <c r="B878"/>
      <c r="C878"/>
      <c r="D878"/>
      <c r="E878"/>
      <c r="F878"/>
      <c r="G878"/>
      <c r="H878"/>
      <c r="I878"/>
    </row>
    <row r="879" spans="2:12" x14ac:dyDescent="0.2">
      <c r="B879"/>
      <c r="C879"/>
      <c r="D879"/>
      <c r="E879"/>
      <c r="F879"/>
      <c r="G879"/>
      <c r="H879"/>
      <c r="I879"/>
    </row>
    <row r="880" spans="2:12" x14ac:dyDescent="0.2">
      <c r="B880"/>
      <c r="C880"/>
      <c r="D880"/>
      <c r="E880"/>
      <c r="F880"/>
      <c r="G880"/>
      <c r="H880"/>
      <c r="I880"/>
    </row>
    <row r="881" spans="2:9" x14ac:dyDescent="0.2">
      <c r="B881"/>
      <c r="C881"/>
      <c r="D881"/>
      <c r="E881"/>
      <c r="F881"/>
      <c r="G881"/>
      <c r="H881"/>
      <c r="I881"/>
    </row>
    <row r="882" spans="2:9" x14ac:dyDescent="0.2">
      <c r="B882"/>
      <c r="C882"/>
      <c r="D882"/>
      <c r="E882"/>
      <c r="F882"/>
      <c r="G882"/>
      <c r="H882"/>
      <c r="I882"/>
    </row>
    <row r="883" spans="2:9" x14ac:dyDescent="0.2">
      <c r="B883"/>
      <c r="C883"/>
      <c r="D883"/>
      <c r="E883"/>
      <c r="F883"/>
      <c r="G883"/>
      <c r="H883"/>
      <c r="I883"/>
    </row>
    <row r="884" spans="2:9" x14ac:dyDescent="0.2">
      <c r="B884"/>
      <c r="C884"/>
      <c r="D884"/>
      <c r="E884"/>
      <c r="F884"/>
      <c r="G884"/>
      <c r="H884"/>
      <c r="I884"/>
    </row>
    <row r="885" spans="2:9" x14ac:dyDescent="0.2">
      <c r="B885"/>
      <c r="C885"/>
      <c r="D885"/>
      <c r="E885"/>
      <c r="F885"/>
      <c r="G885"/>
      <c r="H885"/>
      <c r="I885"/>
    </row>
    <row r="886" spans="2:9" x14ac:dyDescent="0.2">
      <c r="B886"/>
      <c r="C886"/>
      <c r="D886"/>
      <c r="E886"/>
      <c r="F886"/>
      <c r="G886"/>
      <c r="H886"/>
      <c r="I886"/>
    </row>
    <row r="887" spans="2:9" x14ac:dyDescent="0.2">
      <c r="B887"/>
      <c r="C887"/>
      <c r="D887"/>
      <c r="E887"/>
      <c r="F887"/>
      <c r="G887"/>
      <c r="H887"/>
      <c r="I887"/>
    </row>
    <row r="888" spans="2:9" x14ac:dyDescent="0.2">
      <c r="B888"/>
      <c r="C888"/>
      <c r="D888"/>
      <c r="E888"/>
      <c r="F888"/>
      <c r="G888"/>
      <c r="H888"/>
      <c r="I888"/>
    </row>
    <row r="889" spans="2:9" x14ac:dyDescent="0.2">
      <c r="B889"/>
      <c r="C889"/>
      <c r="D889"/>
      <c r="E889"/>
      <c r="F889"/>
      <c r="G889"/>
      <c r="H889"/>
      <c r="I889"/>
    </row>
    <row r="890" spans="2:9" x14ac:dyDescent="0.2">
      <c r="B890"/>
      <c r="C890"/>
      <c r="D890"/>
      <c r="E890"/>
      <c r="F890"/>
      <c r="G890"/>
      <c r="H890"/>
      <c r="I890"/>
    </row>
    <row r="891" spans="2:9" x14ac:dyDescent="0.2">
      <c r="B891"/>
      <c r="C891"/>
      <c r="D891"/>
      <c r="E891"/>
      <c r="F891"/>
      <c r="G891"/>
      <c r="H891"/>
      <c r="I891"/>
    </row>
    <row r="892" spans="2:9" x14ac:dyDescent="0.2">
      <c r="B892"/>
      <c r="C892"/>
      <c r="D892"/>
      <c r="E892"/>
      <c r="F892"/>
      <c r="G892"/>
      <c r="H892"/>
      <c r="I892"/>
    </row>
    <row r="893" spans="2:9" x14ac:dyDescent="0.2">
      <c r="B893"/>
      <c r="C893"/>
      <c r="D893"/>
      <c r="E893"/>
      <c r="F893"/>
      <c r="G893"/>
      <c r="H893"/>
      <c r="I893"/>
    </row>
    <row r="894" spans="2:9" x14ac:dyDescent="0.2">
      <c r="B894"/>
      <c r="C894"/>
      <c r="D894"/>
      <c r="E894"/>
      <c r="F894"/>
      <c r="G894"/>
      <c r="H894"/>
      <c r="I894"/>
    </row>
    <row r="895" spans="2:9" x14ac:dyDescent="0.2">
      <c r="B895"/>
      <c r="C895"/>
      <c r="D895"/>
      <c r="E895"/>
      <c r="F895"/>
      <c r="G895"/>
      <c r="H895"/>
      <c r="I895"/>
    </row>
    <row r="896" spans="2:9" x14ac:dyDescent="0.2">
      <c r="B896"/>
      <c r="C896"/>
      <c r="D896"/>
      <c r="E896"/>
      <c r="F896"/>
      <c r="G896"/>
      <c r="H896"/>
      <c r="I896"/>
    </row>
    <row r="897" spans="2:9" x14ac:dyDescent="0.2">
      <c r="B897"/>
      <c r="C897"/>
      <c r="D897"/>
      <c r="E897"/>
      <c r="F897"/>
      <c r="G897"/>
      <c r="H897"/>
      <c r="I897"/>
    </row>
    <row r="898" spans="2:9" x14ac:dyDescent="0.2">
      <c r="B898"/>
      <c r="C898"/>
      <c r="D898"/>
      <c r="E898"/>
      <c r="F898"/>
      <c r="G898"/>
      <c r="H898"/>
      <c r="I898"/>
    </row>
    <row r="899" spans="2:9" x14ac:dyDescent="0.2">
      <c r="B899"/>
      <c r="C899"/>
      <c r="D899"/>
      <c r="E899"/>
      <c r="F899"/>
      <c r="G899"/>
      <c r="H899"/>
      <c r="I899"/>
    </row>
    <row r="900" spans="2:9" x14ac:dyDescent="0.2">
      <c r="B900"/>
      <c r="C900"/>
      <c r="D900"/>
      <c r="E900"/>
      <c r="F900"/>
      <c r="G900"/>
      <c r="H900"/>
      <c r="I900"/>
    </row>
    <row r="901" spans="2:9" x14ac:dyDescent="0.2">
      <c r="B901"/>
      <c r="C901"/>
      <c r="D901"/>
      <c r="E901"/>
      <c r="F901"/>
      <c r="G901"/>
      <c r="H901"/>
      <c r="I901"/>
    </row>
    <row r="902" spans="2:9" x14ac:dyDescent="0.2">
      <c r="B902"/>
      <c r="C902"/>
      <c r="D902"/>
      <c r="E902"/>
      <c r="F902"/>
      <c r="G902"/>
      <c r="H902"/>
      <c r="I902"/>
    </row>
    <row r="903" spans="2:9" x14ac:dyDescent="0.2">
      <c r="B903"/>
      <c r="C903"/>
      <c r="D903"/>
      <c r="E903"/>
      <c r="F903"/>
      <c r="G903"/>
      <c r="H903"/>
      <c r="I903"/>
    </row>
    <row r="904" spans="2:9" x14ac:dyDescent="0.2">
      <c r="B904"/>
      <c r="C904"/>
      <c r="D904"/>
      <c r="E904"/>
      <c r="F904"/>
      <c r="G904"/>
      <c r="H904"/>
      <c r="I904"/>
    </row>
    <row r="905" spans="2:9" x14ac:dyDescent="0.2">
      <c r="B905"/>
      <c r="C905"/>
      <c r="D905"/>
      <c r="E905"/>
      <c r="F905"/>
      <c r="G905"/>
      <c r="H905"/>
      <c r="I905"/>
    </row>
    <row r="906" spans="2:9" x14ac:dyDescent="0.2">
      <c r="B906"/>
      <c r="C906"/>
      <c r="D906"/>
      <c r="E906"/>
      <c r="F906"/>
      <c r="G906"/>
      <c r="H906"/>
      <c r="I906"/>
    </row>
    <row r="907" spans="2:9" x14ac:dyDescent="0.2">
      <c r="B907"/>
      <c r="C907"/>
      <c r="D907"/>
      <c r="E907"/>
      <c r="F907"/>
      <c r="G907"/>
      <c r="H907"/>
      <c r="I907"/>
    </row>
    <row r="908" spans="2:9" x14ac:dyDescent="0.2">
      <c r="B908"/>
      <c r="C908"/>
      <c r="D908"/>
      <c r="E908"/>
      <c r="F908"/>
      <c r="G908"/>
      <c r="H908"/>
      <c r="I908"/>
    </row>
    <row r="909" spans="2:9" x14ac:dyDescent="0.2">
      <c r="B909"/>
      <c r="C909"/>
      <c r="D909"/>
      <c r="E909"/>
      <c r="F909"/>
      <c r="G909"/>
      <c r="H909"/>
      <c r="I909"/>
    </row>
    <row r="910" spans="2:9" x14ac:dyDescent="0.2">
      <c r="B910"/>
      <c r="C910"/>
      <c r="D910"/>
      <c r="E910"/>
      <c r="F910"/>
      <c r="G910"/>
      <c r="H910"/>
      <c r="I910"/>
    </row>
    <row r="911" spans="2:9" x14ac:dyDescent="0.2">
      <c r="B911"/>
      <c r="C911"/>
      <c r="D911"/>
      <c r="E911"/>
      <c r="F911"/>
      <c r="G911"/>
      <c r="H911"/>
      <c r="I911"/>
    </row>
    <row r="912" spans="2:9" x14ac:dyDescent="0.2">
      <c r="B912"/>
      <c r="C912"/>
      <c r="D912"/>
      <c r="E912"/>
      <c r="F912"/>
      <c r="G912"/>
      <c r="H912"/>
      <c r="I912"/>
    </row>
    <row r="913" spans="2:9" x14ac:dyDescent="0.2">
      <c r="B913"/>
      <c r="C913"/>
      <c r="D913"/>
      <c r="E913"/>
      <c r="F913"/>
      <c r="G913"/>
      <c r="H913"/>
      <c r="I913"/>
    </row>
    <row r="914" spans="2:9" x14ac:dyDescent="0.2">
      <c r="B914"/>
      <c r="C914"/>
      <c r="D914"/>
      <c r="E914"/>
      <c r="F914"/>
      <c r="G914"/>
      <c r="H914"/>
      <c r="I914"/>
    </row>
    <row r="915" spans="2:9" x14ac:dyDescent="0.2">
      <c r="B915"/>
      <c r="C915"/>
      <c r="D915"/>
      <c r="E915"/>
      <c r="F915"/>
      <c r="G915"/>
      <c r="H915"/>
      <c r="I915"/>
    </row>
    <row r="916" spans="2:9" x14ac:dyDescent="0.2">
      <c r="B916"/>
      <c r="C916"/>
      <c r="D916"/>
      <c r="E916"/>
      <c r="F916"/>
      <c r="G916"/>
      <c r="H916"/>
      <c r="I916"/>
    </row>
    <row r="917" spans="2:9" x14ac:dyDescent="0.2">
      <c r="B917"/>
      <c r="C917"/>
      <c r="D917"/>
      <c r="E917"/>
      <c r="F917"/>
      <c r="G917"/>
      <c r="H917"/>
      <c r="I917"/>
    </row>
    <row r="918" spans="2:9" x14ac:dyDescent="0.2">
      <c r="B918"/>
      <c r="C918"/>
      <c r="D918"/>
      <c r="E918"/>
      <c r="F918"/>
      <c r="G918"/>
      <c r="H918"/>
      <c r="I918"/>
    </row>
    <row r="919" spans="2:9" x14ac:dyDescent="0.2">
      <c r="B919"/>
      <c r="C919"/>
      <c r="D919"/>
      <c r="E919"/>
      <c r="F919"/>
      <c r="G919"/>
      <c r="H919"/>
      <c r="I919"/>
    </row>
    <row r="920" spans="2:9" x14ac:dyDescent="0.2">
      <c r="B920"/>
      <c r="C920"/>
      <c r="D920"/>
      <c r="E920"/>
      <c r="F920"/>
      <c r="G920"/>
      <c r="H920"/>
      <c r="I920"/>
    </row>
    <row r="921" spans="2:9" x14ac:dyDescent="0.2">
      <c r="B921"/>
      <c r="C921"/>
      <c r="D921"/>
      <c r="E921"/>
      <c r="F921"/>
      <c r="G921"/>
      <c r="H921"/>
      <c r="I921"/>
    </row>
    <row r="922" spans="2:9" x14ac:dyDescent="0.2">
      <c r="B922"/>
      <c r="C922"/>
      <c r="D922"/>
      <c r="E922"/>
      <c r="F922"/>
      <c r="G922"/>
      <c r="H922"/>
      <c r="I922"/>
    </row>
    <row r="923" spans="2:9" x14ac:dyDescent="0.2">
      <c r="B923"/>
      <c r="C923"/>
      <c r="D923"/>
      <c r="E923"/>
      <c r="F923"/>
      <c r="G923"/>
      <c r="H923"/>
      <c r="I923"/>
    </row>
    <row r="924" spans="2:9" x14ac:dyDescent="0.2">
      <c r="B924"/>
      <c r="C924"/>
      <c r="D924"/>
      <c r="E924"/>
      <c r="F924"/>
      <c r="G924"/>
      <c r="H924"/>
      <c r="I924"/>
    </row>
    <row r="925" spans="2:9" x14ac:dyDescent="0.2">
      <c r="B925"/>
      <c r="C925"/>
      <c r="D925"/>
      <c r="E925"/>
      <c r="F925"/>
      <c r="G925"/>
      <c r="H925"/>
      <c r="I925"/>
    </row>
    <row r="926" spans="2:9" x14ac:dyDescent="0.2">
      <c r="B926"/>
      <c r="C926"/>
      <c r="D926"/>
      <c r="E926"/>
      <c r="F926"/>
      <c r="G926"/>
      <c r="H926"/>
      <c r="I926"/>
    </row>
    <row r="927" spans="2:9" x14ac:dyDescent="0.2">
      <c r="B927"/>
      <c r="C927"/>
      <c r="D927"/>
      <c r="E927"/>
      <c r="F927"/>
      <c r="G927"/>
      <c r="H927"/>
      <c r="I927"/>
    </row>
    <row r="928" spans="2:9" x14ac:dyDescent="0.2">
      <c r="B928"/>
      <c r="C928"/>
      <c r="D928"/>
      <c r="E928"/>
      <c r="F928"/>
      <c r="G928"/>
      <c r="H928"/>
      <c r="I928"/>
    </row>
    <row r="929" spans="2:9" x14ac:dyDescent="0.2">
      <c r="B929"/>
      <c r="C929"/>
      <c r="D929"/>
      <c r="E929"/>
      <c r="F929"/>
      <c r="G929"/>
      <c r="H929"/>
      <c r="I929"/>
    </row>
    <row r="930" spans="2:9" x14ac:dyDescent="0.2">
      <c r="B930"/>
      <c r="C930"/>
      <c r="D930"/>
      <c r="E930"/>
      <c r="F930"/>
      <c r="G930"/>
      <c r="H930"/>
      <c r="I930"/>
    </row>
    <row r="931" spans="2:9" x14ac:dyDescent="0.2">
      <c r="B931"/>
      <c r="C931"/>
      <c r="D931"/>
      <c r="E931"/>
      <c r="F931"/>
      <c r="G931"/>
      <c r="H931"/>
      <c r="I931"/>
    </row>
    <row r="932" spans="2:9" x14ac:dyDescent="0.2">
      <c r="B932"/>
      <c r="C932"/>
      <c r="D932"/>
      <c r="E932"/>
      <c r="F932"/>
      <c r="G932"/>
      <c r="H932"/>
      <c r="I932"/>
    </row>
    <row r="933" spans="2:9" x14ac:dyDescent="0.2">
      <c r="B933"/>
      <c r="C933"/>
      <c r="D933"/>
      <c r="E933"/>
      <c r="F933"/>
      <c r="G933"/>
      <c r="H933"/>
      <c r="I933"/>
    </row>
    <row r="934" spans="2:9" x14ac:dyDescent="0.2">
      <c r="B934"/>
      <c r="C934"/>
      <c r="D934"/>
      <c r="E934"/>
      <c r="F934"/>
      <c r="G934"/>
      <c r="H934"/>
      <c r="I934"/>
    </row>
    <row r="935" spans="2:9" x14ac:dyDescent="0.2">
      <c r="B935"/>
      <c r="C935"/>
      <c r="D935"/>
      <c r="E935"/>
      <c r="F935"/>
      <c r="G935"/>
      <c r="H935"/>
      <c r="I935"/>
    </row>
    <row r="936" spans="2:9" x14ac:dyDescent="0.2">
      <c r="B936"/>
      <c r="C936"/>
      <c r="D936"/>
      <c r="E936"/>
      <c r="F936"/>
      <c r="G936"/>
      <c r="H936"/>
      <c r="I936"/>
    </row>
    <row r="937" spans="2:9" x14ac:dyDescent="0.2">
      <c r="B937"/>
      <c r="C937"/>
      <c r="D937"/>
      <c r="E937"/>
      <c r="F937"/>
      <c r="G937"/>
      <c r="H937"/>
      <c r="I937"/>
    </row>
    <row r="938" spans="2:9" x14ac:dyDescent="0.2">
      <c r="B938"/>
      <c r="C938"/>
      <c r="D938"/>
      <c r="E938"/>
      <c r="F938"/>
      <c r="G938"/>
      <c r="H938"/>
      <c r="I938"/>
    </row>
    <row r="939" spans="2:9" x14ac:dyDescent="0.2">
      <c r="B939"/>
      <c r="C939"/>
      <c r="D939"/>
      <c r="E939"/>
      <c r="F939"/>
      <c r="G939"/>
      <c r="H939"/>
      <c r="I939"/>
    </row>
    <row r="940" spans="2:9" x14ac:dyDescent="0.2">
      <c r="B940"/>
      <c r="C940"/>
      <c r="D940"/>
      <c r="E940"/>
      <c r="F940"/>
      <c r="G940"/>
      <c r="H940"/>
      <c r="I940"/>
    </row>
    <row r="941" spans="2:9" x14ac:dyDescent="0.2">
      <c r="B941"/>
      <c r="C941"/>
      <c r="D941"/>
      <c r="E941"/>
      <c r="F941"/>
      <c r="G941"/>
      <c r="H941"/>
      <c r="I941"/>
    </row>
    <row r="942" spans="2:9" x14ac:dyDescent="0.2">
      <c r="B942"/>
      <c r="C942"/>
      <c r="D942"/>
      <c r="E942"/>
      <c r="F942"/>
      <c r="G942"/>
      <c r="H942"/>
      <c r="I942"/>
    </row>
    <row r="943" spans="2:9" x14ac:dyDescent="0.2">
      <c r="B943"/>
      <c r="C943"/>
      <c r="D943"/>
      <c r="E943"/>
      <c r="F943"/>
      <c r="G943"/>
      <c r="H943"/>
      <c r="I943"/>
    </row>
    <row r="944" spans="2:9" x14ac:dyDescent="0.2">
      <c r="B944"/>
      <c r="C944"/>
      <c r="D944"/>
      <c r="E944"/>
      <c r="F944"/>
      <c r="G944"/>
      <c r="H944"/>
      <c r="I944"/>
    </row>
    <row r="945" spans="2:9" x14ac:dyDescent="0.2">
      <c r="B945"/>
      <c r="C945"/>
      <c r="D945"/>
      <c r="E945"/>
      <c r="F945"/>
      <c r="G945"/>
      <c r="H945"/>
      <c r="I945"/>
    </row>
    <row r="946" spans="2:9" x14ac:dyDescent="0.2">
      <c r="B946"/>
      <c r="C946"/>
      <c r="D946"/>
      <c r="E946"/>
      <c r="F946"/>
      <c r="G946"/>
      <c r="H946"/>
      <c r="I946"/>
    </row>
    <row r="947" spans="2:9" x14ac:dyDescent="0.2">
      <c r="B947"/>
      <c r="C947"/>
      <c r="D947"/>
      <c r="E947"/>
      <c r="F947"/>
      <c r="G947"/>
      <c r="H947"/>
      <c r="I947"/>
    </row>
    <row r="948" spans="2:9" x14ac:dyDescent="0.2">
      <c r="B948"/>
      <c r="C948"/>
      <c r="D948"/>
      <c r="E948"/>
      <c r="F948"/>
      <c r="G948"/>
      <c r="H948"/>
      <c r="I948"/>
    </row>
    <row r="949" spans="2:9" x14ac:dyDescent="0.2">
      <c r="B949"/>
      <c r="C949"/>
      <c r="D949"/>
      <c r="E949"/>
      <c r="F949"/>
      <c r="G949"/>
      <c r="H949"/>
      <c r="I949"/>
    </row>
    <row r="950" spans="2:9" x14ac:dyDescent="0.2">
      <c r="B950"/>
      <c r="C950"/>
      <c r="D950"/>
      <c r="E950"/>
      <c r="F950"/>
      <c r="G950"/>
      <c r="H950"/>
      <c r="I950"/>
    </row>
    <row r="951" spans="2:9" x14ac:dyDescent="0.2">
      <c r="B951"/>
      <c r="C951"/>
      <c r="D951"/>
      <c r="E951"/>
      <c r="F951"/>
      <c r="G951"/>
      <c r="H951"/>
      <c r="I951"/>
    </row>
    <row r="952" spans="2:9" x14ac:dyDescent="0.2">
      <c r="B952"/>
      <c r="C952"/>
      <c r="D952"/>
      <c r="E952"/>
      <c r="F952"/>
      <c r="G952"/>
      <c r="H952"/>
      <c r="I952"/>
    </row>
    <row r="953" spans="2:9" x14ac:dyDescent="0.2">
      <c r="B953"/>
      <c r="C953"/>
      <c r="D953"/>
      <c r="E953"/>
      <c r="F953"/>
      <c r="G953"/>
      <c r="H953"/>
      <c r="I953"/>
    </row>
    <row r="954" spans="2:9" x14ac:dyDescent="0.2">
      <c r="B954"/>
      <c r="C954"/>
      <c r="D954"/>
      <c r="E954"/>
      <c r="F954"/>
      <c r="G954"/>
      <c r="H954"/>
      <c r="I954"/>
    </row>
    <row r="955" spans="2:9" x14ac:dyDescent="0.2">
      <c r="B955"/>
      <c r="C955"/>
      <c r="D955"/>
      <c r="E955"/>
      <c r="F955"/>
      <c r="G955"/>
      <c r="H955"/>
      <c r="I955"/>
    </row>
    <row r="956" spans="2:9" x14ac:dyDescent="0.2">
      <c r="B956"/>
      <c r="C956"/>
      <c r="D956"/>
      <c r="E956"/>
      <c r="F956"/>
      <c r="G956"/>
      <c r="H956"/>
      <c r="I956"/>
    </row>
    <row r="957" spans="2:9" x14ac:dyDescent="0.2">
      <c r="B957"/>
      <c r="C957"/>
      <c r="D957"/>
      <c r="E957"/>
      <c r="F957"/>
      <c r="G957"/>
      <c r="H957"/>
      <c r="I957"/>
    </row>
    <row r="958" spans="2:9" x14ac:dyDescent="0.2">
      <c r="B958"/>
      <c r="C958"/>
      <c r="D958"/>
      <c r="E958"/>
      <c r="F958"/>
      <c r="G958"/>
      <c r="H958"/>
      <c r="I958"/>
    </row>
    <row r="959" spans="2:9" x14ac:dyDescent="0.2">
      <c r="B959"/>
      <c r="C959"/>
      <c r="D959"/>
      <c r="E959"/>
      <c r="F959"/>
      <c r="G959"/>
      <c r="H959"/>
      <c r="I959"/>
    </row>
    <row r="960" spans="2:9" x14ac:dyDescent="0.2">
      <c r="B960"/>
      <c r="C960"/>
      <c r="D960"/>
      <c r="E960"/>
      <c r="F960"/>
      <c r="G960"/>
      <c r="H960"/>
      <c r="I960"/>
    </row>
    <row r="961" spans="2:9" x14ac:dyDescent="0.2">
      <c r="B961"/>
      <c r="C961"/>
      <c r="D961"/>
      <c r="E961"/>
      <c r="F961"/>
      <c r="G961"/>
      <c r="H961"/>
      <c r="I961"/>
    </row>
    <row r="962" spans="2:9" x14ac:dyDescent="0.2">
      <c r="B962"/>
      <c r="C962"/>
      <c r="D962"/>
      <c r="E962"/>
      <c r="F962"/>
      <c r="G962"/>
      <c r="H962"/>
      <c r="I962"/>
    </row>
    <row r="963" spans="2:9" x14ac:dyDescent="0.2">
      <c r="B963"/>
      <c r="C963"/>
      <c r="D963"/>
      <c r="E963"/>
      <c r="F963"/>
      <c r="G963"/>
      <c r="H963"/>
      <c r="I963"/>
    </row>
    <row r="964" spans="2:9" x14ac:dyDescent="0.2">
      <c r="B964"/>
      <c r="C964"/>
      <c r="D964"/>
      <c r="E964"/>
      <c r="F964"/>
      <c r="G964"/>
      <c r="H964"/>
      <c r="I964"/>
    </row>
    <row r="965" spans="2:9" x14ac:dyDescent="0.2">
      <c r="B965"/>
      <c r="C965"/>
      <c r="D965"/>
      <c r="E965"/>
      <c r="F965"/>
      <c r="G965"/>
      <c r="H965"/>
      <c r="I965"/>
    </row>
    <row r="966" spans="2:9" x14ac:dyDescent="0.2">
      <c r="B966"/>
      <c r="C966"/>
      <c r="D966"/>
      <c r="E966"/>
      <c r="F966"/>
      <c r="G966"/>
      <c r="H966"/>
      <c r="I966"/>
    </row>
    <row r="967" spans="2:9" x14ac:dyDescent="0.2">
      <c r="B967"/>
      <c r="C967"/>
      <c r="D967"/>
      <c r="E967"/>
      <c r="F967"/>
      <c r="G967"/>
      <c r="H967"/>
      <c r="I967"/>
    </row>
    <row r="968" spans="2:9" x14ac:dyDescent="0.2">
      <c r="B968"/>
      <c r="C968"/>
      <c r="D968"/>
      <c r="E968"/>
      <c r="F968"/>
      <c r="G968"/>
      <c r="H968"/>
      <c r="I968"/>
    </row>
    <row r="969" spans="2:9" x14ac:dyDescent="0.2">
      <c r="B969"/>
      <c r="C969"/>
      <c r="D969"/>
      <c r="E969"/>
      <c r="F969"/>
      <c r="G969"/>
      <c r="H969"/>
      <c r="I969"/>
    </row>
    <row r="970" spans="2:9" x14ac:dyDescent="0.2">
      <c r="B970"/>
      <c r="C970"/>
      <c r="D970"/>
      <c r="E970"/>
      <c r="F970"/>
      <c r="G970"/>
      <c r="H970"/>
      <c r="I970"/>
    </row>
    <row r="971" spans="2:9" x14ac:dyDescent="0.2">
      <c r="B971"/>
      <c r="C971"/>
      <c r="D971"/>
      <c r="E971"/>
      <c r="F971"/>
      <c r="G971"/>
      <c r="H971"/>
      <c r="I971"/>
    </row>
    <row r="972" spans="2:9" x14ac:dyDescent="0.2">
      <c r="B972"/>
      <c r="C972"/>
      <c r="D972"/>
      <c r="E972"/>
      <c r="F972"/>
      <c r="G972"/>
      <c r="H972"/>
      <c r="I972"/>
    </row>
    <row r="973" spans="2:9" x14ac:dyDescent="0.2">
      <c r="B973"/>
      <c r="C973"/>
      <c r="D973"/>
      <c r="E973"/>
      <c r="F973"/>
      <c r="G973"/>
      <c r="H973"/>
      <c r="I973"/>
    </row>
    <row r="974" spans="2:9" x14ac:dyDescent="0.2">
      <c r="B974"/>
      <c r="C974"/>
      <c r="D974"/>
      <c r="E974"/>
      <c r="F974"/>
      <c r="G974"/>
      <c r="H974"/>
      <c r="I974"/>
    </row>
    <row r="975" spans="2:9" x14ac:dyDescent="0.2">
      <c r="B975"/>
      <c r="C975"/>
      <c r="D975"/>
      <c r="E975"/>
      <c r="F975"/>
      <c r="G975"/>
      <c r="H975"/>
      <c r="I975"/>
    </row>
    <row r="976" spans="2:9" x14ac:dyDescent="0.2">
      <c r="B976"/>
      <c r="C976"/>
      <c r="D976"/>
      <c r="E976"/>
      <c r="F976"/>
      <c r="G976"/>
      <c r="H976"/>
      <c r="I976"/>
    </row>
    <row r="977" spans="2:9" x14ac:dyDescent="0.2">
      <c r="B977"/>
      <c r="C977"/>
      <c r="D977"/>
      <c r="E977"/>
      <c r="F977"/>
      <c r="G977"/>
      <c r="H977"/>
      <c r="I977"/>
    </row>
    <row r="978" spans="2:9" x14ac:dyDescent="0.2">
      <c r="B978"/>
      <c r="C978"/>
      <c r="D978"/>
      <c r="E978"/>
      <c r="F978"/>
      <c r="G978"/>
      <c r="H978"/>
      <c r="I978"/>
    </row>
    <row r="979" spans="2:9" x14ac:dyDescent="0.2">
      <c r="B979"/>
      <c r="C979"/>
      <c r="D979"/>
      <c r="E979"/>
      <c r="F979"/>
      <c r="G979"/>
      <c r="H979"/>
      <c r="I979"/>
    </row>
    <row r="980" spans="2:9" x14ac:dyDescent="0.2">
      <c r="B980"/>
      <c r="C980"/>
      <c r="D980"/>
      <c r="E980"/>
      <c r="F980"/>
      <c r="G980"/>
      <c r="H980"/>
      <c r="I980"/>
    </row>
    <row r="981" spans="2:9" x14ac:dyDescent="0.2">
      <c r="B981"/>
      <c r="C981"/>
      <c r="D981"/>
      <c r="E981"/>
      <c r="F981"/>
      <c r="G981"/>
      <c r="H981"/>
      <c r="I981"/>
    </row>
    <row r="982" spans="2:9" x14ac:dyDescent="0.2">
      <c r="B982"/>
      <c r="C982"/>
      <c r="D982"/>
      <c r="E982"/>
      <c r="F982"/>
      <c r="G982"/>
      <c r="H982"/>
      <c r="I982"/>
    </row>
    <row r="983" spans="2:9" x14ac:dyDescent="0.2">
      <c r="B983"/>
      <c r="C983"/>
      <c r="D983"/>
      <c r="E983"/>
      <c r="F983"/>
      <c r="G983"/>
      <c r="H983"/>
      <c r="I983"/>
    </row>
    <row r="984" spans="2:9" x14ac:dyDescent="0.2">
      <c r="B984"/>
      <c r="C984"/>
      <c r="D984"/>
      <c r="E984"/>
      <c r="F984"/>
      <c r="G984"/>
      <c r="H984"/>
      <c r="I984"/>
    </row>
    <row r="985" spans="2:9" x14ac:dyDescent="0.2">
      <c r="B985"/>
      <c r="C985"/>
      <c r="D985"/>
      <c r="E985"/>
      <c r="F985"/>
      <c r="G985"/>
      <c r="H985"/>
      <c r="I985"/>
    </row>
    <row r="986" spans="2:9" x14ac:dyDescent="0.2">
      <c r="B986"/>
      <c r="C986"/>
      <c r="D986"/>
      <c r="E986"/>
      <c r="F986"/>
      <c r="G986"/>
      <c r="H986"/>
      <c r="I986"/>
    </row>
    <row r="987" spans="2:9" x14ac:dyDescent="0.2">
      <c r="B987"/>
      <c r="C987"/>
      <c r="D987"/>
      <c r="E987"/>
      <c r="F987"/>
      <c r="G987"/>
      <c r="H987"/>
      <c r="I987"/>
    </row>
    <row r="988" spans="2:9" x14ac:dyDescent="0.2">
      <c r="B988"/>
      <c r="C988"/>
      <c r="D988"/>
      <c r="E988"/>
      <c r="F988"/>
      <c r="G988"/>
      <c r="H988"/>
      <c r="I988"/>
    </row>
    <row r="989" spans="2:9" x14ac:dyDescent="0.2">
      <c r="B989"/>
      <c r="C989"/>
      <c r="D989"/>
      <c r="E989"/>
      <c r="F989"/>
      <c r="G989"/>
      <c r="H989"/>
      <c r="I989"/>
    </row>
    <row r="990" spans="2:9" x14ac:dyDescent="0.2">
      <c r="B990"/>
      <c r="C990"/>
      <c r="D990"/>
      <c r="E990"/>
      <c r="F990"/>
      <c r="G990"/>
      <c r="H990"/>
      <c r="I990"/>
    </row>
    <row r="991" spans="2:9" x14ac:dyDescent="0.2">
      <c r="B991"/>
      <c r="C991"/>
      <c r="D991"/>
      <c r="E991"/>
      <c r="F991"/>
      <c r="G991"/>
      <c r="H991"/>
      <c r="I991"/>
    </row>
    <row r="992" spans="2:9" x14ac:dyDescent="0.2">
      <c r="B992"/>
      <c r="C992"/>
      <c r="D992"/>
      <c r="E992"/>
      <c r="F992"/>
      <c r="G992"/>
      <c r="H992"/>
      <c r="I992"/>
    </row>
    <row r="993" spans="2:9" x14ac:dyDescent="0.2">
      <c r="B993"/>
      <c r="C993"/>
      <c r="D993"/>
      <c r="E993"/>
      <c r="F993"/>
      <c r="G993"/>
      <c r="H993"/>
      <c r="I993"/>
    </row>
    <row r="994" spans="2:9" x14ac:dyDescent="0.2">
      <c r="B994"/>
      <c r="C994"/>
      <c r="D994"/>
      <c r="E994"/>
      <c r="F994"/>
      <c r="G994"/>
      <c r="H994"/>
      <c r="I994"/>
    </row>
    <row r="995" spans="2:9" x14ac:dyDescent="0.2">
      <c r="B995"/>
      <c r="C995"/>
      <c r="D995"/>
      <c r="E995"/>
      <c r="F995"/>
      <c r="G995"/>
      <c r="H995"/>
      <c r="I995"/>
    </row>
    <row r="996" spans="2:9" x14ac:dyDescent="0.2">
      <c r="B996"/>
      <c r="C996"/>
      <c r="D996"/>
      <c r="E996"/>
      <c r="F996"/>
      <c r="G996"/>
      <c r="H996"/>
      <c r="I996"/>
    </row>
    <row r="997" spans="2:9" x14ac:dyDescent="0.2">
      <c r="B997"/>
      <c r="C997"/>
      <c r="D997"/>
      <c r="E997"/>
      <c r="F997"/>
      <c r="G997"/>
      <c r="H997"/>
      <c r="I997"/>
    </row>
    <row r="998" spans="2:9" x14ac:dyDescent="0.2">
      <c r="B998"/>
      <c r="C998"/>
      <c r="D998"/>
      <c r="E998"/>
      <c r="F998"/>
      <c r="G998"/>
      <c r="H998"/>
      <c r="I998"/>
    </row>
    <row r="999" spans="2:9" x14ac:dyDescent="0.2">
      <c r="B999"/>
      <c r="C999"/>
      <c r="D999"/>
      <c r="E999"/>
      <c r="F999"/>
      <c r="G999"/>
      <c r="H999"/>
      <c r="I999"/>
    </row>
    <row r="1000" spans="2:9" x14ac:dyDescent="0.2">
      <c r="B1000"/>
      <c r="C1000"/>
      <c r="D1000"/>
      <c r="E1000"/>
      <c r="F1000"/>
      <c r="G1000"/>
      <c r="H1000"/>
      <c r="I1000"/>
    </row>
    <row r="1001" spans="2:9" x14ac:dyDescent="0.2">
      <c r="B1001"/>
      <c r="C1001"/>
      <c r="D1001"/>
      <c r="E1001"/>
      <c r="F1001"/>
      <c r="G1001"/>
      <c r="H1001"/>
      <c r="I1001"/>
    </row>
    <row r="1002" spans="2:9" x14ac:dyDescent="0.2">
      <c r="B1002"/>
      <c r="C1002"/>
      <c r="D1002"/>
      <c r="E1002"/>
      <c r="F1002"/>
      <c r="G1002"/>
      <c r="H1002"/>
      <c r="I1002"/>
    </row>
    <row r="1003" spans="2:9" x14ac:dyDescent="0.2">
      <c r="B1003"/>
      <c r="C1003"/>
      <c r="D1003"/>
      <c r="E1003"/>
      <c r="F1003"/>
      <c r="G1003"/>
      <c r="H1003"/>
      <c r="I1003"/>
    </row>
    <row r="1004" spans="2:9" x14ac:dyDescent="0.2">
      <c r="B1004"/>
      <c r="C1004"/>
      <c r="D1004"/>
      <c r="E1004"/>
      <c r="F1004"/>
      <c r="G1004"/>
      <c r="H1004"/>
      <c r="I1004"/>
    </row>
    <row r="1005" spans="2:9" x14ac:dyDescent="0.2">
      <c r="B1005"/>
      <c r="C1005"/>
      <c r="D1005"/>
      <c r="E1005"/>
      <c r="F1005"/>
      <c r="G1005"/>
      <c r="H1005"/>
      <c r="I1005"/>
    </row>
    <row r="1006" spans="2:9" x14ac:dyDescent="0.2">
      <c r="B1006"/>
      <c r="C1006"/>
      <c r="D1006"/>
      <c r="E1006"/>
      <c r="F1006"/>
      <c r="G1006"/>
      <c r="H1006"/>
      <c r="I1006"/>
    </row>
    <row r="1007" spans="2:9" x14ac:dyDescent="0.2">
      <c r="B1007"/>
      <c r="C1007"/>
      <c r="D1007"/>
      <c r="E1007"/>
      <c r="F1007"/>
      <c r="G1007"/>
      <c r="H1007"/>
      <c r="I1007"/>
    </row>
    <row r="1008" spans="2:9" x14ac:dyDescent="0.2">
      <c r="B1008"/>
      <c r="C1008"/>
      <c r="D1008"/>
      <c r="E1008"/>
      <c r="F1008"/>
      <c r="G1008"/>
      <c r="H1008"/>
      <c r="I1008"/>
    </row>
    <row r="1009" spans="2:9" x14ac:dyDescent="0.2">
      <c r="B1009"/>
      <c r="C1009"/>
      <c r="D1009"/>
      <c r="E1009"/>
      <c r="F1009"/>
      <c r="G1009"/>
      <c r="H1009"/>
      <c r="I1009"/>
    </row>
    <row r="1010" spans="2:9" x14ac:dyDescent="0.2">
      <c r="B1010"/>
      <c r="C1010"/>
      <c r="D1010"/>
      <c r="E1010"/>
      <c r="F1010"/>
      <c r="G1010"/>
      <c r="H1010"/>
      <c r="I1010"/>
    </row>
    <row r="1011" spans="2:9" x14ac:dyDescent="0.2">
      <c r="B1011"/>
      <c r="C1011"/>
      <c r="D1011"/>
      <c r="E1011"/>
      <c r="F1011"/>
      <c r="G1011"/>
      <c r="H1011"/>
      <c r="I1011"/>
    </row>
    <row r="1012" spans="2:9" x14ac:dyDescent="0.2">
      <c r="B1012"/>
      <c r="C1012"/>
      <c r="D1012"/>
      <c r="E1012"/>
      <c r="F1012"/>
      <c r="G1012"/>
      <c r="H1012"/>
      <c r="I1012"/>
    </row>
    <row r="1013" spans="2:9" x14ac:dyDescent="0.2">
      <c r="B1013"/>
      <c r="C1013"/>
      <c r="D1013"/>
      <c r="E1013"/>
      <c r="F1013"/>
      <c r="G1013"/>
      <c r="H1013"/>
      <c r="I1013"/>
    </row>
    <row r="1014" spans="2:9" x14ac:dyDescent="0.2">
      <c r="B1014"/>
      <c r="C1014"/>
      <c r="D1014"/>
      <c r="E1014"/>
      <c r="F1014"/>
      <c r="G1014"/>
      <c r="H1014"/>
      <c r="I1014"/>
    </row>
    <row r="1015" spans="2:9" x14ac:dyDescent="0.2">
      <c r="B1015"/>
      <c r="C1015"/>
      <c r="D1015"/>
      <c r="E1015"/>
      <c r="F1015"/>
      <c r="G1015"/>
      <c r="H1015"/>
      <c r="I1015"/>
    </row>
    <row r="1016" spans="2:9" x14ac:dyDescent="0.2">
      <c r="B1016"/>
      <c r="C1016"/>
      <c r="D1016"/>
      <c r="E1016"/>
      <c r="F1016"/>
      <c r="G1016"/>
      <c r="H1016"/>
      <c r="I1016"/>
    </row>
    <row r="1017" spans="2:9" x14ac:dyDescent="0.2">
      <c r="B1017"/>
      <c r="C1017"/>
      <c r="D1017"/>
      <c r="E1017"/>
      <c r="F1017"/>
      <c r="G1017"/>
      <c r="H1017"/>
      <c r="I1017"/>
    </row>
    <row r="1018" spans="2:9" x14ac:dyDescent="0.2">
      <c r="B1018"/>
      <c r="C1018"/>
      <c r="D1018"/>
      <c r="E1018"/>
      <c r="F1018"/>
      <c r="G1018"/>
      <c r="H1018"/>
      <c r="I1018"/>
    </row>
    <row r="1019" spans="2:9" x14ac:dyDescent="0.2">
      <c r="B1019"/>
      <c r="C1019"/>
      <c r="D1019"/>
      <c r="E1019"/>
      <c r="F1019"/>
      <c r="G1019"/>
      <c r="H1019"/>
      <c r="I1019"/>
    </row>
    <row r="1020" spans="2:9" x14ac:dyDescent="0.2">
      <c r="B1020"/>
      <c r="C1020"/>
      <c r="D1020"/>
      <c r="E1020"/>
      <c r="F1020"/>
      <c r="G1020"/>
      <c r="H1020"/>
      <c r="I1020"/>
    </row>
    <row r="1021" spans="2:9" x14ac:dyDescent="0.2">
      <c r="B1021"/>
      <c r="C1021"/>
      <c r="D1021"/>
      <c r="E1021"/>
      <c r="F1021"/>
      <c r="G1021"/>
      <c r="H1021"/>
      <c r="I1021"/>
    </row>
    <row r="1022" spans="2:9" x14ac:dyDescent="0.2">
      <c r="B1022"/>
      <c r="C1022"/>
      <c r="D1022"/>
      <c r="E1022"/>
      <c r="F1022"/>
      <c r="G1022"/>
      <c r="H1022"/>
      <c r="I1022"/>
    </row>
    <row r="1023" spans="2:9" x14ac:dyDescent="0.2">
      <c r="B1023"/>
      <c r="C1023"/>
      <c r="D1023"/>
      <c r="E1023"/>
      <c r="F1023"/>
      <c r="G1023"/>
      <c r="H1023"/>
      <c r="I1023"/>
    </row>
    <row r="1024" spans="2:9" x14ac:dyDescent="0.2">
      <c r="B1024"/>
      <c r="C1024"/>
      <c r="D1024"/>
      <c r="E1024"/>
      <c r="F1024"/>
      <c r="G1024"/>
      <c r="H1024"/>
      <c r="I1024"/>
    </row>
    <row r="1025" spans="2:9" x14ac:dyDescent="0.2">
      <c r="B1025"/>
      <c r="C1025"/>
      <c r="D1025"/>
      <c r="E1025"/>
      <c r="F1025"/>
      <c r="G1025"/>
      <c r="H1025"/>
      <c r="I1025"/>
    </row>
    <row r="1026" spans="2:9" x14ac:dyDescent="0.2">
      <c r="B1026"/>
      <c r="C1026"/>
      <c r="D1026"/>
      <c r="E1026"/>
      <c r="F1026"/>
      <c r="G1026"/>
      <c r="H1026"/>
      <c r="I1026"/>
    </row>
    <row r="1027" spans="2:9" x14ac:dyDescent="0.2">
      <c r="B1027"/>
      <c r="C1027"/>
      <c r="D1027"/>
      <c r="E1027"/>
      <c r="F1027"/>
      <c r="G1027"/>
      <c r="H1027"/>
      <c r="I1027"/>
    </row>
    <row r="1028" spans="2:9" x14ac:dyDescent="0.2">
      <c r="B1028"/>
      <c r="C1028"/>
      <c r="D1028"/>
      <c r="E1028"/>
      <c r="F1028"/>
      <c r="G1028"/>
      <c r="H1028"/>
      <c r="I1028"/>
    </row>
    <row r="1029" spans="2:9" x14ac:dyDescent="0.2">
      <c r="B1029"/>
      <c r="C1029"/>
      <c r="D1029"/>
      <c r="E1029"/>
      <c r="F1029"/>
      <c r="G1029"/>
      <c r="H1029"/>
      <c r="I1029"/>
    </row>
    <row r="1030" spans="2:9" x14ac:dyDescent="0.2">
      <c r="B1030"/>
      <c r="C1030"/>
      <c r="D1030"/>
      <c r="E1030"/>
      <c r="F1030"/>
      <c r="G1030"/>
      <c r="H1030"/>
      <c r="I1030"/>
    </row>
    <row r="1031" spans="2:9" x14ac:dyDescent="0.2">
      <c r="B1031"/>
      <c r="C1031"/>
      <c r="D1031"/>
      <c r="E1031"/>
      <c r="F1031"/>
      <c r="G1031"/>
      <c r="H1031"/>
      <c r="I1031"/>
    </row>
    <row r="1032" spans="2:9" x14ac:dyDescent="0.2">
      <c r="B1032"/>
      <c r="C1032"/>
      <c r="D1032"/>
      <c r="E1032"/>
      <c r="F1032"/>
      <c r="G1032"/>
      <c r="H1032"/>
      <c r="I1032"/>
    </row>
    <row r="1033" spans="2:9" x14ac:dyDescent="0.2">
      <c r="B1033"/>
      <c r="C1033"/>
      <c r="D1033"/>
      <c r="E1033"/>
      <c r="F1033"/>
      <c r="G1033"/>
      <c r="H1033"/>
      <c r="I1033"/>
    </row>
    <row r="1034" spans="2:9" x14ac:dyDescent="0.2">
      <c r="B1034"/>
      <c r="C1034"/>
      <c r="D1034"/>
      <c r="E1034"/>
      <c r="F1034"/>
      <c r="G1034"/>
      <c r="H1034"/>
      <c r="I1034"/>
    </row>
    <row r="1035" spans="2:9" x14ac:dyDescent="0.2">
      <c r="B1035"/>
      <c r="C1035"/>
      <c r="D1035"/>
      <c r="E1035"/>
      <c r="F1035"/>
      <c r="G1035"/>
      <c r="H1035"/>
      <c r="I1035"/>
    </row>
    <row r="1036" spans="2:9" x14ac:dyDescent="0.2">
      <c r="B1036"/>
      <c r="C1036"/>
      <c r="D1036"/>
      <c r="E1036"/>
      <c r="F1036"/>
      <c r="G1036"/>
      <c r="H1036"/>
      <c r="I1036"/>
    </row>
    <row r="1037" spans="2:9" x14ac:dyDescent="0.2">
      <c r="B1037"/>
      <c r="C1037"/>
      <c r="D1037"/>
      <c r="E1037"/>
      <c r="F1037"/>
      <c r="G1037"/>
      <c r="H1037"/>
      <c r="I1037"/>
    </row>
    <row r="1038" spans="2:9" x14ac:dyDescent="0.2">
      <c r="B1038"/>
      <c r="C1038"/>
      <c r="D1038"/>
      <c r="E1038"/>
      <c r="F1038"/>
      <c r="G1038"/>
      <c r="H1038"/>
      <c r="I1038"/>
    </row>
    <row r="1039" spans="2:9" x14ac:dyDescent="0.2">
      <c r="B1039"/>
      <c r="C1039"/>
      <c r="D1039"/>
      <c r="E1039"/>
      <c r="F1039"/>
      <c r="G1039"/>
      <c r="H1039"/>
      <c r="I1039"/>
    </row>
    <row r="1040" spans="2:9" x14ac:dyDescent="0.2">
      <c r="B1040"/>
      <c r="C1040"/>
      <c r="D1040"/>
      <c r="E1040"/>
      <c r="F1040"/>
      <c r="G1040"/>
      <c r="H1040"/>
      <c r="I1040"/>
    </row>
    <row r="1041" spans="2:9" x14ac:dyDescent="0.2">
      <c r="B1041"/>
      <c r="C1041"/>
      <c r="D1041"/>
      <c r="E1041"/>
      <c r="F1041"/>
      <c r="G1041"/>
      <c r="H1041"/>
      <c r="I1041"/>
    </row>
    <row r="1042" spans="2:9" x14ac:dyDescent="0.2">
      <c r="B1042"/>
      <c r="C1042"/>
      <c r="D1042"/>
      <c r="E1042"/>
      <c r="F1042"/>
      <c r="G1042"/>
      <c r="H1042"/>
      <c r="I1042"/>
    </row>
    <row r="1043" spans="2:9" x14ac:dyDescent="0.2">
      <c r="B1043"/>
      <c r="C1043"/>
      <c r="D1043"/>
      <c r="E1043"/>
      <c r="F1043"/>
      <c r="G1043"/>
      <c r="H1043"/>
      <c r="I1043"/>
    </row>
    <row r="1044" spans="2:9" x14ac:dyDescent="0.2">
      <c r="B1044"/>
      <c r="C1044"/>
      <c r="D1044"/>
      <c r="E1044"/>
      <c r="F1044"/>
      <c r="G1044"/>
      <c r="H1044"/>
      <c r="I1044"/>
    </row>
    <row r="1045" spans="2:9" x14ac:dyDescent="0.2">
      <c r="B1045"/>
      <c r="C1045"/>
      <c r="D1045"/>
      <c r="E1045"/>
      <c r="F1045"/>
      <c r="G1045"/>
      <c r="H1045"/>
      <c r="I1045"/>
    </row>
    <row r="1046" spans="2:9" x14ac:dyDescent="0.2">
      <c r="B1046"/>
      <c r="C1046"/>
      <c r="D1046"/>
      <c r="E1046"/>
      <c r="F1046"/>
      <c r="G1046"/>
      <c r="H1046"/>
      <c r="I1046"/>
    </row>
    <row r="1047" spans="2:9" x14ac:dyDescent="0.2">
      <c r="B1047"/>
      <c r="C1047"/>
      <c r="D1047"/>
      <c r="E1047"/>
      <c r="F1047"/>
      <c r="G1047"/>
      <c r="H1047"/>
      <c r="I1047"/>
    </row>
    <row r="1048" spans="2:9" x14ac:dyDescent="0.2">
      <c r="B1048"/>
      <c r="C1048"/>
      <c r="D1048"/>
      <c r="E1048"/>
      <c r="F1048"/>
      <c r="G1048"/>
      <c r="H1048"/>
      <c r="I1048"/>
    </row>
    <row r="1049" spans="2:9" x14ac:dyDescent="0.2">
      <c r="B1049"/>
      <c r="C1049"/>
      <c r="D1049"/>
      <c r="E1049"/>
      <c r="F1049"/>
      <c r="G1049"/>
      <c r="H1049"/>
      <c r="I1049"/>
    </row>
    <row r="1050" spans="2:9" x14ac:dyDescent="0.2">
      <c r="B1050"/>
      <c r="C1050"/>
      <c r="D1050"/>
      <c r="E1050"/>
      <c r="F1050"/>
      <c r="G1050"/>
      <c r="H1050"/>
      <c r="I1050"/>
    </row>
    <row r="1051" spans="2:9" x14ac:dyDescent="0.2">
      <c r="B1051"/>
      <c r="C1051"/>
      <c r="D1051"/>
      <c r="E1051"/>
      <c r="F1051"/>
      <c r="G1051"/>
      <c r="H1051"/>
      <c r="I1051"/>
    </row>
    <row r="1052" spans="2:9" x14ac:dyDescent="0.2">
      <c r="B1052"/>
      <c r="C1052"/>
      <c r="D1052"/>
      <c r="E1052"/>
      <c r="F1052"/>
      <c r="G1052"/>
      <c r="H1052"/>
      <c r="I1052"/>
    </row>
    <row r="1053" spans="2:9" x14ac:dyDescent="0.2">
      <c r="B1053"/>
      <c r="C1053"/>
      <c r="D1053"/>
      <c r="E1053"/>
      <c r="F1053"/>
      <c r="G1053"/>
      <c r="H1053"/>
      <c r="I1053"/>
    </row>
    <row r="1054" spans="2:9" x14ac:dyDescent="0.2">
      <c r="B1054"/>
      <c r="C1054"/>
      <c r="D1054"/>
      <c r="E1054"/>
      <c r="F1054"/>
      <c r="G1054"/>
      <c r="H1054"/>
      <c r="I1054"/>
    </row>
    <row r="1055" spans="2:9" x14ac:dyDescent="0.2">
      <c r="B1055"/>
      <c r="C1055"/>
      <c r="D1055"/>
      <c r="E1055"/>
      <c r="F1055"/>
      <c r="G1055"/>
      <c r="H1055"/>
      <c r="I1055"/>
    </row>
    <row r="1056" spans="2:9" x14ac:dyDescent="0.2">
      <c r="B1056"/>
      <c r="C1056"/>
      <c r="D1056"/>
      <c r="E1056"/>
      <c r="F1056"/>
      <c r="G1056"/>
      <c r="H1056"/>
      <c r="I1056"/>
    </row>
    <row r="1057" spans="2:9" x14ac:dyDescent="0.2">
      <c r="B1057"/>
      <c r="C1057"/>
      <c r="D1057"/>
      <c r="E1057"/>
      <c r="F1057"/>
      <c r="G1057"/>
      <c r="H1057"/>
      <c r="I1057"/>
    </row>
    <row r="1058" spans="2:9" x14ac:dyDescent="0.2">
      <c r="B1058"/>
      <c r="C1058"/>
      <c r="D1058"/>
      <c r="E1058"/>
      <c r="F1058"/>
      <c r="G1058"/>
      <c r="H1058"/>
      <c r="I1058"/>
    </row>
    <row r="1059" spans="2:9" x14ac:dyDescent="0.2">
      <c r="B1059"/>
      <c r="C1059"/>
      <c r="D1059"/>
      <c r="E1059"/>
      <c r="F1059"/>
      <c r="G1059"/>
      <c r="H1059"/>
      <c r="I1059"/>
    </row>
    <row r="1060" spans="2:9" x14ac:dyDescent="0.2">
      <c r="B1060"/>
      <c r="C1060"/>
      <c r="D1060"/>
      <c r="E1060"/>
      <c r="F1060"/>
      <c r="G1060"/>
      <c r="H1060"/>
      <c r="I1060"/>
    </row>
    <row r="1061" spans="2:9" x14ac:dyDescent="0.2">
      <c r="B1061"/>
      <c r="C1061"/>
      <c r="D1061"/>
      <c r="E1061"/>
      <c r="F1061"/>
      <c r="G1061"/>
      <c r="H1061"/>
      <c r="I1061"/>
    </row>
    <row r="1062" spans="2:9" x14ac:dyDescent="0.2">
      <c r="B1062"/>
      <c r="C1062"/>
      <c r="D1062"/>
      <c r="E1062"/>
      <c r="F1062"/>
      <c r="G1062"/>
      <c r="H1062"/>
      <c r="I1062"/>
    </row>
    <row r="1063" spans="2:9" x14ac:dyDescent="0.2">
      <c r="B1063"/>
      <c r="C1063"/>
      <c r="D1063"/>
      <c r="E1063"/>
      <c r="F1063"/>
      <c r="G1063"/>
      <c r="H1063"/>
      <c r="I1063"/>
    </row>
    <row r="1064" spans="2:9" x14ac:dyDescent="0.2">
      <c r="B1064"/>
      <c r="C1064"/>
      <c r="D1064"/>
      <c r="E1064"/>
      <c r="F1064"/>
      <c r="G1064"/>
      <c r="H1064"/>
      <c r="I1064"/>
    </row>
    <row r="1065" spans="2:9" x14ac:dyDescent="0.2">
      <c r="B1065"/>
      <c r="C1065"/>
      <c r="D1065"/>
      <c r="E1065"/>
      <c r="F1065"/>
      <c r="G1065"/>
      <c r="H1065"/>
      <c r="I1065"/>
    </row>
    <row r="1066" spans="2:9" x14ac:dyDescent="0.2">
      <c r="B1066"/>
      <c r="C1066"/>
      <c r="D1066"/>
      <c r="E1066"/>
      <c r="F1066"/>
      <c r="G1066"/>
      <c r="H1066"/>
      <c r="I1066"/>
    </row>
    <row r="1067" spans="2:9" x14ac:dyDescent="0.2">
      <c r="B1067"/>
      <c r="C1067"/>
      <c r="D1067"/>
      <c r="E1067"/>
      <c r="F1067"/>
      <c r="G1067"/>
      <c r="H1067"/>
      <c r="I1067"/>
    </row>
    <row r="1068" spans="2:9" x14ac:dyDescent="0.2">
      <c r="B1068"/>
      <c r="C1068"/>
      <c r="D1068"/>
      <c r="E1068"/>
      <c r="F1068"/>
      <c r="G1068"/>
      <c r="H1068"/>
      <c r="I1068"/>
    </row>
    <row r="1069" spans="2:9" x14ac:dyDescent="0.2">
      <c r="B1069"/>
      <c r="C1069"/>
      <c r="D1069"/>
      <c r="E1069"/>
      <c r="F1069"/>
      <c r="G1069"/>
      <c r="H1069"/>
      <c r="I1069"/>
    </row>
    <row r="1070" spans="2:9" x14ac:dyDescent="0.2">
      <c r="B1070"/>
      <c r="C1070"/>
      <c r="D1070"/>
      <c r="E1070"/>
      <c r="F1070"/>
      <c r="G1070"/>
      <c r="H1070"/>
      <c r="I1070"/>
    </row>
    <row r="1071" spans="2:9" x14ac:dyDescent="0.2">
      <c r="B1071"/>
      <c r="C1071"/>
      <c r="D1071"/>
      <c r="E1071"/>
      <c r="F1071"/>
      <c r="G1071"/>
      <c r="H1071"/>
      <c r="I1071"/>
    </row>
    <row r="1072" spans="2:9" x14ac:dyDescent="0.2">
      <c r="B1072"/>
      <c r="C1072"/>
      <c r="D1072"/>
      <c r="E1072"/>
      <c r="F1072"/>
      <c r="G1072"/>
      <c r="H1072"/>
      <c r="I1072"/>
    </row>
    <row r="1073" spans="2:9" x14ac:dyDescent="0.2">
      <c r="B1073"/>
      <c r="C1073"/>
      <c r="D1073"/>
      <c r="E1073"/>
      <c r="F1073"/>
      <c r="G1073"/>
      <c r="H1073"/>
      <c r="I1073"/>
    </row>
    <row r="1074" spans="2:9" x14ac:dyDescent="0.2">
      <c r="B1074"/>
      <c r="C1074"/>
      <c r="D1074"/>
      <c r="E1074"/>
      <c r="F1074"/>
      <c r="G1074"/>
      <c r="H1074"/>
      <c r="I1074"/>
    </row>
    <row r="1075" spans="2:9" x14ac:dyDescent="0.2">
      <c r="B1075"/>
      <c r="C1075"/>
      <c r="D1075"/>
      <c r="E1075"/>
      <c r="F1075"/>
      <c r="G1075"/>
      <c r="H1075"/>
      <c r="I1075"/>
    </row>
    <row r="1076" spans="2:9" x14ac:dyDescent="0.2">
      <c r="B1076"/>
      <c r="C1076"/>
      <c r="D1076"/>
      <c r="E1076"/>
      <c r="F1076"/>
      <c r="G1076"/>
      <c r="H1076"/>
      <c r="I1076"/>
    </row>
    <row r="1077" spans="2:9" x14ac:dyDescent="0.2">
      <c r="B1077"/>
      <c r="C1077"/>
      <c r="D1077"/>
      <c r="E1077"/>
      <c r="F1077"/>
      <c r="G1077"/>
      <c r="H1077"/>
      <c r="I1077"/>
    </row>
    <row r="1078" spans="2:9" x14ac:dyDescent="0.2">
      <c r="B1078"/>
      <c r="C1078"/>
      <c r="D1078"/>
      <c r="E1078"/>
      <c r="F1078"/>
      <c r="G1078"/>
      <c r="H1078"/>
      <c r="I1078"/>
    </row>
    <row r="1079" spans="2:9" x14ac:dyDescent="0.2">
      <c r="B1079"/>
      <c r="C1079"/>
      <c r="D1079"/>
      <c r="E1079"/>
      <c r="F1079"/>
      <c r="G1079"/>
      <c r="H1079"/>
      <c r="I1079"/>
    </row>
    <row r="1080" spans="2:9" x14ac:dyDescent="0.2">
      <c r="B1080"/>
      <c r="C1080"/>
      <c r="D1080"/>
      <c r="E1080"/>
      <c r="F1080"/>
      <c r="G1080"/>
      <c r="H1080"/>
      <c r="I1080"/>
    </row>
    <row r="1081" spans="2:9" x14ac:dyDescent="0.2">
      <c r="B1081"/>
      <c r="C1081"/>
      <c r="D1081"/>
      <c r="E1081"/>
      <c r="F1081"/>
      <c r="G1081"/>
      <c r="H1081"/>
      <c r="I1081"/>
    </row>
    <row r="1082" spans="2:9" x14ac:dyDescent="0.2">
      <c r="B1082"/>
      <c r="C1082"/>
      <c r="D1082"/>
      <c r="E1082"/>
      <c r="F1082"/>
      <c r="G1082"/>
      <c r="H1082"/>
      <c r="I1082"/>
    </row>
    <row r="1083" spans="2:9" x14ac:dyDescent="0.2">
      <c r="B1083"/>
      <c r="C1083"/>
      <c r="D1083"/>
      <c r="E1083"/>
      <c r="F1083"/>
      <c r="G1083"/>
      <c r="H1083"/>
      <c r="I1083"/>
    </row>
    <row r="1084" spans="2:9" x14ac:dyDescent="0.2">
      <c r="B1084"/>
      <c r="C1084"/>
      <c r="D1084"/>
      <c r="E1084"/>
      <c r="F1084"/>
      <c r="G1084"/>
      <c r="H1084"/>
      <c r="I1084"/>
    </row>
    <row r="1085" spans="2:9" x14ac:dyDescent="0.2">
      <c r="B1085"/>
      <c r="C1085"/>
      <c r="D1085"/>
      <c r="E1085"/>
      <c r="F1085"/>
      <c r="G1085"/>
      <c r="H1085"/>
      <c r="I1085"/>
    </row>
    <row r="1086" spans="2:9" x14ac:dyDescent="0.2">
      <c r="B1086"/>
      <c r="C1086"/>
      <c r="D1086"/>
      <c r="E1086"/>
      <c r="F1086"/>
      <c r="G1086"/>
      <c r="H1086"/>
      <c r="I1086"/>
    </row>
    <row r="1087" spans="2:9" x14ac:dyDescent="0.2">
      <c r="B1087"/>
      <c r="C1087"/>
      <c r="D1087"/>
      <c r="E1087"/>
      <c r="F1087"/>
      <c r="G1087"/>
      <c r="H1087"/>
      <c r="I1087"/>
    </row>
    <row r="1088" spans="2:9" x14ac:dyDescent="0.2">
      <c r="B1088"/>
      <c r="C1088"/>
      <c r="D1088"/>
      <c r="E1088"/>
      <c r="F1088"/>
      <c r="G1088"/>
      <c r="H1088"/>
      <c r="I1088"/>
    </row>
    <row r="1089" spans="2:9" x14ac:dyDescent="0.2">
      <c r="B1089"/>
      <c r="C1089"/>
      <c r="D1089"/>
      <c r="E1089"/>
      <c r="F1089"/>
      <c r="G1089"/>
      <c r="H1089"/>
      <c r="I1089"/>
    </row>
    <row r="1090" spans="2:9" x14ac:dyDescent="0.2">
      <c r="B1090"/>
      <c r="C1090"/>
      <c r="D1090"/>
      <c r="E1090"/>
      <c r="F1090"/>
      <c r="G1090"/>
      <c r="H1090"/>
      <c r="I1090"/>
    </row>
    <row r="1091" spans="2:9" x14ac:dyDescent="0.2">
      <c r="B1091"/>
      <c r="C1091"/>
      <c r="D1091"/>
      <c r="E1091"/>
      <c r="F1091"/>
      <c r="G1091"/>
      <c r="H1091"/>
      <c r="I1091"/>
    </row>
    <row r="1092" spans="2:9" x14ac:dyDescent="0.2">
      <c r="B1092"/>
      <c r="C1092"/>
      <c r="D1092"/>
      <c r="E1092"/>
      <c r="F1092"/>
      <c r="G1092"/>
      <c r="H1092"/>
      <c r="I1092"/>
    </row>
    <row r="1093" spans="2:9" x14ac:dyDescent="0.2">
      <c r="B1093"/>
      <c r="C1093"/>
      <c r="D1093"/>
      <c r="E1093"/>
      <c r="F1093"/>
      <c r="G1093"/>
      <c r="H1093"/>
      <c r="I1093"/>
    </row>
    <row r="1094" spans="2:9" x14ac:dyDescent="0.2">
      <c r="B1094"/>
      <c r="C1094"/>
      <c r="D1094"/>
      <c r="E1094"/>
      <c r="F1094"/>
      <c r="G1094"/>
      <c r="H1094"/>
      <c r="I1094"/>
    </row>
    <row r="1095" spans="2:9" x14ac:dyDescent="0.2">
      <c r="B1095"/>
      <c r="C1095"/>
      <c r="D1095"/>
      <c r="E1095"/>
      <c r="F1095"/>
      <c r="G1095"/>
      <c r="H1095"/>
      <c r="I1095"/>
    </row>
    <row r="1096" spans="2:9" x14ac:dyDescent="0.2">
      <c r="B1096"/>
      <c r="C1096"/>
      <c r="D1096"/>
      <c r="E1096"/>
      <c r="F1096"/>
      <c r="G1096"/>
      <c r="H1096"/>
      <c r="I1096"/>
    </row>
    <row r="1097" spans="2:9" x14ac:dyDescent="0.2">
      <c r="B1097"/>
      <c r="C1097"/>
      <c r="D1097"/>
      <c r="E1097"/>
      <c r="F1097"/>
      <c r="G1097"/>
      <c r="H1097"/>
      <c r="I1097"/>
    </row>
    <row r="1098" spans="2:9" x14ac:dyDescent="0.2">
      <c r="B1098"/>
      <c r="C1098"/>
      <c r="D1098"/>
      <c r="E1098"/>
      <c r="F1098"/>
      <c r="G1098"/>
      <c r="H1098"/>
      <c r="I1098"/>
    </row>
    <row r="1099" spans="2:9" x14ac:dyDescent="0.2">
      <c r="B1099"/>
      <c r="C1099"/>
      <c r="D1099"/>
      <c r="E1099"/>
      <c r="F1099"/>
      <c r="G1099"/>
      <c r="H1099"/>
      <c r="I1099"/>
    </row>
    <row r="1100" spans="2:9" x14ac:dyDescent="0.2">
      <c r="B1100"/>
      <c r="C1100"/>
      <c r="D1100"/>
      <c r="E1100"/>
      <c r="F1100"/>
      <c r="G1100"/>
      <c r="H1100"/>
      <c r="I1100"/>
    </row>
    <row r="1101" spans="2:9" x14ac:dyDescent="0.2">
      <c r="B1101"/>
      <c r="C1101"/>
      <c r="D1101"/>
      <c r="E1101"/>
      <c r="F1101"/>
      <c r="G1101"/>
      <c r="H1101"/>
      <c r="I1101"/>
    </row>
    <row r="1102" spans="2:9" x14ac:dyDescent="0.2">
      <c r="B1102"/>
      <c r="C1102"/>
      <c r="D1102"/>
      <c r="E1102"/>
      <c r="F1102"/>
      <c r="G1102"/>
      <c r="H1102"/>
      <c r="I1102"/>
    </row>
    <row r="1103" spans="2:9" x14ac:dyDescent="0.2">
      <c r="B1103"/>
      <c r="C1103"/>
      <c r="D1103"/>
      <c r="E1103"/>
      <c r="F1103"/>
      <c r="G1103"/>
      <c r="H1103"/>
      <c r="I1103"/>
    </row>
    <row r="1104" spans="2:9" x14ac:dyDescent="0.2">
      <c r="B1104"/>
      <c r="C1104"/>
      <c r="D1104"/>
      <c r="E1104"/>
      <c r="F1104"/>
      <c r="G1104"/>
      <c r="H1104"/>
      <c r="I1104"/>
    </row>
    <row r="1105" spans="2:9" x14ac:dyDescent="0.2">
      <c r="B1105"/>
      <c r="C1105"/>
      <c r="D1105"/>
      <c r="E1105"/>
      <c r="F1105"/>
      <c r="G1105"/>
      <c r="H1105"/>
      <c r="I1105"/>
    </row>
    <row r="1106" spans="2:9" x14ac:dyDescent="0.2">
      <c r="B1106"/>
      <c r="C1106"/>
      <c r="D1106"/>
      <c r="E1106"/>
      <c r="F1106"/>
      <c r="G1106"/>
      <c r="H1106"/>
      <c r="I1106"/>
    </row>
    <row r="1107" spans="2:9" x14ac:dyDescent="0.2">
      <c r="B1107"/>
      <c r="C1107"/>
      <c r="D1107"/>
      <c r="E1107"/>
      <c r="F1107"/>
      <c r="G1107"/>
      <c r="H1107"/>
      <c r="I1107"/>
    </row>
    <row r="1108" spans="2:9" x14ac:dyDescent="0.2">
      <c r="B1108"/>
      <c r="C1108"/>
      <c r="D1108"/>
      <c r="E1108"/>
      <c r="F1108"/>
      <c r="G1108"/>
      <c r="H1108"/>
      <c r="I1108"/>
    </row>
    <row r="1109" spans="2:9" x14ac:dyDescent="0.2">
      <c r="B1109"/>
      <c r="C1109"/>
      <c r="D1109"/>
      <c r="E1109"/>
      <c r="F1109"/>
      <c r="G1109"/>
      <c r="H1109"/>
      <c r="I1109"/>
    </row>
    <row r="1110" spans="2:9" x14ac:dyDescent="0.2">
      <c r="B1110"/>
      <c r="C1110"/>
      <c r="D1110"/>
      <c r="E1110"/>
      <c r="F1110"/>
      <c r="G1110"/>
      <c r="H1110"/>
      <c r="I1110"/>
    </row>
    <row r="1111" spans="2:9" x14ac:dyDescent="0.2">
      <c r="B1111"/>
      <c r="C1111"/>
      <c r="D1111"/>
      <c r="E1111"/>
      <c r="F1111"/>
      <c r="G1111"/>
      <c r="H1111"/>
      <c r="I1111"/>
    </row>
    <row r="1112" spans="2:9" x14ac:dyDescent="0.2">
      <c r="B1112"/>
      <c r="C1112"/>
      <c r="D1112"/>
      <c r="E1112"/>
      <c r="F1112"/>
      <c r="G1112"/>
      <c r="H1112"/>
      <c r="I1112"/>
    </row>
    <row r="1113" spans="2:9" x14ac:dyDescent="0.2">
      <c r="B1113"/>
      <c r="C1113"/>
      <c r="D1113"/>
      <c r="E1113"/>
      <c r="F1113"/>
      <c r="G1113"/>
      <c r="H1113"/>
      <c r="I1113"/>
    </row>
    <row r="1114" spans="2:9" x14ac:dyDescent="0.2">
      <c r="B1114"/>
      <c r="C1114"/>
      <c r="D1114"/>
      <c r="E1114"/>
      <c r="F1114"/>
      <c r="G1114"/>
      <c r="H1114"/>
      <c r="I1114"/>
    </row>
    <row r="1115" spans="2:9" x14ac:dyDescent="0.2">
      <c r="B1115"/>
      <c r="C1115"/>
      <c r="D1115"/>
      <c r="E1115"/>
      <c r="F1115"/>
      <c r="G1115"/>
      <c r="H1115"/>
      <c r="I1115"/>
    </row>
    <row r="1116" spans="2:9" x14ac:dyDescent="0.2">
      <c r="B1116"/>
      <c r="C1116"/>
      <c r="D1116"/>
      <c r="E1116"/>
      <c r="F1116"/>
      <c r="G1116"/>
      <c r="H1116"/>
      <c r="I1116"/>
    </row>
    <row r="1117" spans="2:9" x14ac:dyDescent="0.2">
      <c r="B1117"/>
      <c r="C1117"/>
      <c r="D1117"/>
      <c r="E1117"/>
      <c r="F1117"/>
      <c r="G1117"/>
      <c r="H1117"/>
      <c r="I1117"/>
    </row>
    <row r="1118" spans="2:9" x14ac:dyDescent="0.2">
      <c r="B1118"/>
      <c r="C1118"/>
      <c r="D1118"/>
      <c r="E1118"/>
      <c r="F1118"/>
      <c r="G1118"/>
      <c r="H1118"/>
      <c r="I1118"/>
    </row>
    <row r="1119" spans="2:9" x14ac:dyDescent="0.2">
      <c r="B1119"/>
      <c r="C1119"/>
      <c r="D1119"/>
      <c r="E1119"/>
      <c r="F1119"/>
      <c r="G1119"/>
      <c r="H1119"/>
      <c r="I1119"/>
    </row>
    <row r="1120" spans="2:9" x14ac:dyDescent="0.2">
      <c r="B1120"/>
      <c r="C1120"/>
      <c r="D1120"/>
      <c r="E1120"/>
      <c r="F1120"/>
      <c r="G1120"/>
      <c r="H1120"/>
      <c r="I1120"/>
    </row>
    <row r="1121" spans="2:9" x14ac:dyDescent="0.2">
      <c r="B1121"/>
      <c r="C1121"/>
      <c r="D1121"/>
      <c r="E1121"/>
      <c r="F1121"/>
      <c r="G1121"/>
      <c r="H1121"/>
      <c r="I1121"/>
    </row>
    <row r="1122" spans="2:9" x14ac:dyDescent="0.2">
      <c r="B1122"/>
      <c r="C1122"/>
      <c r="D1122"/>
      <c r="E1122"/>
      <c r="F1122"/>
      <c r="G1122"/>
      <c r="H1122"/>
      <c r="I1122"/>
    </row>
    <row r="1123" spans="2:9" x14ac:dyDescent="0.2">
      <c r="B1123"/>
      <c r="C1123"/>
      <c r="D1123"/>
      <c r="E1123"/>
      <c r="F1123"/>
      <c r="G1123"/>
      <c r="H1123"/>
      <c r="I1123"/>
    </row>
    <row r="1124" spans="2:9" x14ac:dyDescent="0.2">
      <c r="B1124"/>
      <c r="C1124"/>
      <c r="D1124"/>
      <c r="E1124"/>
      <c r="F1124"/>
      <c r="G1124"/>
      <c r="H1124"/>
      <c r="I1124"/>
    </row>
    <row r="1125" spans="2:9" x14ac:dyDescent="0.2">
      <c r="B1125"/>
      <c r="C1125"/>
      <c r="D1125"/>
      <c r="E1125"/>
      <c r="F1125"/>
      <c r="G1125"/>
      <c r="H1125"/>
      <c r="I1125"/>
    </row>
    <row r="1126" spans="2:9" x14ac:dyDescent="0.2">
      <c r="B1126"/>
      <c r="C1126"/>
      <c r="D1126"/>
      <c r="E1126"/>
      <c r="F1126"/>
      <c r="G1126"/>
      <c r="H1126"/>
      <c r="I1126"/>
    </row>
    <row r="1127" spans="2:9" x14ac:dyDescent="0.2">
      <c r="B1127"/>
      <c r="C1127"/>
      <c r="D1127"/>
      <c r="E1127"/>
      <c r="F1127"/>
      <c r="G1127"/>
      <c r="H1127"/>
      <c r="I1127"/>
    </row>
    <row r="1128" spans="2:9" x14ac:dyDescent="0.2">
      <c r="B1128"/>
      <c r="C1128"/>
      <c r="D1128"/>
      <c r="E1128"/>
      <c r="F1128"/>
      <c r="G1128"/>
      <c r="H1128"/>
      <c r="I1128"/>
    </row>
    <row r="1129" spans="2:9" x14ac:dyDescent="0.2">
      <c r="B1129"/>
      <c r="C1129"/>
      <c r="D1129"/>
      <c r="E1129"/>
      <c r="F1129"/>
      <c r="G1129"/>
      <c r="H1129"/>
      <c r="I1129"/>
    </row>
    <row r="1130" spans="2:9" x14ac:dyDescent="0.2">
      <c r="B1130"/>
      <c r="C1130"/>
      <c r="D1130"/>
      <c r="E1130"/>
      <c r="F1130"/>
      <c r="G1130"/>
      <c r="H1130"/>
      <c r="I1130"/>
    </row>
    <row r="1131" spans="2:9" x14ac:dyDescent="0.2">
      <c r="B1131"/>
      <c r="C1131"/>
      <c r="D1131"/>
      <c r="E1131"/>
      <c r="F1131"/>
      <c r="G1131"/>
      <c r="H1131"/>
      <c r="I1131"/>
    </row>
    <row r="1132" spans="2:9" x14ac:dyDescent="0.2">
      <c r="B1132"/>
      <c r="C1132"/>
      <c r="D1132"/>
      <c r="E1132"/>
      <c r="F1132"/>
      <c r="G1132"/>
      <c r="H1132"/>
      <c r="I1132"/>
    </row>
    <row r="1133" spans="2:9" x14ac:dyDescent="0.2">
      <c r="B1133"/>
      <c r="C1133"/>
      <c r="D1133"/>
      <c r="E1133"/>
      <c r="F1133"/>
      <c r="G1133"/>
      <c r="H1133"/>
      <c r="I1133"/>
    </row>
    <row r="1134" spans="2:9" x14ac:dyDescent="0.2">
      <c r="B1134"/>
      <c r="C1134"/>
      <c r="D1134"/>
      <c r="E1134"/>
      <c r="F1134"/>
      <c r="G1134"/>
      <c r="H1134"/>
      <c r="I1134"/>
    </row>
    <row r="1135" spans="2:9" x14ac:dyDescent="0.2">
      <c r="B1135"/>
      <c r="C1135"/>
      <c r="D1135"/>
      <c r="E1135"/>
      <c r="F1135"/>
      <c r="G1135"/>
      <c r="H1135"/>
      <c r="I1135"/>
    </row>
    <row r="1136" spans="2:9" x14ac:dyDescent="0.2">
      <c r="B1136"/>
      <c r="C1136"/>
      <c r="D1136"/>
      <c r="E1136"/>
      <c r="F1136"/>
      <c r="G1136"/>
      <c r="H1136"/>
      <c r="I1136"/>
    </row>
    <row r="1137" spans="2:9" x14ac:dyDescent="0.2">
      <c r="B1137"/>
      <c r="C1137"/>
      <c r="D1137"/>
      <c r="E1137"/>
      <c r="F1137"/>
      <c r="G1137"/>
      <c r="H1137"/>
      <c r="I1137"/>
    </row>
    <row r="1138" spans="2:9" x14ac:dyDescent="0.2">
      <c r="B1138"/>
      <c r="C1138"/>
      <c r="D1138"/>
      <c r="E1138"/>
      <c r="F1138"/>
      <c r="G1138"/>
      <c r="H1138"/>
      <c r="I1138"/>
    </row>
    <row r="1139" spans="2:9" x14ac:dyDescent="0.2">
      <c r="B1139"/>
      <c r="C1139"/>
      <c r="D1139"/>
      <c r="E1139"/>
      <c r="F1139"/>
      <c r="G1139"/>
      <c r="H1139"/>
      <c r="I1139"/>
    </row>
    <row r="1140" spans="2:9" x14ac:dyDescent="0.2">
      <c r="B1140"/>
      <c r="C1140"/>
      <c r="D1140"/>
      <c r="E1140"/>
      <c r="F1140"/>
      <c r="G1140"/>
      <c r="H1140"/>
      <c r="I1140"/>
    </row>
    <row r="1141" spans="2:9" x14ac:dyDescent="0.2">
      <c r="B1141"/>
      <c r="C1141"/>
      <c r="D1141"/>
      <c r="E1141"/>
      <c r="F1141"/>
      <c r="G1141"/>
      <c r="H1141"/>
      <c r="I1141"/>
    </row>
    <row r="1142" spans="2:9" x14ac:dyDescent="0.2">
      <c r="B1142"/>
      <c r="C1142"/>
      <c r="D1142"/>
      <c r="E1142"/>
      <c r="F1142"/>
      <c r="G1142"/>
      <c r="H1142"/>
      <c r="I1142"/>
    </row>
    <row r="1143" spans="2:9" x14ac:dyDescent="0.2">
      <c r="B1143"/>
      <c r="C1143"/>
      <c r="D1143"/>
      <c r="E1143"/>
      <c r="F1143"/>
      <c r="G1143"/>
      <c r="H1143"/>
      <c r="I1143"/>
    </row>
    <row r="1144" spans="2:9" x14ac:dyDescent="0.2">
      <c r="B1144"/>
      <c r="C1144"/>
      <c r="D1144"/>
      <c r="E1144"/>
      <c r="F1144"/>
      <c r="G1144"/>
      <c r="H1144"/>
      <c r="I1144"/>
    </row>
    <row r="1145" spans="2:9" x14ac:dyDescent="0.2">
      <c r="B1145"/>
      <c r="C1145"/>
      <c r="D1145"/>
      <c r="E1145"/>
      <c r="F1145"/>
      <c r="G1145"/>
      <c r="H1145"/>
      <c r="I1145"/>
    </row>
    <row r="1146" spans="2:9" x14ac:dyDescent="0.2">
      <c r="B1146"/>
      <c r="C1146"/>
      <c r="D1146"/>
      <c r="E1146"/>
      <c r="F1146"/>
      <c r="G1146"/>
      <c r="H1146"/>
      <c r="I1146"/>
    </row>
    <row r="1147" spans="2:9" x14ac:dyDescent="0.2">
      <c r="B1147"/>
      <c r="C1147"/>
      <c r="D1147"/>
      <c r="E1147"/>
      <c r="F1147"/>
      <c r="G1147"/>
      <c r="H1147"/>
      <c r="I1147"/>
    </row>
    <row r="1148" spans="2:9" x14ac:dyDescent="0.2">
      <c r="B1148"/>
      <c r="C1148"/>
      <c r="D1148"/>
      <c r="E1148"/>
      <c r="F1148"/>
      <c r="G1148"/>
      <c r="H1148"/>
      <c r="I1148"/>
    </row>
    <row r="1149" spans="2:9" x14ac:dyDescent="0.2">
      <c r="B1149"/>
      <c r="C1149"/>
      <c r="D1149"/>
      <c r="E1149"/>
      <c r="F1149"/>
      <c r="G1149"/>
      <c r="H1149"/>
      <c r="I1149"/>
    </row>
    <row r="1150" spans="2:9" x14ac:dyDescent="0.2">
      <c r="B1150"/>
      <c r="C1150"/>
      <c r="D1150"/>
      <c r="E1150"/>
      <c r="F1150"/>
      <c r="G1150"/>
      <c r="H1150"/>
      <c r="I1150"/>
    </row>
    <row r="1151" spans="2:9" x14ac:dyDescent="0.2">
      <c r="B1151"/>
      <c r="C1151"/>
      <c r="D1151"/>
      <c r="E1151"/>
      <c r="F1151"/>
      <c r="G1151"/>
      <c r="H1151"/>
      <c r="I1151"/>
    </row>
    <row r="1152" spans="2:9" x14ac:dyDescent="0.2">
      <c r="B1152"/>
      <c r="C1152"/>
      <c r="D1152"/>
      <c r="E1152"/>
      <c r="F1152"/>
      <c r="G1152"/>
      <c r="H1152"/>
      <c r="I1152"/>
    </row>
    <row r="1153" spans="2:9" x14ac:dyDescent="0.2">
      <c r="B1153"/>
      <c r="C1153"/>
      <c r="D1153"/>
      <c r="E1153"/>
      <c r="F1153"/>
      <c r="G1153"/>
      <c r="H1153"/>
      <c r="I1153"/>
    </row>
    <row r="1154" spans="2:9" x14ac:dyDescent="0.2">
      <c r="B1154"/>
      <c r="C1154"/>
      <c r="D1154"/>
      <c r="E1154"/>
      <c r="F1154"/>
      <c r="G1154"/>
      <c r="H1154"/>
      <c r="I1154"/>
    </row>
    <row r="1155" spans="2:9" x14ac:dyDescent="0.2">
      <c r="B1155"/>
      <c r="C1155"/>
      <c r="D1155"/>
      <c r="E1155"/>
      <c r="F1155"/>
      <c r="G1155"/>
      <c r="H1155"/>
      <c r="I1155"/>
    </row>
    <row r="1156" spans="2:9" x14ac:dyDescent="0.2">
      <c r="B1156"/>
      <c r="C1156"/>
      <c r="D1156"/>
      <c r="E1156"/>
      <c r="F1156"/>
      <c r="G1156"/>
      <c r="H1156"/>
      <c r="I1156"/>
    </row>
    <row r="1157" spans="2:9" x14ac:dyDescent="0.2">
      <c r="B1157"/>
      <c r="C1157"/>
      <c r="D1157"/>
      <c r="E1157"/>
      <c r="F1157"/>
      <c r="G1157"/>
      <c r="H1157"/>
      <c r="I1157"/>
    </row>
    <row r="1158" spans="2:9" x14ac:dyDescent="0.2">
      <c r="B1158"/>
      <c r="C1158"/>
      <c r="D1158"/>
      <c r="E1158"/>
      <c r="F1158"/>
      <c r="G1158"/>
      <c r="H1158"/>
      <c r="I1158"/>
    </row>
    <row r="1159" spans="2:9" x14ac:dyDescent="0.2">
      <c r="B1159"/>
      <c r="C1159"/>
      <c r="D1159"/>
      <c r="E1159"/>
      <c r="F1159"/>
      <c r="G1159"/>
      <c r="H1159"/>
      <c r="I1159"/>
    </row>
    <row r="1160" spans="2:9" x14ac:dyDescent="0.2">
      <c r="B1160"/>
      <c r="C1160"/>
      <c r="D1160"/>
      <c r="E1160"/>
      <c r="F1160"/>
      <c r="G1160"/>
      <c r="H1160"/>
      <c r="I1160"/>
    </row>
    <row r="1161" spans="2:9" x14ac:dyDescent="0.2">
      <c r="B1161"/>
      <c r="C1161"/>
      <c r="D1161"/>
      <c r="E1161"/>
      <c r="F1161"/>
      <c r="G1161"/>
      <c r="H1161"/>
      <c r="I1161"/>
    </row>
    <row r="1162" spans="2:9" x14ac:dyDescent="0.2">
      <c r="B1162"/>
      <c r="C1162"/>
      <c r="D1162"/>
      <c r="E1162"/>
      <c r="F1162"/>
      <c r="G1162"/>
      <c r="H1162"/>
      <c r="I1162"/>
    </row>
    <row r="1163" spans="2:9" x14ac:dyDescent="0.2">
      <c r="B1163"/>
      <c r="C1163"/>
      <c r="D1163"/>
      <c r="E1163"/>
      <c r="F1163"/>
      <c r="G1163"/>
      <c r="H1163"/>
      <c r="I1163"/>
    </row>
    <row r="1164" spans="2:9" x14ac:dyDescent="0.2">
      <c r="B1164"/>
      <c r="C1164"/>
      <c r="D1164"/>
      <c r="E1164"/>
      <c r="F1164"/>
      <c r="G1164"/>
      <c r="H1164"/>
      <c r="I1164"/>
    </row>
    <row r="1165" spans="2:9" x14ac:dyDescent="0.2">
      <c r="B1165"/>
      <c r="C1165"/>
      <c r="D1165"/>
      <c r="E1165"/>
      <c r="F1165"/>
      <c r="G1165"/>
      <c r="H1165"/>
      <c r="I1165"/>
    </row>
    <row r="1166" spans="2:9" x14ac:dyDescent="0.2">
      <c r="B1166"/>
      <c r="C1166"/>
      <c r="D1166"/>
      <c r="E1166"/>
      <c r="F1166"/>
      <c r="G1166"/>
      <c r="H1166"/>
      <c r="I1166"/>
    </row>
    <row r="1167" spans="2:9" x14ac:dyDescent="0.2">
      <c r="B1167"/>
      <c r="C1167"/>
      <c r="D1167"/>
      <c r="E1167"/>
      <c r="F1167"/>
      <c r="G1167"/>
      <c r="H1167"/>
      <c r="I1167"/>
    </row>
    <row r="1168" spans="2:9" x14ac:dyDescent="0.2">
      <c r="B1168"/>
      <c r="C1168"/>
      <c r="D1168"/>
      <c r="E1168"/>
      <c r="F1168"/>
      <c r="G1168"/>
      <c r="H1168"/>
      <c r="I1168"/>
    </row>
    <row r="1169" spans="2:9" x14ac:dyDescent="0.2">
      <c r="B1169"/>
      <c r="C1169"/>
      <c r="D1169"/>
      <c r="E1169"/>
      <c r="F1169"/>
      <c r="G1169"/>
      <c r="H1169"/>
      <c r="I1169"/>
    </row>
    <row r="1170" spans="2:9" x14ac:dyDescent="0.2">
      <c r="B1170"/>
      <c r="C1170"/>
      <c r="D1170"/>
      <c r="E1170"/>
      <c r="F1170"/>
      <c r="G1170"/>
      <c r="H1170"/>
      <c r="I1170"/>
    </row>
    <row r="1171" spans="2:9" x14ac:dyDescent="0.2">
      <c r="B1171"/>
      <c r="C1171"/>
      <c r="D1171"/>
      <c r="E1171"/>
      <c r="F1171"/>
      <c r="G1171"/>
      <c r="H1171"/>
      <c r="I1171"/>
    </row>
    <row r="1172" spans="2:9" x14ac:dyDescent="0.2">
      <c r="B1172"/>
      <c r="C1172"/>
      <c r="D1172"/>
      <c r="E1172"/>
      <c r="F1172"/>
      <c r="G1172"/>
      <c r="H1172"/>
      <c r="I1172"/>
    </row>
    <row r="1173" spans="2:9" x14ac:dyDescent="0.2">
      <c r="B1173"/>
      <c r="C1173"/>
      <c r="D1173"/>
      <c r="E1173"/>
      <c r="F1173"/>
      <c r="G1173"/>
      <c r="H1173"/>
      <c r="I1173"/>
    </row>
    <row r="1174" spans="2:9" x14ac:dyDescent="0.2">
      <c r="B1174"/>
      <c r="C1174"/>
      <c r="D1174"/>
      <c r="E1174"/>
      <c r="F1174"/>
      <c r="G1174"/>
      <c r="H1174"/>
      <c r="I1174"/>
    </row>
    <row r="1175" spans="2:9" x14ac:dyDescent="0.2">
      <c r="B1175"/>
      <c r="C1175"/>
      <c r="D1175"/>
      <c r="E1175"/>
      <c r="F1175"/>
      <c r="G1175"/>
      <c r="H1175"/>
      <c r="I1175"/>
    </row>
    <row r="1176" spans="2:9" x14ac:dyDescent="0.2">
      <c r="B1176"/>
      <c r="C1176"/>
      <c r="D1176"/>
      <c r="E1176"/>
      <c r="F1176"/>
      <c r="G1176"/>
      <c r="H1176"/>
      <c r="I1176"/>
    </row>
    <row r="1177" spans="2:9" x14ac:dyDescent="0.2">
      <c r="B1177"/>
      <c r="C1177"/>
      <c r="D1177"/>
      <c r="E1177"/>
      <c r="F1177"/>
      <c r="G1177"/>
      <c r="H1177"/>
      <c r="I1177"/>
    </row>
    <row r="1178" spans="2:9" x14ac:dyDescent="0.2">
      <c r="B1178"/>
      <c r="C1178"/>
      <c r="D1178"/>
      <c r="E1178"/>
      <c r="F1178"/>
      <c r="G1178"/>
      <c r="H1178"/>
      <c r="I1178"/>
    </row>
    <row r="1179" spans="2:9" x14ac:dyDescent="0.2">
      <c r="B1179"/>
      <c r="C1179"/>
      <c r="D1179"/>
      <c r="E1179"/>
      <c r="F1179"/>
      <c r="G1179"/>
      <c r="H1179"/>
      <c r="I1179"/>
    </row>
    <row r="1180" spans="2:9" x14ac:dyDescent="0.2">
      <c r="B1180"/>
      <c r="C1180"/>
      <c r="D1180"/>
      <c r="E1180"/>
      <c r="F1180"/>
      <c r="G1180"/>
      <c r="H1180"/>
      <c r="I1180"/>
    </row>
    <row r="1181" spans="2:9" x14ac:dyDescent="0.2">
      <c r="B1181"/>
      <c r="C1181"/>
      <c r="D1181"/>
      <c r="E1181"/>
      <c r="F1181"/>
      <c r="G1181"/>
      <c r="H1181"/>
      <c r="I1181"/>
    </row>
    <row r="1182" spans="2:9" x14ac:dyDescent="0.2">
      <c r="B1182"/>
      <c r="C1182"/>
      <c r="D1182"/>
      <c r="E1182"/>
      <c r="F1182"/>
      <c r="G1182"/>
      <c r="H1182"/>
      <c r="I1182"/>
    </row>
    <row r="1183" spans="2:9" x14ac:dyDescent="0.2">
      <c r="B1183"/>
      <c r="C1183"/>
      <c r="D1183"/>
      <c r="E1183"/>
      <c r="F1183"/>
      <c r="G1183"/>
      <c r="H1183"/>
      <c r="I1183"/>
    </row>
    <row r="1184" spans="2:9" x14ac:dyDescent="0.2">
      <c r="B1184"/>
      <c r="C1184"/>
      <c r="D1184"/>
      <c r="E1184"/>
      <c r="F1184"/>
      <c r="G1184"/>
      <c r="H1184"/>
      <c r="I1184"/>
    </row>
    <row r="1185" spans="2:9" x14ac:dyDescent="0.2">
      <c r="B1185"/>
      <c r="C1185"/>
      <c r="D1185"/>
      <c r="E1185"/>
      <c r="F1185"/>
      <c r="G1185"/>
      <c r="H1185"/>
      <c r="I1185"/>
    </row>
    <row r="1186" spans="2:9" x14ac:dyDescent="0.2">
      <c r="B1186"/>
      <c r="C1186"/>
      <c r="D1186"/>
      <c r="E1186"/>
      <c r="F1186"/>
      <c r="G1186"/>
      <c r="H1186"/>
      <c r="I1186"/>
    </row>
    <row r="1187" spans="2:9" x14ac:dyDescent="0.2">
      <c r="B1187"/>
      <c r="C1187"/>
      <c r="D1187"/>
      <c r="E1187"/>
      <c r="F1187"/>
      <c r="G1187"/>
      <c r="H1187"/>
      <c r="I1187"/>
    </row>
    <row r="1188" spans="2:9" x14ac:dyDescent="0.2">
      <c r="B1188"/>
      <c r="C1188"/>
      <c r="D1188"/>
      <c r="E1188"/>
      <c r="F1188"/>
      <c r="G1188"/>
      <c r="H1188"/>
      <c r="I1188"/>
    </row>
    <row r="1189" spans="2:9" x14ac:dyDescent="0.2">
      <c r="B1189"/>
      <c r="C1189"/>
      <c r="D1189"/>
      <c r="E1189"/>
      <c r="F1189"/>
      <c r="G1189"/>
      <c r="H1189"/>
      <c r="I1189"/>
    </row>
    <row r="1190" spans="2:9" x14ac:dyDescent="0.2">
      <c r="B1190"/>
      <c r="C1190"/>
      <c r="D1190"/>
      <c r="E1190"/>
      <c r="F1190"/>
      <c r="G1190"/>
      <c r="H1190"/>
      <c r="I1190"/>
    </row>
    <row r="1191" spans="2:9" x14ac:dyDescent="0.2">
      <c r="B1191"/>
      <c r="C1191"/>
      <c r="D1191"/>
      <c r="E1191"/>
      <c r="F1191"/>
      <c r="G1191"/>
      <c r="H1191"/>
      <c r="I1191"/>
    </row>
    <row r="1192" spans="2:9" x14ac:dyDescent="0.2">
      <c r="B1192"/>
      <c r="C1192"/>
      <c r="D1192"/>
      <c r="E1192"/>
      <c r="F1192"/>
      <c r="G1192"/>
      <c r="H1192"/>
      <c r="I1192"/>
    </row>
    <row r="1193" spans="2:9" x14ac:dyDescent="0.2">
      <c r="B1193"/>
      <c r="C1193"/>
      <c r="D1193"/>
      <c r="E1193"/>
      <c r="F1193"/>
      <c r="G1193"/>
      <c r="H1193"/>
      <c r="I1193"/>
    </row>
    <row r="1194" spans="2:9" x14ac:dyDescent="0.2">
      <c r="B1194"/>
      <c r="C1194"/>
      <c r="D1194"/>
      <c r="E1194"/>
      <c r="F1194"/>
      <c r="G1194"/>
      <c r="H1194"/>
      <c r="I1194"/>
    </row>
    <row r="1195" spans="2:9" x14ac:dyDescent="0.2">
      <c r="B1195"/>
      <c r="C1195"/>
      <c r="D1195"/>
      <c r="E1195"/>
      <c r="F1195"/>
      <c r="G1195"/>
      <c r="H1195"/>
      <c r="I1195"/>
    </row>
    <row r="1196" spans="2:9" x14ac:dyDescent="0.2">
      <c r="B1196"/>
      <c r="C1196"/>
      <c r="D1196"/>
      <c r="E1196"/>
      <c r="F1196"/>
      <c r="G1196"/>
      <c r="H1196"/>
      <c r="I1196"/>
    </row>
    <row r="1197" spans="2:9" x14ac:dyDescent="0.2">
      <c r="B1197"/>
      <c r="C1197"/>
      <c r="D1197"/>
      <c r="E1197"/>
      <c r="F1197"/>
      <c r="G1197"/>
      <c r="H1197"/>
      <c r="I1197"/>
    </row>
    <row r="1198" spans="2:9" x14ac:dyDescent="0.2">
      <c r="B1198"/>
      <c r="C1198"/>
      <c r="D1198"/>
      <c r="E1198"/>
      <c r="F1198"/>
      <c r="G1198"/>
      <c r="H1198"/>
      <c r="I1198"/>
    </row>
    <row r="1199" spans="2:9" x14ac:dyDescent="0.2">
      <c r="B1199"/>
      <c r="C1199"/>
      <c r="D1199"/>
      <c r="E1199"/>
      <c r="F1199"/>
      <c r="G1199"/>
      <c r="H1199"/>
      <c r="I1199"/>
    </row>
    <row r="1200" spans="2:9" x14ac:dyDescent="0.2">
      <c r="B1200"/>
      <c r="C1200"/>
      <c r="D1200"/>
      <c r="E1200"/>
      <c r="F1200"/>
      <c r="G1200"/>
      <c r="H1200"/>
      <c r="I1200"/>
    </row>
    <row r="1201" spans="2:9" x14ac:dyDescent="0.2">
      <c r="B1201"/>
      <c r="C1201"/>
      <c r="D1201"/>
      <c r="E1201"/>
      <c r="F1201"/>
      <c r="G1201"/>
      <c r="H1201"/>
      <c r="I1201"/>
    </row>
    <row r="1202" spans="2:9" x14ac:dyDescent="0.2">
      <c r="B1202"/>
      <c r="C1202"/>
      <c r="D1202"/>
      <c r="E1202"/>
      <c r="F1202"/>
      <c r="G1202"/>
      <c r="H1202"/>
      <c r="I1202"/>
    </row>
    <row r="1203" spans="2:9" x14ac:dyDescent="0.2">
      <c r="B1203"/>
      <c r="C1203"/>
      <c r="D1203"/>
      <c r="E1203"/>
      <c r="F1203"/>
      <c r="G1203"/>
      <c r="H1203"/>
      <c r="I1203"/>
    </row>
    <row r="1204" spans="2:9" x14ac:dyDescent="0.2">
      <c r="B1204"/>
      <c r="C1204"/>
      <c r="D1204"/>
      <c r="E1204"/>
      <c r="F1204"/>
      <c r="G1204"/>
      <c r="H1204"/>
      <c r="I1204"/>
    </row>
    <row r="1205" spans="2:9" x14ac:dyDescent="0.2">
      <c r="B1205"/>
      <c r="C1205"/>
      <c r="D1205"/>
      <c r="E1205"/>
      <c r="F1205"/>
      <c r="G1205"/>
      <c r="H1205"/>
      <c r="I1205"/>
    </row>
    <row r="1206" spans="2:9" x14ac:dyDescent="0.2">
      <c r="B1206"/>
      <c r="C1206"/>
      <c r="D1206"/>
      <c r="E1206"/>
      <c r="F1206"/>
      <c r="G1206"/>
      <c r="H1206"/>
      <c r="I1206"/>
    </row>
    <row r="1207" spans="2:9" x14ac:dyDescent="0.2">
      <c r="B1207"/>
      <c r="C1207"/>
      <c r="D1207"/>
      <c r="E1207"/>
      <c r="F1207"/>
      <c r="G1207"/>
      <c r="H1207"/>
      <c r="I1207"/>
    </row>
    <row r="1208" spans="2:9" x14ac:dyDescent="0.2">
      <c r="B1208"/>
      <c r="C1208"/>
      <c r="D1208"/>
      <c r="E1208"/>
      <c r="F1208"/>
      <c r="G1208"/>
      <c r="H1208"/>
      <c r="I1208"/>
    </row>
    <row r="1209" spans="2:9" x14ac:dyDescent="0.2">
      <c r="B1209"/>
      <c r="C1209"/>
      <c r="D1209"/>
      <c r="E1209"/>
      <c r="F1209"/>
      <c r="G1209"/>
      <c r="H1209"/>
      <c r="I1209"/>
    </row>
    <row r="1210" spans="2:9" x14ac:dyDescent="0.2">
      <c r="B1210"/>
      <c r="C1210"/>
      <c r="D1210"/>
      <c r="E1210"/>
      <c r="F1210"/>
      <c r="G1210"/>
      <c r="H1210"/>
      <c r="I1210"/>
    </row>
    <row r="1211" spans="2:9" x14ac:dyDescent="0.2">
      <c r="B1211"/>
      <c r="C1211"/>
      <c r="D1211"/>
      <c r="E1211"/>
      <c r="F1211"/>
      <c r="G1211"/>
      <c r="H1211"/>
      <c r="I1211"/>
    </row>
    <row r="1212" spans="2:9" x14ac:dyDescent="0.2">
      <c r="B1212"/>
      <c r="C1212"/>
      <c r="D1212"/>
      <c r="E1212"/>
      <c r="F1212"/>
      <c r="G1212"/>
      <c r="H1212"/>
      <c r="I1212"/>
    </row>
    <row r="1213" spans="2:9" x14ac:dyDescent="0.2">
      <c r="B1213"/>
      <c r="C1213"/>
      <c r="D1213"/>
      <c r="E1213"/>
      <c r="F1213"/>
      <c r="G1213"/>
      <c r="H1213"/>
      <c r="I1213"/>
    </row>
    <row r="1214" spans="2:9" x14ac:dyDescent="0.2">
      <c r="B1214"/>
      <c r="C1214"/>
      <c r="D1214"/>
      <c r="E1214"/>
      <c r="F1214"/>
      <c r="G1214"/>
      <c r="H1214"/>
      <c r="I1214"/>
    </row>
    <row r="1215" spans="2:9" x14ac:dyDescent="0.2">
      <c r="B1215"/>
      <c r="C1215"/>
      <c r="D1215"/>
      <c r="E1215"/>
      <c r="F1215"/>
      <c r="G1215"/>
      <c r="H1215"/>
      <c r="I1215"/>
    </row>
    <row r="1216" spans="2:9" x14ac:dyDescent="0.2">
      <c r="B1216"/>
      <c r="C1216"/>
      <c r="D1216"/>
      <c r="E1216"/>
      <c r="F1216"/>
      <c r="G1216"/>
      <c r="H1216"/>
      <c r="I1216"/>
    </row>
    <row r="1217" spans="2:9" x14ac:dyDescent="0.2">
      <c r="B1217"/>
      <c r="C1217"/>
      <c r="D1217"/>
      <c r="E1217"/>
      <c r="F1217"/>
      <c r="G1217"/>
      <c r="H1217"/>
      <c r="I1217"/>
    </row>
    <row r="1218" spans="2:9" x14ac:dyDescent="0.2">
      <c r="B1218"/>
      <c r="C1218"/>
      <c r="D1218"/>
      <c r="E1218"/>
      <c r="F1218"/>
      <c r="G1218"/>
      <c r="H1218"/>
      <c r="I1218"/>
    </row>
    <row r="1219" spans="2:9" x14ac:dyDescent="0.2">
      <c r="B1219"/>
      <c r="C1219"/>
      <c r="D1219"/>
      <c r="E1219"/>
      <c r="F1219"/>
      <c r="G1219"/>
      <c r="H1219"/>
      <c r="I1219"/>
    </row>
    <row r="1220" spans="2:9" x14ac:dyDescent="0.2">
      <c r="B1220"/>
      <c r="C1220"/>
      <c r="D1220"/>
      <c r="E1220"/>
      <c r="F1220"/>
      <c r="G1220"/>
      <c r="H1220"/>
      <c r="I1220"/>
    </row>
    <row r="1221" spans="2:9" x14ac:dyDescent="0.2">
      <c r="B1221"/>
      <c r="C1221"/>
      <c r="D1221"/>
      <c r="E1221"/>
      <c r="F1221"/>
      <c r="G1221"/>
      <c r="H1221"/>
      <c r="I1221"/>
    </row>
    <row r="1222" spans="2:9" x14ac:dyDescent="0.2">
      <c r="B1222"/>
      <c r="C1222"/>
      <c r="D1222"/>
      <c r="E1222"/>
      <c r="F1222"/>
      <c r="G1222"/>
      <c r="H1222"/>
      <c r="I1222"/>
    </row>
    <row r="1223" spans="2:9" x14ac:dyDescent="0.2">
      <c r="B1223"/>
      <c r="C1223"/>
      <c r="D1223"/>
      <c r="E1223"/>
      <c r="F1223"/>
      <c r="G1223"/>
      <c r="H1223"/>
      <c r="I1223"/>
    </row>
    <row r="1224" spans="2:9" x14ac:dyDescent="0.2">
      <c r="B1224"/>
      <c r="C1224"/>
      <c r="D1224"/>
      <c r="E1224"/>
      <c r="F1224"/>
      <c r="G1224"/>
      <c r="H1224"/>
      <c r="I1224"/>
    </row>
    <row r="1225" spans="2:9" x14ac:dyDescent="0.2">
      <c r="B1225"/>
      <c r="C1225"/>
      <c r="D1225"/>
      <c r="E1225"/>
      <c r="F1225"/>
      <c r="G1225"/>
      <c r="H1225"/>
      <c r="I1225"/>
    </row>
    <row r="1226" spans="2:9" x14ac:dyDescent="0.2">
      <c r="B1226"/>
      <c r="C1226"/>
      <c r="D1226"/>
      <c r="E1226"/>
      <c r="F1226"/>
      <c r="G1226"/>
      <c r="H1226"/>
      <c r="I1226"/>
    </row>
    <row r="1227" spans="2:9" x14ac:dyDescent="0.2">
      <c r="B1227"/>
      <c r="C1227"/>
      <c r="D1227"/>
      <c r="E1227"/>
      <c r="F1227"/>
      <c r="G1227"/>
      <c r="H1227"/>
      <c r="I1227"/>
    </row>
    <row r="1228" spans="2:9" x14ac:dyDescent="0.2">
      <c r="B1228"/>
      <c r="C1228"/>
      <c r="D1228"/>
      <c r="E1228"/>
      <c r="F1228"/>
      <c r="G1228"/>
      <c r="H1228"/>
      <c r="I1228"/>
    </row>
    <row r="1229" spans="2:9" x14ac:dyDescent="0.2">
      <c r="B1229"/>
      <c r="C1229"/>
      <c r="D1229"/>
      <c r="E1229"/>
      <c r="F1229"/>
      <c r="G1229"/>
      <c r="H1229"/>
      <c r="I1229"/>
    </row>
    <row r="1230" spans="2:9" x14ac:dyDescent="0.2">
      <c r="B1230"/>
      <c r="C1230"/>
      <c r="D1230"/>
      <c r="E1230"/>
      <c r="F1230"/>
      <c r="G1230"/>
      <c r="H1230"/>
      <c r="I1230"/>
    </row>
    <row r="1231" spans="2:9" x14ac:dyDescent="0.2">
      <c r="B1231"/>
      <c r="C1231"/>
      <c r="D1231"/>
      <c r="E1231"/>
      <c r="F1231"/>
      <c r="G1231"/>
      <c r="H1231"/>
      <c r="I1231"/>
    </row>
    <row r="1232" spans="2:9" x14ac:dyDescent="0.2">
      <c r="B1232"/>
      <c r="C1232"/>
      <c r="D1232"/>
      <c r="E1232"/>
      <c r="F1232"/>
      <c r="G1232"/>
      <c r="H1232"/>
      <c r="I1232"/>
    </row>
    <row r="1233" spans="2:9" x14ac:dyDescent="0.2">
      <c r="B1233"/>
      <c r="C1233"/>
      <c r="D1233"/>
      <c r="E1233"/>
      <c r="F1233"/>
      <c r="G1233"/>
      <c r="H1233"/>
      <c r="I1233"/>
    </row>
    <row r="1234" spans="2:9" x14ac:dyDescent="0.2">
      <c r="B1234"/>
      <c r="C1234"/>
      <c r="D1234"/>
      <c r="E1234"/>
      <c r="F1234"/>
      <c r="G1234"/>
      <c r="H1234"/>
      <c r="I1234"/>
    </row>
    <row r="1235" spans="2:9" x14ac:dyDescent="0.2">
      <c r="B1235"/>
      <c r="C1235"/>
      <c r="D1235"/>
      <c r="E1235"/>
      <c r="F1235"/>
      <c r="G1235"/>
      <c r="H1235"/>
      <c r="I1235"/>
    </row>
    <row r="1236" spans="2:9" x14ac:dyDescent="0.2">
      <c r="B1236"/>
      <c r="C1236"/>
      <c r="D1236"/>
      <c r="E1236"/>
      <c r="F1236"/>
      <c r="G1236"/>
      <c r="H1236"/>
      <c r="I1236"/>
    </row>
    <row r="1237" spans="2:9" x14ac:dyDescent="0.2">
      <c r="B1237"/>
      <c r="C1237"/>
      <c r="D1237"/>
      <c r="E1237"/>
      <c r="F1237"/>
      <c r="G1237"/>
      <c r="H1237"/>
      <c r="I1237"/>
    </row>
    <row r="1238" spans="2:9" x14ac:dyDescent="0.2">
      <c r="B1238"/>
      <c r="C1238"/>
      <c r="D1238"/>
      <c r="E1238"/>
      <c r="F1238"/>
      <c r="G1238"/>
      <c r="H1238"/>
      <c r="I1238"/>
    </row>
    <row r="1239" spans="2:9" x14ac:dyDescent="0.2">
      <c r="B1239"/>
      <c r="C1239"/>
      <c r="D1239"/>
      <c r="E1239"/>
      <c r="F1239"/>
      <c r="G1239"/>
      <c r="H1239"/>
      <c r="I1239"/>
    </row>
    <row r="1240" spans="2:9" x14ac:dyDescent="0.2">
      <c r="B1240"/>
      <c r="C1240"/>
      <c r="D1240"/>
      <c r="E1240"/>
      <c r="F1240"/>
      <c r="G1240"/>
      <c r="H1240"/>
      <c r="I1240"/>
    </row>
    <row r="1241" spans="2:9" x14ac:dyDescent="0.2">
      <c r="B1241"/>
      <c r="C1241"/>
      <c r="D1241"/>
      <c r="E1241"/>
      <c r="F1241"/>
      <c r="G1241"/>
      <c r="H1241"/>
      <c r="I1241"/>
    </row>
    <row r="1242" spans="2:9" x14ac:dyDescent="0.2">
      <c r="B1242"/>
      <c r="C1242"/>
      <c r="D1242"/>
      <c r="E1242"/>
      <c r="F1242"/>
      <c r="G1242"/>
      <c r="H1242"/>
      <c r="I1242"/>
    </row>
    <row r="1243" spans="2:9" x14ac:dyDescent="0.2">
      <c r="B1243"/>
      <c r="C1243"/>
      <c r="D1243"/>
      <c r="E1243"/>
      <c r="F1243"/>
      <c r="G1243"/>
      <c r="H1243"/>
      <c r="I1243"/>
    </row>
    <row r="1244" spans="2:9" x14ac:dyDescent="0.2">
      <c r="B1244"/>
      <c r="C1244"/>
      <c r="D1244"/>
      <c r="E1244"/>
      <c r="F1244"/>
      <c r="G1244"/>
      <c r="H1244"/>
      <c r="I1244"/>
    </row>
    <row r="1245" spans="2:9" x14ac:dyDescent="0.2">
      <c r="B1245"/>
      <c r="C1245"/>
      <c r="D1245"/>
      <c r="E1245"/>
      <c r="F1245"/>
      <c r="G1245"/>
      <c r="H1245"/>
      <c r="I1245"/>
    </row>
    <row r="1246" spans="2:9" x14ac:dyDescent="0.2">
      <c r="B1246"/>
      <c r="C1246"/>
      <c r="D1246"/>
      <c r="E1246"/>
      <c r="F1246"/>
      <c r="G1246"/>
      <c r="H1246"/>
      <c r="I1246"/>
    </row>
    <row r="1247" spans="2:9" x14ac:dyDescent="0.2">
      <c r="B1247"/>
      <c r="C1247"/>
      <c r="D1247"/>
      <c r="E1247"/>
      <c r="F1247"/>
      <c r="G1247"/>
      <c r="H1247"/>
      <c r="I1247"/>
    </row>
    <row r="1248" spans="2:9" x14ac:dyDescent="0.2">
      <c r="B1248"/>
      <c r="C1248"/>
      <c r="D1248"/>
      <c r="E1248"/>
      <c r="F1248"/>
      <c r="G1248"/>
      <c r="H1248"/>
      <c r="I1248"/>
    </row>
    <row r="1249" spans="2:9" x14ac:dyDescent="0.2">
      <c r="B1249"/>
      <c r="C1249"/>
      <c r="D1249"/>
      <c r="E1249"/>
      <c r="F1249"/>
      <c r="G1249"/>
      <c r="H1249"/>
      <c r="I1249"/>
    </row>
    <row r="1250" spans="2:9" x14ac:dyDescent="0.2">
      <c r="B1250"/>
      <c r="C1250"/>
      <c r="D1250"/>
      <c r="E1250"/>
      <c r="F1250"/>
      <c r="G1250"/>
      <c r="H1250"/>
      <c r="I1250"/>
    </row>
    <row r="1251" spans="2:9" x14ac:dyDescent="0.2">
      <c r="B1251"/>
      <c r="C1251"/>
      <c r="D1251"/>
      <c r="E1251"/>
      <c r="F1251"/>
      <c r="G1251"/>
      <c r="H1251"/>
      <c r="I1251"/>
    </row>
    <row r="1252" spans="2:9" x14ac:dyDescent="0.2">
      <c r="B1252"/>
      <c r="C1252"/>
      <c r="D1252"/>
      <c r="E1252"/>
      <c r="F1252"/>
      <c r="G1252"/>
      <c r="H1252"/>
      <c r="I1252"/>
    </row>
    <row r="1253" spans="2:9" x14ac:dyDescent="0.2">
      <c r="B1253"/>
      <c r="C1253"/>
      <c r="D1253"/>
      <c r="E1253"/>
      <c r="F1253"/>
      <c r="G1253"/>
      <c r="H1253"/>
      <c r="I1253"/>
    </row>
    <row r="1254" spans="2:9" x14ac:dyDescent="0.2">
      <c r="B1254"/>
      <c r="C1254"/>
      <c r="D1254"/>
      <c r="E1254"/>
      <c r="F1254"/>
      <c r="G1254"/>
      <c r="H1254"/>
      <c r="I1254"/>
    </row>
    <row r="1255" spans="2:9" x14ac:dyDescent="0.2">
      <c r="B1255"/>
      <c r="C1255"/>
      <c r="D1255"/>
      <c r="E1255"/>
      <c r="F1255"/>
      <c r="G1255"/>
      <c r="H1255"/>
      <c r="I1255"/>
    </row>
    <row r="1256" spans="2:9" x14ac:dyDescent="0.2">
      <c r="B1256"/>
      <c r="C1256"/>
      <c r="D1256"/>
      <c r="E1256"/>
      <c r="F1256"/>
      <c r="G1256"/>
      <c r="H1256"/>
      <c r="I1256"/>
    </row>
    <row r="1257" spans="2:9" x14ac:dyDescent="0.2">
      <c r="B1257"/>
      <c r="C1257"/>
      <c r="D1257"/>
      <c r="E1257"/>
      <c r="F1257"/>
      <c r="G1257"/>
      <c r="H1257"/>
      <c r="I1257"/>
    </row>
    <row r="1258" spans="2:9" x14ac:dyDescent="0.2">
      <c r="B1258"/>
      <c r="C1258"/>
      <c r="D1258"/>
      <c r="E1258"/>
      <c r="F1258"/>
      <c r="G1258"/>
      <c r="H1258"/>
      <c r="I1258"/>
    </row>
    <row r="1259" spans="2:9" x14ac:dyDescent="0.2">
      <c r="B1259"/>
      <c r="C1259"/>
      <c r="D1259"/>
      <c r="E1259"/>
      <c r="F1259"/>
      <c r="G1259"/>
      <c r="H1259"/>
      <c r="I1259"/>
    </row>
    <row r="1260" spans="2:9" x14ac:dyDescent="0.2">
      <c r="B1260"/>
      <c r="C1260"/>
      <c r="D1260"/>
      <c r="E1260"/>
      <c r="F1260"/>
      <c r="G1260"/>
      <c r="H1260"/>
      <c r="I1260"/>
    </row>
    <row r="1261" spans="2:9" x14ac:dyDescent="0.2">
      <c r="B1261"/>
      <c r="C1261"/>
      <c r="D1261"/>
      <c r="E1261"/>
      <c r="F1261"/>
      <c r="G1261"/>
      <c r="H1261"/>
      <c r="I1261"/>
    </row>
    <row r="1262" spans="2:9" x14ac:dyDescent="0.2">
      <c r="B1262"/>
      <c r="C1262"/>
      <c r="D1262"/>
      <c r="E1262"/>
      <c r="F1262"/>
      <c r="G1262"/>
      <c r="H1262"/>
      <c r="I1262"/>
    </row>
    <row r="1263" spans="2:9" x14ac:dyDescent="0.2">
      <c r="B1263"/>
      <c r="C1263"/>
      <c r="D1263"/>
      <c r="E1263"/>
      <c r="F1263"/>
      <c r="G1263"/>
      <c r="H1263"/>
      <c r="I1263"/>
    </row>
    <row r="1264" spans="2:9" x14ac:dyDescent="0.2">
      <c r="B1264"/>
      <c r="C1264"/>
      <c r="D1264"/>
      <c r="E1264"/>
      <c r="F1264"/>
      <c r="G1264"/>
      <c r="H1264"/>
      <c r="I1264"/>
    </row>
    <row r="1265" spans="2:9" x14ac:dyDescent="0.2">
      <c r="B1265"/>
      <c r="C1265"/>
      <c r="D1265"/>
      <c r="E1265"/>
      <c r="F1265"/>
      <c r="G1265"/>
      <c r="H1265"/>
      <c r="I1265"/>
    </row>
    <row r="1266" spans="2:9" x14ac:dyDescent="0.2">
      <c r="B1266"/>
      <c r="C1266"/>
      <c r="D1266"/>
      <c r="E1266"/>
      <c r="F1266"/>
      <c r="G1266"/>
      <c r="H1266"/>
      <c r="I1266"/>
    </row>
    <row r="1267" spans="2:9" x14ac:dyDescent="0.2">
      <c r="B1267"/>
      <c r="C1267"/>
      <c r="D1267"/>
      <c r="E1267"/>
      <c r="F1267"/>
      <c r="G1267"/>
      <c r="H1267"/>
      <c r="I1267"/>
    </row>
    <row r="1268" spans="2:9" x14ac:dyDescent="0.2">
      <c r="B1268"/>
      <c r="C1268"/>
      <c r="D1268"/>
      <c r="E1268"/>
      <c r="F1268"/>
      <c r="G1268"/>
      <c r="H1268"/>
      <c r="I1268"/>
    </row>
    <row r="1269" spans="2:9" x14ac:dyDescent="0.2">
      <c r="B1269"/>
      <c r="C1269"/>
      <c r="D1269"/>
      <c r="E1269"/>
      <c r="F1269"/>
      <c r="G1269"/>
      <c r="H1269"/>
      <c r="I1269"/>
    </row>
    <row r="1270" spans="2:9" x14ac:dyDescent="0.2">
      <c r="B1270"/>
      <c r="C1270"/>
      <c r="D1270"/>
      <c r="E1270"/>
      <c r="F1270"/>
      <c r="G1270"/>
      <c r="H1270"/>
      <c r="I1270"/>
    </row>
    <row r="1271" spans="2:9" x14ac:dyDescent="0.2">
      <c r="B1271"/>
      <c r="C1271"/>
      <c r="D1271"/>
      <c r="E1271"/>
      <c r="F1271"/>
      <c r="G1271"/>
      <c r="H1271"/>
      <c r="I1271"/>
    </row>
    <row r="1272" spans="2:9" x14ac:dyDescent="0.2">
      <c r="B1272"/>
      <c r="C1272"/>
      <c r="D1272"/>
      <c r="E1272"/>
      <c r="F1272"/>
      <c r="G1272"/>
      <c r="H1272"/>
      <c r="I1272"/>
    </row>
    <row r="1273" spans="2:9" x14ac:dyDescent="0.2">
      <c r="B1273"/>
      <c r="C1273"/>
      <c r="D1273"/>
      <c r="E1273"/>
      <c r="F1273"/>
      <c r="G1273"/>
      <c r="H1273"/>
      <c r="I1273"/>
    </row>
    <row r="1274" spans="2:9" x14ac:dyDescent="0.2">
      <c r="B1274"/>
      <c r="C1274"/>
      <c r="D1274"/>
      <c r="E1274"/>
      <c r="F1274"/>
      <c r="G1274"/>
      <c r="H1274"/>
      <c r="I1274"/>
    </row>
    <row r="1275" spans="2:9" x14ac:dyDescent="0.2">
      <c r="B1275"/>
      <c r="C1275"/>
      <c r="D1275"/>
      <c r="E1275"/>
      <c r="F1275"/>
      <c r="G1275"/>
      <c r="H1275"/>
      <c r="I1275"/>
    </row>
    <row r="1276" spans="2:9" x14ac:dyDescent="0.2">
      <c r="B1276"/>
      <c r="C1276"/>
      <c r="D1276"/>
      <c r="E1276"/>
      <c r="F1276"/>
      <c r="G1276"/>
      <c r="H1276"/>
      <c r="I1276"/>
    </row>
    <row r="1277" spans="2:9" x14ac:dyDescent="0.2">
      <c r="B1277"/>
      <c r="C1277"/>
      <c r="D1277"/>
      <c r="E1277"/>
      <c r="F1277"/>
      <c r="G1277"/>
      <c r="H1277"/>
      <c r="I1277"/>
    </row>
    <row r="1278" spans="2:9" x14ac:dyDescent="0.2">
      <c r="B1278"/>
      <c r="C1278"/>
      <c r="D1278"/>
      <c r="E1278"/>
      <c r="F1278"/>
      <c r="G1278"/>
      <c r="H1278"/>
      <c r="I1278"/>
    </row>
    <row r="1279" spans="2:9" x14ac:dyDescent="0.2">
      <c r="B1279"/>
      <c r="C1279"/>
      <c r="D1279"/>
      <c r="E1279"/>
      <c r="F1279"/>
      <c r="G1279"/>
      <c r="H1279"/>
      <c r="I1279"/>
    </row>
    <row r="1280" spans="2:9" x14ac:dyDescent="0.2">
      <c r="B1280"/>
      <c r="C1280"/>
      <c r="D1280"/>
      <c r="E1280"/>
      <c r="F1280"/>
      <c r="G1280"/>
      <c r="H1280"/>
      <c r="I1280"/>
    </row>
    <row r="1281" spans="2:9" x14ac:dyDescent="0.2">
      <c r="B1281"/>
      <c r="C1281"/>
      <c r="D1281"/>
      <c r="E1281"/>
      <c r="F1281"/>
      <c r="G1281"/>
      <c r="H1281"/>
      <c r="I1281"/>
    </row>
    <row r="1282" spans="2:9" x14ac:dyDescent="0.2">
      <c r="B1282"/>
      <c r="C1282"/>
      <c r="D1282"/>
      <c r="E1282"/>
      <c r="F1282"/>
      <c r="G1282"/>
      <c r="H1282"/>
      <c r="I1282"/>
    </row>
    <row r="1283" spans="2:9" x14ac:dyDescent="0.2">
      <c r="B1283"/>
      <c r="C1283"/>
      <c r="D1283"/>
      <c r="E1283"/>
      <c r="F1283"/>
      <c r="G1283"/>
      <c r="H1283"/>
      <c r="I1283"/>
    </row>
    <row r="1284" spans="2:9" x14ac:dyDescent="0.2">
      <c r="B1284"/>
      <c r="C1284"/>
      <c r="D1284"/>
      <c r="E1284"/>
      <c r="F1284"/>
      <c r="G1284"/>
      <c r="H1284"/>
      <c r="I1284"/>
    </row>
    <row r="1285" spans="2:9" x14ac:dyDescent="0.2">
      <c r="B1285"/>
      <c r="C1285"/>
      <c r="D1285"/>
      <c r="E1285"/>
      <c r="F1285"/>
      <c r="G1285"/>
      <c r="H1285"/>
      <c r="I1285"/>
    </row>
    <row r="1286" spans="2:9" x14ac:dyDescent="0.2">
      <c r="B1286"/>
      <c r="C1286"/>
      <c r="D1286"/>
      <c r="E1286"/>
      <c r="F1286"/>
      <c r="G1286"/>
      <c r="H1286"/>
      <c r="I1286"/>
    </row>
    <row r="1287" spans="2:9" x14ac:dyDescent="0.2">
      <c r="B1287"/>
      <c r="C1287"/>
      <c r="D1287"/>
      <c r="E1287"/>
      <c r="F1287"/>
      <c r="G1287"/>
      <c r="H1287"/>
      <c r="I1287"/>
    </row>
    <row r="1288" spans="2:9" x14ac:dyDescent="0.2">
      <c r="B1288"/>
      <c r="C1288"/>
      <c r="D1288"/>
      <c r="E1288"/>
      <c r="F1288"/>
      <c r="G1288"/>
      <c r="H1288"/>
      <c r="I1288"/>
    </row>
    <row r="1289" spans="2:9" x14ac:dyDescent="0.2">
      <c r="B1289"/>
      <c r="C1289"/>
      <c r="D1289"/>
      <c r="E1289"/>
      <c r="F1289"/>
      <c r="G1289"/>
      <c r="H1289"/>
      <c r="I1289"/>
    </row>
    <row r="1290" spans="2:9" x14ac:dyDescent="0.2">
      <c r="B1290"/>
      <c r="C1290"/>
      <c r="D1290"/>
      <c r="E1290"/>
      <c r="F1290"/>
      <c r="G1290"/>
      <c r="H1290"/>
      <c r="I1290"/>
    </row>
    <row r="1291" spans="2:9" x14ac:dyDescent="0.2">
      <c r="B1291"/>
      <c r="C1291"/>
      <c r="D1291"/>
      <c r="E1291"/>
      <c r="F1291"/>
      <c r="G1291"/>
      <c r="H1291"/>
      <c r="I1291"/>
    </row>
    <row r="1292" spans="2:9" x14ac:dyDescent="0.2">
      <c r="B1292"/>
      <c r="C1292"/>
      <c r="D1292"/>
      <c r="E1292"/>
      <c r="F1292"/>
      <c r="G1292"/>
      <c r="H1292"/>
      <c r="I1292"/>
    </row>
    <row r="1293" spans="2:9" x14ac:dyDescent="0.2">
      <c r="B1293"/>
      <c r="C1293"/>
      <c r="D1293"/>
      <c r="E1293"/>
      <c r="F1293"/>
      <c r="G1293"/>
      <c r="H1293"/>
      <c r="I1293"/>
    </row>
    <row r="1294" spans="2:9" x14ac:dyDescent="0.2">
      <c r="B1294"/>
      <c r="C1294"/>
      <c r="D1294"/>
      <c r="E1294"/>
      <c r="F1294"/>
      <c r="G1294"/>
      <c r="H1294"/>
      <c r="I1294"/>
    </row>
    <row r="1295" spans="2:9" x14ac:dyDescent="0.2">
      <c r="B1295"/>
      <c r="C1295"/>
      <c r="D1295"/>
      <c r="E1295"/>
      <c r="F1295"/>
      <c r="G1295"/>
      <c r="H1295"/>
      <c r="I1295"/>
    </row>
    <row r="1296" spans="2:9" x14ac:dyDescent="0.2">
      <c r="B1296"/>
      <c r="C1296"/>
      <c r="D1296"/>
      <c r="E1296"/>
      <c r="F1296"/>
      <c r="G1296"/>
      <c r="H1296"/>
      <c r="I1296"/>
    </row>
    <row r="1297" spans="2:9" x14ac:dyDescent="0.2">
      <c r="B1297"/>
      <c r="C1297"/>
      <c r="D1297"/>
      <c r="E1297"/>
      <c r="F1297"/>
      <c r="G1297"/>
      <c r="H1297"/>
      <c r="I1297"/>
    </row>
    <row r="1298" spans="2:9" x14ac:dyDescent="0.2">
      <c r="B1298"/>
      <c r="C1298"/>
      <c r="D1298"/>
      <c r="E1298"/>
      <c r="F1298"/>
      <c r="G1298"/>
      <c r="H1298"/>
      <c r="I1298"/>
    </row>
    <row r="1299" spans="2:9" x14ac:dyDescent="0.2">
      <c r="B1299"/>
      <c r="C1299"/>
      <c r="D1299"/>
      <c r="E1299"/>
      <c r="F1299"/>
      <c r="G1299"/>
      <c r="H1299"/>
      <c r="I1299"/>
    </row>
    <row r="1300" spans="2:9" x14ac:dyDescent="0.2">
      <c r="B1300"/>
      <c r="C1300"/>
      <c r="D1300"/>
      <c r="E1300"/>
      <c r="F1300"/>
      <c r="G1300"/>
      <c r="H1300"/>
      <c r="I1300"/>
    </row>
    <row r="1301" spans="2:9" x14ac:dyDescent="0.2">
      <c r="B1301"/>
      <c r="C1301"/>
      <c r="D1301"/>
      <c r="E1301"/>
      <c r="F1301"/>
      <c r="G1301"/>
      <c r="H1301"/>
      <c r="I1301"/>
    </row>
    <row r="1302" spans="2:9" x14ac:dyDescent="0.2">
      <c r="B1302"/>
      <c r="C1302"/>
      <c r="D1302"/>
      <c r="E1302"/>
      <c r="F1302"/>
      <c r="G1302"/>
      <c r="H1302"/>
      <c r="I1302"/>
    </row>
    <row r="1303" spans="2:9" x14ac:dyDescent="0.2">
      <c r="B1303"/>
      <c r="C1303"/>
      <c r="D1303"/>
      <c r="E1303"/>
      <c r="F1303"/>
      <c r="G1303"/>
      <c r="H1303"/>
      <c r="I1303"/>
    </row>
    <row r="1304" spans="2:9" x14ac:dyDescent="0.2">
      <c r="B1304"/>
      <c r="C1304"/>
      <c r="D1304"/>
      <c r="E1304"/>
      <c r="F1304"/>
      <c r="G1304"/>
      <c r="H1304"/>
      <c r="I1304"/>
    </row>
    <row r="1305" spans="2:9" x14ac:dyDescent="0.2">
      <c r="B1305"/>
      <c r="C1305"/>
      <c r="D1305"/>
      <c r="E1305"/>
      <c r="F1305"/>
      <c r="G1305"/>
      <c r="H1305"/>
      <c r="I1305"/>
    </row>
    <row r="1306" spans="2:9" x14ac:dyDescent="0.2">
      <c r="B1306"/>
      <c r="C1306"/>
      <c r="D1306"/>
      <c r="E1306"/>
      <c r="F1306"/>
      <c r="G1306"/>
      <c r="H1306"/>
      <c r="I1306"/>
    </row>
    <row r="1307" spans="2:9" x14ac:dyDescent="0.2">
      <c r="B1307"/>
      <c r="C1307"/>
      <c r="D1307"/>
      <c r="E1307"/>
      <c r="F1307"/>
      <c r="G1307"/>
      <c r="H1307"/>
      <c r="I1307"/>
    </row>
    <row r="1308" spans="2:9" x14ac:dyDescent="0.2">
      <c r="B1308"/>
      <c r="C1308"/>
      <c r="D1308"/>
      <c r="E1308"/>
      <c r="F1308"/>
      <c r="G1308"/>
      <c r="H1308"/>
      <c r="I1308"/>
    </row>
    <row r="1309" spans="2:9" x14ac:dyDescent="0.2">
      <c r="B1309"/>
      <c r="C1309"/>
      <c r="D1309"/>
      <c r="E1309"/>
      <c r="F1309"/>
      <c r="G1309"/>
      <c r="H1309"/>
      <c r="I1309"/>
    </row>
    <row r="1310" spans="2:9" x14ac:dyDescent="0.2">
      <c r="B1310"/>
      <c r="C1310"/>
      <c r="D1310"/>
      <c r="E1310"/>
      <c r="F1310"/>
      <c r="G1310"/>
      <c r="H1310"/>
      <c r="I1310"/>
    </row>
    <row r="1311" spans="2:9" x14ac:dyDescent="0.2">
      <c r="B1311"/>
      <c r="C1311"/>
      <c r="D1311"/>
      <c r="E1311"/>
      <c r="F1311"/>
      <c r="G1311"/>
      <c r="H1311"/>
      <c r="I1311"/>
    </row>
    <row r="1312" spans="2:9" x14ac:dyDescent="0.2">
      <c r="B1312"/>
      <c r="C1312"/>
      <c r="D1312"/>
      <c r="E1312"/>
      <c r="F1312"/>
      <c r="G1312"/>
      <c r="H1312"/>
      <c r="I1312"/>
    </row>
    <row r="1313" spans="2:9" x14ac:dyDescent="0.2">
      <c r="B1313"/>
      <c r="C1313"/>
      <c r="D1313"/>
      <c r="E1313"/>
      <c r="F1313"/>
      <c r="G1313"/>
      <c r="H1313"/>
      <c r="I1313"/>
    </row>
    <row r="1314" spans="2:9" x14ac:dyDescent="0.2">
      <c r="B1314"/>
      <c r="C1314"/>
      <c r="D1314"/>
      <c r="E1314"/>
      <c r="F1314"/>
      <c r="G1314"/>
      <c r="H1314"/>
      <c r="I1314"/>
    </row>
    <row r="1315" spans="2:9" x14ac:dyDescent="0.2">
      <c r="B1315"/>
      <c r="C1315"/>
      <c r="D1315"/>
      <c r="E1315"/>
      <c r="F1315"/>
      <c r="G1315"/>
      <c r="H1315"/>
      <c r="I1315"/>
    </row>
    <row r="1316" spans="2:9" x14ac:dyDescent="0.2">
      <c r="B1316"/>
      <c r="C1316"/>
      <c r="D1316"/>
      <c r="E1316"/>
      <c r="F1316"/>
      <c r="G1316"/>
      <c r="H1316"/>
      <c r="I1316"/>
    </row>
    <row r="1317" spans="2:9" x14ac:dyDescent="0.2">
      <c r="B1317"/>
      <c r="C1317"/>
      <c r="D1317"/>
      <c r="E1317"/>
      <c r="F1317"/>
      <c r="G1317"/>
      <c r="H1317"/>
      <c r="I1317"/>
    </row>
    <row r="1318" spans="2:9" x14ac:dyDescent="0.2">
      <c r="B1318"/>
      <c r="C1318"/>
      <c r="D1318"/>
      <c r="E1318"/>
      <c r="F1318"/>
      <c r="G1318"/>
      <c r="H1318"/>
      <c r="I1318"/>
    </row>
    <row r="1319" spans="2:9" x14ac:dyDescent="0.2">
      <c r="B1319"/>
      <c r="C1319"/>
      <c r="D1319"/>
      <c r="E1319"/>
      <c r="F1319"/>
      <c r="G1319"/>
      <c r="H1319"/>
      <c r="I1319"/>
    </row>
    <row r="1320" spans="2:9" x14ac:dyDescent="0.2">
      <c r="B1320"/>
      <c r="C1320"/>
      <c r="D1320"/>
      <c r="E1320"/>
      <c r="F1320"/>
      <c r="G1320"/>
      <c r="H1320"/>
      <c r="I1320"/>
    </row>
    <row r="1321" spans="2:9" x14ac:dyDescent="0.2">
      <c r="B1321"/>
      <c r="C1321"/>
      <c r="D1321"/>
      <c r="E1321"/>
      <c r="F1321"/>
      <c r="G1321"/>
      <c r="H1321"/>
      <c r="I1321"/>
    </row>
    <row r="1322" spans="2:9" x14ac:dyDescent="0.2">
      <c r="B1322"/>
      <c r="C1322"/>
      <c r="D1322"/>
      <c r="E1322"/>
      <c r="F1322"/>
      <c r="G1322"/>
      <c r="H1322"/>
      <c r="I1322"/>
    </row>
    <row r="1323" spans="2:9" x14ac:dyDescent="0.2">
      <c r="B1323"/>
      <c r="C1323"/>
      <c r="D1323"/>
      <c r="E1323"/>
      <c r="F1323"/>
      <c r="G1323"/>
      <c r="H1323"/>
      <c r="I1323"/>
    </row>
    <row r="1324" spans="2:9" x14ac:dyDescent="0.2">
      <c r="B1324"/>
      <c r="C1324"/>
      <c r="D1324"/>
      <c r="E1324"/>
      <c r="F1324"/>
      <c r="G1324"/>
      <c r="H1324"/>
      <c r="I1324"/>
    </row>
    <row r="1325" spans="2:9" x14ac:dyDescent="0.2">
      <c r="B1325"/>
      <c r="C1325"/>
      <c r="D1325"/>
      <c r="E1325"/>
      <c r="F1325"/>
      <c r="G1325"/>
      <c r="H1325"/>
      <c r="I1325"/>
    </row>
    <row r="1326" spans="2:9" x14ac:dyDescent="0.2">
      <c r="B1326"/>
      <c r="C1326"/>
      <c r="D1326"/>
      <c r="E1326"/>
      <c r="F1326"/>
      <c r="G1326"/>
      <c r="H1326"/>
      <c r="I1326"/>
    </row>
    <row r="1327" spans="2:9" x14ac:dyDescent="0.2">
      <c r="B1327"/>
      <c r="C1327"/>
      <c r="D1327"/>
      <c r="E1327"/>
      <c r="F1327"/>
      <c r="G1327"/>
      <c r="H1327"/>
      <c r="I1327"/>
    </row>
    <row r="1328" spans="2:9" x14ac:dyDescent="0.2">
      <c r="B1328"/>
      <c r="C1328"/>
      <c r="D1328"/>
      <c r="E1328"/>
      <c r="F1328"/>
      <c r="G1328"/>
      <c r="H1328"/>
      <c r="I1328"/>
    </row>
    <row r="1329" spans="2:9" x14ac:dyDescent="0.2">
      <c r="B1329"/>
      <c r="C1329"/>
      <c r="D1329"/>
      <c r="E1329"/>
      <c r="F1329"/>
      <c r="G1329"/>
      <c r="H1329"/>
      <c r="I1329"/>
    </row>
    <row r="1330" spans="2:9" x14ac:dyDescent="0.2">
      <c r="B1330"/>
      <c r="C1330"/>
      <c r="D1330"/>
      <c r="E1330"/>
      <c r="F1330"/>
      <c r="G1330"/>
      <c r="H1330"/>
      <c r="I1330"/>
    </row>
    <row r="1331" spans="2:9" x14ac:dyDescent="0.2">
      <c r="B1331"/>
      <c r="C1331"/>
      <c r="D1331"/>
      <c r="E1331"/>
      <c r="F1331"/>
      <c r="G1331"/>
      <c r="H1331"/>
      <c r="I1331"/>
    </row>
    <row r="1332" spans="2:9" x14ac:dyDescent="0.2">
      <c r="B1332"/>
      <c r="C1332"/>
      <c r="D1332"/>
      <c r="E1332"/>
      <c r="F1332"/>
      <c r="G1332"/>
      <c r="H1332"/>
      <c r="I1332"/>
    </row>
    <row r="1333" spans="2:9" x14ac:dyDescent="0.2">
      <c r="B1333"/>
      <c r="C1333"/>
      <c r="D1333"/>
      <c r="E1333"/>
      <c r="F1333"/>
      <c r="G1333"/>
      <c r="H1333"/>
      <c r="I1333"/>
    </row>
    <row r="1334" spans="2:9" x14ac:dyDescent="0.2">
      <c r="B1334"/>
      <c r="C1334"/>
      <c r="D1334"/>
      <c r="E1334"/>
      <c r="F1334"/>
      <c r="G1334"/>
      <c r="H1334"/>
      <c r="I1334"/>
    </row>
    <row r="1335" spans="2:9" x14ac:dyDescent="0.2">
      <c r="B1335"/>
      <c r="C1335"/>
      <c r="D1335"/>
      <c r="E1335"/>
      <c r="F1335"/>
      <c r="G1335"/>
      <c r="H1335"/>
      <c r="I1335"/>
    </row>
    <row r="1336" spans="2:9" x14ac:dyDescent="0.2">
      <c r="B1336"/>
      <c r="C1336"/>
      <c r="D1336"/>
      <c r="E1336"/>
      <c r="F1336"/>
      <c r="G1336"/>
      <c r="H1336"/>
      <c r="I1336"/>
    </row>
    <row r="1337" spans="2:9" x14ac:dyDescent="0.2">
      <c r="B1337"/>
      <c r="C1337"/>
      <c r="D1337"/>
      <c r="E1337"/>
      <c r="F1337"/>
      <c r="G1337"/>
      <c r="H1337"/>
      <c r="I1337"/>
    </row>
    <row r="1338" spans="2:9" x14ac:dyDescent="0.2">
      <c r="B1338"/>
      <c r="C1338"/>
      <c r="D1338"/>
      <c r="E1338"/>
      <c r="F1338"/>
      <c r="G1338"/>
      <c r="H1338"/>
      <c r="I1338"/>
    </row>
    <row r="1339" spans="2:9" x14ac:dyDescent="0.2">
      <c r="B1339"/>
      <c r="C1339"/>
      <c r="D1339"/>
      <c r="E1339"/>
      <c r="F1339"/>
      <c r="G1339"/>
      <c r="H1339"/>
      <c r="I1339"/>
    </row>
    <row r="1340" spans="2:9" x14ac:dyDescent="0.2">
      <c r="B1340"/>
      <c r="C1340"/>
      <c r="D1340"/>
      <c r="E1340"/>
      <c r="F1340"/>
      <c r="G1340"/>
      <c r="H1340"/>
      <c r="I1340"/>
    </row>
    <row r="1341" spans="2:9" x14ac:dyDescent="0.2">
      <c r="B1341"/>
      <c r="C1341"/>
      <c r="D1341"/>
      <c r="E1341"/>
      <c r="F1341"/>
      <c r="G1341"/>
      <c r="H1341"/>
      <c r="I1341"/>
    </row>
    <row r="1342" spans="2:9" x14ac:dyDescent="0.2">
      <c r="B1342"/>
      <c r="C1342"/>
      <c r="D1342"/>
      <c r="E1342"/>
      <c r="F1342"/>
      <c r="G1342"/>
      <c r="H1342"/>
      <c r="I1342"/>
    </row>
    <row r="1343" spans="2:9" x14ac:dyDescent="0.2">
      <c r="B1343"/>
      <c r="C1343"/>
      <c r="D1343"/>
      <c r="E1343"/>
      <c r="F1343"/>
      <c r="G1343"/>
      <c r="H1343"/>
      <c r="I1343"/>
    </row>
    <row r="1344" spans="2:9" x14ac:dyDescent="0.2">
      <c r="B1344"/>
      <c r="C1344"/>
      <c r="D1344"/>
      <c r="E1344"/>
      <c r="F1344"/>
      <c r="G1344"/>
      <c r="H1344"/>
      <c r="I1344"/>
    </row>
    <row r="1345" spans="2:9" x14ac:dyDescent="0.2">
      <c r="B1345"/>
      <c r="C1345"/>
      <c r="D1345"/>
      <c r="E1345"/>
      <c r="F1345"/>
      <c r="G1345"/>
      <c r="H1345"/>
      <c r="I1345"/>
    </row>
    <row r="1346" spans="2:9" x14ac:dyDescent="0.2">
      <c r="B1346"/>
      <c r="C1346"/>
      <c r="D1346"/>
      <c r="E1346"/>
      <c r="F1346"/>
      <c r="G1346"/>
      <c r="H1346"/>
      <c r="I1346"/>
    </row>
    <row r="1347" spans="2:9" x14ac:dyDescent="0.2">
      <c r="B1347"/>
      <c r="C1347"/>
      <c r="D1347"/>
      <c r="E1347"/>
      <c r="F1347"/>
      <c r="G1347"/>
      <c r="H1347"/>
      <c r="I1347"/>
    </row>
    <row r="1348" spans="2:9" x14ac:dyDescent="0.2">
      <c r="B1348"/>
      <c r="C1348"/>
      <c r="D1348"/>
      <c r="E1348"/>
      <c r="F1348"/>
      <c r="G1348"/>
      <c r="H1348"/>
      <c r="I1348"/>
    </row>
    <row r="1349" spans="2:9" x14ac:dyDescent="0.2">
      <c r="B1349"/>
      <c r="C1349"/>
      <c r="D1349"/>
      <c r="E1349"/>
      <c r="F1349"/>
      <c r="G1349"/>
      <c r="H1349"/>
      <c r="I1349"/>
    </row>
    <row r="1350" spans="2:9" x14ac:dyDescent="0.2">
      <c r="B1350"/>
      <c r="C1350"/>
      <c r="D1350"/>
      <c r="E1350"/>
      <c r="F1350"/>
      <c r="G1350"/>
      <c r="H1350"/>
      <c r="I1350"/>
    </row>
    <row r="1351" spans="2:9" x14ac:dyDescent="0.2">
      <c r="B1351"/>
      <c r="C1351"/>
      <c r="D1351"/>
      <c r="E1351"/>
      <c r="F1351"/>
      <c r="G1351"/>
      <c r="H1351"/>
      <c r="I1351"/>
    </row>
    <row r="1352" spans="2:9" x14ac:dyDescent="0.2">
      <c r="B1352"/>
      <c r="C1352"/>
      <c r="D1352"/>
      <c r="E1352"/>
      <c r="F1352"/>
      <c r="G1352"/>
      <c r="H1352"/>
      <c r="I1352"/>
    </row>
    <row r="1353" spans="2:9" x14ac:dyDescent="0.2">
      <c r="B1353"/>
      <c r="C1353"/>
      <c r="D1353"/>
      <c r="E1353"/>
      <c r="F1353"/>
      <c r="G1353"/>
      <c r="H1353"/>
      <c r="I1353"/>
    </row>
    <row r="1354" spans="2:9" x14ac:dyDescent="0.2">
      <c r="B1354"/>
      <c r="C1354"/>
      <c r="D1354"/>
      <c r="E1354"/>
      <c r="F1354"/>
      <c r="G1354"/>
      <c r="H1354"/>
      <c r="I1354"/>
    </row>
    <row r="1355" spans="2:9" x14ac:dyDescent="0.2">
      <c r="B1355"/>
      <c r="C1355"/>
      <c r="D1355"/>
      <c r="E1355"/>
      <c r="F1355"/>
      <c r="G1355"/>
      <c r="H1355"/>
      <c r="I1355"/>
    </row>
    <row r="1356" spans="2:9" x14ac:dyDescent="0.2">
      <c r="B1356"/>
      <c r="C1356"/>
      <c r="D1356"/>
      <c r="E1356"/>
      <c r="F1356"/>
      <c r="G1356"/>
      <c r="H1356"/>
      <c r="I1356"/>
    </row>
    <row r="1357" spans="2:9" x14ac:dyDescent="0.2">
      <c r="B1357"/>
      <c r="C1357"/>
      <c r="D1357"/>
      <c r="E1357"/>
      <c r="F1357"/>
      <c r="G1357"/>
      <c r="H1357"/>
      <c r="I1357"/>
    </row>
    <row r="1358" spans="2:9" x14ac:dyDescent="0.2">
      <c r="B1358"/>
      <c r="C1358"/>
      <c r="D1358"/>
      <c r="E1358"/>
      <c r="F1358"/>
      <c r="G1358"/>
      <c r="H1358"/>
      <c r="I1358"/>
    </row>
    <row r="1359" spans="2:9" x14ac:dyDescent="0.2">
      <c r="B1359"/>
      <c r="C1359"/>
      <c r="D1359"/>
      <c r="E1359"/>
      <c r="F1359"/>
      <c r="G1359"/>
      <c r="H1359"/>
      <c r="I1359"/>
    </row>
    <row r="1360" spans="2:9" x14ac:dyDescent="0.2">
      <c r="B1360"/>
      <c r="C1360"/>
      <c r="D1360"/>
      <c r="E1360"/>
      <c r="F1360"/>
      <c r="G1360"/>
      <c r="H1360"/>
      <c r="I1360"/>
    </row>
    <row r="1361" spans="2:9" x14ac:dyDescent="0.2">
      <c r="B1361"/>
      <c r="C1361"/>
      <c r="D1361"/>
      <c r="E1361"/>
      <c r="F1361"/>
      <c r="G1361"/>
      <c r="H1361"/>
      <c r="I1361"/>
    </row>
    <row r="1362" spans="2:9" x14ac:dyDescent="0.2">
      <c r="B1362"/>
      <c r="C1362"/>
      <c r="D1362"/>
      <c r="E1362"/>
      <c r="F1362"/>
      <c r="G1362"/>
      <c r="H1362"/>
      <c r="I1362"/>
    </row>
    <row r="1363" spans="2:9" x14ac:dyDescent="0.2">
      <c r="B1363"/>
      <c r="C1363"/>
      <c r="D1363"/>
      <c r="E1363"/>
      <c r="F1363"/>
      <c r="G1363"/>
      <c r="H1363"/>
      <c r="I1363"/>
    </row>
    <row r="1364" spans="2:9" x14ac:dyDescent="0.2">
      <c r="B1364"/>
      <c r="C1364"/>
      <c r="D1364"/>
      <c r="E1364"/>
      <c r="F1364"/>
      <c r="G1364"/>
      <c r="H1364"/>
      <c r="I1364"/>
    </row>
    <row r="1365" spans="2:9" x14ac:dyDescent="0.2">
      <c r="B1365"/>
      <c r="C1365"/>
      <c r="D1365"/>
      <c r="E1365"/>
      <c r="F1365"/>
      <c r="G1365"/>
      <c r="H1365"/>
      <c r="I1365"/>
    </row>
    <row r="1366" spans="2:9" x14ac:dyDescent="0.2">
      <c r="B1366"/>
      <c r="C1366"/>
      <c r="D1366"/>
      <c r="E1366"/>
      <c r="F1366"/>
      <c r="G1366"/>
      <c r="H1366"/>
      <c r="I1366"/>
    </row>
    <row r="1367" spans="2:9" x14ac:dyDescent="0.2">
      <c r="B1367"/>
      <c r="C1367"/>
      <c r="D1367"/>
      <c r="E1367"/>
      <c r="F1367"/>
      <c r="G1367"/>
      <c r="H1367"/>
      <c r="I1367"/>
    </row>
    <row r="1368" spans="2:9" x14ac:dyDescent="0.2">
      <c r="B1368"/>
      <c r="C1368"/>
      <c r="D1368"/>
      <c r="E1368"/>
      <c r="F1368"/>
      <c r="G1368"/>
      <c r="H1368"/>
      <c r="I1368"/>
    </row>
    <row r="1369" spans="2:9" x14ac:dyDescent="0.2">
      <c r="B1369"/>
      <c r="C1369"/>
      <c r="D1369"/>
      <c r="E1369"/>
      <c r="F1369"/>
      <c r="G1369"/>
      <c r="H1369"/>
      <c r="I1369"/>
    </row>
    <row r="1370" spans="2:9" x14ac:dyDescent="0.2">
      <c r="B1370"/>
      <c r="C1370"/>
      <c r="D1370"/>
      <c r="E1370"/>
      <c r="F1370"/>
      <c r="G1370"/>
      <c r="H1370"/>
      <c r="I1370"/>
    </row>
    <row r="1371" spans="2:9" x14ac:dyDescent="0.2">
      <c r="B1371"/>
      <c r="C1371"/>
      <c r="D1371"/>
      <c r="E1371"/>
      <c r="F1371"/>
      <c r="G1371"/>
      <c r="H1371"/>
      <c r="I1371"/>
    </row>
    <row r="1372" spans="2:9" x14ac:dyDescent="0.2">
      <c r="B1372"/>
      <c r="C1372"/>
      <c r="D1372"/>
      <c r="E1372"/>
      <c r="F1372"/>
      <c r="G1372"/>
      <c r="H1372"/>
      <c r="I1372"/>
    </row>
    <row r="1373" spans="2:9" x14ac:dyDescent="0.2">
      <c r="B1373"/>
      <c r="C1373"/>
      <c r="D1373"/>
      <c r="E1373"/>
      <c r="F1373"/>
      <c r="G1373"/>
      <c r="H1373"/>
      <c r="I1373"/>
    </row>
    <row r="1374" spans="2:9" x14ac:dyDescent="0.2">
      <c r="B1374"/>
      <c r="C1374"/>
      <c r="D1374"/>
      <c r="E1374"/>
      <c r="F1374"/>
      <c r="G1374"/>
      <c r="H1374"/>
      <c r="I1374"/>
    </row>
    <row r="1375" spans="2:9" x14ac:dyDescent="0.2">
      <c r="B1375"/>
      <c r="C1375"/>
      <c r="D1375"/>
      <c r="E1375"/>
      <c r="F1375"/>
      <c r="G1375"/>
      <c r="H1375"/>
      <c r="I1375"/>
    </row>
    <row r="1376" spans="2:9" x14ac:dyDescent="0.2">
      <c r="B1376"/>
      <c r="C1376"/>
      <c r="D1376"/>
      <c r="E1376"/>
      <c r="F1376"/>
      <c r="G1376"/>
      <c r="H1376"/>
      <c r="I1376"/>
    </row>
    <row r="1377" spans="2:9" x14ac:dyDescent="0.2">
      <c r="B1377"/>
      <c r="C1377"/>
      <c r="D1377"/>
      <c r="E1377"/>
      <c r="F1377"/>
      <c r="G1377"/>
      <c r="H1377"/>
      <c r="I1377"/>
    </row>
    <row r="1378" spans="2:9" x14ac:dyDescent="0.2">
      <c r="B1378"/>
      <c r="C1378"/>
      <c r="D1378"/>
      <c r="E1378"/>
      <c r="F1378"/>
      <c r="G1378"/>
      <c r="H1378"/>
      <c r="I1378"/>
    </row>
    <row r="1379" spans="2:9" x14ac:dyDescent="0.2">
      <c r="B1379"/>
      <c r="C1379"/>
      <c r="D1379"/>
      <c r="E1379"/>
      <c r="F1379"/>
      <c r="G1379"/>
      <c r="H1379"/>
      <c r="I1379"/>
    </row>
    <row r="1380" spans="2:9" x14ac:dyDescent="0.2">
      <c r="B1380"/>
      <c r="C1380"/>
      <c r="D1380"/>
      <c r="E1380"/>
      <c r="F1380"/>
      <c r="G1380"/>
      <c r="H1380"/>
      <c r="I1380"/>
    </row>
    <row r="1381" spans="2:9" x14ac:dyDescent="0.2">
      <c r="B1381"/>
      <c r="C1381"/>
      <c r="D1381"/>
      <c r="E1381"/>
      <c r="F1381"/>
      <c r="G1381"/>
      <c r="H1381"/>
      <c r="I1381"/>
    </row>
    <row r="1382" spans="2:9" x14ac:dyDescent="0.2">
      <c r="B1382"/>
      <c r="C1382"/>
      <c r="D1382"/>
      <c r="E1382"/>
      <c r="F1382"/>
      <c r="G1382"/>
      <c r="H1382"/>
      <c r="I1382"/>
    </row>
    <row r="1383" spans="2:9" x14ac:dyDescent="0.2">
      <c r="B1383"/>
      <c r="C1383"/>
      <c r="D1383"/>
      <c r="E1383"/>
      <c r="F1383"/>
      <c r="G1383"/>
      <c r="H1383"/>
      <c r="I1383"/>
    </row>
    <row r="1384" spans="2:9" x14ac:dyDescent="0.2">
      <c r="B1384"/>
      <c r="C1384"/>
      <c r="D1384"/>
      <c r="E1384"/>
      <c r="F1384"/>
      <c r="G1384"/>
      <c r="H1384"/>
      <c r="I1384"/>
    </row>
    <row r="1385" spans="2:9" x14ac:dyDescent="0.2">
      <c r="B1385"/>
      <c r="C1385"/>
      <c r="D1385"/>
      <c r="E1385"/>
      <c r="F1385"/>
      <c r="G1385"/>
      <c r="H1385"/>
      <c r="I1385"/>
    </row>
    <row r="1386" spans="2:9" x14ac:dyDescent="0.2">
      <c r="B1386"/>
      <c r="C1386"/>
      <c r="D1386"/>
      <c r="E1386"/>
      <c r="F1386"/>
      <c r="G1386"/>
      <c r="H1386"/>
      <c r="I1386"/>
    </row>
    <row r="1387" spans="2:9" x14ac:dyDescent="0.2">
      <c r="B1387"/>
      <c r="C1387"/>
      <c r="D1387"/>
      <c r="E1387"/>
      <c r="F1387"/>
      <c r="G1387"/>
      <c r="H1387"/>
      <c r="I1387"/>
    </row>
    <row r="1388" spans="2:9" x14ac:dyDescent="0.2">
      <c r="B1388"/>
      <c r="C1388"/>
      <c r="D1388"/>
      <c r="E1388"/>
      <c r="F1388"/>
      <c r="G1388"/>
      <c r="H1388"/>
      <c r="I1388"/>
    </row>
    <row r="1389" spans="2:9" x14ac:dyDescent="0.2">
      <c r="B1389"/>
      <c r="C1389"/>
      <c r="D1389"/>
      <c r="E1389"/>
      <c r="F1389"/>
      <c r="G1389"/>
      <c r="H1389"/>
      <c r="I1389"/>
    </row>
    <row r="1390" spans="2:9" x14ac:dyDescent="0.2">
      <c r="B1390"/>
      <c r="C1390"/>
      <c r="D1390"/>
      <c r="E1390"/>
      <c r="F1390"/>
      <c r="G1390"/>
      <c r="H1390"/>
      <c r="I1390"/>
    </row>
    <row r="1391" spans="2:9" x14ac:dyDescent="0.2">
      <c r="B1391"/>
      <c r="C1391"/>
      <c r="D1391"/>
      <c r="E1391"/>
      <c r="F1391"/>
      <c r="G1391"/>
      <c r="H1391"/>
      <c r="I1391"/>
    </row>
    <row r="1392" spans="2:9" x14ac:dyDescent="0.2">
      <c r="B1392"/>
      <c r="C1392"/>
      <c r="D1392"/>
      <c r="E1392"/>
      <c r="F1392"/>
      <c r="G1392"/>
      <c r="H1392"/>
      <c r="I1392"/>
    </row>
    <row r="1393" spans="2:9" x14ac:dyDescent="0.2">
      <c r="B1393"/>
      <c r="C1393"/>
      <c r="D1393"/>
      <c r="E1393"/>
      <c r="F1393"/>
      <c r="G1393"/>
      <c r="H1393"/>
      <c r="I1393"/>
    </row>
    <row r="1394" spans="2:9" x14ac:dyDescent="0.2">
      <c r="B1394"/>
      <c r="C1394"/>
      <c r="D1394"/>
      <c r="E1394"/>
      <c r="F1394"/>
      <c r="G1394"/>
      <c r="H1394"/>
      <c r="I1394"/>
    </row>
    <row r="1395" spans="2:9" x14ac:dyDescent="0.2">
      <c r="B1395"/>
      <c r="C1395"/>
      <c r="D1395"/>
      <c r="E1395"/>
      <c r="F1395"/>
      <c r="G1395"/>
      <c r="H1395"/>
      <c r="I1395"/>
    </row>
    <row r="1396" spans="2:9" x14ac:dyDescent="0.2">
      <c r="B1396"/>
      <c r="C1396"/>
      <c r="D1396"/>
      <c r="E1396"/>
      <c r="F1396"/>
      <c r="G1396"/>
      <c r="H1396"/>
      <c r="I1396"/>
    </row>
    <row r="1397" spans="2:9" x14ac:dyDescent="0.2">
      <c r="B1397"/>
      <c r="C1397"/>
      <c r="D1397"/>
      <c r="E1397"/>
      <c r="F1397"/>
      <c r="G1397"/>
      <c r="H1397"/>
      <c r="I1397"/>
    </row>
    <row r="1398" spans="2:9" x14ac:dyDescent="0.2">
      <c r="B1398"/>
      <c r="C1398"/>
      <c r="D1398"/>
      <c r="E1398"/>
      <c r="F1398"/>
      <c r="G1398"/>
      <c r="H1398"/>
      <c r="I1398"/>
    </row>
    <row r="1399" spans="2:9" x14ac:dyDescent="0.2">
      <c r="B1399"/>
      <c r="C1399"/>
      <c r="D1399"/>
      <c r="E1399"/>
      <c r="F1399"/>
      <c r="G1399"/>
      <c r="H1399"/>
      <c r="I1399"/>
    </row>
    <row r="1400" spans="2:9" x14ac:dyDescent="0.2">
      <c r="B1400"/>
      <c r="C1400"/>
      <c r="D1400"/>
      <c r="E1400"/>
      <c r="F1400"/>
      <c r="G1400"/>
      <c r="H1400"/>
      <c r="I1400"/>
    </row>
    <row r="1401" spans="2:9" x14ac:dyDescent="0.2">
      <c r="B1401"/>
      <c r="C1401"/>
      <c r="D1401"/>
      <c r="E1401"/>
      <c r="F1401"/>
      <c r="G1401"/>
      <c r="H1401"/>
      <c r="I1401"/>
    </row>
    <row r="1402" spans="2:9" x14ac:dyDescent="0.2">
      <c r="B1402"/>
      <c r="C1402"/>
      <c r="D1402"/>
      <c r="E1402"/>
      <c r="F1402"/>
      <c r="G1402"/>
      <c r="H1402"/>
      <c r="I1402"/>
    </row>
    <row r="1403" spans="2:9" x14ac:dyDescent="0.2">
      <c r="B1403"/>
      <c r="C1403"/>
      <c r="D1403"/>
      <c r="E1403"/>
      <c r="F1403"/>
      <c r="G1403"/>
      <c r="H1403"/>
      <c r="I1403"/>
    </row>
    <row r="1404" spans="2:9" x14ac:dyDescent="0.2">
      <c r="B1404"/>
      <c r="C1404"/>
      <c r="D1404"/>
      <c r="E1404"/>
      <c r="F1404"/>
      <c r="G1404"/>
      <c r="H1404"/>
      <c r="I1404"/>
    </row>
    <row r="1405" spans="2:9" x14ac:dyDescent="0.2">
      <c r="B1405"/>
      <c r="C1405"/>
      <c r="D1405"/>
      <c r="E1405"/>
      <c r="F1405"/>
      <c r="G1405"/>
      <c r="H1405"/>
      <c r="I1405"/>
    </row>
    <row r="1406" spans="2:9" x14ac:dyDescent="0.2">
      <c r="B1406"/>
      <c r="C1406"/>
      <c r="D1406"/>
      <c r="E1406"/>
      <c r="F1406"/>
      <c r="G1406"/>
      <c r="H1406"/>
      <c r="I1406"/>
    </row>
    <row r="1407" spans="2:9" x14ac:dyDescent="0.2">
      <c r="B1407"/>
      <c r="C1407"/>
      <c r="D1407"/>
      <c r="E1407"/>
      <c r="F1407"/>
      <c r="G1407"/>
      <c r="H1407"/>
      <c r="I1407"/>
    </row>
    <row r="1408" spans="2:9" x14ac:dyDescent="0.2">
      <c r="B1408"/>
      <c r="C1408"/>
      <c r="D1408"/>
      <c r="E1408"/>
      <c r="F1408"/>
      <c r="G1408"/>
      <c r="H1408"/>
      <c r="I1408"/>
    </row>
    <row r="1409" spans="2:9" x14ac:dyDescent="0.2">
      <c r="B1409"/>
      <c r="C1409"/>
      <c r="D1409"/>
      <c r="E1409"/>
      <c r="F1409"/>
      <c r="G1409"/>
      <c r="H1409"/>
      <c r="I1409"/>
    </row>
    <row r="1410" spans="2:9" x14ac:dyDescent="0.2">
      <c r="B1410"/>
      <c r="C1410"/>
      <c r="D1410"/>
      <c r="E1410"/>
      <c r="F1410"/>
      <c r="G1410"/>
      <c r="H1410"/>
      <c r="I1410"/>
    </row>
    <row r="1411" spans="2:9" x14ac:dyDescent="0.2">
      <c r="B1411"/>
      <c r="C1411"/>
      <c r="D1411"/>
      <c r="E1411"/>
      <c r="F1411"/>
      <c r="G1411"/>
      <c r="H1411"/>
      <c r="I1411"/>
    </row>
    <row r="1412" spans="2:9" x14ac:dyDescent="0.2">
      <c r="B1412"/>
      <c r="C1412"/>
      <c r="D1412"/>
      <c r="E1412"/>
      <c r="F1412"/>
      <c r="G1412"/>
      <c r="H1412"/>
      <c r="I1412"/>
    </row>
    <row r="1413" spans="2:9" x14ac:dyDescent="0.2">
      <c r="B1413"/>
      <c r="C1413"/>
      <c r="D1413"/>
      <c r="E1413"/>
      <c r="F1413"/>
      <c r="G1413"/>
      <c r="H1413"/>
      <c r="I1413"/>
    </row>
    <row r="1414" spans="2:9" x14ac:dyDescent="0.2">
      <c r="B1414"/>
      <c r="C1414"/>
      <c r="D1414"/>
      <c r="E1414"/>
      <c r="F1414"/>
      <c r="G1414"/>
      <c r="H1414"/>
      <c r="I1414"/>
    </row>
    <row r="1415" spans="2:9" x14ac:dyDescent="0.2">
      <c r="B1415"/>
      <c r="C1415"/>
      <c r="D1415"/>
      <c r="E1415"/>
      <c r="F1415"/>
      <c r="G1415"/>
      <c r="H1415"/>
      <c r="I1415"/>
    </row>
    <row r="1416" spans="2:9" x14ac:dyDescent="0.2">
      <c r="B1416"/>
      <c r="C1416"/>
      <c r="D1416"/>
      <c r="E1416"/>
      <c r="F1416"/>
      <c r="G1416"/>
      <c r="H1416"/>
      <c r="I1416"/>
    </row>
    <row r="1417" spans="2:9" x14ac:dyDescent="0.2">
      <c r="B1417"/>
      <c r="C1417"/>
      <c r="D1417"/>
      <c r="E1417"/>
      <c r="F1417"/>
      <c r="G1417"/>
      <c r="H1417"/>
      <c r="I1417"/>
    </row>
    <row r="1418" spans="2:9" x14ac:dyDescent="0.2">
      <c r="B1418"/>
      <c r="C1418"/>
      <c r="D1418"/>
      <c r="E1418"/>
      <c r="F1418"/>
      <c r="G1418"/>
      <c r="H1418"/>
      <c r="I1418"/>
    </row>
    <row r="1419" spans="2:9" x14ac:dyDescent="0.2">
      <c r="B1419"/>
      <c r="C1419"/>
      <c r="D1419"/>
      <c r="E1419"/>
      <c r="F1419"/>
      <c r="G1419"/>
      <c r="H1419"/>
      <c r="I1419"/>
    </row>
    <row r="1420" spans="2:9" x14ac:dyDescent="0.2">
      <c r="B1420"/>
      <c r="C1420"/>
      <c r="D1420"/>
      <c r="E1420"/>
      <c r="F1420"/>
      <c r="G1420"/>
      <c r="H1420"/>
      <c r="I1420"/>
    </row>
    <row r="1421" spans="2:9" x14ac:dyDescent="0.2">
      <c r="B1421"/>
      <c r="C1421"/>
      <c r="D1421"/>
      <c r="E1421"/>
      <c r="F1421"/>
      <c r="G1421"/>
      <c r="H1421"/>
      <c r="I1421"/>
    </row>
    <row r="1422" spans="2:9" x14ac:dyDescent="0.2">
      <c r="B1422"/>
      <c r="C1422"/>
      <c r="D1422"/>
      <c r="E1422"/>
      <c r="F1422"/>
      <c r="G1422"/>
      <c r="H1422"/>
      <c r="I1422"/>
    </row>
    <row r="1423" spans="2:9" x14ac:dyDescent="0.2">
      <c r="B1423"/>
      <c r="C1423"/>
      <c r="D1423"/>
      <c r="E1423"/>
      <c r="F1423"/>
      <c r="G1423"/>
      <c r="H1423"/>
      <c r="I1423"/>
    </row>
    <row r="1424" spans="2:9" x14ac:dyDescent="0.2">
      <c r="B1424"/>
      <c r="C1424"/>
      <c r="D1424"/>
      <c r="E1424"/>
      <c r="F1424"/>
      <c r="G1424"/>
      <c r="H1424"/>
      <c r="I1424"/>
    </row>
    <row r="1425" spans="2:9" x14ac:dyDescent="0.2">
      <c r="B1425"/>
      <c r="C1425"/>
      <c r="D1425"/>
      <c r="E1425"/>
      <c r="F1425"/>
      <c r="G1425"/>
      <c r="H1425"/>
      <c r="I1425"/>
    </row>
    <row r="1426" spans="2:9" x14ac:dyDescent="0.2">
      <c r="B1426"/>
      <c r="C1426"/>
      <c r="D1426"/>
      <c r="E1426"/>
      <c r="F1426"/>
      <c r="G1426"/>
      <c r="H1426"/>
      <c r="I1426"/>
    </row>
    <row r="1427" spans="2:9" x14ac:dyDescent="0.2">
      <c r="B1427"/>
      <c r="C1427"/>
      <c r="D1427"/>
      <c r="E1427"/>
      <c r="F1427"/>
      <c r="G1427"/>
      <c r="H1427"/>
      <c r="I1427"/>
    </row>
    <row r="1428" spans="2:9" x14ac:dyDescent="0.2">
      <c r="B1428"/>
      <c r="C1428"/>
      <c r="D1428"/>
      <c r="E1428"/>
      <c r="F1428"/>
      <c r="G1428"/>
      <c r="H1428"/>
      <c r="I1428"/>
    </row>
    <row r="1429" spans="2:9" x14ac:dyDescent="0.2">
      <c r="B1429"/>
      <c r="C1429"/>
      <c r="D1429"/>
      <c r="E1429"/>
      <c r="F1429"/>
      <c r="G1429"/>
      <c r="H1429"/>
      <c r="I1429"/>
    </row>
    <row r="1430" spans="2:9" x14ac:dyDescent="0.2">
      <c r="B1430"/>
      <c r="C1430"/>
      <c r="D1430"/>
      <c r="E1430"/>
      <c r="F1430"/>
      <c r="G1430"/>
      <c r="H1430"/>
      <c r="I1430"/>
    </row>
    <row r="1431" spans="2:9" x14ac:dyDescent="0.2">
      <c r="B1431"/>
      <c r="C1431"/>
      <c r="D1431"/>
      <c r="E1431"/>
      <c r="F1431"/>
      <c r="G1431"/>
      <c r="H1431"/>
      <c r="I1431"/>
    </row>
    <row r="1432" spans="2:9" x14ac:dyDescent="0.2">
      <c r="B1432"/>
      <c r="C1432"/>
      <c r="D1432"/>
      <c r="E1432"/>
      <c r="F1432"/>
      <c r="G1432"/>
      <c r="H1432"/>
      <c r="I1432"/>
    </row>
    <row r="1433" spans="2:9" x14ac:dyDescent="0.2">
      <c r="B1433"/>
      <c r="C1433"/>
      <c r="D1433"/>
      <c r="E1433"/>
      <c r="F1433"/>
      <c r="G1433"/>
      <c r="H1433"/>
      <c r="I1433"/>
    </row>
    <row r="1434" spans="2:9" x14ac:dyDescent="0.2">
      <c r="B1434"/>
      <c r="C1434"/>
      <c r="D1434"/>
      <c r="E1434"/>
      <c r="F1434"/>
      <c r="G1434"/>
      <c r="H1434"/>
      <c r="I1434"/>
    </row>
    <row r="1435" spans="2:9" x14ac:dyDescent="0.2">
      <c r="B1435"/>
      <c r="C1435"/>
      <c r="D1435"/>
      <c r="E1435"/>
      <c r="F1435"/>
      <c r="G1435"/>
      <c r="H1435"/>
      <c r="I1435"/>
    </row>
    <row r="1436" spans="2:9" x14ac:dyDescent="0.2">
      <c r="B1436"/>
      <c r="C1436"/>
      <c r="D1436"/>
      <c r="E1436"/>
      <c r="F1436"/>
      <c r="G1436"/>
      <c r="H1436"/>
      <c r="I1436"/>
    </row>
    <row r="1437" spans="2:9" x14ac:dyDescent="0.2">
      <c r="B1437"/>
      <c r="C1437"/>
      <c r="D1437"/>
      <c r="E1437"/>
      <c r="F1437"/>
      <c r="G1437"/>
      <c r="H1437"/>
      <c r="I1437"/>
    </row>
    <row r="1438" spans="2:9" x14ac:dyDescent="0.2">
      <c r="B1438"/>
      <c r="C1438"/>
      <c r="D1438"/>
      <c r="E1438"/>
      <c r="F1438"/>
      <c r="G1438"/>
      <c r="H1438"/>
      <c r="I1438"/>
    </row>
    <row r="1439" spans="2:9" x14ac:dyDescent="0.2">
      <c r="B1439"/>
      <c r="C1439"/>
      <c r="D1439"/>
      <c r="E1439"/>
      <c r="F1439"/>
      <c r="G1439"/>
      <c r="H1439"/>
      <c r="I1439"/>
    </row>
    <row r="1440" spans="2:9" x14ac:dyDescent="0.2">
      <c r="B1440"/>
      <c r="C1440"/>
      <c r="D1440"/>
      <c r="E1440"/>
      <c r="F1440"/>
      <c r="G1440"/>
      <c r="H1440"/>
      <c r="I1440"/>
    </row>
    <row r="1441" spans="2:9" x14ac:dyDescent="0.2">
      <c r="B1441"/>
      <c r="C1441"/>
      <c r="D1441"/>
      <c r="E1441"/>
      <c r="F1441"/>
      <c r="G1441"/>
      <c r="H1441"/>
      <c r="I1441"/>
    </row>
    <row r="1442" spans="2:9" x14ac:dyDescent="0.2">
      <c r="B1442"/>
      <c r="C1442"/>
      <c r="D1442"/>
      <c r="E1442"/>
      <c r="F1442"/>
      <c r="G1442"/>
      <c r="H1442"/>
      <c r="I1442"/>
    </row>
    <row r="1443" spans="2:9" x14ac:dyDescent="0.2">
      <c r="B1443"/>
      <c r="C1443"/>
      <c r="D1443"/>
      <c r="E1443"/>
      <c r="F1443"/>
      <c r="G1443"/>
      <c r="H1443"/>
      <c r="I1443"/>
    </row>
    <row r="1444" spans="2:9" x14ac:dyDescent="0.2">
      <c r="B1444"/>
      <c r="C1444"/>
      <c r="D1444"/>
      <c r="E1444"/>
      <c r="F1444"/>
      <c r="G1444"/>
      <c r="H1444"/>
      <c r="I1444"/>
    </row>
    <row r="1445" spans="2:9" x14ac:dyDescent="0.2">
      <c r="B1445"/>
      <c r="C1445"/>
      <c r="D1445"/>
      <c r="E1445"/>
      <c r="F1445"/>
      <c r="G1445"/>
      <c r="H1445"/>
      <c r="I1445"/>
    </row>
    <row r="1446" spans="2:9" x14ac:dyDescent="0.2">
      <c r="B1446"/>
      <c r="C1446"/>
      <c r="D1446"/>
      <c r="E1446"/>
      <c r="F1446"/>
      <c r="G1446"/>
      <c r="H1446"/>
      <c r="I1446"/>
    </row>
    <row r="1447" spans="2:9" x14ac:dyDescent="0.2">
      <c r="B1447"/>
      <c r="C1447"/>
      <c r="D1447"/>
      <c r="E1447"/>
      <c r="F1447"/>
      <c r="G1447"/>
      <c r="H1447"/>
      <c r="I1447"/>
    </row>
    <row r="1448" spans="2:9" x14ac:dyDescent="0.2">
      <c r="B1448"/>
      <c r="C1448"/>
      <c r="D1448"/>
      <c r="E1448"/>
      <c r="F1448"/>
      <c r="G1448"/>
      <c r="H1448"/>
      <c r="I1448"/>
    </row>
    <row r="1449" spans="2:9" x14ac:dyDescent="0.2">
      <c r="B1449"/>
      <c r="C1449"/>
      <c r="D1449"/>
      <c r="E1449"/>
      <c r="F1449"/>
      <c r="G1449"/>
      <c r="H1449"/>
      <c r="I1449"/>
    </row>
    <row r="1450" spans="2:9" x14ac:dyDescent="0.2">
      <c r="B1450"/>
      <c r="C1450"/>
      <c r="D1450"/>
      <c r="E1450"/>
      <c r="F1450"/>
      <c r="G1450"/>
      <c r="H1450"/>
      <c r="I1450"/>
    </row>
    <row r="1451" spans="2:9" x14ac:dyDescent="0.2">
      <c r="B1451"/>
      <c r="C1451"/>
      <c r="D1451"/>
      <c r="E1451"/>
      <c r="F1451"/>
      <c r="G1451"/>
      <c r="H1451"/>
      <c r="I1451"/>
    </row>
    <row r="1452" spans="2:9" x14ac:dyDescent="0.2">
      <c r="B1452"/>
      <c r="C1452"/>
      <c r="D1452"/>
      <c r="E1452"/>
      <c r="F1452"/>
      <c r="G1452"/>
      <c r="H1452"/>
      <c r="I1452"/>
    </row>
    <row r="1453" spans="2:9" x14ac:dyDescent="0.2">
      <c r="B1453"/>
      <c r="C1453"/>
      <c r="D1453"/>
      <c r="E1453"/>
      <c r="F1453"/>
      <c r="G1453"/>
      <c r="H1453"/>
      <c r="I1453"/>
    </row>
    <row r="1454" spans="2:9" x14ac:dyDescent="0.2">
      <c r="B1454"/>
      <c r="C1454"/>
      <c r="D1454"/>
      <c r="E1454"/>
      <c r="F1454"/>
      <c r="G1454"/>
      <c r="H1454"/>
      <c r="I1454"/>
    </row>
    <row r="1455" spans="2:9" x14ac:dyDescent="0.2">
      <c r="B1455"/>
      <c r="C1455"/>
      <c r="D1455"/>
      <c r="E1455"/>
      <c r="F1455"/>
      <c r="G1455"/>
      <c r="H1455"/>
      <c r="I1455"/>
    </row>
    <row r="1456" spans="2:9" x14ac:dyDescent="0.2">
      <c r="B1456"/>
      <c r="C1456"/>
      <c r="D1456"/>
      <c r="E1456"/>
      <c r="F1456"/>
      <c r="G1456"/>
      <c r="H1456"/>
      <c r="I1456"/>
    </row>
    <row r="1457" spans="2:9" x14ac:dyDescent="0.2">
      <c r="B1457"/>
      <c r="C1457"/>
      <c r="D1457"/>
      <c r="E1457"/>
      <c r="F1457"/>
      <c r="G1457"/>
      <c r="H1457"/>
      <c r="I1457"/>
    </row>
    <row r="1458" spans="2:9" x14ac:dyDescent="0.2">
      <c r="B1458"/>
      <c r="C1458"/>
      <c r="D1458"/>
      <c r="E1458"/>
      <c r="F1458"/>
      <c r="G1458"/>
      <c r="H1458"/>
      <c r="I1458"/>
    </row>
    <row r="1459" spans="2:9" x14ac:dyDescent="0.2">
      <c r="B1459"/>
      <c r="C1459"/>
      <c r="D1459"/>
      <c r="E1459"/>
      <c r="F1459"/>
      <c r="G1459"/>
      <c r="H1459"/>
      <c r="I1459"/>
    </row>
    <row r="1460" spans="2:9" x14ac:dyDescent="0.2">
      <c r="B1460"/>
      <c r="C1460"/>
      <c r="D1460"/>
      <c r="E1460"/>
      <c r="F1460"/>
      <c r="G1460"/>
      <c r="H1460"/>
      <c r="I1460"/>
    </row>
    <row r="1461" spans="2:9" x14ac:dyDescent="0.2">
      <c r="B1461"/>
      <c r="C1461"/>
      <c r="D1461"/>
      <c r="E1461"/>
      <c r="F1461"/>
      <c r="G1461"/>
      <c r="H1461"/>
      <c r="I1461"/>
    </row>
    <row r="1462" spans="2:9" x14ac:dyDescent="0.2">
      <c r="B1462"/>
      <c r="C1462"/>
      <c r="D1462"/>
      <c r="E1462"/>
      <c r="F1462"/>
      <c r="G1462"/>
      <c r="H1462"/>
      <c r="I1462"/>
    </row>
    <row r="1463" spans="2:9" x14ac:dyDescent="0.2">
      <c r="B1463"/>
      <c r="C1463"/>
      <c r="D1463"/>
      <c r="E1463"/>
      <c r="F1463"/>
      <c r="G1463"/>
      <c r="H1463"/>
      <c r="I1463"/>
    </row>
    <row r="1464" spans="2:9" x14ac:dyDescent="0.2">
      <c r="B1464"/>
      <c r="C1464"/>
      <c r="D1464"/>
      <c r="E1464"/>
      <c r="F1464"/>
      <c r="G1464"/>
      <c r="H1464"/>
      <c r="I1464"/>
    </row>
    <row r="1465" spans="2:9" x14ac:dyDescent="0.2">
      <c r="B1465"/>
      <c r="C1465"/>
      <c r="D1465"/>
      <c r="E1465"/>
      <c r="F1465"/>
      <c r="G1465"/>
      <c r="H1465"/>
      <c r="I1465"/>
    </row>
    <row r="1466" spans="2:9" x14ac:dyDescent="0.2">
      <c r="B1466"/>
      <c r="C1466"/>
      <c r="D1466"/>
      <c r="E1466"/>
      <c r="F1466"/>
      <c r="G1466"/>
      <c r="H1466"/>
      <c r="I1466"/>
    </row>
    <row r="1467" spans="2:9" x14ac:dyDescent="0.2">
      <c r="B1467"/>
      <c r="C1467"/>
      <c r="D1467"/>
      <c r="E1467"/>
      <c r="F1467"/>
      <c r="G1467"/>
      <c r="H1467"/>
      <c r="I1467"/>
    </row>
    <row r="1468" spans="2:9" x14ac:dyDescent="0.2">
      <c r="B1468"/>
      <c r="C1468"/>
      <c r="D1468"/>
      <c r="E1468"/>
      <c r="F1468"/>
      <c r="G1468"/>
      <c r="H1468"/>
      <c r="I1468"/>
    </row>
    <row r="1469" spans="2:9" x14ac:dyDescent="0.2">
      <c r="B1469"/>
      <c r="C1469"/>
      <c r="D1469"/>
      <c r="E1469"/>
      <c r="F1469"/>
      <c r="G1469"/>
      <c r="H1469"/>
      <c r="I1469"/>
    </row>
    <row r="1470" spans="2:9" x14ac:dyDescent="0.2">
      <c r="B1470"/>
      <c r="C1470"/>
      <c r="D1470"/>
      <c r="E1470"/>
      <c r="F1470"/>
      <c r="G1470"/>
      <c r="H1470"/>
      <c r="I1470"/>
    </row>
    <row r="1471" spans="2:9" x14ac:dyDescent="0.2">
      <c r="B1471"/>
      <c r="C1471"/>
      <c r="D1471"/>
      <c r="E1471"/>
      <c r="F1471"/>
      <c r="G1471"/>
      <c r="H1471"/>
      <c r="I1471"/>
    </row>
    <row r="1472" spans="2:9" x14ac:dyDescent="0.2">
      <c r="B1472"/>
      <c r="C1472"/>
      <c r="D1472"/>
      <c r="E1472"/>
      <c r="F1472"/>
      <c r="G1472"/>
      <c r="H1472"/>
      <c r="I1472"/>
    </row>
    <row r="1473" spans="2:9" x14ac:dyDescent="0.2">
      <c r="B1473"/>
      <c r="C1473"/>
      <c r="D1473"/>
      <c r="E1473"/>
      <c r="F1473"/>
      <c r="G1473"/>
      <c r="H1473"/>
      <c r="I1473"/>
    </row>
    <row r="1474" spans="2:9" x14ac:dyDescent="0.2">
      <c r="B1474"/>
      <c r="C1474"/>
      <c r="D1474"/>
      <c r="E1474"/>
      <c r="F1474"/>
      <c r="G1474"/>
      <c r="H1474"/>
      <c r="I1474"/>
    </row>
    <row r="1475" spans="2:9" x14ac:dyDescent="0.2">
      <c r="B1475"/>
      <c r="C1475"/>
      <c r="D1475"/>
      <c r="E1475"/>
      <c r="F1475"/>
      <c r="G1475"/>
      <c r="H1475"/>
      <c r="I1475"/>
    </row>
    <row r="1476" spans="2:9" x14ac:dyDescent="0.2">
      <c r="B1476"/>
      <c r="C1476"/>
      <c r="D1476"/>
      <c r="E1476"/>
      <c r="F1476"/>
      <c r="G1476"/>
      <c r="H1476"/>
      <c r="I1476"/>
    </row>
    <row r="1477" spans="2:9" x14ac:dyDescent="0.2">
      <c r="B1477"/>
      <c r="C1477"/>
      <c r="D1477"/>
      <c r="E1477"/>
      <c r="F1477"/>
      <c r="G1477"/>
      <c r="H1477"/>
      <c r="I1477"/>
    </row>
    <row r="1478" spans="2:9" x14ac:dyDescent="0.2">
      <c r="B1478"/>
      <c r="C1478"/>
      <c r="D1478"/>
      <c r="E1478"/>
      <c r="F1478"/>
      <c r="G1478"/>
      <c r="H1478"/>
      <c r="I1478"/>
    </row>
    <row r="1479" spans="2:9" x14ac:dyDescent="0.2">
      <c r="B1479"/>
      <c r="C1479"/>
      <c r="D1479"/>
      <c r="E1479"/>
      <c r="F1479"/>
      <c r="G1479"/>
      <c r="H1479"/>
      <c r="I1479"/>
    </row>
    <row r="1480" spans="2:9" x14ac:dyDescent="0.2">
      <c r="B1480"/>
      <c r="C1480"/>
      <c r="D1480"/>
      <c r="E1480"/>
      <c r="F1480"/>
      <c r="G1480"/>
      <c r="H1480"/>
      <c r="I1480"/>
    </row>
    <row r="1481" spans="2:9" x14ac:dyDescent="0.2">
      <c r="B1481"/>
      <c r="C1481"/>
      <c r="D1481"/>
      <c r="E1481"/>
      <c r="F1481"/>
      <c r="G1481"/>
      <c r="H1481"/>
      <c r="I1481"/>
    </row>
    <row r="1482" spans="2:9" x14ac:dyDescent="0.2">
      <c r="B1482"/>
      <c r="C1482"/>
      <c r="D1482"/>
      <c r="E1482"/>
      <c r="F1482"/>
      <c r="G1482"/>
      <c r="H1482"/>
      <c r="I1482"/>
    </row>
    <row r="1483" spans="2:9" x14ac:dyDescent="0.2">
      <c r="B1483"/>
      <c r="C1483"/>
      <c r="D1483"/>
      <c r="E1483"/>
      <c r="F1483"/>
      <c r="G1483"/>
      <c r="H1483"/>
      <c r="I1483"/>
    </row>
    <row r="1484" spans="2:9" x14ac:dyDescent="0.2">
      <c r="B1484"/>
      <c r="C1484"/>
      <c r="D1484"/>
      <c r="E1484"/>
      <c r="F1484"/>
      <c r="G1484"/>
      <c r="H1484"/>
      <c r="I1484"/>
    </row>
    <row r="1485" spans="2:9" x14ac:dyDescent="0.2">
      <c r="B1485"/>
      <c r="C1485"/>
      <c r="D1485"/>
      <c r="E1485"/>
      <c r="F1485"/>
      <c r="G1485"/>
      <c r="H1485"/>
      <c r="I1485"/>
    </row>
    <row r="1486" spans="2:9" x14ac:dyDescent="0.2">
      <c r="B1486"/>
      <c r="C1486"/>
      <c r="D1486"/>
      <c r="E1486"/>
      <c r="F1486"/>
      <c r="G1486"/>
      <c r="H1486"/>
      <c r="I1486"/>
    </row>
    <row r="1487" spans="2:9" x14ac:dyDescent="0.2">
      <c r="B1487"/>
      <c r="C1487"/>
      <c r="D1487"/>
      <c r="E1487"/>
      <c r="F1487"/>
      <c r="G1487"/>
      <c r="H1487"/>
      <c r="I1487"/>
    </row>
    <row r="1488" spans="2:9" x14ac:dyDescent="0.2">
      <c r="B1488"/>
      <c r="C1488"/>
      <c r="D1488"/>
      <c r="E1488"/>
      <c r="F1488"/>
      <c r="G1488"/>
      <c r="H1488"/>
      <c r="I1488"/>
    </row>
    <row r="1489" spans="2:9" x14ac:dyDescent="0.2">
      <c r="B1489"/>
      <c r="C1489"/>
      <c r="D1489"/>
      <c r="E1489"/>
      <c r="F1489"/>
      <c r="G1489"/>
      <c r="H1489"/>
      <c r="I1489"/>
    </row>
    <row r="1490" spans="2:9" x14ac:dyDescent="0.2">
      <c r="B1490"/>
      <c r="C1490"/>
      <c r="D1490"/>
      <c r="E1490"/>
      <c r="F1490"/>
      <c r="G1490"/>
      <c r="H1490"/>
      <c r="I1490"/>
    </row>
    <row r="1491" spans="2:9" x14ac:dyDescent="0.2">
      <c r="B1491"/>
      <c r="C1491"/>
      <c r="D1491"/>
      <c r="E1491"/>
      <c r="F1491"/>
      <c r="G1491"/>
      <c r="H1491"/>
      <c r="I1491"/>
    </row>
    <row r="1492" spans="2:9" x14ac:dyDescent="0.2">
      <c r="B1492"/>
      <c r="C1492"/>
      <c r="D1492"/>
      <c r="E1492"/>
      <c r="F1492"/>
      <c r="G1492"/>
      <c r="H1492"/>
      <c r="I1492"/>
    </row>
    <row r="1493" spans="2:9" x14ac:dyDescent="0.2">
      <c r="B1493"/>
      <c r="C1493"/>
      <c r="D1493"/>
      <c r="E1493"/>
      <c r="F1493"/>
      <c r="G1493"/>
      <c r="H1493"/>
      <c r="I1493"/>
    </row>
    <row r="1494" spans="2:9" x14ac:dyDescent="0.2">
      <c r="B1494"/>
      <c r="C1494"/>
      <c r="D1494"/>
      <c r="E1494"/>
      <c r="F1494"/>
      <c r="G1494"/>
      <c r="H1494"/>
      <c r="I1494"/>
    </row>
    <row r="1495" spans="2:9" x14ac:dyDescent="0.2">
      <c r="B1495"/>
      <c r="C1495"/>
      <c r="D1495"/>
      <c r="E1495"/>
      <c r="F1495"/>
      <c r="G1495"/>
      <c r="H1495"/>
      <c r="I1495"/>
    </row>
    <row r="1496" spans="2:9" x14ac:dyDescent="0.2">
      <c r="B1496"/>
      <c r="C1496"/>
      <c r="D1496"/>
      <c r="E1496"/>
      <c r="F1496"/>
      <c r="G1496"/>
      <c r="H1496"/>
      <c r="I1496"/>
    </row>
    <row r="1497" spans="2:9" x14ac:dyDescent="0.2">
      <c r="B1497"/>
      <c r="C1497"/>
      <c r="D1497"/>
      <c r="E1497"/>
      <c r="F1497"/>
      <c r="G1497"/>
      <c r="H1497"/>
      <c r="I1497"/>
    </row>
    <row r="1498" spans="2:9" x14ac:dyDescent="0.2">
      <c r="B1498"/>
      <c r="C1498"/>
      <c r="D1498"/>
      <c r="E1498"/>
      <c r="F1498"/>
      <c r="G1498"/>
      <c r="H1498"/>
      <c r="I1498"/>
    </row>
    <row r="1499" spans="2:9" x14ac:dyDescent="0.2">
      <c r="B1499"/>
      <c r="C1499"/>
      <c r="D1499"/>
      <c r="E1499"/>
      <c r="F1499"/>
      <c r="G1499"/>
      <c r="H1499"/>
      <c r="I1499"/>
    </row>
    <row r="1500" spans="2:9" x14ac:dyDescent="0.2">
      <c r="B1500"/>
      <c r="C1500"/>
      <c r="D1500"/>
      <c r="E1500"/>
      <c r="F1500"/>
      <c r="G1500"/>
      <c r="H1500"/>
      <c r="I1500"/>
    </row>
    <row r="1501" spans="2:9" x14ac:dyDescent="0.2">
      <c r="B1501"/>
      <c r="C1501"/>
      <c r="D1501"/>
      <c r="E1501"/>
      <c r="F1501"/>
      <c r="G1501"/>
      <c r="H1501"/>
      <c r="I1501"/>
    </row>
    <row r="1502" spans="2:9" x14ac:dyDescent="0.2">
      <c r="B1502"/>
      <c r="C1502"/>
      <c r="D1502"/>
      <c r="E1502"/>
      <c r="F1502"/>
      <c r="G1502"/>
      <c r="H1502"/>
      <c r="I1502"/>
    </row>
    <row r="1503" spans="2:9" x14ac:dyDescent="0.2">
      <c r="B1503"/>
      <c r="C1503"/>
      <c r="D1503"/>
      <c r="E1503"/>
      <c r="F1503"/>
      <c r="G1503"/>
      <c r="H1503"/>
      <c r="I1503"/>
    </row>
    <row r="1504" spans="2:9" x14ac:dyDescent="0.2">
      <c r="B1504"/>
      <c r="C1504"/>
      <c r="D1504"/>
      <c r="E1504"/>
      <c r="F1504"/>
      <c r="G1504"/>
      <c r="H1504"/>
      <c r="I1504"/>
    </row>
    <row r="1505" spans="2:9" x14ac:dyDescent="0.2">
      <c r="B1505"/>
      <c r="C1505"/>
      <c r="D1505"/>
      <c r="E1505"/>
      <c r="F1505"/>
      <c r="G1505"/>
      <c r="H1505"/>
      <c r="I1505"/>
    </row>
    <row r="1506" spans="2:9" x14ac:dyDescent="0.2">
      <c r="B1506"/>
      <c r="C1506"/>
      <c r="D1506"/>
      <c r="E1506"/>
      <c r="F1506"/>
      <c r="G1506"/>
      <c r="H1506"/>
      <c r="I1506"/>
    </row>
    <row r="1507" spans="2:9" x14ac:dyDescent="0.2">
      <c r="B1507"/>
      <c r="C1507"/>
      <c r="D1507"/>
      <c r="E1507"/>
      <c r="F1507"/>
      <c r="G1507"/>
      <c r="H1507"/>
      <c r="I1507"/>
    </row>
    <row r="1508" spans="2:9" x14ac:dyDescent="0.2">
      <c r="B1508"/>
      <c r="C1508"/>
      <c r="D1508"/>
      <c r="E1508"/>
      <c r="F1508"/>
      <c r="G1508"/>
      <c r="H1508"/>
      <c r="I1508"/>
    </row>
    <row r="1509" spans="2:9" x14ac:dyDescent="0.2">
      <c r="B1509"/>
      <c r="C1509"/>
      <c r="D1509"/>
      <c r="E1509"/>
      <c r="F1509"/>
      <c r="G1509"/>
      <c r="H1509"/>
      <c r="I1509"/>
    </row>
    <row r="1510" spans="2:9" x14ac:dyDescent="0.2">
      <c r="B1510"/>
      <c r="C1510"/>
      <c r="D1510"/>
      <c r="E1510"/>
      <c r="F1510"/>
      <c r="G1510"/>
      <c r="H1510"/>
      <c r="I1510"/>
    </row>
    <row r="1511" spans="2:9" x14ac:dyDescent="0.2">
      <c r="B1511"/>
      <c r="C1511"/>
      <c r="D1511"/>
      <c r="E1511"/>
      <c r="F1511"/>
      <c r="G1511"/>
      <c r="H1511"/>
      <c r="I1511"/>
    </row>
    <row r="1512" spans="2:9" x14ac:dyDescent="0.2">
      <c r="B1512"/>
      <c r="C1512"/>
      <c r="D1512"/>
      <c r="E1512"/>
      <c r="F1512"/>
      <c r="G1512"/>
      <c r="H1512"/>
      <c r="I1512"/>
    </row>
    <row r="1513" spans="2:9" x14ac:dyDescent="0.2">
      <c r="B1513"/>
      <c r="C1513"/>
      <c r="D1513"/>
      <c r="E1513"/>
      <c r="F1513"/>
      <c r="G1513"/>
      <c r="H1513"/>
      <c r="I1513"/>
    </row>
    <row r="1514" spans="2:9" x14ac:dyDescent="0.2">
      <c r="B1514"/>
      <c r="C1514"/>
      <c r="D1514"/>
      <c r="E1514"/>
      <c r="F1514"/>
      <c r="G1514"/>
      <c r="H1514"/>
      <c r="I1514"/>
    </row>
    <row r="1515" spans="2:9" x14ac:dyDescent="0.2">
      <c r="B1515"/>
      <c r="C1515"/>
      <c r="D1515"/>
      <c r="E1515"/>
      <c r="F1515"/>
      <c r="G1515"/>
      <c r="H1515"/>
      <c r="I1515"/>
    </row>
    <row r="1516" spans="2:9" x14ac:dyDescent="0.2">
      <c r="B1516"/>
      <c r="C1516"/>
      <c r="D1516"/>
      <c r="E1516"/>
      <c r="F1516"/>
      <c r="G1516"/>
      <c r="H1516"/>
      <c r="I1516"/>
    </row>
    <row r="1517" spans="2:9" x14ac:dyDescent="0.2">
      <c r="B1517"/>
      <c r="C1517"/>
      <c r="D1517"/>
      <c r="E1517"/>
      <c r="F1517"/>
      <c r="G1517"/>
      <c r="H1517"/>
      <c r="I1517"/>
    </row>
    <row r="1518" spans="2:9" x14ac:dyDescent="0.2">
      <c r="B1518"/>
      <c r="C1518"/>
      <c r="D1518"/>
      <c r="E1518"/>
      <c r="F1518"/>
      <c r="G1518"/>
      <c r="H1518"/>
      <c r="I1518"/>
    </row>
    <row r="1519" spans="2:9" x14ac:dyDescent="0.2">
      <c r="B1519"/>
      <c r="C1519"/>
      <c r="D1519"/>
      <c r="E1519"/>
      <c r="F1519"/>
      <c r="G1519"/>
      <c r="H1519"/>
      <c r="I1519"/>
    </row>
    <row r="1520" spans="2:9" x14ac:dyDescent="0.2">
      <c r="B1520"/>
      <c r="C1520"/>
      <c r="D1520"/>
      <c r="E1520"/>
      <c r="F1520"/>
      <c r="G1520"/>
      <c r="H1520"/>
      <c r="I1520"/>
    </row>
    <row r="1521" spans="2:9" x14ac:dyDescent="0.2">
      <c r="B1521"/>
      <c r="C1521"/>
      <c r="D1521"/>
      <c r="E1521"/>
      <c r="F1521"/>
      <c r="G1521"/>
      <c r="H1521"/>
      <c r="I1521"/>
    </row>
    <row r="1522" spans="2:9" x14ac:dyDescent="0.2">
      <c r="B1522"/>
      <c r="C1522"/>
      <c r="D1522"/>
      <c r="E1522"/>
      <c r="F1522"/>
      <c r="G1522"/>
      <c r="H1522"/>
      <c r="I1522"/>
    </row>
    <row r="1523" spans="2:9" x14ac:dyDescent="0.2">
      <c r="B1523"/>
      <c r="C1523"/>
      <c r="D1523"/>
      <c r="E1523"/>
      <c r="F1523"/>
      <c r="G1523"/>
      <c r="H1523"/>
      <c r="I1523"/>
    </row>
    <row r="1524" spans="2:9" x14ac:dyDescent="0.2">
      <c r="B1524"/>
      <c r="C1524"/>
      <c r="D1524"/>
      <c r="E1524"/>
      <c r="F1524"/>
      <c r="G1524"/>
      <c r="H1524"/>
      <c r="I1524"/>
    </row>
    <row r="1525" spans="2:9" x14ac:dyDescent="0.2">
      <c r="B1525"/>
      <c r="C1525"/>
      <c r="D1525"/>
      <c r="E1525"/>
      <c r="F1525"/>
      <c r="G1525"/>
      <c r="H1525"/>
      <c r="I1525"/>
    </row>
    <row r="1526" spans="2:9" x14ac:dyDescent="0.2">
      <c r="B1526"/>
      <c r="C1526"/>
      <c r="D1526"/>
      <c r="E1526"/>
      <c r="F1526"/>
      <c r="G1526"/>
      <c r="H1526"/>
      <c r="I1526"/>
    </row>
    <row r="1527" spans="2:9" x14ac:dyDescent="0.2">
      <c r="B1527"/>
      <c r="C1527"/>
      <c r="D1527"/>
      <c r="E1527"/>
      <c r="F1527"/>
      <c r="G1527"/>
      <c r="H1527"/>
      <c r="I1527"/>
    </row>
    <row r="1528" spans="2:9" x14ac:dyDescent="0.2">
      <c r="B1528"/>
      <c r="C1528"/>
      <c r="D1528"/>
      <c r="E1528"/>
      <c r="F1528"/>
      <c r="G1528"/>
      <c r="H1528"/>
      <c r="I1528"/>
    </row>
    <row r="1529" spans="2:9" x14ac:dyDescent="0.2">
      <c r="B1529"/>
      <c r="C1529"/>
      <c r="D1529"/>
      <c r="E1529"/>
      <c r="F1529"/>
      <c r="G1529"/>
      <c r="H1529"/>
      <c r="I1529"/>
    </row>
    <row r="1530" spans="2:9" x14ac:dyDescent="0.2">
      <c r="B1530"/>
      <c r="C1530"/>
      <c r="D1530"/>
      <c r="E1530"/>
      <c r="F1530"/>
      <c r="G1530"/>
      <c r="H1530"/>
      <c r="I1530"/>
    </row>
    <row r="1531" spans="2:9" x14ac:dyDescent="0.2">
      <c r="B1531"/>
      <c r="C1531"/>
      <c r="D1531"/>
      <c r="E1531"/>
      <c r="F1531"/>
      <c r="G1531"/>
      <c r="H1531"/>
      <c r="I1531"/>
    </row>
    <row r="1532" spans="2:9" x14ac:dyDescent="0.2">
      <c r="B1532"/>
      <c r="C1532"/>
      <c r="D1532"/>
      <c r="E1532"/>
      <c r="F1532"/>
      <c r="G1532"/>
      <c r="H1532"/>
      <c r="I1532"/>
    </row>
    <row r="1533" spans="2:9" x14ac:dyDescent="0.2">
      <c r="B1533"/>
      <c r="C1533"/>
      <c r="D1533"/>
      <c r="E1533"/>
      <c r="F1533"/>
      <c r="G1533"/>
      <c r="H1533"/>
      <c r="I1533"/>
    </row>
    <row r="1534" spans="2:9" x14ac:dyDescent="0.2">
      <c r="B1534"/>
      <c r="C1534"/>
      <c r="D1534"/>
      <c r="E1534"/>
      <c r="F1534"/>
      <c r="G1534"/>
      <c r="H1534"/>
      <c r="I1534"/>
    </row>
    <row r="1535" spans="2:9" x14ac:dyDescent="0.2">
      <c r="B1535"/>
      <c r="C1535"/>
      <c r="D1535"/>
      <c r="E1535"/>
      <c r="F1535"/>
      <c r="G1535"/>
      <c r="H1535"/>
      <c r="I1535"/>
    </row>
    <row r="1536" spans="2:9" x14ac:dyDescent="0.2">
      <c r="B1536"/>
      <c r="C1536"/>
      <c r="D1536"/>
      <c r="E1536"/>
      <c r="F1536"/>
      <c r="G1536"/>
      <c r="H1536"/>
      <c r="I1536"/>
    </row>
    <row r="1537" spans="2:9" x14ac:dyDescent="0.2">
      <c r="B1537"/>
      <c r="C1537"/>
      <c r="D1537"/>
      <c r="E1537"/>
      <c r="F1537"/>
      <c r="G1537"/>
      <c r="H1537"/>
      <c r="I1537"/>
    </row>
    <row r="1538" spans="2:9" x14ac:dyDescent="0.2">
      <c r="B1538"/>
      <c r="C1538"/>
      <c r="D1538"/>
      <c r="E1538"/>
      <c r="F1538"/>
      <c r="G1538"/>
      <c r="H1538"/>
      <c r="I1538"/>
    </row>
    <row r="1539" spans="2:9" x14ac:dyDescent="0.2">
      <c r="B1539"/>
      <c r="C1539"/>
      <c r="D1539"/>
      <c r="E1539"/>
      <c r="F1539"/>
      <c r="G1539"/>
      <c r="H1539"/>
      <c r="I1539"/>
    </row>
    <row r="1540" spans="2:9" x14ac:dyDescent="0.2">
      <c r="B1540"/>
      <c r="C1540"/>
      <c r="D1540"/>
      <c r="E1540"/>
      <c r="F1540"/>
      <c r="G1540"/>
      <c r="H1540"/>
      <c r="I1540"/>
    </row>
    <row r="1541" spans="2:9" x14ac:dyDescent="0.2">
      <c r="B1541"/>
      <c r="C1541"/>
      <c r="D1541"/>
      <c r="E1541"/>
      <c r="F1541"/>
      <c r="G1541"/>
      <c r="H1541"/>
      <c r="I1541"/>
    </row>
    <row r="1542" spans="2:9" x14ac:dyDescent="0.2">
      <c r="B1542"/>
      <c r="C1542"/>
      <c r="D1542"/>
      <c r="E1542"/>
      <c r="F1542"/>
      <c r="G1542"/>
      <c r="H1542"/>
      <c r="I1542"/>
    </row>
    <row r="1543" spans="2:9" x14ac:dyDescent="0.2">
      <c r="B1543"/>
      <c r="C1543"/>
      <c r="D1543"/>
      <c r="E1543"/>
      <c r="F1543"/>
      <c r="G1543"/>
      <c r="H1543"/>
      <c r="I1543"/>
    </row>
    <row r="1544" spans="2:9" x14ac:dyDescent="0.2">
      <c r="B1544"/>
      <c r="C1544"/>
      <c r="D1544"/>
      <c r="E1544"/>
      <c r="F1544"/>
      <c r="G1544"/>
      <c r="H1544"/>
      <c r="I1544"/>
    </row>
    <row r="1545" spans="2:9" x14ac:dyDescent="0.2">
      <c r="B1545"/>
      <c r="C1545"/>
      <c r="D1545"/>
      <c r="E1545"/>
      <c r="F1545"/>
      <c r="G1545"/>
      <c r="H1545"/>
      <c r="I1545"/>
    </row>
    <row r="1546" spans="2:9" x14ac:dyDescent="0.2">
      <c r="B1546"/>
      <c r="C1546"/>
      <c r="D1546"/>
      <c r="E1546"/>
      <c r="F1546"/>
      <c r="G1546"/>
      <c r="H1546"/>
      <c r="I1546"/>
    </row>
    <row r="1547" spans="2:9" x14ac:dyDescent="0.2">
      <c r="B1547"/>
      <c r="C1547"/>
      <c r="D1547"/>
      <c r="E1547"/>
      <c r="F1547"/>
      <c r="G1547"/>
      <c r="H1547"/>
      <c r="I1547"/>
    </row>
    <row r="1548" spans="2:9" x14ac:dyDescent="0.2">
      <c r="B1548"/>
      <c r="C1548"/>
      <c r="D1548"/>
      <c r="E1548"/>
      <c r="F1548"/>
      <c r="G1548"/>
      <c r="H1548"/>
      <c r="I1548"/>
    </row>
    <row r="1549" spans="2:9" x14ac:dyDescent="0.2">
      <c r="B1549"/>
      <c r="C1549"/>
      <c r="D1549"/>
      <c r="E1549"/>
      <c r="F1549"/>
      <c r="G1549"/>
      <c r="H1549"/>
      <c r="I1549"/>
    </row>
    <row r="1550" spans="2:9" x14ac:dyDescent="0.2">
      <c r="B1550"/>
      <c r="C1550"/>
      <c r="D1550"/>
      <c r="E1550"/>
      <c r="F1550"/>
      <c r="G1550"/>
      <c r="H1550"/>
      <c r="I1550"/>
    </row>
    <row r="1551" spans="2:9" x14ac:dyDescent="0.2">
      <c r="B1551"/>
      <c r="C1551"/>
      <c r="D1551"/>
      <c r="E1551"/>
      <c r="F1551"/>
      <c r="G1551"/>
      <c r="H1551"/>
      <c r="I1551"/>
    </row>
    <row r="1552" spans="2:9" x14ac:dyDescent="0.2">
      <c r="B1552"/>
      <c r="C1552"/>
      <c r="D1552"/>
      <c r="E1552"/>
      <c r="F1552"/>
      <c r="G1552"/>
      <c r="H1552"/>
      <c r="I1552"/>
    </row>
    <row r="1553" spans="2:9" x14ac:dyDescent="0.2">
      <c r="B1553"/>
      <c r="C1553"/>
      <c r="D1553"/>
      <c r="E1553"/>
      <c r="F1553"/>
      <c r="G1553"/>
      <c r="H1553"/>
      <c r="I1553"/>
    </row>
    <row r="1554" spans="2:9" x14ac:dyDescent="0.2">
      <c r="B1554"/>
      <c r="C1554"/>
      <c r="D1554"/>
      <c r="E1554"/>
      <c r="F1554"/>
      <c r="G1554"/>
      <c r="H1554"/>
      <c r="I1554"/>
    </row>
    <row r="1555" spans="2:9" x14ac:dyDescent="0.2">
      <c r="B1555"/>
      <c r="C1555"/>
      <c r="D1555"/>
      <c r="E1555"/>
      <c r="F1555"/>
      <c r="G1555"/>
      <c r="H1555"/>
      <c r="I1555"/>
    </row>
    <row r="1556" spans="2:9" x14ac:dyDescent="0.2">
      <c r="B1556"/>
      <c r="C1556"/>
      <c r="D1556"/>
      <c r="E1556"/>
      <c r="F1556"/>
      <c r="G1556"/>
      <c r="H1556"/>
      <c r="I1556"/>
    </row>
    <row r="1557" spans="2:9" x14ac:dyDescent="0.2">
      <c r="B1557"/>
      <c r="C1557"/>
      <c r="D1557"/>
      <c r="E1557"/>
      <c r="F1557"/>
      <c r="G1557"/>
      <c r="H1557"/>
      <c r="I1557"/>
    </row>
    <row r="1558" spans="2:9" x14ac:dyDescent="0.2">
      <c r="B1558"/>
      <c r="C1558"/>
      <c r="D1558"/>
      <c r="E1558"/>
      <c r="F1558"/>
      <c r="G1558"/>
      <c r="H1558"/>
      <c r="I1558"/>
    </row>
    <row r="1559" spans="2:9" x14ac:dyDescent="0.2">
      <c r="B1559"/>
      <c r="C1559"/>
      <c r="D1559"/>
      <c r="E1559"/>
      <c r="F1559"/>
      <c r="G1559"/>
      <c r="H1559"/>
      <c r="I1559"/>
    </row>
    <row r="1560" spans="2:9" x14ac:dyDescent="0.2">
      <c r="B1560"/>
      <c r="C1560"/>
      <c r="D1560"/>
      <c r="E1560"/>
      <c r="F1560"/>
      <c r="G1560"/>
      <c r="H1560"/>
      <c r="I1560"/>
    </row>
    <row r="1561" spans="2:9" x14ac:dyDescent="0.2">
      <c r="B1561"/>
      <c r="C1561"/>
      <c r="D1561"/>
      <c r="E1561"/>
      <c r="F1561"/>
      <c r="G1561"/>
      <c r="H1561"/>
      <c r="I1561"/>
    </row>
    <row r="1562" spans="2:9" x14ac:dyDescent="0.2">
      <c r="B1562"/>
      <c r="C1562"/>
      <c r="D1562"/>
      <c r="E1562"/>
      <c r="F1562"/>
      <c r="G1562"/>
      <c r="H1562"/>
      <c r="I1562"/>
    </row>
    <row r="1563" spans="2:9" x14ac:dyDescent="0.2">
      <c r="B1563"/>
      <c r="C1563"/>
      <c r="D1563"/>
      <c r="E1563"/>
      <c r="F1563"/>
      <c r="G1563"/>
      <c r="H1563"/>
      <c r="I1563"/>
    </row>
    <row r="1564" spans="2:9" x14ac:dyDescent="0.2">
      <c r="B1564"/>
      <c r="C1564"/>
      <c r="D1564"/>
      <c r="E1564"/>
      <c r="F1564"/>
      <c r="G1564"/>
      <c r="H1564"/>
      <c r="I1564"/>
    </row>
    <row r="1565" spans="2:9" x14ac:dyDescent="0.2">
      <c r="B1565"/>
      <c r="C1565"/>
      <c r="D1565"/>
      <c r="E1565"/>
      <c r="F1565"/>
      <c r="G1565"/>
      <c r="H1565"/>
      <c r="I1565"/>
    </row>
    <row r="1566" spans="2:9" x14ac:dyDescent="0.2">
      <c r="B1566"/>
      <c r="C1566"/>
      <c r="D1566"/>
      <c r="E1566"/>
      <c r="F1566"/>
      <c r="G1566"/>
      <c r="H1566"/>
      <c r="I1566"/>
    </row>
    <row r="1567" spans="2:9" x14ac:dyDescent="0.2">
      <c r="B1567"/>
      <c r="C1567"/>
      <c r="D1567"/>
      <c r="E1567"/>
      <c r="F1567"/>
      <c r="G1567"/>
      <c r="H1567"/>
      <c r="I1567"/>
    </row>
    <row r="1568" spans="2:9" x14ac:dyDescent="0.2">
      <c r="B1568"/>
      <c r="C1568"/>
      <c r="D1568"/>
      <c r="E1568"/>
      <c r="F1568"/>
      <c r="G1568"/>
      <c r="H1568"/>
      <c r="I1568"/>
    </row>
    <row r="1569" spans="2:9" x14ac:dyDescent="0.2">
      <c r="B1569"/>
      <c r="C1569"/>
      <c r="D1569"/>
      <c r="E1569"/>
      <c r="F1569"/>
      <c r="G1569"/>
      <c r="H1569"/>
      <c r="I1569"/>
    </row>
    <row r="1570" spans="2:9" x14ac:dyDescent="0.2">
      <c r="B1570"/>
      <c r="C1570"/>
      <c r="D1570"/>
      <c r="E1570"/>
      <c r="F1570"/>
      <c r="G1570"/>
      <c r="H1570"/>
      <c r="I1570"/>
    </row>
    <row r="1571" spans="2:9" x14ac:dyDescent="0.2">
      <c r="B1571"/>
      <c r="C1571"/>
      <c r="D1571"/>
      <c r="E1571"/>
      <c r="F1571"/>
      <c r="G1571"/>
      <c r="H1571"/>
      <c r="I1571"/>
    </row>
    <row r="1572" spans="2:9" x14ac:dyDescent="0.2">
      <c r="B1572"/>
      <c r="C1572"/>
      <c r="D1572"/>
      <c r="E1572"/>
      <c r="F1572"/>
      <c r="G1572"/>
      <c r="H1572"/>
      <c r="I1572"/>
    </row>
    <row r="1573" spans="2:9" x14ac:dyDescent="0.2">
      <c r="B1573"/>
      <c r="C1573"/>
      <c r="D1573"/>
      <c r="E1573"/>
      <c r="F1573"/>
      <c r="G1573"/>
      <c r="H1573"/>
      <c r="I1573"/>
    </row>
    <row r="1574" spans="2:9" x14ac:dyDescent="0.2">
      <c r="B1574"/>
      <c r="C1574"/>
      <c r="D1574"/>
      <c r="E1574"/>
      <c r="F1574"/>
      <c r="G1574"/>
      <c r="H1574"/>
      <c r="I1574"/>
    </row>
    <row r="1575" spans="2:9" x14ac:dyDescent="0.2">
      <c r="B1575"/>
      <c r="C1575"/>
      <c r="D1575"/>
      <c r="E1575"/>
      <c r="F1575"/>
      <c r="G1575"/>
      <c r="H1575"/>
      <c r="I1575"/>
    </row>
    <row r="1576" spans="2:9" x14ac:dyDescent="0.2">
      <c r="B1576"/>
      <c r="C1576"/>
      <c r="D1576"/>
      <c r="E1576"/>
      <c r="F1576"/>
      <c r="G1576"/>
      <c r="H1576"/>
      <c r="I1576"/>
    </row>
    <row r="1577" spans="2:9" x14ac:dyDescent="0.2">
      <c r="B1577"/>
      <c r="C1577"/>
      <c r="D1577"/>
      <c r="E1577"/>
      <c r="F1577"/>
      <c r="G1577"/>
      <c r="H1577"/>
      <c r="I1577"/>
    </row>
    <row r="1578" spans="2:9" x14ac:dyDescent="0.2">
      <c r="B1578"/>
      <c r="C1578"/>
      <c r="D1578"/>
      <c r="E1578"/>
      <c r="F1578"/>
      <c r="G1578"/>
      <c r="H1578"/>
      <c r="I1578"/>
    </row>
    <row r="1579" spans="2:9" x14ac:dyDescent="0.2">
      <c r="B1579"/>
      <c r="C1579"/>
      <c r="D1579"/>
      <c r="E1579"/>
      <c r="F1579"/>
      <c r="G1579"/>
      <c r="H1579"/>
      <c r="I1579"/>
    </row>
    <row r="1580" spans="2:9" x14ac:dyDescent="0.2">
      <c r="B1580"/>
      <c r="C1580"/>
      <c r="D1580"/>
      <c r="E1580"/>
      <c r="F1580"/>
      <c r="G1580"/>
      <c r="H1580"/>
      <c r="I1580"/>
    </row>
    <row r="1581" spans="2:9" x14ac:dyDescent="0.2">
      <c r="B1581"/>
      <c r="C1581"/>
      <c r="D1581"/>
      <c r="E1581"/>
      <c r="F1581"/>
      <c r="G1581"/>
      <c r="H1581"/>
      <c r="I1581"/>
    </row>
    <row r="1582" spans="2:9" x14ac:dyDescent="0.2">
      <c r="B1582"/>
      <c r="C1582"/>
      <c r="D1582"/>
      <c r="E1582"/>
      <c r="F1582"/>
      <c r="G1582"/>
      <c r="H1582"/>
      <c r="I1582"/>
    </row>
    <row r="1583" spans="2:9" x14ac:dyDescent="0.2">
      <c r="B1583"/>
      <c r="C1583"/>
      <c r="D1583"/>
      <c r="E1583"/>
      <c r="F1583"/>
      <c r="G1583"/>
      <c r="H1583"/>
      <c r="I1583"/>
    </row>
    <row r="1584" spans="2:9" x14ac:dyDescent="0.2">
      <c r="B1584"/>
      <c r="C1584"/>
      <c r="D1584"/>
      <c r="E1584"/>
      <c r="F1584"/>
      <c r="G1584"/>
      <c r="H1584"/>
      <c r="I1584"/>
    </row>
    <row r="1585" spans="2:9" x14ac:dyDescent="0.2">
      <c r="B1585"/>
      <c r="C1585"/>
      <c r="D1585"/>
      <c r="E1585"/>
      <c r="F1585"/>
      <c r="G1585"/>
      <c r="H1585"/>
      <c r="I1585"/>
    </row>
    <row r="1586" spans="2:9" x14ac:dyDescent="0.2">
      <c r="B1586"/>
      <c r="C1586"/>
      <c r="D1586"/>
      <c r="E1586"/>
      <c r="F1586"/>
      <c r="G1586"/>
      <c r="H1586"/>
      <c r="I1586"/>
    </row>
    <row r="1587" spans="2:9" x14ac:dyDescent="0.2">
      <c r="B1587"/>
      <c r="C1587"/>
      <c r="D1587"/>
      <c r="E1587"/>
      <c r="F1587"/>
      <c r="G1587"/>
      <c r="H1587"/>
      <c r="I1587"/>
    </row>
    <row r="1588" spans="2:9" x14ac:dyDescent="0.2">
      <c r="B1588"/>
      <c r="C1588"/>
      <c r="D1588"/>
      <c r="E1588"/>
      <c r="F1588"/>
      <c r="G1588"/>
      <c r="H1588"/>
      <c r="I1588"/>
    </row>
    <row r="1589" spans="2:9" x14ac:dyDescent="0.2">
      <c r="B1589"/>
      <c r="C1589"/>
      <c r="D1589"/>
      <c r="E1589"/>
      <c r="F1589"/>
      <c r="G1589"/>
      <c r="H1589"/>
      <c r="I1589"/>
    </row>
    <row r="1590" spans="2:9" x14ac:dyDescent="0.2">
      <c r="B1590"/>
      <c r="C1590"/>
      <c r="D1590"/>
      <c r="E1590"/>
      <c r="F1590"/>
      <c r="G1590"/>
      <c r="H1590"/>
      <c r="I1590"/>
    </row>
    <row r="1591" spans="2:9" x14ac:dyDescent="0.2">
      <c r="B1591"/>
      <c r="C1591"/>
      <c r="D1591"/>
      <c r="E1591"/>
      <c r="F1591"/>
      <c r="G1591"/>
      <c r="H1591"/>
      <c r="I1591"/>
    </row>
    <row r="1592" spans="2:9" x14ac:dyDescent="0.2">
      <c r="B1592"/>
      <c r="C1592"/>
      <c r="D1592"/>
      <c r="E1592"/>
      <c r="F1592"/>
      <c r="G1592"/>
      <c r="H1592"/>
      <c r="I1592"/>
    </row>
    <row r="1593" spans="2:9" x14ac:dyDescent="0.2">
      <c r="B1593"/>
      <c r="C1593"/>
      <c r="D1593"/>
      <c r="E1593"/>
      <c r="F1593"/>
      <c r="G1593"/>
      <c r="H1593"/>
      <c r="I1593"/>
    </row>
    <row r="1594" spans="2:9" x14ac:dyDescent="0.2">
      <c r="B1594"/>
      <c r="C1594"/>
      <c r="D1594"/>
      <c r="E1594"/>
      <c r="F1594"/>
      <c r="G1594"/>
      <c r="H1594"/>
      <c r="I1594"/>
    </row>
    <row r="1595" spans="2:9" x14ac:dyDescent="0.2">
      <c r="B1595"/>
      <c r="C1595"/>
      <c r="D1595"/>
      <c r="E1595"/>
      <c r="F1595"/>
      <c r="G1595"/>
      <c r="H1595"/>
      <c r="I1595"/>
    </row>
    <row r="1596" spans="2:9" x14ac:dyDescent="0.2">
      <c r="B1596"/>
      <c r="C1596"/>
      <c r="D1596"/>
      <c r="E1596"/>
      <c r="F1596"/>
      <c r="G1596"/>
      <c r="H1596"/>
      <c r="I1596"/>
    </row>
    <row r="1597" spans="2:9" x14ac:dyDescent="0.2">
      <c r="B1597"/>
      <c r="C1597"/>
      <c r="D1597"/>
      <c r="E1597"/>
      <c r="F1597"/>
      <c r="G1597"/>
      <c r="H1597"/>
      <c r="I1597"/>
    </row>
    <row r="1598" spans="2:9" x14ac:dyDescent="0.2">
      <c r="B1598"/>
      <c r="C1598"/>
      <c r="D1598"/>
      <c r="E1598"/>
      <c r="F1598"/>
      <c r="G1598"/>
      <c r="H1598"/>
      <c r="I1598"/>
    </row>
    <row r="1599" spans="2:9" x14ac:dyDescent="0.2">
      <c r="B1599"/>
      <c r="C1599"/>
      <c r="D1599"/>
      <c r="E1599"/>
      <c r="F1599"/>
      <c r="G1599"/>
      <c r="H1599"/>
      <c r="I1599"/>
    </row>
    <row r="1600" spans="2:9" x14ac:dyDescent="0.2">
      <c r="B1600"/>
      <c r="C1600"/>
      <c r="D1600"/>
      <c r="E1600"/>
      <c r="F1600"/>
      <c r="G1600"/>
      <c r="H1600"/>
      <c r="I1600"/>
    </row>
    <row r="1601" spans="2:9" x14ac:dyDescent="0.2">
      <c r="B1601"/>
      <c r="C1601"/>
      <c r="D1601"/>
      <c r="E1601"/>
      <c r="F1601"/>
      <c r="G1601"/>
      <c r="H1601"/>
      <c r="I1601"/>
    </row>
    <row r="1602" spans="2:9" x14ac:dyDescent="0.2">
      <c r="B1602"/>
      <c r="C1602"/>
      <c r="D1602"/>
      <c r="E1602"/>
      <c r="F1602"/>
      <c r="G1602"/>
      <c r="H1602"/>
      <c r="I1602"/>
    </row>
    <row r="1603" spans="2:9" x14ac:dyDescent="0.2">
      <c r="B1603"/>
      <c r="C1603"/>
      <c r="D1603"/>
      <c r="E1603"/>
      <c r="F1603"/>
      <c r="G1603"/>
      <c r="H1603"/>
      <c r="I1603"/>
    </row>
    <row r="1604" spans="2:9" x14ac:dyDescent="0.2">
      <c r="B1604"/>
      <c r="C1604"/>
      <c r="D1604"/>
      <c r="E1604"/>
      <c r="F1604"/>
      <c r="G1604"/>
      <c r="H1604"/>
      <c r="I1604"/>
    </row>
    <row r="1605" spans="2:9" x14ac:dyDescent="0.2">
      <c r="B1605"/>
      <c r="C1605"/>
      <c r="D1605"/>
      <c r="E1605"/>
      <c r="F1605"/>
      <c r="G1605"/>
      <c r="H1605"/>
      <c r="I1605"/>
    </row>
    <row r="1606" spans="2:9" x14ac:dyDescent="0.2">
      <c r="B1606"/>
      <c r="C1606"/>
      <c r="D1606"/>
      <c r="E1606"/>
      <c r="F1606"/>
      <c r="G1606"/>
      <c r="H1606"/>
      <c r="I1606"/>
    </row>
    <row r="1607" spans="2:9" x14ac:dyDescent="0.2">
      <c r="B1607"/>
      <c r="C1607"/>
      <c r="D1607"/>
      <c r="E1607"/>
      <c r="F1607"/>
      <c r="G1607"/>
      <c r="H1607"/>
      <c r="I1607"/>
    </row>
    <row r="1608" spans="2:9" x14ac:dyDescent="0.2">
      <c r="B1608"/>
      <c r="C1608"/>
      <c r="D1608"/>
      <c r="E1608"/>
      <c r="F1608"/>
      <c r="G1608"/>
      <c r="H1608"/>
      <c r="I1608"/>
    </row>
    <row r="1609" spans="2:9" x14ac:dyDescent="0.2">
      <c r="B1609"/>
      <c r="C1609"/>
      <c r="D1609"/>
      <c r="E1609"/>
      <c r="F1609"/>
      <c r="G1609"/>
      <c r="H1609"/>
      <c r="I1609"/>
    </row>
    <row r="1610" spans="2:9" x14ac:dyDescent="0.2">
      <c r="B1610"/>
      <c r="C1610"/>
      <c r="D1610"/>
      <c r="E1610"/>
      <c r="F1610"/>
      <c r="G1610"/>
      <c r="H1610"/>
      <c r="I1610"/>
    </row>
    <row r="1611" spans="2:9" x14ac:dyDescent="0.2">
      <c r="B1611"/>
      <c r="C1611"/>
      <c r="D1611"/>
      <c r="E1611"/>
      <c r="F1611"/>
      <c r="G1611"/>
      <c r="H1611"/>
      <c r="I1611"/>
    </row>
    <row r="1612" spans="2:9" x14ac:dyDescent="0.2">
      <c r="B1612"/>
      <c r="C1612"/>
      <c r="D1612"/>
      <c r="E1612"/>
      <c r="F1612"/>
      <c r="G1612"/>
      <c r="H1612"/>
      <c r="I1612"/>
    </row>
    <row r="1613" spans="2:9" x14ac:dyDescent="0.2">
      <c r="B1613"/>
      <c r="C1613"/>
      <c r="D1613"/>
      <c r="E1613"/>
      <c r="F1613"/>
      <c r="G1613"/>
      <c r="H1613"/>
      <c r="I1613"/>
    </row>
    <row r="1614" spans="2:9" x14ac:dyDescent="0.2">
      <c r="B1614"/>
      <c r="C1614"/>
      <c r="D1614"/>
      <c r="E1614"/>
      <c r="F1614"/>
      <c r="G1614"/>
      <c r="H1614"/>
      <c r="I1614"/>
    </row>
    <row r="1615" spans="2:9" x14ac:dyDescent="0.2">
      <c r="B1615"/>
      <c r="C1615"/>
      <c r="D1615"/>
      <c r="E1615"/>
      <c r="F1615"/>
      <c r="G1615"/>
      <c r="H1615"/>
      <c r="I1615"/>
    </row>
    <row r="1616" spans="2:9" x14ac:dyDescent="0.2">
      <c r="B1616"/>
      <c r="C1616"/>
      <c r="D1616"/>
      <c r="E1616"/>
      <c r="F1616"/>
      <c r="G1616"/>
      <c r="H1616"/>
      <c r="I1616"/>
    </row>
    <row r="1617" spans="2:9" x14ac:dyDescent="0.2">
      <c r="B1617"/>
      <c r="C1617"/>
      <c r="D1617"/>
      <c r="E1617"/>
      <c r="F1617"/>
      <c r="G1617"/>
      <c r="H1617"/>
      <c r="I1617"/>
    </row>
    <row r="1618" spans="2:9" x14ac:dyDescent="0.2">
      <c r="B1618"/>
      <c r="C1618"/>
      <c r="D1618"/>
      <c r="E1618"/>
      <c r="F1618"/>
      <c r="G1618"/>
      <c r="H1618"/>
      <c r="I1618"/>
    </row>
    <row r="1619" spans="2:9" x14ac:dyDescent="0.2">
      <c r="B1619"/>
      <c r="C1619"/>
      <c r="D1619"/>
      <c r="E1619"/>
      <c r="F1619"/>
      <c r="G1619"/>
      <c r="H1619"/>
      <c r="I1619"/>
    </row>
    <row r="1620" spans="2:9" x14ac:dyDescent="0.2">
      <c r="B1620"/>
      <c r="C1620"/>
      <c r="D1620"/>
      <c r="E1620"/>
      <c r="F1620"/>
      <c r="G1620"/>
      <c r="H1620"/>
      <c r="I1620"/>
    </row>
    <row r="1621" spans="2:9" x14ac:dyDescent="0.2">
      <c r="B1621"/>
      <c r="C1621"/>
      <c r="D1621"/>
      <c r="E1621"/>
      <c r="F1621"/>
      <c r="G1621"/>
      <c r="H1621"/>
      <c r="I1621"/>
    </row>
    <row r="1622" spans="2:9" x14ac:dyDescent="0.2">
      <c r="B1622"/>
      <c r="C1622"/>
      <c r="D1622"/>
      <c r="E1622"/>
      <c r="F1622"/>
      <c r="G1622"/>
      <c r="H1622"/>
      <c r="I1622"/>
    </row>
    <row r="1623" spans="2:9" x14ac:dyDescent="0.2">
      <c r="B1623"/>
      <c r="C1623"/>
      <c r="D1623"/>
      <c r="E1623"/>
      <c r="F1623"/>
      <c r="G1623"/>
      <c r="H1623"/>
      <c r="I1623"/>
    </row>
    <row r="1624" spans="2:9" x14ac:dyDescent="0.2">
      <c r="B1624"/>
      <c r="C1624"/>
      <c r="D1624"/>
      <c r="E1624"/>
      <c r="F1624"/>
      <c r="G1624"/>
      <c r="H1624"/>
      <c r="I1624"/>
    </row>
    <row r="1625" spans="2:9" x14ac:dyDescent="0.2">
      <c r="B1625"/>
      <c r="C1625"/>
      <c r="D1625"/>
      <c r="E1625"/>
      <c r="F1625"/>
      <c r="G1625"/>
      <c r="H1625"/>
      <c r="I1625"/>
    </row>
    <row r="1626" spans="2:9" x14ac:dyDescent="0.2">
      <c r="B1626"/>
      <c r="C1626"/>
      <c r="D1626"/>
      <c r="E1626"/>
      <c r="F1626"/>
      <c r="G1626"/>
      <c r="H1626"/>
      <c r="I1626"/>
    </row>
    <row r="1627" spans="2:9" x14ac:dyDescent="0.2">
      <c r="B1627"/>
      <c r="C1627"/>
      <c r="D1627"/>
      <c r="E1627"/>
      <c r="F1627"/>
      <c r="G1627"/>
      <c r="H1627"/>
      <c r="I1627"/>
    </row>
    <row r="1628" spans="2:9" x14ac:dyDescent="0.2">
      <c r="B1628"/>
      <c r="C1628"/>
      <c r="D1628"/>
      <c r="E1628"/>
      <c r="F1628"/>
      <c r="G1628"/>
      <c r="H1628"/>
      <c r="I1628"/>
    </row>
    <row r="1629" spans="2:9" x14ac:dyDescent="0.2">
      <c r="B1629"/>
      <c r="C1629"/>
      <c r="D1629"/>
      <c r="E1629"/>
      <c r="F1629"/>
      <c r="G1629"/>
      <c r="H1629"/>
      <c r="I1629"/>
    </row>
    <row r="1630" spans="2:9" x14ac:dyDescent="0.2">
      <c r="B1630"/>
      <c r="C1630"/>
      <c r="D1630"/>
      <c r="E1630"/>
      <c r="F1630"/>
      <c r="G1630"/>
      <c r="H1630"/>
      <c r="I1630"/>
    </row>
    <row r="1631" spans="2:9" x14ac:dyDescent="0.2">
      <c r="B1631"/>
      <c r="C1631"/>
      <c r="D1631"/>
      <c r="E1631"/>
      <c r="F1631"/>
      <c r="G1631"/>
      <c r="H1631"/>
      <c r="I1631"/>
    </row>
    <row r="1632" spans="2:9" x14ac:dyDescent="0.2">
      <c r="B1632"/>
      <c r="C1632"/>
      <c r="D1632"/>
      <c r="E1632"/>
      <c r="F1632"/>
      <c r="G1632"/>
      <c r="H1632"/>
      <c r="I1632"/>
    </row>
    <row r="1633" spans="2:9" x14ac:dyDescent="0.2">
      <c r="B1633"/>
      <c r="C1633"/>
      <c r="D1633"/>
      <c r="E1633"/>
      <c r="F1633"/>
      <c r="G1633"/>
      <c r="H1633"/>
      <c r="I1633"/>
    </row>
    <row r="1634" spans="2:9" x14ac:dyDescent="0.2">
      <c r="B1634"/>
      <c r="C1634"/>
      <c r="D1634"/>
      <c r="E1634"/>
      <c r="F1634"/>
      <c r="G1634"/>
      <c r="H1634"/>
      <c r="I1634"/>
    </row>
    <row r="1635" spans="2:9" x14ac:dyDescent="0.2">
      <c r="B1635"/>
      <c r="C1635"/>
      <c r="D1635"/>
      <c r="E1635"/>
      <c r="F1635"/>
      <c r="G1635"/>
      <c r="H1635"/>
      <c r="I1635"/>
    </row>
    <row r="1636" spans="2:9" x14ac:dyDescent="0.2">
      <c r="B1636"/>
      <c r="C1636"/>
      <c r="D1636"/>
      <c r="E1636"/>
      <c r="F1636"/>
      <c r="G1636"/>
      <c r="H1636"/>
      <c r="I1636"/>
    </row>
    <row r="1637" spans="2:9" x14ac:dyDescent="0.2">
      <c r="B1637"/>
      <c r="C1637"/>
      <c r="D1637"/>
      <c r="E1637"/>
      <c r="F1637"/>
      <c r="G1637"/>
      <c r="H1637"/>
      <c r="I1637"/>
    </row>
    <row r="1638" spans="2:9" x14ac:dyDescent="0.2">
      <c r="B1638"/>
      <c r="C1638"/>
      <c r="D1638"/>
      <c r="E1638"/>
      <c r="F1638"/>
      <c r="G1638"/>
      <c r="H1638"/>
      <c r="I1638"/>
    </row>
    <row r="1639" spans="2:9" x14ac:dyDescent="0.2">
      <c r="B1639"/>
      <c r="C1639"/>
      <c r="D1639"/>
      <c r="E1639"/>
      <c r="F1639"/>
      <c r="G1639"/>
      <c r="H1639"/>
      <c r="I1639"/>
    </row>
    <row r="1640" spans="2:9" x14ac:dyDescent="0.2">
      <c r="B1640"/>
      <c r="C1640"/>
      <c r="D1640"/>
      <c r="E1640"/>
      <c r="F1640"/>
      <c r="G1640"/>
      <c r="H1640"/>
      <c r="I1640"/>
    </row>
    <row r="1641" spans="2:9" x14ac:dyDescent="0.2">
      <c r="B1641"/>
      <c r="C1641"/>
      <c r="D1641"/>
      <c r="E1641"/>
      <c r="F1641"/>
      <c r="G1641"/>
      <c r="H1641"/>
      <c r="I1641"/>
    </row>
    <row r="1642" spans="2:9" x14ac:dyDescent="0.2">
      <c r="B1642"/>
      <c r="C1642"/>
      <c r="D1642"/>
      <c r="E1642"/>
      <c r="F1642"/>
      <c r="G1642"/>
      <c r="H1642"/>
      <c r="I1642"/>
    </row>
    <row r="1643" spans="2:9" x14ac:dyDescent="0.2">
      <c r="B1643"/>
      <c r="C1643"/>
      <c r="D1643"/>
      <c r="E1643"/>
      <c r="F1643"/>
      <c r="G1643"/>
      <c r="H1643"/>
      <c r="I1643"/>
    </row>
    <row r="1644" spans="2:9" x14ac:dyDescent="0.2">
      <c r="B1644"/>
      <c r="C1644"/>
      <c r="D1644"/>
      <c r="E1644"/>
      <c r="F1644"/>
      <c r="G1644"/>
      <c r="H1644"/>
      <c r="I1644"/>
    </row>
    <row r="1645" spans="2:9" x14ac:dyDescent="0.2">
      <c r="B1645"/>
      <c r="C1645"/>
      <c r="D1645"/>
      <c r="E1645"/>
      <c r="F1645"/>
      <c r="G1645"/>
      <c r="H1645"/>
      <c r="I1645"/>
    </row>
    <row r="1646" spans="2:9" x14ac:dyDescent="0.2">
      <c r="B1646"/>
      <c r="C1646"/>
      <c r="D1646"/>
      <c r="E1646"/>
      <c r="F1646"/>
      <c r="G1646"/>
      <c r="H1646"/>
      <c r="I1646"/>
    </row>
    <row r="1647" spans="2:9" x14ac:dyDescent="0.2">
      <c r="B1647"/>
      <c r="C1647"/>
      <c r="D1647"/>
      <c r="E1647"/>
      <c r="F1647"/>
      <c r="G1647"/>
      <c r="H1647"/>
      <c r="I1647"/>
    </row>
    <row r="1648" spans="2:9" x14ac:dyDescent="0.2">
      <c r="B1648"/>
      <c r="C1648"/>
      <c r="D1648"/>
      <c r="E1648"/>
      <c r="F1648"/>
      <c r="G1648"/>
      <c r="H1648"/>
      <c r="I1648"/>
    </row>
    <row r="1649" spans="2:9" x14ac:dyDescent="0.2">
      <c r="B1649"/>
      <c r="C1649"/>
      <c r="D1649"/>
      <c r="E1649"/>
      <c r="F1649"/>
      <c r="G1649"/>
      <c r="H1649"/>
      <c r="I1649"/>
    </row>
    <row r="1650" spans="2:9" x14ac:dyDescent="0.2">
      <c r="B1650"/>
      <c r="C1650"/>
      <c r="D1650"/>
      <c r="E1650"/>
      <c r="F1650"/>
      <c r="G1650"/>
      <c r="H1650"/>
      <c r="I1650"/>
    </row>
    <row r="1651" spans="2:9" x14ac:dyDescent="0.2">
      <c r="B1651"/>
      <c r="C1651"/>
      <c r="D1651"/>
      <c r="E1651"/>
      <c r="F1651"/>
      <c r="G1651"/>
      <c r="H1651"/>
      <c r="I1651"/>
    </row>
    <row r="1652" spans="2:9" x14ac:dyDescent="0.2">
      <c r="B1652"/>
      <c r="C1652"/>
      <c r="D1652"/>
      <c r="E1652"/>
      <c r="F1652"/>
      <c r="G1652"/>
      <c r="H1652"/>
      <c r="I1652"/>
    </row>
    <row r="1653" spans="2:9" x14ac:dyDescent="0.2">
      <c r="B1653"/>
      <c r="C1653"/>
      <c r="D1653"/>
      <c r="E1653"/>
      <c r="F1653"/>
      <c r="G1653"/>
      <c r="H1653"/>
      <c r="I1653"/>
    </row>
    <row r="1654" spans="2:9" x14ac:dyDescent="0.2">
      <c r="B1654"/>
      <c r="C1654"/>
      <c r="D1654"/>
      <c r="E1654"/>
      <c r="F1654"/>
      <c r="G1654"/>
      <c r="H1654"/>
      <c r="I1654"/>
    </row>
    <row r="1655" spans="2:9" x14ac:dyDescent="0.2">
      <c r="B1655"/>
      <c r="C1655"/>
      <c r="D1655"/>
      <c r="E1655"/>
      <c r="F1655"/>
      <c r="G1655"/>
      <c r="H1655"/>
      <c r="I1655"/>
    </row>
    <row r="1656" spans="2:9" x14ac:dyDescent="0.2">
      <c r="B1656"/>
      <c r="C1656"/>
      <c r="D1656"/>
      <c r="E1656"/>
      <c r="F1656"/>
      <c r="G1656"/>
      <c r="H1656"/>
      <c r="I1656"/>
    </row>
    <row r="1657" spans="2:9" x14ac:dyDescent="0.2">
      <c r="B1657"/>
      <c r="C1657"/>
      <c r="D1657"/>
      <c r="E1657"/>
      <c r="F1657"/>
      <c r="G1657"/>
      <c r="H1657"/>
      <c r="I1657"/>
    </row>
    <row r="1658" spans="2:9" x14ac:dyDescent="0.2">
      <c r="B1658"/>
      <c r="C1658"/>
      <c r="D1658"/>
      <c r="E1658"/>
      <c r="F1658"/>
      <c r="G1658"/>
      <c r="H1658"/>
      <c r="I1658"/>
    </row>
    <row r="1659" spans="2:9" x14ac:dyDescent="0.2">
      <c r="B1659"/>
      <c r="C1659"/>
      <c r="D1659"/>
      <c r="E1659"/>
      <c r="F1659"/>
      <c r="G1659"/>
      <c r="H1659"/>
      <c r="I1659"/>
    </row>
    <row r="1660" spans="2:9" x14ac:dyDescent="0.2">
      <c r="B1660"/>
      <c r="C1660"/>
      <c r="D1660"/>
      <c r="E1660"/>
      <c r="F1660"/>
      <c r="G1660"/>
      <c r="H1660"/>
      <c r="I1660"/>
    </row>
    <row r="1661" spans="2:9" x14ac:dyDescent="0.2">
      <c r="B1661"/>
      <c r="C1661"/>
      <c r="D1661"/>
      <c r="E1661"/>
      <c r="F1661"/>
      <c r="G1661"/>
      <c r="H1661"/>
      <c r="I1661"/>
    </row>
    <row r="1662" spans="2:9" x14ac:dyDescent="0.2">
      <c r="B1662"/>
      <c r="C1662"/>
      <c r="D1662"/>
      <c r="E1662"/>
      <c r="F1662"/>
      <c r="G1662"/>
      <c r="H1662"/>
      <c r="I1662"/>
    </row>
    <row r="1663" spans="2:9" x14ac:dyDescent="0.2">
      <c r="B1663"/>
      <c r="C1663"/>
      <c r="D1663"/>
      <c r="E1663"/>
      <c r="F1663"/>
      <c r="G1663"/>
      <c r="H1663"/>
      <c r="I1663"/>
    </row>
    <row r="1664" spans="2:9" x14ac:dyDescent="0.2">
      <c r="B1664"/>
      <c r="C1664"/>
      <c r="D1664"/>
      <c r="E1664"/>
      <c r="F1664"/>
      <c r="G1664"/>
      <c r="H1664"/>
      <c r="I1664"/>
    </row>
    <row r="1665" spans="2:9" x14ac:dyDescent="0.2">
      <c r="B1665"/>
      <c r="C1665"/>
      <c r="D1665"/>
      <c r="E1665"/>
      <c r="F1665"/>
      <c r="G1665"/>
      <c r="H1665"/>
      <c r="I1665"/>
    </row>
    <row r="1666" spans="2:9" x14ac:dyDescent="0.2">
      <c r="B1666"/>
      <c r="C1666"/>
      <c r="D1666"/>
      <c r="E1666"/>
      <c r="F1666"/>
      <c r="G1666"/>
      <c r="H1666"/>
      <c r="I1666"/>
    </row>
    <row r="1667" spans="2:9" x14ac:dyDescent="0.2">
      <c r="B1667"/>
      <c r="C1667"/>
      <c r="D1667"/>
      <c r="E1667"/>
      <c r="F1667"/>
      <c r="G1667"/>
      <c r="H1667"/>
      <c r="I1667"/>
    </row>
    <row r="1668" spans="2:9" x14ac:dyDescent="0.2">
      <c r="B1668"/>
      <c r="C1668"/>
      <c r="D1668"/>
      <c r="E1668"/>
      <c r="F1668"/>
      <c r="G1668"/>
      <c r="H1668"/>
      <c r="I1668"/>
    </row>
    <row r="1669" spans="2:9" x14ac:dyDescent="0.2">
      <c r="B1669"/>
      <c r="C1669"/>
      <c r="D1669"/>
      <c r="E1669"/>
      <c r="F1669"/>
      <c r="G1669"/>
      <c r="H1669"/>
      <c r="I1669"/>
    </row>
    <row r="1670" spans="2:9" x14ac:dyDescent="0.2">
      <c r="B1670"/>
      <c r="C1670"/>
      <c r="D1670"/>
      <c r="E1670"/>
      <c r="F1670"/>
      <c r="G1670"/>
      <c r="H1670"/>
      <c r="I1670"/>
    </row>
    <row r="1671" spans="2:9" x14ac:dyDescent="0.2">
      <c r="B1671"/>
      <c r="C1671"/>
      <c r="D1671"/>
      <c r="E1671"/>
      <c r="F1671"/>
      <c r="G1671"/>
      <c r="H1671"/>
      <c r="I1671"/>
    </row>
    <row r="1672" spans="2:9" x14ac:dyDescent="0.2">
      <c r="B1672"/>
      <c r="C1672"/>
      <c r="D1672"/>
      <c r="E1672"/>
      <c r="F1672"/>
      <c r="G1672"/>
      <c r="H1672"/>
      <c r="I1672"/>
    </row>
    <row r="1673" spans="2:9" x14ac:dyDescent="0.2">
      <c r="B1673"/>
      <c r="C1673"/>
      <c r="D1673"/>
      <c r="E1673"/>
      <c r="F1673"/>
      <c r="G1673"/>
      <c r="H1673"/>
      <c r="I1673"/>
    </row>
    <row r="1674" spans="2:9" x14ac:dyDescent="0.2">
      <c r="B1674"/>
      <c r="C1674"/>
      <c r="D1674"/>
      <c r="E1674"/>
      <c r="F1674"/>
      <c r="G1674"/>
      <c r="H1674"/>
      <c r="I1674"/>
    </row>
    <row r="1675" spans="2:9" x14ac:dyDescent="0.2">
      <c r="B1675"/>
      <c r="C1675"/>
      <c r="D1675"/>
      <c r="E1675"/>
      <c r="F1675"/>
      <c r="G1675"/>
      <c r="H1675"/>
      <c r="I1675"/>
    </row>
    <row r="1676" spans="2:9" x14ac:dyDescent="0.2">
      <c r="B1676"/>
      <c r="C1676"/>
      <c r="D1676"/>
      <c r="E1676"/>
      <c r="F1676"/>
      <c r="G1676"/>
      <c r="H1676"/>
      <c r="I1676"/>
    </row>
    <row r="1677" spans="2:9" x14ac:dyDescent="0.2">
      <c r="B1677"/>
      <c r="C1677"/>
      <c r="D1677"/>
      <c r="E1677"/>
      <c r="F1677"/>
      <c r="G1677"/>
      <c r="H1677"/>
      <c r="I1677"/>
    </row>
    <row r="1678" spans="2:9" x14ac:dyDescent="0.2">
      <c r="B1678"/>
      <c r="C1678"/>
      <c r="D1678"/>
      <c r="E1678"/>
      <c r="F1678"/>
      <c r="G1678"/>
      <c r="H1678"/>
      <c r="I1678"/>
    </row>
    <row r="1679" spans="2:9" x14ac:dyDescent="0.2">
      <c r="B1679"/>
      <c r="C1679"/>
      <c r="D1679"/>
      <c r="E1679"/>
      <c r="F1679"/>
      <c r="G1679"/>
      <c r="H1679"/>
      <c r="I1679"/>
    </row>
    <row r="1680" spans="2:9" x14ac:dyDescent="0.2">
      <c r="B1680"/>
      <c r="C1680"/>
      <c r="D1680"/>
      <c r="E1680"/>
      <c r="F1680"/>
      <c r="G1680"/>
      <c r="H1680"/>
      <c r="I1680"/>
    </row>
    <row r="1681" spans="2:9" x14ac:dyDescent="0.2">
      <c r="B1681"/>
      <c r="C1681"/>
      <c r="D1681"/>
      <c r="E1681"/>
      <c r="F1681"/>
      <c r="G1681"/>
      <c r="H1681"/>
      <c r="I1681"/>
    </row>
    <row r="1682" spans="2:9" x14ac:dyDescent="0.2">
      <c r="B1682"/>
      <c r="C1682"/>
      <c r="D1682"/>
      <c r="E1682"/>
      <c r="F1682"/>
      <c r="G1682"/>
      <c r="H1682"/>
      <c r="I1682"/>
    </row>
    <row r="1683" spans="2:9" x14ac:dyDescent="0.2">
      <c r="B1683"/>
      <c r="C1683"/>
      <c r="D1683"/>
      <c r="E1683"/>
      <c r="F1683"/>
      <c r="G1683"/>
      <c r="H1683"/>
      <c r="I1683"/>
    </row>
    <row r="1684" spans="2:9" x14ac:dyDescent="0.2">
      <c r="B1684"/>
      <c r="C1684"/>
      <c r="D1684"/>
      <c r="E1684"/>
      <c r="F1684"/>
      <c r="G1684"/>
      <c r="H1684"/>
      <c r="I1684"/>
    </row>
    <row r="1685" spans="2:9" x14ac:dyDescent="0.2">
      <c r="B1685"/>
      <c r="C1685"/>
      <c r="D1685"/>
      <c r="E1685"/>
      <c r="F1685"/>
      <c r="G1685"/>
      <c r="H1685"/>
      <c r="I1685"/>
    </row>
    <row r="1686" spans="2:9" x14ac:dyDescent="0.2">
      <c r="B1686"/>
      <c r="C1686"/>
      <c r="D1686"/>
      <c r="E1686"/>
      <c r="F1686"/>
      <c r="G1686"/>
      <c r="H1686"/>
      <c r="I1686"/>
    </row>
    <row r="1687" spans="2:9" x14ac:dyDescent="0.2">
      <c r="B1687"/>
      <c r="C1687"/>
      <c r="D1687"/>
      <c r="E1687"/>
      <c r="F1687"/>
      <c r="G1687"/>
      <c r="H1687"/>
      <c r="I1687"/>
    </row>
    <row r="1688" spans="2:9" x14ac:dyDescent="0.2">
      <c r="B1688"/>
      <c r="C1688"/>
      <c r="D1688"/>
      <c r="E1688"/>
      <c r="F1688"/>
      <c r="G1688"/>
      <c r="H1688"/>
      <c r="I1688"/>
    </row>
    <row r="1689" spans="2:9" x14ac:dyDescent="0.2">
      <c r="B1689"/>
      <c r="C1689"/>
      <c r="D1689"/>
      <c r="E1689"/>
      <c r="F1689"/>
      <c r="G1689"/>
      <c r="H1689"/>
      <c r="I1689"/>
    </row>
    <row r="1690" spans="2:9" x14ac:dyDescent="0.2">
      <c r="B1690"/>
      <c r="C1690"/>
      <c r="D1690"/>
      <c r="E1690"/>
      <c r="F1690"/>
      <c r="G1690"/>
      <c r="H1690"/>
      <c r="I1690"/>
    </row>
    <row r="1691" spans="2:9" x14ac:dyDescent="0.2">
      <c r="B1691"/>
      <c r="C1691"/>
      <c r="D1691"/>
      <c r="E1691"/>
      <c r="F1691"/>
      <c r="G1691"/>
      <c r="H1691"/>
      <c r="I1691"/>
    </row>
    <row r="1692" spans="2:9" x14ac:dyDescent="0.2">
      <c r="B1692"/>
      <c r="C1692"/>
      <c r="D1692"/>
      <c r="E1692"/>
      <c r="F1692"/>
      <c r="G1692"/>
      <c r="H1692"/>
      <c r="I1692"/>
    </row>
    <row r="1693" spans="2:9" x14ac:dyDescent="0.2">
      <c r="B1693"/>
      <c r="C1693"/>
      <c r="D1693"/>
      <c r="E1693"/>
      <c r="F1693"/>
      <c r="G1693"/>
      <c r="H1693"/>
      <c r="I1693"/>
    </row>
    <row r="1694" spans="2:9" x14ac:dyDescent="0.2">
      <c r="B1694"/>
      <c r="C1694"/>
      <c r="D1694"/>
      <c r="E1694"/>
      <c r="F1694"/>
      <c r="G1694"/>
      <c r="H1694"/>
      <c r="I1694"/>
    </row>
    <row r="1695" spans="2:9" x14ac:dyDescent="0.2">
      <c r="B1695"/>
      <c r="C1695"/>
      <c r="D1695"/>
      <c r="E1695"/>
      <c r="F1695"/>
      <c r="G1695"/>
      <c r="H1695"/>
      <c r="I1695"/>
    </row>
    <row r="1696" spans="2:9" x14ac:dyDescent="0.2">
      <c r="B1696"/>
      <c r="C1696"/>
      <c r="D1696"/>
      <c r="E1696"/>
      <c r="F1696"/>
      <c r="G1696"/>
      <c r="H1696"/>
      <c r="I1696"/>
    </row>
    <row r="1697" spans="2:9" x14ac:dyDescent="0.2">
      <c r="B1697"/>
      <c r="C1697"/>
      <c r="D1697"/>
      <c r="E1697"/>
      <c r="F1697"/>
      <c r="G1697"/>
      <c r="H1697"/>
      <c r="I1697"/>
    </row>
    <row r="1698" spans="2:9" x14ac:dyDescent="0.2">
      <c r="B1698"/>
      <c r="C1698"/>
      <c r="D1698"/>
      <c r="E1698"/>
      <c r="F1698"/>
      <c r="G1698"/>
      <c r="H1698"/>
      <c r="I1698"/>
    </row>
    <row r="1699" spans="2:9" x14ac:dyDescent="0.2">
      <c r="B1699"/>
      <c r="C1699"/>
      <c r="D1699"/>
      <c r="E1699"/>
      <c r="F1699"/>
      <c r="G1699"/>
      <c r="H1699"/>
      <c r="I1699"/>
    </row>
    <row r="1700" spans="2:9" x14ac:dyDescent="0.2">
      <c r="B1700"/>
      <c r="C1700"/>
      <c r="D1700"/>
      <c r="E1700"/>
      <c r="F1700"/>
      <c r="G1700"/>
      <c r="H1700"/>
      <c r="I1700"/>
    </row>
    <row r="1701" spans="2:9" x14ac:dyDescent="0.2">
      <c r="B1701"/>
      <c r="C1701"/>
      <c r="D1701"/>
      <c r="E1701"/>
      <c r="F1701"/>
      <c r="G1701"/>
      <c r="H1701"/>
      <c r="I1701"/>
    </row>
    <row r="1702" spans="2:9" x14ac:dyDescent="0.2">
      <c r="B1702"/>
      <c r="C1702"/>
      <c r="D1702"/>
      <c r="E1702"/>
      <c r="F1702"/>
      <c r="G1702"/>
      <c r="H1702"/>
      <c r="I1702"/>
    </row>
    <row r="1703" spans="2:9" x14ac:dyDescent="0.2">
      <c r="B1703"/>
      <c r="C1703"/>
      <c r="D1703"/>
      <c r="E1703"/>
      <c r="F1703"/>
      <c r="G1703"/>
      <c r="H1703"/>
      <c r="I1703"/>
    </row>
    <row r="1704" spans="2:9" x14ac:dyDescent="0.2">
      <c r="B1704"/>
      <c r="C1704"/>
      <c r="D1704"/>
      <c r="E1704"/>
      <c r="F1704"/>
      <c r="G1704"/>
      <c r="H1704"/>
      <c r="I1704"/>
    </row>
    <row r="1705" spans="2:9" x14ac:dyDescent="0.2">
      <c r="B1705"/>
      <c r="C1705"/>
      <c r="D1705"/>
      <c r="E1705"/>
      <c r="F1705"/>
      <c r="G1705"/>
      <c r="H1705"/>
      <c r="I1705"/>
    </row>
    <row r="1706" spans="2:9" x14ac:dyDescent="0.2">
      <c r="B1706"/>
      <c r="C1706"/>
      <c r="D1706"/>
      <c r="E1706"/>
      <c r="F1706"/>
      <c r="G1706"/>
      <c r="H1706"/>
      <c r="I1706"/>
    </row>
    <row r="1707" spans="2:9" x14ac:dyDescent="0.2">
      <c r="B1707"/>
      <c r="C1707"/>
      <c r="D1707"/>
      <c r="E1707"/>
      <c r="F1707"/>
      <c r="G1707"/>
      <c r="H1707"/>
      <c r="I1707"/>
    </row>
    <row r="1708" spans="2:9" x14ac:dyDescent="0.2">
      <c r="B1708"/>
      <c r="C1708"/>
      <c r="D1708"/>
      <c r="E1708"/>
      <c r="F1708"/>
      <c r="G1708"/>
      <c r="H1708"/>
      <c r="I1708"/>
    </row>
    <row r="1709" spans="2:9" x14ac:dyDescent="0.2">
      <c r="B1709"/>
      <c r="C1709"/>
      <c r="D1709"/>
      <c r="E1709"/>
      <c r="F1709"/>
      <c r="G1709"/>
      <c r="H1709"/>
      <c r="I1709"/>
    </row>
    <row r="1710" spans="2:9" x14ac:dyDescent="0.2">
      <c r="B1710"/>
      <c r="C1710"/>
      <c r="D1710"/>
      <c r="E1710"/>
      <c r="F1710"/>
      <c r="G1710"/>
      <c r="H1710"/>
      <c r="I1710"/>
    </row>
    <row r="1711" spans="2:9" x14ac:dyDescent="0.2">
      <c r="B1711"/>
      <c r="C1711"/>
      <c r="D1711"/>
      <c r="E1711"/>
      <c r="F1711"/>
      <c r="G1711"/>
      <c r="H1711"/>
      <c r="I1711"/>
    </row>
    <row r="1712" spans="2:9" x14ac:dyDescent="0.2">
      <c r="B1712"/>
      <c r="C1712"/>
      <c r="D1712"/>
      <c r="E1712"/>
      <c r="F1712"/>
      <c r="G1712"/>
      <c r="H1712"/>
      <c r="I1712"/>
    </row>
    <row r="1713" spans="2:9" x14ac:dyDescent="0.2">
      <c r="B1713"/>
      <c r="C1713"/>
      <c r="D1713"/>
      <c r="E1713"/>
      <c r="F1713"/>
      <c r="G1713"/>
      <c r="H1713"/>
      <c r="I1713"/>
    </row>
    <row r="1714" spans="2:9" x14ac:dyDescent="0.2">
      <c r="B1714"/>
      <c r="C1714"/>
      <c r="D1714"/>
      <c r="E1714"/>
      <c r="F1714"/>
      <c r="G1714"/>
      <c r="H1714"/>
      <c r="I1714"/>
    </row>
    <row r="1715" spans="2:9" x14ac:dyDescent="0.2">
      <c r="B1715"/>
      <c r="C1715"/>
      <c r="D1715"/>
      <c r="E1715"/>
      <c r="F1715"/>
      <c r="G1715"/>
      <c r="H1715"/>
      <c r="I1715"/>
    </row>
    <row r="1716" spans="2:9" x14ac:dyDescent="0.2">
      <c r="B1716"/>
      <c r="C1716"/>
      <c r="D1716"/>
      <c r="E1716"/>
      <c r="F1716"/>
      <c r="G1716"/>
      <c r="H1716"/>
      <c r="I1716"/>
    </row>
    <row r="1717" spans="2:9" x14ac:dyDescent="0.2">
      <c r="B1717"/>
      <c r="C1717"/>
      <c r="D1717"/>
      <c r="E1717"/>
      <c r="F1717"/>
      <c r="G1717"/>
      <c r="H1717"/>
      <c r="I1717"/>
    </row>
    <row r="1718" spans="2:9" x14ac:dyDescent="0.2">
      <c r="B1718"/>
      <c r="C1718"/>
      <c r="D1718"/>
      <c r="E1718"/>
      <c r="F1718"/>
      <c r="G1718"/>
      <c r="H1718"/>
      <c r="I1718"/>
    </row>
    <row r="1719" spans="2:9" x14ac:dyDescent="0.2">
      <c r="B1719"/>
      <c r="C1719"/>
      <c r="D1719"/>
      <c r="E1719"/>
      <c r="F1719"/>
      <c r="G1719"/>
      <c r="H1719"/>
      <c r="I1719"/>
    </row>
    <row r="1720" spans="2:9" x14ac:dyDescent="0.2">
      <c r="B1720"/>
      <c r="C1720"/>
      <c r="D1720"/>
      <c r="E1720"/>
      <c r="F1720"/>
      <c r="G1720"/>
      <c r="H1720"/>
      <c r="I1720"/>
    </row>
    <row r="1721" spans="2:9" x14ac:dyDescent="0.2">
      <c r="B1721"/>
      <c r="C1721"/>
      <c r="D1721"/>
      <c r="E1721"/>
      <c r="F1721"/>
      <c r="G1721"/>
      <c r="H1721"/>
      <c r="I1721"/>
    </row>
    <row r="1722" spans="2:9" x14ac:dyDescent="0.2">
      <c r="B1722"/>
      <c r="C1722"/>
      <c r="D1722"/>
      <c r="E1722"/>
      <c r="F1722"/>
      <c r="G1722"/>
      <c r="H1722"/>
      <c r="I1722"/>
    </row>
    <row r="1723" spans="2:9" x14ac:dyDescent="0.2">
      <c r="B1723"/>
      <c r="C1723"/>
      <c r="D1723"/>
      <c r="E1723"/>
      <c r="F1723"/>
      <c r="G1723"/>
      <c r="H1723"/>
      <c r="I1723"/>
    </row>
    <row r="1724" spans="2:9" x14ac:dyDescent="0.2">
      <c r="B1724"/>
      <c r="C1724"/>
      <c r="D1724"/>
      <c r="E1724"/>
      <c r="F1724"/>
      <c r="G1724"/>
      <c r="H1724"/>
      <c r="I1724"/>
    </row>
    <row r="1725" spans="2:9" x14ac:dyDescent="0.2">
      <c r="B1725"/>
      <c r="C1725"/>
      <c r="D1725"/>
      <c r="E1725"/>
      <c r="F1725"/>
      <c r="G1725"/>
      <c r="H1725"/>
      <c r="I1725"/>
    </row>
    <row r="1726" spans="2:9" x14ac:dyDescent="0.2">
      <c r="B1726"/>
      <c r="C1726"/>
      <c r="D1726"/>
      <c r="E1726"/>
      <c r="F1726"/>
      <c r="G1726"/>
      <c r="H1726"/>
      <c r="I1726"/>
    </row>
    <row r="1727" spans="2:9" x14ac:dyDescent="0.2">
      <c r="B1727"/>
      <c r="C1727"/>
      <c r="D1727"/>
      <c r="E1727"/>
      <c r="F1727"/>
      <c r="G1727"/>
      <c r="H1727"/>
      <c r="I1727"/>
    </row>
    <row r="1728" spans="2:9" x14ac:dyDescent="0.2">
      <c r="B1728"/>
      <c r="C1728"/>
      <c r="D1728"/>
      <c r="E1728"/>
      <c r="F1728"/>
      <c r="G1728"/>
      <c r="H1728"/>
      <c r="I1728"/>
    </row>
    <row r="1729" spans="2:9" x14ac:dyDescent="0.2">
      <c r="B1729"/>
      <c r="C1729"/>
      <c r="D1729"/>
      <c r="E1729"/>
      <c r="F1729"/>
      <c r="G1729"/>
      <c r="H1729"/>
      <c r="I1729"/>
    </row>
    <row r="1730" spans="2:9" x14ac:dyDescent="0.2">
      <c r="B1730"/>
      <c r="C1730"/>
      <c r="D1730"/>
      <c r="E1730"/>
      <c r="F1730"/>
      <c r="G1730"/>
      <c r="H1730"/>
      <c r="I1730"/>
    </row>
    <row r="1731" spans="2:9" x14ac:dyDescent="0.2">
      <c r="B1731"/>
      <c r="C1731"/>
      <c r="D1731"/>
      <c r="E1731"/>
      <c r="F1731"/>
      <c r="G1731"/>
      <c r="H1731"/>
      <c r="I1731"/>
    </row>
    <row r="1732" spans="2:9" x14ac:dyDescent="0.2">
      <c r="B1732"/>
      <c r="C1732"/>
      <c r="D1732"/>
      <c r="E1732"/>
      <c r="F1732"/>
      <c r="G1732"/>
      <c r="H1732"/>
      <c r="I1732"/>
    </row>
    <row r="1733" spans="2:9" x14ac:dyDescent="0.2">
      <c r="B1733"/>
      <c r="C1733"/>
      <c r="D1733"/>
      <c r="E1733"/>
      <c r="F1733"/>
      <c r="G1733"/>
      <c r="H1733"/>
      <c r="I1733"/>
    </row>
    <row r="1734" spans="2:9" x14ac:dyDescent="0.2">
      <c r="B1734"/>
      <c r="C1734"/>
      <c r="D1734"/>
      <c r="E1734"/>
      <c r="F1734"/>
      <c r="G1734"/>
      <c r="H1734"/>
      <c r="I1734"/>
    </row>
    <row r="1735" spans="2:9" x14ac:dyDescent="0.2">
      <c r="B1735"/>
      <c r="C1735"/>
      <c r="D1735"/>
      <c r="E1735"/>
      <c r="F1735"/>
      <c r="G1735"/>
      <c r="H1735"/>
      <c r="I1735"/>
    </row>
    <row r="1736" spans="2:9" x14ac:dyDescent="0.2">
      <c r="B1736"/>
      <c r="C1736"/>
      <c r="D1736"/>
      <c r="E1736"/>
      <c r="F1736"/>
      <c r="G1736"/>
      <c r="H1736"/>
      <c r="I1736"/>
    </row>
    <row r="1737" spans="2:9" x14ac:dyDescent="0.2">
      <c r="B1737"/>
      <c r="C1737"/>
      <c r="D1737"/>
      <c r="E1737"/>
      <c r="F1737"/>
      <c r="G1737"/>
      <c r="H1737"/>
      <c r="I1737"/>
    </row>
    <row r="1738" spans="2:9" x14ac:dyDescent="0.2">
      <c r="B1738"/>
      <c r="C1738"/>
      <c r="D1738"/>
      <c r="E1738"/>
      <c r="F1738"/>
      <c r="G1738"/>
      <c r="H1738"/>
      <c r="I1738"/>
    </row>
    <row r="1739" spans="2:9" x14ac:dyDescent="0.2">
      <c r="B1739"/>
      <c r="C1739"/>
      <c r="D1739"/>
      <c r="E1739"/>
      <c r="F1739"/>
      <c r="G1739"/>
      <c r="H1739"/>
      <c r="I1739"/>
    </row>
    <row r="1740" spans="2:9" x14ac:dyDescent="0.2">
      <c r="B1740"/>
      <c r="C1740"/>
      <c r="D1740"/>
      <c r="E1740"/>
      <c r="F1740"/>
      <c r="G1740"/>
      <c r="H1740"/>
      <c r="I1740"/>
    </row>
    <row r="1741" spans="2:9" x14ac:dyDescent="0.2">
      <c r="B1741"/>
      <c r="C1741"/>
      <c r="D1741"/>
      <c r="E1741"/>
      <c r="F1741"/>
      <c r="G1741"/>
      <c r="H1741"/>
      <c r="I1741"/>
    </row>
    <row r="1742" spans="2:9" x14ac:dyDescent="0.2">
      <c r="B1742"/>
      <c r="C1742"/>
      <c r="D1742"/>
      <c r="E1742"/>
      <c r="F1742"/>
      <c r="G1742"/>
      <c r="H1742"/>
      <c r="I1742"/>
    </row>
    <row r="1743" spans="2:9" x14ac:dyDescent="0.2">
      <c r="B1743"/>
      <c r="C1743"/>
      <c r="D1743"/>
      <c r="E1743"/>
      <c r="F1743"/>
      <c r="G1743"/>
      <c r="H1743"/>
      <c r="I1743"/>
    </row>
    <row r="1744" spans="2:9" x14ac:dyDescent="0.2">
      <c r="B1744"/>
      <c r="C1744"/>
      <c r="D1744"/>
      <c r="E1744"/>
      <c r="F1744"/>
      <c r="G1744"/>
      <c r="H1744"/>
      <c r="I1744"/>
    </row>
    <row r="1745" spans="2:9" x14ac:dyDescent="0.2">
      <c r="B1745"/>
      <c r="C1745"/>
      <c r="D1745"/>
      <c r="E1745"/>
      <c r="F1745"/>
      <c r="G1745"/>
      <c r="H1745"/>
      <c r="I1745"/>
    </row>
    <row r="1746" spans="2:9" x14ac:dyDescent="0.2">
      <c r="B1746"/>
      <c r="C1746"/>
      <c r="D1746"/>
      <c r="E1746"/>
      <c r="F1746"/>
      <c r="G1746"/>
      <c r="H1746"/>
      <c r="I1746"/>
    </row>
    <row r="1747" spans="2:9" x14ac:dyDescent="0.2">
      <c r="B1747"/>
      <c r="C1747"/>
      <c r="D1747"/>
      <c r="E1747"/>
      <c r="F1747"/>
      <c r="G1747"/>
      <c r="H1747"/>
      <c r="I1747"/>
    </row>
    <row r="1748" spans="2:9" x14ac:dyDescent="0.2">
      <c r="B1748"/>
      <c r="C1748"/>
      <c r="D1748"/>
      <c r="E1748"/>
      <c r="F1748"/>
      <c r="G1748"/>
      <c r="H1748"/>
      <c r="I1748"/>
    </row>
    <row r="1749" spans="2:9" x14ac:dyDescent="0.2">
      <c r="B1749"/>
      <c r="C1749"/>
      <c r="D1749"/>
      <c r="E1749"/>
      <c r="F1749"/>
      <c r="G1749"/>
      <c r="H1749"/>
      <c r="I1749"/>
    </row>
    <row r="1750" spans="2:9" x14ac:dyDescent="0.2">
      <c r="B1750"/>
      <c r="C1750"/>
      <c r="D1750"/>
      <c r="E1750"/>
      <c r="F1750"/>
      <c r="G1750"/>
      <c r="H1750"/>
      <c r="I1750"/>
    </row>
    <row r="1751" spans="2:9" x14ac:dyDescent="0.2">
      <c r="B1751"/>
      <c r="C1751"/>
      <c r="D1751"/>
      <c r="E1751"/>
      <c r="F1751"/>
      <c r="G1751"/>
      <c r="H1751"/>
      <c r="I1751"/>
    </row>
    <row r="1752" spans="2:9" x14ac:dyDescent="0.2">
      <c r="B1752"/>
      <c r="C1752"/>
      <c r="D1752"/>
      <c r="E1752"/>
      <c r="F1752"/>
      <c r="G1752"/>
      <c r="H1752"/>
      <c r="I1752"/>
    </row>
    <row r="1753" spans="2:9" x14ac:dyDescent="0.2">
      <c r="B1753"/>
      <c r="C1753"/>
      <c r="D1753"/>
      <c r="E1753"/>
      <c r="F1753"/>
      <c r="G1753"/>
      <c r="H1753"/>
      <c r="I1753"/>
    </row>
    <row r="1754" spans="2:9" x14ac:dyDescent="0.2">
      <c r="B1754"/>
      <c r="C1754"/>
      <c r="D1754"/>
      <c r="E1754"/>
      <c r="F1754"/>
      <c r="G1754"/>
      <c r="H1754"/>
      <c r="I1754"/>
    </row>
    <row r="1755" spans="2:9" x14ac:dyDescent="0.2">
      <c r="B1755"/>
      <c r="C1755"/>
      <c r="D1755"/>
      <c r="E1755"/>
      <c r="F1755"/>
      <c r="G1755"/>
      <c r="H1755"/>
      <c r="I1755"/>
    </row>
    <row r="1756" spans="2:9" x14ac:dyDescent="0.2">
      <c r="B1756"/>
      <c r="C1756"/>
      <c r="D1756"/>
      <c r="E1756"/>
      <c r="F1756"/>
      <c r="G1756"/>
      <c r="H1756"/>
      <c r="I1756"/>
    </row>
    <row r="1757" spans="2:9" x14ac:dyDescent="0.2">
      <c r="B1757"/>
      <c r="C1757"/>
      <c r="D1757"/>
      <c r="E1757"/>
      <c r="F1757"/>
      <c r="G1757"/>
      <c r="H1757"/>
      <c r="I1757"/>
    </row>
    <row r="1758" spans="2:9" x14ac:dyDescent="0.2">
      <c r="B1758"/>
      <c r="C1758"/>
      <c r="D1758"/>
      <c r="E1758"/>
      <c r="F1758"/>
      <c r="G1758"/>
      <c r="H1758"/>
      <c r="I1758"/>
    </row>
    <row r="1759" spans="2:9" x14ac:dyDescent="0.2">
      <c r="B1759"/>
      <c r="C1759"/>
      <c r="D1759"/>
      <c r="E1759"/>
      <c r="F1759"/>
      <c r="G1759"/>
      <c r="H1759"/>
      <c r="I1759"/>
    </row>
    <row r="1760" spans="2:9" x14ac:dyDescent="0.2">
      <c r="B1760"/>
      <c r="C1760"/>
      <c r="D1760"/>
      <c r="E1760"/>
      <c r="F1760"/>
      <c r="G1760"/>
      <c r="H1760"/>
      <c r="I1760"/>
    </row>
    <row r="1761" spans="2:9" x14ac:dyDescent="0.2">
      <c r="B1761"/>
      <c r="C1761"/>
      <c r="D1761"/>
      <c r="E1761"/>
      <c r="F1761"/>
      <c r="G1761"/>
      <c r="H1761"/>
      <c r="I1761"/>
    </row>
    <row r="1762" spans="2:9" x14ac:dyDescent="0.2">
      <c r="B1762"/>
      <c r="C1762"/>
      <c r="D1762"/>
      <c r="E1762"/>
      <c r="F1762"/>
      <c r="G1762"/>
      <c r="H1762"/>
      <c r="I1762"/>
    </row>
    <row r="1763" spans="2:9" x14ac:dyDescent="0.2">
      <c r="B1763"/>
      <c r="C1763"/>
      <c r="D1763"/>
      <c r="E1763"/>
      <c r="F1763"/>
      <c r="G1763"/>
      <c r="H1763"/>
      <c r="I1763"/>
    </row>
    <row r="1764" spans="2:9" x14ac:dyDescent="0.2">
      <c r="B1764"/>
      <c r="C1764"/>
      <c r="D1764"/>
      <c r="E1764"/>
      <c r="F1764"/>
      <c r="G1764"/>
      <c r="H1764"/>
      <c r="I1764"/>
    </row>
    <row r="1765" spans="2:9" x14ac:dyDescent="0.2">
      <c r="B1765"/>
      <c r="C1765"/>
      <c r="D1765"/>
      <c r="E1765"/>
      <c r="F1765"/>
      <c r="G1765"/>
      <c r="H1765"/>
      <c r="I1765"/>
    </row>
    <row r="1766" spans="2:9" x14ac:dyDescent="0.2">
      <c r="B1766"/>
      <c r="C1766"/>
      <c r="D1766"/>
      <c r="E1766"/>
      <c r="F1766"/>
      <c r="G1766"/>
      <c r="H1766"/>
      <c r="I1766"/>
    </row>
    <row r="1767" spans="2:9" x14ac:dyDescent="0.2">
      <c r="B1767"/>
      <c r="C1767"/>
      <c r="D1767"/>
      <c r="E1767"/>
      <c r="F1767"/>
      <c r="G1767"/>
      <c r="H1767"/>
      <c r="I1767"/>
    </row>
    <row r="1768" spans="2:9" x14ac:dyDescent="0.2">
      <c r="B1768"/>
      <c r="C1768"/>
      <c r="D1768"/>
      <c r="E1768"/>
      <c r="F1768"/>
      <c r="G1768"/>
      <c r="H1768"/>
      <c r="I1768"/>
    </row>
    <row r="1769" spans="2:9" x14ac:dyDescent="0.2">
      <c r="B1769"/>
      <c r="C1769"/>
      <c r="D1769"/>
      <c r="E1769"/>
      <c r="F1769"/>
      <c r="G1769"/>
      <c r="H1769"/>
      <c r="I1769"/>
    </row>
    <row r="1770" spans="2:9" x14ac:dyDescent="0.2">
      <c r="B1770"/>
      <c r="C1770"/>
      <c r="D1770"/>
      <c r="E1770"/>
      <c r="F1770"/>
      <c r="G1770"/>
      <c r="H1770"/>
      <c r="I1770"/>
    </row>
    <row r="1771" spans="2:9" x14ac:dyDescent="0.2">
      <c r="B1771"/>
      <c r="C1771"/>
      <c r="D1771"/>
      <c r="E1771"/>
      <c r="F1771"/>
      <c r="G1771"/>
      <c r="H1771"/>
      <c r="I1771"/>
    </row>
    <row r="1772" spans="2:9" x14ac:dyDescent="0.2">
      <c r="B1772"/>
      <c r="C1772"/>
      <c r="D1772"/>
      <c r="E1772"/>
      <c r="F1772"/>
      <c r="G1772"/>
      <c r="H1772"/>
      <c r="I1772"/>
    </row>
    <row r="1773" spans="2:9" x14ac:dyDescent="0.2">
      <c r="B1773"/>
      <c r="C1773"/>
      <c r="D1773"/>
      <c r="E1773"/>
      <c r="F1773"/>
      <c r="G1773"/>
      <c r="H1773"/>
      <c r="I1773"/>
    </row>
    <row r="1774" spans="2:9" x14ac:dyDescent="0.2">
      <c r="B1774"/>
      <c r="C1774"/>
      <c r="D1774"/>
      <c r="E1774"/>
      <c r="F1774"/>
      <c r="G1774"/>
      <c r="H1774"/>
      <c r="I1774"/>
    </row>
    <row r="1775" spans="2:9" x14ac:dyDescent="0.2">
      <c r="B1775"/>
      <c r="C1775"/>
      <c r="D1775"/>
      <c r="E1775"/>
      <c r="F1775"/>
      <c r="G1775"/>
      <c r="H1775"/>
      <c r="I1775"/>
    </row>
    <row r="1776" spans="2:9" x14ac:dyDescent="0.2">
      <c r="B1776"/>
      <c r="C1776"/>
      <c r="D1776"/>
      <c r="E1776"/>
      <c r="F1776"/>
      <c r="G1776"/>
      <c r="H1776"/>
      <c r="I1776"/>
    </row>
    <row r="1777" spans="2:9" x14ac:dyDescent="0.2">
      <c r="B1777"/>
      <c r="C1777"/>
      <c r="D1777"/>
      <c r="E1777"/>
      <c r="F1777"/>
      <c r="G1777"/>
      <c r="H1777"/>
      <c r="I1777"/>
    </row>
    <row r="1778" spans="2:9" x14ac:dyDescent="0.2">
      <c r="B1778"/>
      <c r="C1778"/>
      <c r="D1778"/>
      <c r="E1778"/>
      <c r="F1778"/>
      <c r="G1778"/>
      <c r="H1778"/>
      <c r="I1778"/>
    </row>
    <row r="1779" spans="2:9" x14ac:dyDescent="0.2">
      <c r="B1779"/>
      <c r="C1779"/>
      <c r="D1779"/>
      <c r="E1779"/>
      <c r="F1779"/>
      <c r="G1779"/>
      <c r="H1779"/>
      <c r="I1779"/>
    </row>
    <row r="1780" spans="2:9" x14ac:dyDescent="0.2">
      <c r="B1780"/>
      <c r="C1780"/>
      <c r="D1780"/>
      <c r="E1780"/>
      <c r="F1780"/>
      <c r="G1780"/>
      <c r="H1780"/>
      <c r="I1780"/>
    </row>
    <row r="1781" spans="2:9" x14ac:dyDescent="0.2">
      <c r="B1781"/>
      <c r="C1781"/>
      <c r="D1781"/>
      <c r="E1781"/>
      <c r="F1781"/>
      <c r="G1781"/>
      <c r="H1781"/>
      <c r="I1781"/>
    </row>
    <row r="1782" spans="2:9" x14ac:dyDescent="0.2">
      <c r="B1782"/>
      <c r="C1782"/>
      <c r="D1782"/>
      <c r="E1782"/>
      <c r="F1782"/>
      <c r="G1782"/>
      <c r="H1782"/>
      <c r="I1782"/>
    </row>
    <row r="1783" spans="2:9" x14ac:dyDescent="0.2">
      <c r="B1783"/>
      <c r="C1783"/>
      <c r="D1783"/>
      <c r="E1783"/>
      <c r="F1783"/>
      <c r="G1783"/>
      <c r="H1783"/>
      <c r="I1783"/>
    </row>
    <row r="1784" spans="2:9" x14ac:dyDescent="0.2">
      <c r="B1784"/>
      <c r="C1784"/>
      <c r="D1784"/>
      <c r="E1784"/>
      <c r="F1784"/>
      <c r="G1784"/>
      <c r="H1784"/>
      <c r="I1784"/>
    </row>
    <row r="1785" spans="2:9" x14ac:dyDescent="0.2">
      <c r="B1785"/>
      <c r="C1785"/>
      <c r="D1785"/>
      <c r="E1785"/>
      <c r="F1785"/>
      <c r="G1785"/>
      <c r="H1785"/>
      <c r="I1785"/>
    </row>
    <row r="1786" spans="2:9" x14ac:dyDescent="0.2">
      <c r="B1786"/>
      <c r="C1786"/>
      <c r="D1786"/>
      <c r="E1786"/>
      <c r="F1786"/>
      <c r="G1786"/>
      <c r="H1786"/>
      <c r="I1786"/>
    </row>
    <row r="1787" spans="2:9" x14ac:dyDescent="0.2">
      <c r="B1787"/>
      <c r="C1787"/>
      <c r="D1787"/>
      <c r="E1787"/>
      <c r="F1787"/>
      <c r="G1787"/>
      <c r="H1787"/>
      <c r="I1787"/>
    </row>
    <row r="1788" spans="2:9" x14ac:dyDescent="0.2">
      <c r="B1788"/>
      <c r="C1788"/>
      <c r="D1788"/>
      <c r="E1788"/>
      <c r="F1788"/>
      <c r="G1788"/>
      <c r="H1788"/>
      <c r="I1788"/>
    </row>
    <row r="1789" spans="2:9" x14ac:dyDescent="0.2">
      <c r="B1789"/>
      <c r="C1789"/>
      <c r="D1789"/>
      <c r="E1789"/>
      <c r="F1789"/>
      <c r="G1789"/>
      <c r="H1789"/>
      <c r="I1789"/>
    </row>
    <row r="1790" spans="2:9" x14ac:dyDescent="0.2">
      <c r="B1790"/>
      <c r="C1790"/>
      <c r="D1790"/>
      <c r="E1790"/>
      <c r="F1790"/>
      <c r="G1790"/>
      <c r="H1790"/>
      <c r="I1790"/>
    </row>
    <row r="1791" spans="2:9" x14ac:dyDescent="0.2">
      <c r="B1791"/>
      <c r="C1791"/>
      <c r="D1791"/>
      <c r="E1791"/>
      <c r="F1791"/>
      <c r="G1791"/>
      <c r="H1791"/>
      <c r="I1791"/>
    </row>
    <row r="1792" spans="2:9" x14ac:dyDescent="0.2">
      <c r="B1792"/>
      <c r="C1792"/>
      <c r="D1792"/>
      <c r="E1792"/>
      <c r="F1792"/>
      <c r="G1792"/>
      <c r="H1792"/>
      <c r="I1792"/>
    </row>
    <row r="1793" spans="2:9" x14ac:dyDescent="0.2">
      <c r="B1793"/>
      <c r="C1793"/>
      <c r="D1793"/>
      <c r="E1793"/>
      <c r="F1793"/>
      <c r="G1793"/>
      <c r="H1793"/>
      <c r="I1793"/>
    </row>
    <row r="1794" spans="2:9" x14ac:dyDescent="0.2">
      <c r="B1794"/>
      <c r="C1794"/>
      <c r="D1794"/>
      <c r="E1794"/>
      <c r="F1794"/>
      <c r="G1794"/>
      <c r="H1794"/>
      <c r="I1794"/>
    </row>
    <row r="1795" spans="2:9" x14ac:dyDescent="0.2">
      <c r="B1795"/>
      <c r="C1795"/>
      <c r="D1795"/>
      <c r="E1795"/>
      <c r="F1795"/>
      <c r="G1795"/>
      <c r="H1795"/>
      <c r="I1795"/>
    </row>
    <row r="1796" spans="2:9" x14ac:dyDescent="0.2">
      <c r="B1796"/>
      <c r="C1796"/>
      <c r="D1796"/>
      <c r="E1796"/>
      <c r="F1796"/>
      <c r="G1796"/>
      <c r="H1796"/>
      <c r="I1796"/>
    </row>
    <row r="1797" spans="2:9" x14ac:dyDescent="0.2">
      <c r="B1797"/>
      <c r="C1797"/>
      <c r="D1797"/>
      <c r="E1797"/>
      <c r="F1797"/>
      <c r="G1797"/>
      <c r="H1797"/>
      <c r="I1797"/>
    </row>
    <row r="1798" spans="2:9" x14ac:dyDescent="0.2">
      <c r="B1798"/>
      <c r="C1798"/>
      <c r="D1798"/>
      <c r="E1798"/>
      <c r="F1798"/>
      <c r="G1798"/>
      <c r="H1798"/>
      <c r="I1798"/>
    </row>
    <row r="1799" spans="2:9" x14ac:dyDescent="0.2">
      <c r="B1799"/>
      <c r="C1799"/>
      <c r="D1799"/>
      <c r="E1799"/>
      <c r="F1799"/>
      <c r="G1799"/>
      <c r="H1799"/>
      <c r="I1799"/>
    </row>
    <row r="1800" spans="2:9" x14ac:dyDescent="0.2">
      <c r="B1800"/>
      <c r="C1800"/>
      <c r="D1800"/>
      <c r="E1800"/>
      <c r="F1800"/>
      <c r="G1800"/>
      <c r="H1800"/>
      <c r="I1800"/>
    </row>
    <row r="1801" spans="2:9" x14ac:dyDescent="0.2">
      <c r="B1801"/>
      <c r="C1801"/>
      <c r="D1801"/>
      <c r="E1801"/>
      <c r="F1801"/>
      <c r="G1801"/>
      <c r="H1801"/>
      <c r="I1801"/>
    </row>
    <row r="1802" spans="2:9" x14ac:dyDescent="0.2">
      <c r="B1802"/>
      <c r="C1802"/>
      <c r="D1802"/>
      <c r="E1802"/>
      <c r="F1802"/>
      <c r="G1802"/>
      <c r="H1802"/>
      <c r="I1802"/>
    </row>
    <row r="1803" spans="2:9" x14ac:dyDescent="0.2">
      <c r="B1803"/>
      <c r="C1803"/>
      <c r="D1803"/>
      <c r="E1803"/>
      <c r="F1803"/>
      <c r="G1803"/>
      <c r="H1803"/>
      <c r="I1803"/>
    </row>
    <row r="1804" spans="2:9" x14ac:dyDescent="0.2">
      <c r="B1804"/>
      <c r="C1804"/>
      <c r="D1804"/>
      <c r="E1804"/>
      <c r="F1804"/>
      <c r="G1804"/>
      <c r="H1804"/>
      <c r="I1804"/>
    </row>
    <row r="1805" spans="2:9" x14ac:dyDescent="0.2">
      <c r="B1805"/>
      <c r="C1805"/>
      <c r="D1805"/>
      <c r="E1805"/>
      <c r="F1805"/>
      <c r="G1805"/>
      <c r="H1805"/>
      <c r="I1805"/>
    </row>
    <row r="1806" spans="2:9" x14ac:dyDescent="0.2">
      <c r="B1806"/>
      <c r="C1806"/>
      <c r="D1806"/>
      <c r="E1806"/>
      <c r="F1806"/>
      <c r="G1806"/>
      <c r="H1806"/>
      <c r="I1806"/>
    </row>
    <row r="1807" spans="2:9" x14ac:dyDescent="0.2">
      <c r="B1807"/>
      <c r="C1807"/>
      <c r="D1807"/>
      <c r="E1807"/>
      <c r="F1807"/>
      <c r="G1807"/>
      <c r="H1807"/>
      <c r="I1807"/>
    </row>
    <row r="1808" spans="2:9" x14ac:dyDescent="0.2">
      <c r="B1808"/>
      <c r="C1808"/>
      <c r="D1808"/>
      <c r="E1808"/>
      <c r="F1808"/>
      <c r="G1808"/>
      <c r="H1808"/>
      <c r="I1808"/>
    </row>
    <row r="1809" spans="2:9" x14ac:dyDescent="0.2">
      <c r="B1809"/>
      <c r="C1809"/>
      <c r="D1809"/>
      <c r="E1809"/>
      <c r="F1809"/>
      <c r="G1809"/>
      <c r="H1809"/>
      <c r="I1809"/>
    </row>
    <row r="1810" spans="2:9" x14ac:dyDescent="0.2">
      <c r="B1810"/>
      <c r="C1810"/>
      <c r="D1810"/>
      <c r="E1810"/>
      <c r="F1810"/>
      <c r="G1810"/>
      <c r="H1810"/>
      <c r="I1810"/>
    </row>
    <row r="1811" spans="2:9" x14ac:dyDescent="0.2">
      <c r="B1811"/>
      <c r="C1811"/>
      <c r="D1811"/>
      <c r="E1811"/>
      <c r="F1811"/>
      <c r="G1811"/>
      <c r="H1811"/>
      <c r="I1811"/>
    </row>
    <row r="1812" spans="2:9" x14ac:dyDescent="0.2">
      <c r="B1812"/>
      <c r="C1812"/>
      <c r="D1812"/>
      <c r="E1812"/>
      <c r="F1812"/>
      <c r="G1812"/>
      <c r="H1812"/>
      <c r="I1812"/>
    </row>
    <row r="1813" spans="2:9" x14ac:dyDescent="0.2">
      <c r="B1813"/>
      <c r="C1813"/>
      <c r="D1813"/>
      <c r="E1813"/>
      <c r="F1813"/>
      <c r="G1813"/>
      <c r="H1813"/>
      <c r="I1813"/>
    </row>
    <row r="1814" spans="2:9" x14ac:dyDescent="0.2">
      <c r="B1814"/>
      <c r="C1814"/>
      <c r="D1814"/>
      <c r="E1814"/>
      <c r="F1814"/>
      <c r="G1814"/>
      <c r="H1814"/>
      <c r="I1814"/>
    </row>
    <row r="1815" spans="2:9" x14ac:dyDescent="0.2">
      <c r="B1815"/>
      <c r="C1815"/>
      <c r="D1815"/>
      <c r="E1815"/>
      <c r="F1815"/>
      <c r="G1815"/>
      <c r="H1815"/>
      <c r="I1815"/>
    </row>
    <row r="1816" spans="2:9" x14ac:dyDescent="0.2">
      <c r="B1816"/>
      <c r="C1816"/>
      <c r="D1816"/>
      <c r="E1816"/>
      <c r="F1816"/>
      <c r="G1816"/>
      <c r="H1816"/>
      <c r="I1816"/>
    </row>
    <row r="1817" spans="2:9" x14ac:dyDescent="0.2">
      <c r="B1817"/>
      <c r="C1817"/>
      <c r="D1817"/>
      <c r="E1817"/>
      <c r="F1817"/>
      <c r="G1817"/>
      <c r="H1817"/>
      <c r="I1817"/>
    </row>
    <row r="1818" spans="2:9" x14ac:dyDescent="0.2">
      <c r="B1818"/>
      <c r="C1818"/>
      <c r="D1818"/>
      <c r="E1818"/>
      <c r="F1818"/>
      <c r="G1818"/>
      <c r="H1818"/>
      <c r="I1818"/>
    </row>
    <row r="1819" spans="2:9" x14ac:dyDescent="0.2">
      <c r="B1819"/>
      <c r="C1819"/>
      <c r="D1819"/>
      <c r="E1819"/>
      <c r="F1819"/>
      <c r="G1819"/>
      <c r="H1819"/>
      <c r="I1819"/>
    </row>
    <row r="1820" spans="2:9" x14ac:dyDescent="0.2">
      <c r="B1820"/>
      <c r="C1820"/>
      <c r="D1820"/>
      <c r="E1820"/>
      <c r="F1820"/>
      <c r="G1820"/>
      <c r="H1820"/>
      <c r="I1820"/>
    </row>
    <row r="1821" spans="2:9" x14ac:dyDescent="0.2">
      <c r="B1821"/>
      <c r="C1821"/>
      <c r="D1821"/>
      <c r="E1821"/>
      <c r="F1821"/>
      <c r="G1821"/>
      <c r="H1821"/>
      <c r="I1821"/>
    </row>
    <row r="1822" spans="2:9" x14ac:dyDescent="0.2">
      <c r="B1822"/>
      <c r="C1822"/>
      <c r="D1822"/>
      <c r="E1822"/>
      <c r="F1822"/>
      <c r="G1822"/>
      <c r="H1822"/>
      <c r="I1822"/>
    </row>
    <row r="1823" spans="2:9" x14ac:dyDescent="0.2">
      <c r="B1823"/>
      <c r="C1823"/>
      <c r="D1823"/>
      <c r="E1823"/>
      <c r="F1823"/>
      <c r="G1823"/>
      <c r="H1823"/>
      <c r="I1823"/>
    </row>
    <row r="1824" spans="2:9" x14ac:dyDescent="0.2">
      <c r="B1824"/>
      <c r="C1824"/>
      <c r="D1824"/>
      <c r="E1824"/>
      <c r="F1824"/>
      <c r="G1824"/>
      <c r="H1824"/>
      <c r="I1824"/>
    </row>
    <row r="1825" spans="2:9" x14ac:dyDescent="0.2">
      <c r="B1825"/>
      <c r="C1825"/>
      <c r="D1825"/>
      <c r="E1825"/>
      <c r="F1825"/>
      <c r="G1825"/>
      <c r="H1825"/>
      <c r="I1825"/>
    </row>
    <row r="1826" spans="2:9" x14ac:dyDescent="0.2">
      <c r="B1826"/>
      <c r="C1826"/>
      <c r="D1826"/>
      <c r="E1826"/>
      <c r="F1826"/>
      <c r="G1826"/>
      <c r="H1826"/>
      <c r="I1826"/>
    </row>
    <row r="1827" spans="2:9" x14ac:dyDescent="0.2">
      <c r="B1827"/>
      <c r="C1827"/>
      <c r="D1827"/>
      <c r="E1827"/>
      <c r="F1827"/>
      <c r="G1827"/>
      <c r="H1827"/>
      <c r="I1827"/>
    </row>
    <row r="1828" spans="2:9" x14ac:dyDescent="0.2">
      <c r="B1828"/>
      <c r="C1828"/>
      <c r="D1828"/>
      <c r="E1828"/>
      <c r="F1828"/>
      <c r="G1828"/>
      <c r="H1828"/>
      <c r="I1828"/>
    </row>
    <row r="1829" spans="2:9" x14ac:dyDescent="0.2">
      <c r="B1829"/>
      <c r="C1829"/>
      <c r="D1829"/>
      <c r="E1829"/>
      <c r="F1829"/>
      <c r="G1829"/>
      <c r="H1829"/>
      <c r="I1829"/>
    </row>
    <row r="1830" spans="2:9" x14ac:dyDescent="0.2">
      <c r="B1830"/>
      <c r="C1830"/>
      <c r="D1830"/>
      <c r="E1830"/>
      <c r="F1830"/>
      <c r="G1830"/>
      <c r="H1830"/>
      <c r="I1830"/>
    </row>
    <row r="1831" spans="2:9" x14ac:dyDescent="0.2">
      <c r="B1831"/>
      <c r="C1831"/>
      <c r="D1831"/>
      <c r="E1831"/>
      <c r="F1831"/>
      <c r="G1831"/>
      <c r="H1831"/>
      <c r="I1831"/>
    </row>
    <row r="1832" spans="2:9" x14ac:dyDescent="0.2">
      <c r="B1832"/>
      <c r="C1832"/>
      <c r="D1832"/>
      <c r="E1832"/>
      <c r="F1832"/>
      <c r="G1832"/>
      <c r="H1832"/>
      <c r="I1832"/>
    </row>
    <row r="1833" spans="2:9" x14ac:dyDescent="0.2">
      <c r="B1833"/>
      <c r="C1833"/>
      <c r="D1833"/>
      <c r="E1833"/>
      <c r="F1833"/>
      <c r="G1833"/>
      <c r="H1833"/>
      <c r="I1833"/>
    </row>
    <row r="1834" spans="2:9" x14ac:dyDescent="0.2">
      <c r="B1834"/>
      <c r="C1834"/>
      <c r="D1834"/>
      <c r="E1834"/>
      <c r="F1834"/>
      <c r="G1834"/>
      <c r="H1834"/>
      <c r="I1834"/>
    </row>
    <row r="1835" spans="2:9" x14ac:dyDescent="0.2">
      <c r="B1835"/>
      <c r="C1835"/>
      <c r="D1835"/>
      <c r="E1835"/>
      <c r="F1835"/>
      <c r="G1835"/>
      <c r="H1835"/>
      <c r="I1835"/>
    </row>
    <row r="1836" spans="2:9" x14ac:dyDescent="0.2">
      <c r="B1836"/>
      <c r="C1836"/>
      <c r="D1836"/>
      <c r="E1836"/>
      <c r="F1836"/>
      <c r="G1836"/>
      <c r="H1836"/>
      <c r="I1836"/>
    </row>
    <row r="1837" spans="2:9" x14ac:dyDescent="0.2">
      <c r="B1837"/>
      <c r="C1837"/>
      <c r="D1837"/>
      <c r="E1837"/>
      <c r="F1837"/>
      <c r="G1837"/>
      <c r="H1837"/>
      <c r="I1837"/>
    </row>
    <row r="1838" spans="2:9" x14ac:dyDescent="0.2">
      <c r="B1838"/>
      <c r="C1838"/>
      <c r="D1838"/>
      <c r="E1838"/>
      <c r="F1838"/>
      <c r="G1838"/>
      <c r="H1838"/>
      <c r="I1838"/>
    </row>
    <row r="1839" spans="2:9" x14ac:dyDescent="0.2">
      <c r="B1839"/>
      <c r="C1839"/>
      <c r="D1839"/>
      <c r="E1839"/>
      <c r="F1839"/>
      <c r="G1839"/>
      <c r="H1839"/>
      <c r="I1839"/>
    </row>
    <row r="1840" spans="2:9" x14ac:dyDescent="0.2">
      <c r="B1840"/>
      <c r="C1840"/>
      <c r="D1840"/>
      <c r="E1840"/>
      <c r="F1840"/>
      <c r="G1840"/>
      <c r="H1840"/>
      <c r="I1840"/>
    </row>
    <row r="1841" spans="2:9" x14ac:dyDescent="0.2">
      <c r="B1841"/>
      <c r="C1841"/>
      <c r="D1841"/>
      <c r="E1841"/>
      <c r="F1841"/>
      <c r="G1841"/>
      <c r="H1841"/>
      <c r="I1841"/>
    </row>
    <row r="1842" spans="2:9" x14ac:dyDescent="0.2">
      <c r="B1842"/>
      <c r="C1842"/>
      <c r="D1842"/>
      <c r="E1842"/>
      <c r="F1842"/>
      <c r="G1842"/>
      <c r="H1842"/>
      <c r="I1842"/>
    </row>
    <row r="1843" spans="2:9" x14ac:dyDescent="0.2">
      <c r="B1843"/>
      <c r="C1843"/>
      <c r="D1843"/>
      <c r="E1843"/>
      <c r="F1843"/>
      <c r="G1843"/>
      <c r="H1843"/>
      <c r="I1843"/>
    </row>
    <row r="1844" spans="2:9" x14ac:dyDescent="0.2">
      <c r="B1844"/>
      <c r="C1844"/>
      <c r="D1844"/>
      <c r="E1844"/>
      <c r="F1844"/>
      <c r="G1844"/>
      <c r="H1844"/>
      <c r="I1844"/>
    </row>
    <row r="1845" spans="2:9" x14ac:dyDescent="0.2">
      <c r="B1845"/>
      <c r="C1845"/>
      <c r="D1845"/>
      <c r="E1845"/>
      <c r="F1845"/>
      <c r="G1845"/>
      <c r="H1845"/>
      <c r="I1845"/>
    </row>
    <row r="1846" spans="2:9" x14ac:dyDescent="0.2">
      <c r="B1846"/>
      <c r="C1846"/>
      <c r="D1846"/>
      <c r="E1846"/>
      <c r="F1846"/>
      <c r="G1846"/>
      <c r="H1846"/>
      <c r="I1846"/>
    </row>
    <row r="1847" spans="2:9" x14ac:dyDescent="0.2">
      <c r="B1847"/>
      <c r="C1847"/>
      <c r="D1847"/>
      <c r="E1847"/>
      <c r="F1847"/>
      <c r="G1847"/>
      <c r="H1847"/>
      <c r="I1847"/>
    </row>
    <row r="1848" spans="2:9" x14ac:dyDescent="0.2">
      <c r="B1848"/>
      <c r="C1848"/>
      <c r="D1848"/>
      <c r="E1848"/>
      <c r="F1848"/>
      <c r="G1848"/>
      <c r="H1848"/>
      <c r="I1848"/>
    </row>
    <row r="1849" spans="2:9" x14ac:dyDescent="0.2">
      <c r="B1849"/>
      <c r="C1849"/>
      <c r="D1849"/>
      <c r="E1849"/>
      <c r="F1849"/>
      <c r="G1849"/>
      <c r="H1849"/>
      <c r="I1849"/>
    </row>
    <row r="1850" spans="2:9" x14ac:dyDescent="0.2">
      <c r="B1850"/>
      <c r="C1850"/>
      <c r="D1850"/>
      <c r="E1850"/>
      <c r="F1850"/>
      <c r="G1850"/>
      <c r="H1850"/>
      <c r="I1850"/>
    </row>
    <row r="1851" spans="2:9" x14ac:dyDescent="0.2">
      <c r="B1851"/>
      <c r="C1851"/>
      <c r="D1851"/>
      <c r="E1851"/>
      <c r="F1851"/>
      <c r="G1851"/>
      <c r="H1851"/>
      <c r="I1851"/>
    </row>
    <row r="1852" spans="2:9" x14ac:dyDescent="0.2">
      <c r="B1852"/>
      <c r="C1852"/>
      <c r="D1852"/>
      <c r="E1852"/>
      <c r="F1852"/>
      <c r="G1852"/>
      <c r="H1852"/>
      <c r="I1852"/>
    </row>
    <row r="1853" spans="2:9" x14ac:dyDescent="0.2">
      <c r="B1853"/>
      <c r="C1853"/>
      <c r="D1853"/>
      <c r="E1853"/>
      <c r="F1853"/>
      <c r="G1853"/>
      <c r="H1853"/>
      <c r="I1853"/>
    </row>
    <row r="1854" spans="2:9" x14ac:dyDescent="0.2">
      <c r="B1854"/>
      <c r="C1854"/>
      <c r="D1854"/>
      <c r="E1854"/>
      <c r="F1854"/>
      <c r="G1854"/>
      <c r="H1854"/>
      <c r="I1854"/>
    </row>
    <row r="1855" spans="2:9" x14ac:dyDescent="0.2">
      <c r="B1855"/>
      <c r="C1855"/>
      <c r="D1855"/>
      <c r="E1855"/>
      <c r="F1855"/>
      <c r="G1855"/>
      <c r="H1855"/>
      <c r="I1855"/>
    </row>
    <row r="1856" spans="2:9" x14ac:dyDescent="0.2">
      <c r="B1856"/>
      <c r="C1856"/>
      <c r="D1856"/>
      <c r="E1856"/>
      <c r="F1856"/>
      <c r="G1856"/>
      <c r="H1856"/>
      <c r="I1856"/>
    </row>
    <row r="1857" spans="2:9" x14ac:dyDescent="0.2">
      <c r="B1857"/>
      <c r="C1857"/>
      <c r="D1857"/>
      <c r="E1857"/>
      <c r="F1857"/>
      <c r="G1857"/>
      <c r="H1857"/>
      <c r="I1857"/>
    </row>
    <row r="1858" spans="2:9" x14ac:dyDescent="0.2">
      <c r="B1858"/>
      <c r="C1858"/>
      <c r="D1858"/>
      <c r="E1858"/>
      <c r="F1858"/>
      <c r="G1858"/>
      <c r="H1858"/>
      <c r="I1858"/>
    </row>
    <row r="1859" spans="2:9" x14ac:dyDescent="0.2">
      <c r="B1859"/>
      <c r="C1859"/>
      <c r="D1859"/>
      <c r="E1859"/>
      <c r="F1859"/>
      <c r="G1859"/>
      <c r="H1859"/>
      <c r="I1859"/>
    </row>
    <row r="1860" spans="2:9" x14ac:dyDescent="0.2">
      <c r="B1860"/>
      <c r="C1860"/>
      <c r="D1860"/>
      <c r="E1860"/>
      <c r="F1860"/>
      <c r="G1860"/>
      <c r="H1860"/>
      <c r="I1860"/>
    </row>
    <row r="1861" spans="2:9" x14ac:dyDescent="0.2">
      <c r="B1861"/>
      <c r="C1861"/>
      <c r="D1861"/>
      <c r="E1861"/>
      <c r="F1861"/>
      <c r="G1861"/>
      <c r="H1861"/>
      <c r="I1861"/>
    </row>
    <row r="1862" spans="2:9" x14ac:dyDescent="0.2">
      <c r="B1862"/>
      <c r="C1862"/>
      <c r="D1862"/>
      <c r="E1862"/>
      <c r="F1862"/>
      <c r="G1862"/>
      <c r="H1862"/>
      <c r="I1862"/>
    </row>
    <row r="1863" spans="2:9" x14ac:dyDescent="0.2">
      <c r="B1863"/>
      <c r="C1863"/>
      <c r="D1863"/>
      <c r="E1863"/>
      <c r="F1863"/>
      <c r="G1863"/>
      <c r="H1863"/>
      <c r="I1863"/>
    </row>
    <row r="1864" spans="2:9" x14ac:dyDescent="0.2">
      <c r="B1864"/>
      <c r="C1864"/>
      <c r="D1864"/>
      <c r="E1864"/>
      <c r="F1864"/>
      <c r="G1864"/>
      <c r="H1864"/>
      <c r="I1864"/>
    </row>
    <row r="1865" spans="2:9" x14ac:dyDescent="0.2">
      <c r="B1865"/>
      <c r="C1865"/>
      <c r="D1865"/>
      <c r="E1865"/>
      <c r="F1865"/>
      <c r="G1865"/>
      <c r="H1865"/>
      <c r="I1865"/>
    </row>
    <row r="1866" spans="2:9" x14ac:dyDescent="0.2">
      <c r="B1866"/>
      <c r="C1866"/>
      <c r="D1866"/>
      <c r="E1866"/>
      <c r="F1866"/>
      <c r="G1866"/>
      <c r="H1866"/>
      <c r="I1866"/>
    </row>
    <row r="1867" spans="2:9" x14ac:dyDescent="0.2">
      <c r="B1867"/>
      <c r="C1867"/>
      <c r="D1867"/>
      <c r="E1867"/>
      <c r="F1867"/>
      <c r="G1867"/>
      <c r="H1867"/>
      <c r="I1867"/>
    </row>
    <row r="1868" spans="2:9" x14ac:dyDescent="0.2">
      <c r="B1868"/>
      <c r="C1868"/>
      <c r="D1868"/>
      <c r="E1868"/>
      <c r="F1868"/>
      <c r="G1868"/>
      <c r="H1868"/>
      <c r="I1868"/>
    </row>
    <row r="1869" spans="2:9" x14ac:dyDescent="0.2">
      <c r="B1869"/>
      <c r="C1869"/>
      <c r="D1869"/>
      <c r="E1869"/>
      <c r="F1869"/>
      <c r="G1869"/>
      <c r="H1869"/>
      <c r="I1869"/>
    </row>
    <row r="1870" spans="2:9" x14ac:dyDescent="0.2">
      <c r="B1870"/>
      <c r="C1870"/>
      <c r="D1870"/>
      <c r="E1870"/>
      <c r="F1870"/>
      <c r="G1870"/>
      <c r="H1870"/>
      <c r="I1870"/>
    </row>
    <row r="1871" spans="2:9" x14ac:dyDescent="0.2">
      <c r="B1871"/>
      <c r="C1871"/>
      <c r="D1871"/>
      <c r="E1871"/>
      <c r="F1871"/>
      <c r="G1871"/>
      <c r="H1871"/>
      <c r="I1871"/>
    </row>
    <row r="1872" spans="2:9" x14ac:dyDescent="0.2">
      <c r="B1872"/>
      <c r="C1872"/>
      <c r="D1872"/>
      <c r="E1872"/>
      <c r="F1872"/>
      <c r="G1872"/>
      <c r="H1872"/>
      <c r="I1872"/>
    </row>
    <row r="1873" spans="2:9" x14ac:dyDescent="0.2">
      <c r="B1873"/>
      <c r="C1873"/>
      <c r="D1873"/>
      <c r="E1873"/>
      <c r="F1873"/>
      <c r="G1873"/>
      <c r="H1873"/>
      <c r="I1873"/>
    </row>
    <row r="1874" spans="2:9" x14ac:dyDescent="0.2">
      <c r="B1874"/>
      <c r="C1874"/>
      <c r="D1874"/>
      <c r="E1874"/>
      <c r="F1874"/>
      <c r="G1874"/>
      <c r="H1874"/>
      <c r="I1874"/>
    </row>
    <row r="1875" spans="2:9" x14ac:dyDescent="0.2">
      <c r="B1875"/>
      <c r="C1875"/>
      <c r="D1875"/>
      <c r="E1875"/>
      <c r="F1875"/>
      <c r="G1875"/>
      <c r="H1875"/>
      <c r="I1875"/>
    </row>
    <row r="1876" spans="2:9" x14ac:dyDescent="0.2">
      <c r="B1876"/>
      <c r="C1876"/>
      <c r="D1876"/>
      <c r="E1876"/>
      <c r="F1876"/>
      <c r="G1876"/>
      <c r="H1876"/>
      <c r="I1876"/>
    </row>
    <row r="1877" spans="2:9" x14ac:dyDescent="0.2">
      <c r="B1877"/>
      <c r="C1877"/>
      <c r="D1877"/>
      <c r="E1877"/>
      <c r="F1877"/>
      <c r="G1877"/>
      <c r="H1877"/>
      <c r="I1877"/>
    </row>
    <row r="1878" spans="2:9" x14ac:dyDescent="0.2">
      <c r="B1878"/>
      <c r="C1878"/>
      <c r="D1878"/>
      <c r="E1878"/>
      <c r="F1878"/>
      <c r="G1878"/>
      <c r="H1878"/>
      <c r="I1878"/>
    </row>
    <row r="1879" spans="2:9" x14ac:dyDescent="0.2">
      <c r="B1879"/>
      <c r="C1879"/>
      <c r="D1879"/>
      <c r="E1879"/>
      <c r="F1879"/>
      <c r="G1879"/>
      <c r="H1879"/>
      <c r="I1879"/>
    </row>
    <row r="1880" spans="2:9" x14ac:dyDescent="0.2">
      <c r="B1880"/>
      <c r="C1880"/>
      <c r="D1880"/>
      <c r="E1880"/>
      <c r="F1880"/>
      <c r="G1880"/>
      <c r="H1880"/>
      <c r="I1880"/>
    </row>
    <row r="1881" spans="2:9" x14ac:dyDescent="0.2">
      <c r="B1881"/>
      <c r="C1881"/>
      <c r="D1881"/>
      <c r="E1881"/>
      <c r="F1881"/>
      <c r="G1881"/>
      <c r="H1881"/>
      <c r="I1881"/>
    </row>
    <row r="1882" spans="2:9" x14ac:dyDescent="0.2">
      <c r="B1882"/>
      <c r="C1882"/>
      <c r="D1882"/>
      <c r="E1882"/>
      <c r="F1882"/>
      <c r="G1882"/>
      <c r="H1882"/>
      <c r="I1882"/>
    </row>
    <row r="1883" spans="2:9" x14ac:dyDescent="0.2">
      <c r="B1883"/>
      <c r="C1883"/>
      <c r="D1883"/>
      <c r="E1883"/>
      <c r="F1883"/>
      <c r="G1883"/>
      <c r="H1883"/>
      <c r="I1883"/>
    </row>
    <row r="1884" spans="2:9" x14ac:dyDescent="0.2">
      <c r="B1884"/>
      <c r="C1884"/>
      <c r="D1884"/>
      <c r="E1884"/>
      <c r="F1884"/>
      <c r="G1884"/>
      <c r="H1884"/>
      <c r="I1884"/>
    </row>
    <row r="1885" spans="2:9" x14ac:dyDescent="0.2">
      <c r="B1885"/>
      <c r="C1885"/>
      <c r="D1885"/>
      <c r="E1885"/>
      <c r="F1885"/>
      <c r="G1885"/>
      <c r="H1885"/>
      <c r="I1885"/>
    </row>
    <row r="1886" spans="2:9" x14ac:dyDescent="0.2">
      <c r="B1886"/>
      <c r="C1886"/>
      <c r="D1886"/>
      <c r="E1886"/>
      <c r="F1886"/>
      <c r="G1886"/>
      <c r="H1886"/>
      <c r="I1886"/>
    </row>
    <row r="1887" spans="2:9" x14ac:dyDescent="0.2">
      <c r="B1887"/>
      <c r="C1887"/>
      <c r="D1887"/>
      <c r="E1887"/>
      <c r="F1887"/>
      <c r="G1887"/>
      <c r="H1887"/>
      <c r="I1887"/>
    </row>
    <row r="1888" spans="2:9" x14ac:dyDescent="0.2">
      <c r="B1888"/>
      <c r="C1888"/>
      <c r="D1888"/>
      <c r="E1888"/>
      <c r="F1888"/>
      <c r="G1888"/>
      <c r="H1888"/>
      <c r="I1888"/>
    </row>
    <row r="1889" spans="2:9" x14ac:dyDescent="0.2">
      <c r="B1889"/>
      <c r="C1889"/>
      <c r="D1889"/>
      <c r="E1889"/>
      <c r="F1889"/>
      <c r="G1889"/>
      <c r="H1889"/>
      <c r="I1889"/>
    </row>
    <row r="1890" spans="2:9" x14ac:dyDescent="0.2">
      <c r="B1890"/>
      <c r="C1890"/>
      <c r="D1890"/>
      <c r="E1890"/>
      <c r="F1890"/>
      <c r="G1890"/>
      <c r="H1890"/>
      <c r="I1890"/>
    </row>
    <row r="1891" spans="2:9" x14ac:dyDescent="0.2">
      <c r="B1891"/>
      <c r="C1891"/>
      <c r="D1891"/>
      <c r="E1891"/>
      <c r="F1891"/>
      <c r="G1891"/>
      <c r="H1891"/>
      <c r="I1891"/>
    </row>
    <row r="1892" spans="2:9" x14ac:dyDescent="0.2">
      <c r="B1892"/>
      <c r="C1892"/>
      <c r="D1892"/>
      <c r="E1892"/>
      <c r="F1892"/>
      <c r="G1892"/>
      <c r="H1892"/>
      <c r="I1892"/>
    </row>
    <row r="1893" spans="2:9" x14ac:dyDescent="0.2">
      <c r="B1893"/>
      <c r="C1893"/>
      <c r="D1893"/>
      <c r="E1893"/>
      <c r="F1893"/>
      <c r="G1893"/>
      <c r="H1893"/>
      <c r="I1893"/>
    </row>
    <row r="1894" spans="2:9" x14ac:dyDescent="0.2">
      <c r="B1894"/>
      <c r="C1894"/>
      <c r="D1894"/>
      <c r="E1894"/>
      <c r="F1894"/>
      <c r="G1894"/>
      <c r="H1894"/>
      <c r="I1894"/>
    </row>
    <row r="1895" spans="2:9" x14ac:dyDescent="0.2">
      <c r="B1895"/>
      <c r="C1895"/>
      <c r="D1895"/>
      <c r="E1895"/>
      <c r="F1895"/>
      <c r="G1895"/>
      <c r="H1895"/>
      <c r="I1895"/>
    </row>
    <row r="1896" spans="2:9" x14ac:dyDescent="0.2">
      <c r="B1896"/>
      <c r="C1896"/>
      <c r="D1896"/>
      <c r="E1896"/>
      <c r="F1896"/>
      <c r="G1896"/>
      <c r="H1896"/>
      <c r="I1896"/>
    </row>
    <row r="1897" spans="2:9" x14ac:dyDescent="0.2">
      <c r="B1897"/>
      <c r="C1897"/>
      <c r="D1897"/>
      <c r="E1897"/>
      <c r="F1897"/>
      <c r="G1897"/>
      <c r="H1897"/>
      <c r="I1897"/>
    </row>
    <row r="1898" spans="2:9" x14ac:dyDescent="0.2">
      <c r="B1898"/>
      <c r="C1898"/>
      <c r="D1898"/>
      <c r="E1898"/>
      <c r="F1898"/>
      <c r="G1898"/>
      <c r="H1898"/>
      <c r="I1898"/>
    </row>
    <row r="1899" spans="2:9" x14ac:dyDescent="0.2">
      <c r="B1899"/>
      <c r="C1899"/>
      <c r="D1899"/>
      <c r="E1899"/>
      <c r="F1899"/>
      <c r="G1899"/>
      <c r="H1899"/>
      <c r="I1899"/>
    </row>
    <row r="1900" spans="2:9" x14ac:dyDescent="0.2">
      <c r="B1900"/>
      <c r="C1900"/>
      <c r="D1900"/>
      <c r="E1900"/>
      <c r="F1900"/>
      <c r="G1900"/>
      <c r="H1900"/>
      <c r="I1900"/>
    </row>
    <row r="1901" spans="2:9" x14ac:dyDescent="0.2">
      <c r="B1901"/>
      <c r="C1901"/>
      <c r="D1901"/>
      <c r="E1901"/>
      <c r="F1901"/>
      <c r="G1901"/>
      <c r="H1901"/>
      <c r="I1901"/>
    </row>
    <row r="1902" spans="2:9" x14ac:dyDescent="0.2">
      <c r="B1902"/>
      <c r="C1902"/>
      <c r="D1902"/>
      <c r="E1902"/>
      <c r="F1902"/>
      <c r="G1902"/>
      <c r="H1902"/>
      <c r="I1902"/>
    </row>
    <row r="1903" spans="2:9" x14ac:dyDescent="0.2">
      <c r="B1903"/>
      <c r="C1903"/>
      <c r="D1903"/>
      <c r="E1903"/>
      <c r="F1903"/>
      <c r="G1903"/>
      <c r="H1903"/>
      <c r="I1903"/>
    </row>
    <row r="1904" spans="2:9" x14ac:dyDescent="0.2">
      <c r="B1904"/>
      <c r="C1904"/>
      <c r="D1904"/>
      <c r="E1904"/>
      <c r="F1904"/>
      <c r="G1904"/>
      <c r="H1904"/>
      <c r="I1904"/>
    </row>
    <row r="1905" spans="2:9" x14ac:dyDescent="0.2">
      <c r="B1905"/>
      <c r="C1905"/>
      <c r="D1905"/>
      <c r="E1905"/>
      <c r="F1905"/>
      <c r="G1905"/>
      <c r="H1905"/>
      <c r="I1905"/>
    </row>
    <row r="1906" spans="2:9" x14ac:dyDescent="0.2">
      <c r="B1906"/>
      <c r="C1906"/>
      <c r="D1906"/>
      <c r="E1906"/>
      <c r="F1906"/>
      <c r="G1906"/>
      <c r="H1906"/>
      <c r="I1906"/>
    </row>
    <row r="1907" spans="2:9" x14ac:dyDescent="0.2">
      <c r="B1907"/>
      <c r="C1907"/>
      <c r="D1907"/>
      <c r="E1907"/>
      <c r="F1907"/>
      <c r="G1907"/>
      <c r="H1907"/>
      <c r="I1907"/>
    </row>
    <row r="1908" spans="2:9" x14ac:dyDescent="0.2">
      <c r="B1908"/>
      <c r="C1908"/>
      <c r="D1908"/>
      <c r="E1908"/>
      <c r="F1908"/>
      <c r="G1908"/>
      <c r="H1908"/>
      <c r="I1908"/>
    </row>
    <row r="1909" spans="2:9" x14ac:dyDescent="0.2">
      <c r="B1909"/>
      <c r="C1909"/>
      <c r="D1909"/>
      <c r="E1909"/>
      <c r="F1909"/>
      <c r="G1909"/>
      <c r="H1909"/>
      <c r="I1909"/>
    </row>
    <row r="1910" spans="2:9" x14ac:dyDescent="0.2">
      <c r="B1910"/>
      <c r="C1910"/>
      <c r="D1910"/>
      <c r="E1910"/>
      <c r="F1910"/>
      <c r="G1910"/>
      <c r="H1910"/>
      <c r="I1910"/>
    </row>
    <row r="1911" spans="2:9" x14ac:dyDescent="0.2">
      <c r="B1911"/>
      <c r="C1911"/>
      <c r="D1911"/>
      <c r="E1911"/>
      <c r="F1911"/>
      <c r="G1911"/>
      <c r="H1911"/>
      <c r="I1911"/>
    </row>
    <row r="1912" spans="2:9" x14ac:dyDescent="0.2">
      <c r="B1912"/>
      <c r="C1912"/>
      <c r="D1912"/>
      <c r="E1912"/>
      <c r="F1912"/>
      <c r="G1912"/>
      <c r="H1912"/>
      <c r="I1912"/>
    </row>
    <row r="1913" spans="2:9" x14ac:dyDescent="0.2">
      <c r="B1913"/>
      <c r="C1913"/>
      <c r="D1913"/>
      <c r="E1913"/>
      <c r="F1913"/>
      <c r="G1913"/>
      <c r="H1913"/>
      <c r="I1913"/>
    </row>
    <row r="1914" spans="2:9" x14ac:dyDescent="0.2">
      <c r="B1914"/>
      <c r="C1914"/>
      <c r="D1914"/>
      <c r="E1914"/>
      <c r="F1914"/>
      <c r="G1914"/>
      <c r="H1914"/>
      <c r="I1914"/>
    </row>
    <row r="1915" spans="2:9" x14ac:dyDescent="0.2">
      <c r="B1915"/>
      <c r="C1915"/>
      <c r="D1915"/>
      <c r="E1915"/>
      <c r="F1915"/>
      <c r="G1915"/>
      <c r="H1915"/>
      <c r="I1915"/>
    </row>
    <row r="1916" spans="2:9" x14ac:dyDescent="0.2">
      <c r="B1916"/>
      <c r="C1916"/>
      <c r="D1916"/>
      <c r="E1916"/>
      <c r="F1916"/>
      <c r="G1916"/>
      <c r="H1916"/>
      <c r="I1916"/>
    </row>
    <row r="1917" spans="2:9" x14ac:dyDescent="0.2">
      <c r="B1917"/>
      <c r="C1917"/>
      <c r="D1917"/>
      <c r="E1917"/>
      <c r="F1917"/>
      <c r="G1917"/>
      <c r="H1917"/>
      <c r="I1917"/>
    </row>
    <row r="1918" spans="2:9" x14ac:dyDescent="0.2">
      <c r="B1918"/>
      <c r="C1918"/>
      <c r="D1918"/>
      <c r="E1918"/>
      <c r="F1918"/>
      <c r="G1918"/>
      <c r="H1918"/>
      <c r="I1918"/>
    </row>
    <row r="1919" spans="2:9" x14ac:dyDescent="0.2">
      <c r="B1919"/>
      <c r="C1919"/>
      <c r="D1919"/>
      <c r="E1919"/>
      <c r="F1919"/>
      <c r="G1919"/>
      <c r="H1919"/>
      <c r="I1919"/>
    </row>
    <row r="1920" spans="2:9" x14ac:dyDescent="0.2">
      <c r="B1920"/>
      <c r="C1920"/>
      <c r="D1920"/>
      <c r="E1920"/>
      <c r="F1920"/>
      <c r="G1920"/>
      <c r="H1920"/>
      <c r="I1920"/>
    </row>
    <row r="1921" spans="2:9" x14ac:dyDescent="0.2">
      <c r="B1921"/>
      <c r="C1921"/>
      <c r="D1921"/>
      <c r="E1921"/>
      <c r="F1921"/>
      <c r="G1921"/>
      <c r="H1921"/>
      <c r="I1921"/>
    </row>
    <row r="1922" spans="2:9" x14ac:dyDescent="0.2">
      <c r="B1922"/>
      <c r="C1922"/>
      <c r="D1922"/>
      <c r="E1922"/>
      <c r="F1922"/>
      <c r="G1922"/>
      <c r="H1922"/>
      <c r="I1922"/>
    </row>
    <row r="1923" spans="2:9" x14ac:dyDescent="0.2">
      <c r="B1923"/>
      <c r="C1923"/>
      <c r="D1923"/>
      <c r="E1923"/>
      <c r="F1923"/>
      <c r="G1923"/>
      <c r="H1923"/>
      <c r="I1923"/>
    </row>
    <row r="1924" spans="2:9" x14ac:dyDescent="0.2">
      <c r="B1924"/>
      <c r="C1924"/>
      <c r="D1924"/>
      <c r="E1924"/>
      <c r="F1924"/>
      <c r="G1924"/>
      <c r="H1924"/>
      <c r="I1924"/>
    </row>
    <row r="1925" spans="2:9" x14ac:dyDescent="0.2">
      <c r="B1925"/>
      <c r="C1925"/>
      <c r="D1925"/>
      <c r="E1925"/>
      <c r="F1925"/>
      <c r="G1925"/>
      <c r="H1925"/>
      <c r="I1925"/>
    </row>
    <row r="1926" spans="2:9" x14ac:dyDescent="0.2">
      <c r="B1926"/>
      <c r="C1926"/>
      <c r="D1926"/>
      <c r="E1926"/>
      <c r="F1926"/>
      <c r="G1926"/>
      <c r="H1926"/>
      <c r="I1926"/>
    </row>
    <row r="1927" spans="2:9" x14ac:dyDescent="0.2">
      <c r="B1927"/>
      <c r="C1927"/>
      <c r="D1927"/>
      <c r="E1927"/>
      <c r="F1927"/>
      <c r="G1927"/>
      <c r="H1927"/>
      <c r="I1927"/>
    </row>
    <row r="1928" spans="2:9" x14ac:dyDescent="0.2">
      <c r="B1928"/>
      <c r="C1928"/>
      <c r="D1928"/>
      <c r="E1928"/>
      <c r="F1928"/>
      <c r="G1928"/>
      <c r="H1928"/>
      <c r="I1928"/>
    </row>
    <row r="1929" spans="2:9" x14ac:dyDescent="0.2">
      <c r="B1929"/>
      <c r="C1929"/>
      <c r="D1929"/>
      <c r="E1929"/>
      <c r="F1929"/>
      <c r="G1929"/>
      <c r="H1929"/>
      <c r="I1929"/>
    </row>
    <row r="1930" spans="2:9" x14ac:dyDescent="0.2">
      <c r="B1930"/>
      <c r="C1930"/>
      <c r="D1930"/>
      <c r="E1930"/>
      <c r="F1930"/>
      <c r="G1930"/>
      <c r="H1930"/>
      <c r="I1930"/>
    </row>
    <row r="1931" spans="2:9" x14ac:dyDescent="0.2">
      <c r="B1931"/>
      <c r="C1931"/>
      <c r="D1931"/>
      <c r="E1931"/>
      <c r="F1931"/>
      <c r="G1931"/>
      <c r="H1931"/>
      <c r="I1931"/>
    </row>
    <row r="1932" spans="2:9" x14ac:dyDescent="0.2">
      <c r="B1932"/>
      <c r="C1932"/>
      <c r="D1932"/>
      <c r="E1932"/>
      <c r="F1932"/>
      <c r="G1932"/>
      <c r="H1932"/>
      <c r="I1932"/>
    </row>
    <row r="1933" spans="2:9" x14ac:dyDescent="0.2">
      <c r="B1933"/>
      <c r="C1933"/>
      <c r="D1933"/>
      <c r="E1933"/>
      <c r="F1933"/>
      <c r="G1933"/>
      <c r="H1933"/>
      <c r="I1933"/>
    </row>
    <row r="1934" spans="2:9" x14ac:dyDescent="0.2">
      <c r="B1934"/>
      <c r="C1934"/>
      <c r="D1934"/>
      <c r="E1934"/>
      <c r="F1934"/>
      <c r="G1934"/>
      <c r="H1934"/>
      <c r="I1934"/>
    </row>
    <row r="1935" spans="2:9" x14ac:dyDescent="0.2">
      <c r="B1935"/>
      <c r="C1935"/>
      <c r="D1935"/>
      <c r="E1935"/>
      <c r="F1935"/>
      <c r="G1935"/>
      <c r="H1935"/>
      <c r="I1935"/>
    </row>
    <row r="1936" spans="2:9" x14ac:dyDescent="0.2">
      <c r="B1936"/>
      <c r="C1936"/>
      <c r="D1936"/>
      <c r="E1936"/>
      <c r="F1936"/>
      <c r="G1936"/>
      <c r="H1936"/>
      <c r="I1936"/>
    </row>
    <row r="1937" spans="2:9" x14ac:dyDescent="0.2">
      <c r="B1937"/>
      <c r="C1937"/>
      <c r="D1937"/>
      <c r="E1937"/>
      <c r="F1937"/>
      <c r="G1937"/>
      <c r="H1937"/>
      <c r="I1937"/>
    </row>
    <row r="1938" spans="2:9" x14ac:dyDescent="0.2">
      <c r="B1938"/>
      <c r="C1938"/>
      <c r="D1938"/>
      <c r="E1938"/>
      <c r="F1938"/>
      <c r="G1938"/>
      <c r="H1938"/>
      <c r="I1938"/>
    </row>
    <row r="1939" spans="2:9" x14ac:dyDescent="0.2">
      <c r="B1939"/>
      <c r="C1939"/>
      <c r="D1939"/>
      <c r="E1939"/>
      <c r="F1939"/>
      <c r="G1939"/>
      <c r="H1939"/>
      <c r="I1939"/>
    </row>
    <row r="1940" spans="2:9" x14ac:dyDescent="0.2">
      <c r="B1940"/>
      <c r="C1940"/>
      <c r="D1940"/>
      <c r="E1940"/>
      <c r="F1940"/>
      <c r="G1940"/>
      <c r="H1940"/>
      <c r="I1940"/>
    </row>
    <row r="1941" spans="2:9" x14ac:dyDescent="0.2">
      <c r="B1941"/>
      <c r="C1941"/>
      <c r="D1941"/>
      <c r="E1941"/>
      <c r="F1941"/>
      <c r="G1941"/>
      <c r="H1941"/>
      <c r="I1941"/>
    </row>
    <row r="1942" spans="2:9" x14ac:dyDescent="0.2">
      <c r="B1942"/>
      <c r="C1942"/>
      <c r="D1942"/>
      <c r="E1942"/>
      <c r="F1942"/>
      <c r="G1942"/>
      <c r="H1942"/>
      <c r="I1942"/>
    </row>
    <row r="1943" spans="2:9" x14ac:dyDescent="0.2">
      <c r="B1943"/>
      <c r="C1943"/>
      <c r="D1943"/>
      <c r="E1943"/>
      <c r="F1943"/>
      <c r="G1943"/>
      <c r="H1943"/>
      <c r="I1943"/>
    </row>
    <row r="1944" spans="2:9" x14ac:dyDescent="0.2">
      <c r="B1944"/>
      <c r="C1944"/>
      <c r="D1944"/>
      <c r="E1944"/>
      <c r="F1944"/>
      <c r="G1944"/>
      <c r="H1944"/>
      <c r="I1944"/>
    </row>
    <row r="1945" spans="2:9" x14ac:dyDescent="0.2">
      <c r="B1945"/>
      <c r="C1945"/>
      <c r="D1945"/>
      <c r="E1945"/>
      <c r="F1945"/>
      <c r="G1945"/>
      <c r="H1945"/>
      <c r="I1945"/>
    </row>
    <row r="1946" spans="2:9" x14ac:dyDescent="0.2">
      <c r="B1946"/>
      <c r="C1946"/>
      <c r="D1946"/>
      <c r="E1946"/>
      <c r="F1946"/>
      <c r="G1946"/>
      <c r="H1946"/>
      <c r="I1946"/>
    </row>
    <row r="1947" spans="2:9" x14ac:dyDescent="0.2">
      <c r="B1947"/>
      <c r="C1947"/>
      <c r="D1947"/>
      <c r="E1947"/>
      <c r="F1947"/>
      <c r="G1947"/>
      <c r="H1947"/>
      <c r="I1947"/>
    </row>
    <row r="1948" spans="2:9" x14ac:dyDescent="0.2">
      <c r="B1948"/>
      <c r="C1948"/>
      <c r="D1948"/>
      <c r="E1948"/>
      <c r="F1948"/>
      <c r="G1948"/>
      <c r="H1948"/>
      <c r="I1948"/>
    </row>
    <row r="1949" spans="2:9" x14ac:dyDescent="0.2">
      <c r="B1949"/>
      <c r="C1949"/>
      <c r="D1949"/>
      <c r="E1949"/>
      <c r="F1949"/>
      <c r="G1949"/>
      <c r="H1949"/>
      <c r="I1949"/>
    </row>
    <row r="1950" spans="2:9" x14ac:dyDescent="0.2">
      <c r="B1950"/>
      <c r="C1950"/>
      <c r="D1950"/>
      <c r="E1950"/>
      <c r="F1950"/>
      <c r="G1950"/>
      <c r="H1950"/>
      <c r="I1950"/>
    </row>
    <row r="1951" spans="2:9" x14ac:dyDescent="0.2">
      <c r="B1951"/>
      <c r="C1951"/>
      <c r="D1951"/>
      <c r="E1951"/>
      <c r="F1951"/>
      <c r="G1951"/>
      <c r="H1951"/>
      <c r="I1951"/>
    </row>
    <row r="1952" spans="2:9" x14ac:dyDescent="0.2">
      <c r="B1952"/>
      <c r="C1952"/>
      <c r="D1952"/>
      <c r="E1952"/>
      <c r="F1952"/>
      <c r="G1952"/>
      <c r="H1952"/>
      <c r="I1952"/>
    </row>
    <row r="1953" spans="2:9" x14ac:dyDescent="0.2">
      <c r="B1953"/>
      <c r="C1953"/>
      <c r="D1953"/>
      <c r="E1953"/>
      <c r="F1953"/>
      <c r="G1953"/>
      <c r="H1953"/>
      <c r="I1953"/>
    </row>
    <row r="1954" spans="2:9" x14ac:dyDescent="0.2">
      <c r="B1954"/>
      <c r="C1954"/>
      <c r="D1954"/>
      <c r="E1954"/>
      <c r="F1954"/>
      <c r="G1954"/>
      <c r="H1954"/>
      <c r="I1954"/>
    </row>
    <row r="1955" spans="2:9" x14ac:dyDescent="0.2">
      <c r="B1955"/>
      <c r="C1955"/>
      <c r="D1955"/>
      <c r="E1955"/>
      <c r="F1955"/>
      <c r="G1955"/>
      <c r="H1955"/>
      <c r="I1955"/>
    </row>
    <row r="1956" spans="2:9" x14ac:dyDescent="0.2">
      <c r="B1956"/>
      <c r="C1956"/>
      <c r="D1956"/>
      <c r="E1956"/>
      <c r="F1956"/>
      <c r="G1956"/>
      <c r="H1956"/>
      <c r="I1956"/>
    </row>
    <row r="1957" spans="2:9" x14ac:dyDescent="0.2">
      <c r="B1957"/>
      <c r="C1957"/>
      <c r="D1957"/>
      <c r="E1957"/>
      <c r="F1957"/>
      <c r="G1957"/>
      <c r="H1957"/>
      <c r="I1957"/>
    </row>
    <row r="1958" spans="2:9" x14ac:dyDescent="0.2">
      <c r="B1958"/>
      <c r="C1958"/>
      <c r="D1958"/>
      <c r="E1958"/>
      <c r="F1958"/>
      <c r="G1958"/>
      <c r="H1958"/>
      <c r="I1958"/>
    </row>
    <row r="1959" spans="2:9" x14ac:dyDescent="0.2">
      <c r="B1959"/>
      <c r="C1959"/>
      <c r="D1959"/>
      <c r="E1959"/>
      <c r="F1959"/>
      <c r="G1959"/>
      <c r="H1959"/>
      <c r="I1959"/>
    </row>
    <row r="1960" spans="2:9" x14ac:dyDescent="0.2">
      <c r="B1960"/>
      <c r="C1960"/>
      <c r="D1960"/>
      <c r="E1960"/>
      <c r="F1960"/>
      <c r="G1960"/>
      <c r="H1960"/>
      <c r="I1960"/>
    </row>
    <row r="1961" spans="2:9" x14ac:dyDescent="0.2">
      <c r="B1961"/>
      <c r="C1961"/>
      <c r="D1961"/>
      <c r="E1961"/>
      <c r="F1961"/>
      <c r="G1961"/>
      <c r="H1961"/>
      <c r="I1961"/>
    </row>
    <row r="1962" spans="2:9" x14ac:dyDescent="0.2">
      <c r="B1962"/>
      <c r="C1962"/>
      <c r="D1962"/>
      <c r="E1962"/>
      <c r="F1962"/>
      <c r="G1962"/>
      <c r="H1962"/>
      <c r="I1962"/>
    </row>
    <row r="1963" spans="2:9" x14ac:dyDescent="0.2">
      <c r="B1963"/>
      <c r="C1963"/>
      <c r="D1963"/>
      <c r="E1963"/>
      <c r="F1963"/>
      <c r="G1963"/>
      <c r="H1963"/>
      <c r="I1963"/>
    </row>
    <row r="1964" spans="2:9" x14ac:dyDescent="0.2">
      <c r="B1964"/>
      <c r="C1964"/>
      <c r="D1964"/>
      <c r="E1964"/>
      <c r="F1964"/>
      <c r="G1964"/>
      <c r="H1964"/>
      <c r="I1964"/>
    </row>
    <row r="1965" spans="2:9" x14ac:dyDescent="0.2">
      <c r="B1965"/>
      <c r="C1965"/>
      <c r="D1965"/>
      <c r="E1965"/>
      <c r="F1965"/>
      <c r="G1965"/>
      <c r="H1965"/>
      <c r="I1965"/>
    </row>
    <row r="1966" spans="2:9" x14ac:dyDescent="0.2">
      <c r="B1966"/>
      <c r="C1966"/>
      <c r="D1966"/>
      <c r="E1966"/>
      <c r="F1966"/>
      <c r="G1966"/>
      <c r="H1966"/>
      <c r="I1966"/>
    </row>
    <row r="1967" spans="2:9" x14ac:dyDescent="0.2">
      <c r="B1967"/>
      <c r="C1967"/>
      <c r="D1967"/>
      <c r="E1967"/>
      <c r="F1967"/>
      <c r="G1967"/>
      <c r="H1967"/>
      <c r="I1967"/>
    </row>
    <row r="1968" spans="2:9" x14ac:dyDescent="0.2">
      <c r="B1968"/>
      <c r="C1968"/>
      <c r="D1968"/>
      <c r="E1968"/>
      <c r="F1968"/>
      <c r="G1968"/>
      <c r="H1968"/>
      <c r="I1968"/>
    </row>
    <row r="1969" spans="2:9" x14ac:dyDescent="0.2">
      <c r="B1969"/>
      <c r="C1969"/>
      <c r="D1969"/>
      <c r="E1969"/>
      <c r="F1969"/>
      <c r="G1969"/>
      <c r="H1969"/>
      <c r="I1969"/>
    </row>
    <row r="1970" spans="2:9" x14ac:dyDescent="0.2">
      <c r="B1970"/>
      <c r="C1970"/>
      <c r="D1970"/>
      <c r="E1970"/>
      <c r="F1970"/>
      <c r="G1970"/>
      <c r="H1970"/>
      <c r="I1970"/>
    </row>
    <row r="1971" spans="2:9" x14ac:dyDescent="0.2">
      <c r="B1971"/>
      <c r="C1971"/>
      <c r="D1971"/>
      <c r="E1971"/>
      <c r="F1971"/>
      <c r="G1971"/>
      <c r="H1971"/>
      <c r="I1971"/>
    </row>
    <row r="1972" spans="2:9" x14ac:dyDescent="0.2">
      <c r="B1972"/>
      <c r="C1972"/>
      <c r="D1972"/>
      <c r="E1972"/>
      <c r="F1972"/>
      <c r="G1972"/>
      <c r="H1972"/>
      <c r="I1972"/>
    </row>
    <row r="1973" spans="2:9" x14ac:dyDescent="0.2">
      <c r="B1973"/>
      <c r="C1973"/>
      <c r="D1973"/>
      <c r="E1973"/>
      <c r="F1973"/>
      <c r="G1973"/>
      <c r="H1973"/>
      <c r="I1973"/>
    </row>
    <row r="1974" spans="2:9" x14ac:dyDescent="0.2">
      <c r="B1974"/>
      <c r="C1974"/>
      <c r="D1974"/>
      <c r="E1974"/>
      <c r="F1974"/>
      <c r="G1974"/>
      <c r="H1974"/>
      <c r="I1974"/>
    </row>
    <row r="1975" spans="2:9" x14ac:dyDescent="0.2">
      <c r="B1975"/>
      <c r="C1975"/>
      <c r="D1975"/>
      <c r="E1975"/>
      <c r="F1975"/>
      <c r="G1975"/>
      <c r="H1975"/>
      <c r="I1975"/>
    </row>
    <row r="1976" spans="2:9" x14ac:dyDescent="0.2">
      <c r="B1976"/>
      <c r="C1976"/>
      <c r="D1976"/>
      <c r="E1976"/>
      <c r="F1976"/>
      <c r="G1976"/>
      <c r="H1976"/>
      <c r="I1976"/>
    </row>
    <row r="1977" spans="2:9" x14ac:dyDescent="0.2">
      <c r="B1977"/>
      <c r="C1977"/>
      <c r="D1977"/>
      <c r="E1977"/>
      <c r="F1977"/>
      <c r="G1977"/>
      <c r="H1977"/>
      <c r="I1977"/>
    </row>
    <row r="1978" spans="2:9" x14ac:dyDescent="0.2">
      <c r="B1978"/>
      <c r="C1978"/>
      <c r="D1978"/>
      <c r="E1978"/>
      <c r="F1978"/>
      <c r="G1978"/>
      <c r="H1978"/>
      <c r="I1978"/>
    </row>
    <row r="1979" spans="2:9" x14ac:dyDescent="0.2">
      <c r="B1979"/>
      <c r="C1979"/>
      <c r="D1979"/>
      <c r="E1979"/>
      <c r="F1979"/>
      <c r="G1979"/>
      <c r="H1979"/>
      <c r="I1979"/>
    </row>
    <row r="1980" spans="2:9" x14ac:dyDescent="0.2">
      <c r="B1980"/>
      <c r="C1980"/>
      <c r="D1980"/>
      <c r="E1980"/>
      <c r="F1980"/>
      <c r="G1980"/>
      <c r="H1980"/>
      <c r="I1980"/>
    </row>
    <row r="1981" spans="2:9" x14ac:dyDescent="0.2">
      <c r="B1981"/>
      <c r="C1981"/>
      <c r="D1981"/>
      <c r="E1981"/>
      <c r="F1981"/>
      <c r="G1981"/>
      <c r="H1981"/>
      <c r="I1981"/>
    </row>
    <row r="1982" spans="2:9" x14ac:dyDescent="0.2">
      <c r="B1982"/>
      <c r="C1982"/>
      <c r="D1982"/>
      <c r="E1982"/>
      <c r="F1982"/>
      <c r="G1982"/>
      <c r="H1982"/>
      <c r="I1982"/>
    </row>
    <row r="1983" spans="2:9" x14ac:dyDescent="0.2">
      <c r="B1983"/>
      <c r="C1983"/>
      <c r="D1983"/>
      <c r="E1983"/>
      <c r="F1983"/>
      <c r="G1983"/>
      <c r="H1983"/>
      <c r="I1983"/>
    </row>
    <row r="1984" spans="2:9" x14ac:dyDescent="0.2">
      <c r="B1984"/>
      <c r="C1984"/>
      <c r="D1984"/>
      <c r="E1984"/>
      <c r="F1984"/>
      <c r="G1984"/>
      <c r="H1984"/>
      <c r="I1984"/>
    </row>
    <row r="1985" spans="2:9" x14ac:dyDescent="0.2">
      <c r="B1985"/>
      <c r="C1985"/>
      <c r="D1985"/>
      <c r="E1985"/>
      <c r="F1985"/>
      <c r="G1985"/>
      <c r="H1985"/>
      <c r="I1985"/>
    </row>
    <row r="1986" spans="2:9" x14ac:dyDescent="0.2">
      <c r="B1986"/>
      <c r="C1986"/>
      <c r="D1986"/>
      <c r="E1986"/>
      <c r="F1986"/>
      <c r="G1986"/>
      <c r="H1986"/>
      <c r="I1986"/>
    </row>
    <row r="1987" spans="2:9" x14ac:dyDescent="0.2">
      <c r="B1987"/>
      <c r="C1987"/>
      <c r="D1987"/>
      <c r="E1987"/>
      <c r="F1987"/>
      <c r="G1987"/>
      <c r="H1987"/>
      <c r="I1987"/>
    </row>
    <row r="1988" spans="2:9" x14ac:dyDescent="0.2">
      <c r="B1988"/>
      <c r="C1988"/>
      <c r="D1988"/>
      <c r="E1988"/>
      <c r="F1988"/>
      <c r="G1988"/>
      <c r="H1988"/>
      <c r="I1988"/>
    </row>
    <row r="1989" spans="2:9" x14ac:dyDescent="0.2">
      <c r="B1989"/>
      <c r="C1989"/>
      <c r="D1989"/>
      <c r="E1989"/>
      <c r="F1989"/>
      <c r="G1989"/>
      <c r="H1989"/>
      <c r="I1989"/>
    </row>
    <row r="1990" spans="2:9" x14ac:dyDescent="0.2">
      <c r="B1990"/>
      <c r="C1990"/>
      <c r="D1990"/>
      <c r="E1990"/>
      <c r="F1990"/>
      <c r="G1990"/>
      <c r="H1990"/>
      <c r="I1990"/>
    </row>
    <row r="1991" spans="2:9" x14ac:dyDescent="0.2">
      <c r="B1991"/>
      <c r="C1991"/>
      <c r="D1991"/>
      <c r="E1991"/>
      <c r="F1991"/>
      <c r="G1991"/>
      <c r="H1991"/>
      <c r="I1991"/>
    </row>
    <row r="1992" spans="2:9" x14ac:dyDescent="0.2">
      <c r="B1992"/>
      <c r="C1992"/>
      <c r="D1992"/>
      <c r="E1992"/>
      <c r="F1992"/>
      <c r="G1992"/>
      <c r="H1992"/>
      <c r="I1992"/>
    </row>
    <row r="1993" spans="2:9" x14ac:dyDescent="0.2">
      <c r="B1993"/>
      <c r="C1993"/>
      <c r="D1993"/>
      <c r="E1993"/>
      <c r="F1993"/>
      <c r="G1993"/>
      <c r="H1993"/>
      <c r="I1993"/>
    </row>
    <row r="1994" spans="2:9" x14ac:dyDescent="0.2">
      <c r="B1994"/>
      <c r="C1994"/>
      <c r="D1994"/>
      <c r="E1994"/>
      <c r="F1994"/>
      <c r="G1994"/>
      <c r="H1994"/>
      <c r="I1994"/>
    </row>
    <row r="1995" spans="2:9" x14ac:dyDescent="0.2">
      <c r="B1995"/>
      <c r="C1995"/>
      <c r="D1995"/>
      <c r="E1995"/>
      <c r="F1995"/>
      <c r="G1995"/>
      <c r="H1995"/>
      <c r="I1995"/>
    </row>
    <row r="1996" spans="2:9" x14ac:dyDescent="0.2">
      <c r="B1996"/>
      <c r="C1996"/>
      <c r="D1996"/>
      <c r="E1996"/>
      <c r="F1996"/>
      <c r="G1996"/>
      <c r="H1996"/>
      <c r="I1996"/>
    </row>
    <row r="1997" spans="2:9" x14ac:dyDescent="0.2">
      <c r="B1997"/>
      <c r="C1997"/>
      <c r="D1997"/>
      <c r="E1997"/>
      <c r="F1997"/>
      <c r="G1997"/>
      <c r="H1997"/>
      <c r="I1997"/>
    </row>
    <row r="1998" spans="2:9" x14ac:dyDescent="0.2">
      <c r="B1998"/>
      <c r="C1998"/>
      <c r="D1998"/>
      <c r="E1998"/>
      <c r="F1998"/>
      <c r="G1998"/>
      <c r="H1998"/>
      <c r="I1998"/>
    </row>
    <row r="1999" spans="2:9" x14ac:dyDescent="0.2">
      <c r="B1999"/>
      <c r="C1999"/>
      <c r="D1999"/>
      <c r="E1999"/>
      <c r="F1999"/>
      <c r="G1999"/>
      <c r="H1999"/>
      <c r="I1999"/>
    </row>
    <row r="2000" spans="2:9" x14ac:dyDescent="0.2">
      <c r="B2000"/>
      <c r="C2000"/>
      <c r="D2000"/>
      <c r="E2000"/>
      <c r="F2000"/>
      <c r="G2000"/>
      <c r="H2000"/>
      <c r="I2000"/>
    </row>
    <row r="2001" spans="2:9" x14ac:dyDescent="0.2">
      <c r="B2001"/>
      <c r="C2001"/>
      <c r="D2001"/>
      <c r="E2001"/>
      <c r="F2001"/>
      <c r="G2001"/>
      <c r="H2001"/>
      <c r="I2001"/>
    </row>
    <row r="2002" spans="2:9" x14ac:dyDescent="0.2">
      <c r="B2002"/>
      <c r="C2002"/>
      <c r="D2002"/>
      <c r="E2002"/>
      <c r="F2002"/>
      <c r="G2002"/>
      <c r="H2002"/>
      <c r="I2002"/>
    </row>
    <row r="2003" spans="2:9" x14ac:dyDescent="0.2">
      <c r="B2003"/>
      <c r="C2003"/>
      <c r="D2003"/>
      <c r="E2003"/>
      <c r="F2003"/>
      <c r="G2003"/>
      <c r="H2003"/>
      <c r="I2003"/>
    </row>
    <row r="2004" spans="2:9" x14ac:dyDescent="0.2">
      <c r="B2004"/>
      <c r="C2004"/>
      <c r="D2004"/>
      <c r="E2004"/>
      <c r="F2004"/>
      <c r="G2004"/>
      <c r="H2004"/>
      <c r="I2004"/>
    </row>
    <row r="2005" spans="2:9" x14ac:dyDescent="0.2">
      <c r="B2005"/>
      <c r="C2005"/>
      <c r="D2005"/>
      <c r="E2005"/>
      <c r="F2005"/>
      <c r="G2005"/>
      <c r="H2005"/>
      <c r="I2005"/>
    </row>
    <row r="2006" spans="2:9" x14ac:dyDescent="0.2">
      <c r="B2006"/>
      <c r="C2006"/>
      <c r="D2006"/>
      <c r="E2006"/>
      <c r="F2006"/>
      <c r="G2006"/>
      <c r="H2006"/>
      <c r="I2006"/>
    </row>
    <row r="2007" spans="2:9" x14ac:dyDescent="0.2">
      <c r="B2007"/>
      <c r="C2007"/>
      <c r="D2007"/>
      <c r="E2007"/>
      <c r="F2007"/>
      <c r="G2007"/>
      <c r="H2007"/>
      <c r="I2007"/>
    </row>
    <row r="2008" spans="2:9" x14ac:dyDescent="0.2">
      <c r="B2008"/>
      <c r="C2008"/>
      <c r="D2008"/>
      <c r="E2008"/>
      <c r="F2008"/>
      <c r="G2008"/>
      <c r="H2008"/>
      <c r="I2008"/>
    </row>
    <row r="2009" spans="2:9" x14ac:dyDescent="0.2">
      <c r="B2009"/>
      <c r="C2009"/>
      <c r="D2009"/>
      <c r="E2009"/>
      <c r="F2009"/>
      <c r="G2009"/>
      <c r="H2009"/>
      <c r="I2009"/>
    </row>
    <row r="2010" spans="2:9" x14ac:dyDescent="0.2">
      <c r="B2010"/>
      <c r="C2010"/>
      <c r="D2010"/>
      <c r="E2010"/>
      <c r="F2010"/>
      <c r="G2010"/>
      <c r="H2010"/>
      <c r="I2010"/>
    </row>
    <row r="2011" spans="2:9" x14ac:dyDescent="0.2">
      <c r="B2011"/>
      <c r="C2011"/>
      <c r="D2011"/>
      <c r="E2011"/>
      <c r="F2011"/>
      <c r="G2011"/>
      <c r="H2011"/>
      <c r="I2011"/>
    </row>
    <row r="2012" spans="2:9" x14ac:dyDescent="0.2">
      <c r="B2012"/>
      <c r="C2012"/>
      <c r="D2012"/>
      <c r="E2012"/>
      <c r="F2012"/>
      <c r="G2012"/>
      <c r="H2012"/>
      <c r="I2012"/>
    </row>
    <row r="2013" spans="2:9" x14ac:dyDescent="0.2">
      <c r="B2013"/>
      <c r="C2013"/>
      <c r="D2013"/>
      <c r="E2013"/>
      <c r="F2013"/>
      <c r="G2013"/>
      <c r="H2013"/>
      <c r="I2013"/>
    </row>
    <row r="2014" spans="2:9" x14ac:dyDescent="0.2">
      <c r="B2014"/>
      <c r="C2014"/>
      <c r="D2014"/>
      <c r="E2014"/>
      <c r="F2014"/>
      <c r="G2014"/>
      <c r="H2014"/>
      <c r="I2014"/>
    </row>
    <row r="2015" spans="2:9" x14ac:dyDescent="0.2">
      <c r="B2015"/>
      <c r="C2015"/>
      <c r="D2015"/>
      <c r="E2015"/>
      <c r="F2015"/>
      <c r="G2015"/>
      <c r="H2015"/>
      <c r="I2015"/>
    </row>
    <row r="2016" spans="2:9" x14ac:dyDescent="0.2">
      <c r="B2016"/>
      <c r="C2016"/>
      <c r="D2016"/>
      <c r="E2016"/>
      <c r="F2016"/>
      <c r="G2016"/>
      <c r="H2016"/>
      <c r="I2016"/>
    </row>
    <row r="2017" spans="2:9" x14ac:dyDescent="0.2">
      <c r="B2017"/>
      <c r="C2017"/>
      <c r="D2017"/>
      <c r="E2017"/>
      <c r="F2017"/>
      <c r="G2017"/>
      <c r="H2017"/>
      <c r="I2017"/>
    </row>
    <row r="2018" spans="2:9" x14ac:dyDescent="0.2">
      <c r="B2018"/>
      <c r="C2018"/>
      <c r="D2018"/>
      <c r="E2018"/>
      <c r="F2018"/>
      <c r="G2018"/>
      <c r="H2018"/>
      <c r="I2018"/>
    </row>
    <row r="2019" spans="2:9" x14ac:dyDescent="0.2">
      <c r="B2019"/>
      <c r="C2019"/>
      <c r="D2019"/>
      <c r="E2019"/>
      <c r="F2019"/>
      <c r="G2019"/>
      <c r="H2019"/>
      <c r="I2019"/>
    </row>
    <row r="2020" spans="2:9" x14ac:dyDescent="0.2">
      <c r="B2020"/>
      <c r="C2020"/>
      <c r="D2020"/>
      <c r="E2020"/>
      <c r="F2020"/>
      <c r="G2020"/>
      <c r="H2020"/>
      <c r="I2020"/>
    </row>
    <row r="2021" spans="2:9" x14ac:dyDescent="0.2">
      <c r="B2021"/>
      <c r="C2021"/>
      <c r="D2021"/>
      <c r="E2021"/>
      <c r="F2021"/>
      <c r="G2021"/>
      <c r="H2021"/>
      <c r="I2021"/>
    </row>
    <row r="2022" spans="2:9" x14ac:dyDescent="0.2">
      <c r="B2022"/>
      <c r="C2022"/>
      <c r="D2022"/>
      <c r="E2022"/>
      <c r="F2022"/>
      <c r="G2022"/>
      <c r="H2022"/>
      <c r="I2022"/>
    </row>
    <row r="2023" spans="2:9" x14ac:dyDescent="0.2">
      <c r="B2023"/>
      <c r="C2023"/>
      <c r="D2023"/>
      <c r="E2023"/>
      <c r="F2023"/>
      <c r="G2023"/>
      <c r="H2023"/>
      <c r="I2023"/>
    </row>
    <row r="2024" spans="2:9" x14ac:dyDescent="0.2">
      <c r="B2024"/>
      <c r="C2024"/>
      <c r="D2024"/>
      <c r="E2024"/>
      <c r="F2024"/>
      <c r="G2024"/>
      <c r="H2024"/>
      <c r="I2024"/>
    </row>
    <row r="2025" spans="2:9" x14ac:dyDescent="0.2">
      <c r="B2025"/>
      <c r="C2025"/>
      <c r="D2025"/>
      <c r="E2025"/>
      <c r="F2025"/>
      <c r="G2025"/>
      <c r="H2025"/>
      <c r="I2025"/>
    </row>
    <row r="2026" spans="2:9" x14ac:dyDescent="0.2">
      <c r="B2026"/>
      <c r="C2026"/>
      <c r="D2026"/>
      <c r="E2026"/>
      <c r="F2026"/>
      <c r="G2026"/>
      <c r="H2026"/>
      <c r="I2026"/>
    </row>
    <row r="2027" spans="2:9" x14ac:dyDescent="0.2">
      <c r="B2027"/>
      <c r="C2027"/>
      <c r="D2027"/>
      <c r="E2027"/>
      <c r="F2027"/>
      <c r="G2027"/>
      <c r="H2027"/>
      <c r="I2027"/>
    </row>
    <row r="2028" spans="2:9" x14ac:dyDescent="0.2">
      <c r="B2028"/>
      <c r="C2028"/>
      <c r="D2028"/>
      <c r="E2028"/>
      <c r="F2028"/>
      <c r="G2028"/>
      <c r="H2028"/>
      <c r="I2028"/>
    </row>
    <row r="2029" spans="2:9" x14ac:dyDescent="0.2">
      <c r="B2029"/>
      <c r="C2029"/>
      <c r="D2029"/>
      <c r="E2029"/>
      <c r="F2029"/>
      <c r="G2029"/>
      <c r="H2029"/>
      <c r="I2029"/>
    </row>
    <row r="2030" spans="2:9" x14ac:dyDescent="0.2">
      <c r="B2030"/>
      <c r="C2030"/>
      <c r="D2030"/>
      <c r="E2030"/>
      <c r="F2030"/>
      <c r="G2030"/>
      <c r="H2030"/>
      <c r="I2030"/>
    </row>
    <row r="2031" spans="2:9" x14ac:dyDescent="0.2">
      <c r="B2031"/>
      <c r="C2031"/>
    </row>
    <row r="2032" spans="2:9" x14ac:dyDescent="0.2">
      <c r="B2032"/>
      <c r="C2032"/>
    </row>
    <row r="2033" spans="2:3" x14ac:dyDescent="0.2">
      <c r="B2033"/>
      <c r="C2033"/>
    </row>
    <row r="2034" spans="2:3" x14ac:dyDescent="0.2">
      <c r="B2034"/>
      <c r="C2034"/>
    </row>
    <row r="2035" spans="2:3" x14ac:dyDescent="0.2">
      <c r="B2035"/>
      <c r="C2035"/>
    </row>
    <row r="2036" spans="2:3" x14ac:dyDescent="0.2">
      <c r="B2036"/>
      <c r="C2036"/>
    </row>
    <row r="2037" spans="2:3" x14ac:dyDescent="0.2">
      <c r="B2037"/>
      <c r="C2037"/>
    </row>
    <row r="2038" spans="2:3" x14ac:dyDescent="0.2">
      <c r="B2038"/>
      <c r="C2038"/>
    </row>
    <row r="2039" spans="2:3" x14ac:dyDescent="0.2">
      <c r="B2039"/>
      <c r="C2039"/>
    </row>
    <row r="2040" spans="2:3" x14ac:dyDescent="0.2">
      <c r="B2040"/>
      <c r="C2040"/>
    </row>
    <row r="2041" spans="2:3" x14ac:dyDescent="0.2">
      <c r="B2041"/>
      <c r="C2041"/>
    </row>
    <row r="2042" spans="2:3" x14ac:dyDescent="0.2">
      <c r="B2042"/>
      <c r="C2042"/>
    </row>
    <row r="2043" spans="2:3" x14ac:dyDescent="0.2">
      <c r="B2043"/>
      <c r="C2043"/>
    </row>
    <row r="2044" spans="2:3" x14ac:dyDescent="0.2">
      <c r="B2044"/>
      <c r="C2044"/>
    </row>
    <row r="2045" spans="2:3" x14ac:dyDescent="0.2">
      <c r="B2045"/>
      <c r="C2045"/>
    </row>
    <row r="2046" spans="2:3" x14ac:dyDescent="0.2">
      <c r="B2046"/>
      <c r="C2046"/>
    </row>
    <row r="2047" spans="2:3" x14ac:dyDescent="0.2">
      <c r="B2047"/>
      <c r="C2047"/>
    </row>
    <row r="2048" spans="2:3" x14ac:dyDescent="0.2">
      <c r="B2048"/>
      <c r="C2048"/>
    </row>
    <row r="2049" spans="2:3" x14ac:dyDescent="0.2">
      <c r="B2049"/>
      <c r="C2049"/>
    </row>
    <row r="2050" spans="2:3" x14ac:dyDescent="0.2">
      <c r="B2050"/>
      <c r="C2050"/>
    </row>
    <row r="2051" spans="2:3" x14ac:dyDescent="0.2">
      <c r="B2051"/>
      <c r="C2051"/>
    </row>
    <row r="2052" spans="2:3" x14ac:dyDescent="0.2">
      <c r="B2052"/>
      <c r="C2052"/>
    </row>
    <row r="2053" spans="2:3" x14ac:dyDescent="0.2">
      <c r="B2053"/>
      <c r="C2053"/>
    </row>
    <row r="2054" spans="2:3" x14ac:dyDescent="0.2">
      <c r="B2054"/>
      <c r="C2054"/>
    </row>
    <row r="2055" spans="2:3" x14ac:dyDescent="0.2">
      <c r="B2055"/>
      <c r="C2055"/>
    </row>
    <row r="2056" spans="2:3" x14ac:dyDescent="0.2">
      <c r="B2056"/>
      <c r="C2056"/>
    </row>
    <row r="2057" spans="2:3" x14ac:dyDescent="0.2">
      <c r="B2057"/>
      <c r="C2057"/>
    </row>
    <row r="2058" spans="2:3" x14ac:dyDescent="0.2">
      <c r="B2058"/>
      <c r="C2058"/>
    </row>
    <row r="2059" spans="2:3" x14ac:dyDescent="0.2">
      <c r="B2059"/>
      <c r="C2059"/>
    </row>
    <row r="2060" spans="2:3" x14ac:dyDescent="0.2">
      <c r="B2060"/>
      <c r="C2060"/>
    </row>
    <row r="2061" spans="2:3" x14ac:dyDescent="0.2">
      <c r="B2061"/>
      <c r="C2061"/>
    </row>
    <row r="2062" spans="2:3" x14ac:dyDescent="0.2">
      <c r="B2062"/>
      <c r="C2062"/>
    </row>
    <row r="2063" spans="2:3" x14ac:dyDescent="0.2">
      <c r="B2063"/>
      <c r="C2063"/>
    </row>
    <row r="2064" spans="2:3" x14ac:dyDescent="0.2">
      <c r="B2064"/>
      <c r="C2064"/>
    </row>
    <row r="2065" spans="2:3" x14ac:dyDescent="0.2">
      <c r="B2065"/>
      <c r="C2065"/>
    </row>
    <row r="2066" spans="2:3" x14ac:dyDescent="0.2">
      <c r="B2066"/>
      <c r="C2066"/>
    </row>
    <row r="2067" spans="2:3" x14ac:dyDescent="0.2">
      <c r="B2067"/>
      <c r="C2067"/>
    </row>
    <row r="2068" spans="2:3" x14ac:dyDescent="0.2">
      <c r="B2068"/>
      <c r="C2068"/>
    </row>
    <row r="2069" spans="2:3" x14ac:dyDescent="0.2">
      <c r="B2069"/>
      <c r="C2069"/>
    </row>
    <row r="2070" spans="2:3" x14ac:dyDescent="0.2">
      <c r="B2070"/>
      <c r="C2070"/>
    </row>
    <row r="2071" spans="2:3" x14ac:dyDescent="0.2">
      <c r="B2071"/>
      <c r="C2071"/>
    </row>
    <row r="2072" spans="2:3" x14ac:dyDescent="0.2">
      <c r="B2072"/>
      <c r="C2072"/>
    </row>
    <row r="2073" spans="2:3" x14ac:dyDescent="0.2">
      <c r="B2073"/>
      <c r="C2073"/>
    </row>
    <row r="2074" spans="2:3" x14ac:dyDescent="0.2">
      <c r="B2074"/>
      <c r="C2074"/>
    </row>
    <row r="2075" spans="2:3" x14ac:dyDescent="0.2">
      <c r="B2075"/>
      <c r="C2075"/>
    </row>
    <row r="2076" spans="2:3" x14ac:dyDescent="0.2">
      <c r="B2076"/>
      <c r="C2076"/>
    </row>
    <row r="2077" spans="2:3" x14ac:dyDescent="0.2">
      <c r="B2077"/>
      <c r="C2077"/>
    </row>
    <row r="2078" spans="2:3" x14ac:dyDescent="0.2">
      <c r="B2078"/>
      <c r="C2078"/>
    </row>
    <row r="2079" spans="2:3" x14ac:dyDescent="0.2">
      <c r="B2079"/>
      <c r="C2079"/>
    </row>
    <row r="2080" spans="2:3" x14ac:dyDescent="0.2">
      <c r="B2080"/>
      <c r="C2080"/>
    </row>
    <row r="2081" spans="2:3" x14ac:dyDescent="0.2">
      <c r="B2081"/>
      <c r="C2081"/>
    </row>
    <row r="2082" spans="2:3" x14ac:dyDescent="0.2">
      <c r="B2082"/>
      <c r="C2082"/>
    </row>
    <row r="2083" spans="2:3" x14ac:dyDescent="0.2">
      <c r="B2083"/>
      <c r="C2083"/>
    </row>
    <row r="2084" spans="2:3" x14ac:dyDescent="0.2">
      <c r="B2084"/>
      <c r="C2084"/>
    </row>
    <row r="2085" spans="2:3" x14ac:dyDescent="0.2">
      <c r="B2085"/>
      <c r="C2085"/>
    </row>
    <row r="2086" spans="2:3" x14ac:dyDescent="0.2">
      <c r="B2086"/>
      <c r="C2086"/>
    </row>
    <row r="2087" spans="2:3" x14ac:dyDescent="0.2">
      <c r="B2087"/>
      <c r="C2087"/>
    </row>
    <row r="2088" spans="2:3" x14ac:dyDescent="0.2">
      <c r="B2088"/>
      <c r="C2088"/>
    </row>
    <row r="2089" spans="2:3" x14ac:dyDescent="0.2">
      <c r="B2089"/>
      <c r="C2089"/>
    </row>
    <row r="2090" spans="2:3" x14ac:dyDescent="0.2">
      <c r="B2090"/>
      <c r="C2090"/>
    </row>
    <row r="2091" spans="2:3" x14ac:dyDescent="0.2">
      <c r="B2091"/>
      <c r="C2091"/>
    </row>
    <row r="2092" spans="2:3" x14ac:dyDescent="0.2">
      <c r="B2092"/>
      <c r="C2092"/>
    </row>
    <row r="2093" spans="2:3" x14ac:dyDescent="0.2">
      <c r="B2093"/>
      <c r="C2093"/>
    </row>
    <row r="2094" spans="2:3" x14ac:dyDescent="0.2">
      <c r="B2094"/>
      <c r="C2094"/>
    </row>
    <row r="2095" spans="2:3" x14ac:dyDescent="0.2">
      <c r="B2095"/>
      <c r="C2095"/>
    </row>
    <row r="2096" spans="2:3" x14ac:dyDescent="0.2">
      <c r="B2096"/>
      <c r="C2096"/>
    </row>
    <row r="2097" spans="2:3" x14ac:dyDescent="0.2">
      <c r="B2097"/>
      <c r="C2097"/>
    </row>
    <row r="2098" spans="2:3" x14ac:dyDescent="0.2">
      <c r="B2098"/>
      <c r="C2098"/>
    </row>
    <row r="2099" spans="2:3" x14ac:dyDescent="0.2">
      <c r="B2099"/>
      <c r="C2099"/>
    </row>
    <row r="2100" spans="2:3" x14ac:dyDescent="0.2">
      <c r="B2100"/>
      <c r="C2100"/>
    </row>
    <row r="2101" spans="2:3" x14ac:dyDescent="0.2">
      <c r="B2101"/>
      <c r="C2101"/>
    </row>
    <row r="2102" spans="2:3" x14ac:dyDescent="0.2">
      <c r="B2102"/>
      <c r="C2102"/>
    </row>
    <row r="2103" spans="2:3" x14ac:dyDescent="0.2">
      <c r="B2103"/>
      <c r="C2103"/>
    </row>
    <row r="2104" spans="2:3" x14ac:dyDescent="0.2">
      <c r="B2104"/>
      <c r="C2104"/>
    </row>
    <row r="2105" spans="2:3" x14ac:dyDescent="0.2">
      <c r="B2105"/>
      <c r="C2105"/>
    </row>
    <row r="2106" spans="2:3" x14ac:dyDescent="0.2">
      <c r="B2106"/>
      <c r="C2106"/>
    </row>
    <row r="2107" spans="2:3" x14ac:dyDescent="0.2">
      <c r="B2107"/>
      <c r="C2107"/>
    </row>
    <row r="2108" spans="2:3" x14ac:dyDescent="0.2">
      <c r="B2108"/>
      <c r="C2108"/>
    </row>
    <row r="2109" spans="2:3" x14ac:dyDescent="0.2">
      <c r="B2109"/>
      <c r="C2109"/>
    </row>
    <row r="2110" spans="2:3" x14ac:dyDescent="0.2">
      <c r="B2110"/>
      <c r="C2110"/>
    </row>
    <row r="2111" spans="2:3" x14ac:dyDescent="0.2">
      <c r="B2111"/>
      <c r="C2111"/>
    </row>
    <row r="2112" spans="2:3" x14ac:dyDescent="0.2">
      <c r="B2112"/>
      <c r="C2112"/>
    </row>
    <row r="2113" spans="2:3" x14ac:dyDescent="0.2">
      <c r="B2113"/>
      <c r="C2113"/>
    </row>
    <row r="2114" spans="2:3" x14ac:dyDescent="0.2">
      <c r="B2114"/>
      <c r="C2114"/>
    </row>
    <row r="2115" spans="2:3" x14ac:dyDescent="0.2">
      <c r="B2115"/>
      <c r="C2115"/>
    </row>
    <row r="2116" spans="2:3" x14ac:dyDescent="0.2">
      <c r="B2116"/>
      <c r="C2116"/>
    </row>
    <row r="2117" spans="2:3" x14ac:dyDescent="0.2">
      <c r="B2117"/>
      <c r="C2117"/>
    </row>
    <row r="2118" spans="2:3" x14ac:dyDescent="0.2">
      <c r="B2118"/>
      <c r="C2118"/>
    </row>
    <row r="2119" spans="2:3" x14ac:dyDescent="0.2">
      <c r="B2119"/>
      <c r="C2119"/>
    </row>
    <row r="2120" spans="2:3" x14ac:dyDescent="0.2">
      <c r="B2120"/>
      <c r="C2120"/>
    </row>
    <row r="2121" spans="2:3" x14ac:dyDescent="0.2">
      <c r="B2121"/>
      <c r="C2121"/>
    </row>
    <row r="2122" spans="2:3" x14ac:dyDescent="0.2">
      <c r="B2122"/>
      <c r="C2122"/>
    </row>
    <row r="2123" spans="2:3" x14ac:dyDescent="0.2">
      <c r="B2123"/>
      <c r="C2123"/>
    </row>
    <row r="2124" spans="2:3" x14ac:dyDescent="0.2">
      <c r="B2124"/>
      <c r="C2124"/>
    </row>
    <row r="2125" spans="2:3" x14ac:dyDescent="0.2">
      <c r="B2125"/>
      <c r="C2125"/>
    </row>
    <row r="2126" spans="2:3" x14ac:dyDescent="0.2">
      <c r="B2126"/>
      <c r="C2126"/>
    </row>
    <row r="2127" spans="2:3" x14ac:dyDescent="0.2">
      <c r="B2127"/>
      <c r="C2127"/>
    </row>
    <row r="2128" spans="2:3" x14ac:dyDescent="0.2">
      <c r="B2128"/>
      <c r="C2128"/>
    </row>
    <row r="2129" spans="2:3" x14ac:dyDescent="0.2">
      <c r="B2129"/>
      <c r="C2129"/>
    </row>
    <row r="2130" spans="2:3" x14ac:dyDescent="0.2">
      <c r="B2130"/>
      <c r="C2130"/>
    </row>
    <row r="2131" spans="2:3" x14ac:dyDescent="0.2">
      <c r="B2131"/>
      <c r="C2131"/>
    </row>
    <row r="2132" spans="2:3" x14ac:dyDescent="0.2">
      <c r="B2132"/>
      <c r="C2132"/>
    </row>
    <row r="2133" spans="2:3" x14ac:dyDescent="0.2">
      <c r="B2133"/>
      <c r="C2133"/>
    </row>
    <row r="2134" spans="2:3" x14ac:dyDescent="0.2">
      <c r="B2134"/>
      <c r="C2134"/>
    </row>
    <row r="2135" spans="2:3" x14ac:dyDescent="0.2">
      <c r="B2135"/>
      <c r="C2135"/>
    </row>
    <row r="2136" spans="2:3" x14ac:dyDescent="0.2">
      <c r="B2136"/>
      <c r="C2136"/>
    </row>
    <row r="2137" spans="2:3" x14ac:dyDescent="0.2">
      <c r="B2137"/>
      <c r="C2137"/>
    </row>
    <row r="2138" spans="2:3" x14ac:dyDescent="0.2">
      <c r="B2138"/>
      <c r="C2138"/>
    </row>
    <row r="2139" spans="2:3" x14ac:dyDescent="0.2">
      <c r="B2139"/>
      <c r="C2139"/>
    </row>
    <row r="2140" spans="2:3" x14ac:dyDescent="0.2">
      <c r="B2140"/>
      <c r="C2140"/>
    </row>
    <row r="2141" spans="2:3" x14ac:dyDescent="0.2">
      <c r="B2141"/>
      <c r="C2141"/>
    </row>
    <row r="2142" spans="2:3" x14ac:dyDescent="0.2">
      <c r="B2142"/>
      <c r="C2142"/>
    </row>
    <row r="2143" spans="2:3" x14ac:dyDescent="0.2">
      <c r="B2143"/>
      <c r="C2143"/>
    </row>
    <row r="2144" spans="2:3" x14ac:dyDescent="0.2">
      <c r="B2144"/>
      <c r="C2144"/>
    </row>
    <row r="2145" spans="2:3" x14ac:dyDescent="0.2">
      <c r="B2145"/>
      <c r="C2145"/>
    </row>
    <row r="2146" spans="2:3" x14ac:dyDescent="0.2">
      <c r="B2146"/>
      <c r="C2146"/>
    </row>
    <row r="2147" spans="2:3" x14ac:dyDescent="0.2">
      <c r="B2147"/>
      <c r="C2147"/>
    </row>
    <row r="2148" spans="2:3" x14ac:dyDescent="0.2">
      <c r="B2148"/>
      <c r="C2148"/>
    </row>
    <row r="2149" spans="2:3" x14ac:dyDescent="0.2">
      <c r="B2149"/>
      <c r="C2149"/>
    </row>
    <row r="2150" spans="2:3" x14ac:dyDescent="0.2">
      <c r="B2150"/>
      <c r="C2150"/>
    </row>
    <row r="2151" spans="2:3" x14ac:dyDescent="0.2">
      <c r="B2151"/>
      <c r="C2151"/>
    </row>
    <row r="2152" spans="2:3" x14ac:dyDescent="0.2">
      <c r="B2152"/>
      <c r="C2152"/>
    </row>
    <row r="2153" spans="2:3" x14ac:dyDescent="0.2">
      <c r="B2153"/>
      <c r="C2153"/>
    </row>
    <row r="2154" spans="2:3" x14ac:dyDescent="0.2">
      <c r="B2154"/>
      <c r="C2154"/>
    </row>
    <row r="2155" spans="2:3" x14ac:dyDescent="0.2">
      <c r="B2155"/>
      <c r="C2155"/>
    </row>
    <row r="2156" spans="2:3" x14ac:dyDescent="0.2">
      <c r="B2156"/>
      <c r="C2156"/>
    </row>
    <row r="2157" spans="2:3" x14ac:dyDescent="0.2">
      <c r="B2157"/>
      <c r="C2157"/>
    </row>
    <row r="2158" spans="2:3" x14ac:dyDescent="0.2">
      <c r="B2158"/>
      <c r="C2158"/>
    </row>
    <row r="2159" spans="2:3" x14ac:dyDescent="0.2">
      <c r="B2159"/>
      <c r="C2159"/>
    </row>
    <row r="2160" spans="2:3" x14ac:dyDescent="0.2">
      <c r="B2160"/>
      <c r="C2160"/>
    </row>
    <row r="2161" spans="2:3" x14ac:dyDescent="0.2">
      <c r="B2161"/>
      <c r="C2161"/>
    </row>
    <row r="2162" spans="2:3" x14ac:dyDescent="0.2">
      <c r="B2162"/>
      <c r="C2162"/>
    </row>
    <row r="2163" spans="2:3" x14ac:dyDescent="0.2">
      <c r="B2163"/>
      <c r="C2163"/>
    </row>
    <row r="2164" spans="2:3" x14ac:dyDescent="0.2">
      <c r="B2164"/>
      <c r="C2164"/>
    </row>
    <row r="2165" spans="2:3" x14ac:dyDescent="0.2">
      <c r="B2165"/>
      <c r="C2165"/>
    </row>
    <row r="2166" spans="2:3" x14ac:dyDescent="0.2">
      <c r="B2166"/>
      <c r="C2166"/>
    </row>
    <row r="2167" spans="2:3" x14ac:dyDescent="0.2">
      <c r="B2167"/>
      <c r="C2167"/>
    </row>
    <row r="2168" spans="2:3" x14ac:dyDescent="0.2">
      <c r="B2168"/>
      <c r="C2168"/>
    </row>
    <row r="2169" spans="2:3" x14ac:dyDescent="0.2">
      <c r="B2169"/>
      <c r="C2169"/>
    </row>
    <row r="2170" spans="2:3" x14ac:dyDescent="0.2">
      <c r="B2170"/>
      <c r="C2170"/>
    </row>
    <row r="2171" spans="2:3" x14ac:dyDescent="0.2">
      <c r="B2171"/>
      <c r="C2171"/>
    </row>
    <row r="2172" spans="2:3" x14ac:dyDescent="0.2">
      <c r="B2172"/>
      <c r="C2172"/>
    </row>
    <row r="2173" spans="2:3" x14ac:dyDescent="0.2">
      <c r="B2173"/>
      <c r="C2173"/>
    </row>
    <row r="2174" spans="2:3" x14ac:dyDescent="0.2">
      <c r="B2174"/>
      <c r="C2174"/>
    </row>
    <row r="2175" spans="2:3" x14ac:dyDescent="0.2">
      <c r="B2175"/>
      <c r="C2175"/>
    </row>
    <row r="2176" spans="2:3" x14ac:dyDescent="0.2">
      <c r="B2176"/>
      <c r="C2176"/>
    </row>
    <row r="2177" spans="2:3" x14ac:dyDescent="0.2">
      <c r="B2177"/>
      <c r="C2177"/>
    </row>
    <row r="2178" spans="2:3" x14ac:dyDescent="0.2">
      <c r="B2178"/>
      <c r="C2178"/>
    </row>
    <row r="2179" spans="2:3" x14ac:dyDescent="0.2">
      <c r="B2179"/>
      <c r="C2179"/>
    </row>
    <row r="2180" spans="2:3" x14ac:dyDescent="0.2">
      <c r="B2180"/>
      <c r="C2180"/>
    </row>
    <row r="2181" spans="2:3" x14ac:dyDescent="0.2">
      <c r="B2181"/>
      <c r="C2181"/>
    </row>
    <row r="2182" spans="2:3" x14ac:dyDescent="0.2">
      <c r="B2182"/>
      <c r="C2182"/>
    </row>
    <row r="2183" spans="2:3" x14ac:dyDescent="0.2">
      <c r="B2183"/>
      <c r="C2183"/>
    </row>
    <row r="2184" spans="2:3" x14ac:dyDescent="0.2">
      <c r="B2184"/>
      <c r="C2184"/>
    </row>
    <row r="2185" spans="2:3" x14ac:dyDescent="0.2">
      <c r="B2185"/>
      <c r="C2185"/>
    </row>
    <row r="2186" spans="2:3" x14ac:dyDescent="0.2">
      <c r="B2186"/>
      <c r="C2186"/>
    </row>
    <row r="2187" spans="2:3" x14ac:dyDescent="0.2">
      <c r="B2187"/>
      <c r="C2187"/>
    </row>
    <row r="2188" spans="2:3" x14ac:dyDescent="0.2">
      <c r="B2188"/>
      <c r="C2188"/>
    </row>
    <row r="2189" spans="2:3" x14ac:dyDescent="0.2">
      <c r="B2189"/>
      <c r="C2189"/>
    </row>
    <row r="2190" spans="2:3" x14ac:dyDescent="0.2">
      <c r="B2190"/>
      <c r="C2190"/>
    </row>
    <row r="2191" spans="2:3" x14ac:dyDescent="0.2">
      <c r="B2191"/>
      <c r="C2191"/>
    </row>
    <row r="2192" spans="2:3" x14ac:dyDescent="0.2">
      <c r="B2192"/>
      <c r="C2192"/>
    </row>
    <row r="2193" spans="2:3" x14ac:dyDescent="0.2">
      <c r="B2193"/>
      <c r="C2193"/>
    </row>
    <row r="2194" spans="2:3" x14ac:dyDescent="0.2">
      <c r="B2194"/>
      <c r="C2194"/>
    </row>
    <row r="2195" spans="2:3" x14ac:dyDescent="0.2">
      <c r="B2195"/>
      <c r="C2195"/>
    </row>
    <row r="2196" spans="2:3" x14ac:dyDescent="0.2">
      <c r="B2196"/>
      <c r="C2196"/>
    </row>
    <row r="2197" spans="2:3" x14ac:dyDescent="0.2">
      <c r="B2197"/>
      <c r="C2197"/>
    </row>
    <row r="2198" spans="2:3" x14ac:dyDescent="0.2">
      <c r="B2198"/>
      <c r="C2198"/>
    </row>
    <row r="2199" spans="2:3" x14ac:dyDescent="0.2">
      <c r="B2199"/>
      <c r="C2199"/>
    </row>
    <row r="2200" spans="2:3" x14ac:dyDescent="0.2">
      <c r="B2200"/>
      <c r="C2200"/>
    </row>
    <row r="2201" spans="2:3" x14ac:dyDescent="0.2">
      <c r="B2201"/>
      <c r="C2201"/>
    </row>
    <row r="2202" spans="2:3" x14ac:dyDescent="0.2">
      <c r="B2202"/>
      <c r="C2202"/>
    </row>
    <row r="2203" spans="2:3" x14ac:dyDescent="0.2">
      <c r="B2203"/>
      <c r="C2203"/>
    </row>
    <row r="2204" spans="2:3" x14ac:dyDescent="0.2">
      <c r="B2204"/>
      <c r="C2204"/>
    </row>
    <row r="2205" spans="2:3" x14ac:dyDescent="0.2">
      <c r="B2205"/>
      <c r="C2205"/>
    </row>
    <row r="2206" spans="2:3" x14ac:dyDescent="0.2">
      <c r="B2206"/>
      <c r="C2206"/>
    </row>
    <row r="2207" spans="2:3" x14ac:dyDescent="0.2">
      <c r="B2207"/>
      <c r="C2207"/>
    </row>
    <row r="2208" spans="2:3" x14ac:dyDescent="0.2">
      <c r="B2208"/>
      <c r="C2208"/>
    </row>
    <row r="2209" spans="2:3" x14ac:dyDescent="0.2">
      <c r="B2209"/>
      <c r="C2209"/>
    </row>
    <row r="2210" spans="2:3" x14ac:dyDescent="0.2">
      <c r="B2210"/>
      <c r="C2210"/>
    </row>
    <row r="2211" spans="2:3" x14ac:dyDescent="0.2">
      <c r="B2211"/>
      <c r="C2211"/>
    </row>
    <row r="2212" spans="2:3" x14ac:dyDescent="0.2">
      <c r="B2212"/>
      <c r="C2212"/>
    </row>
    <row r="2213" spans="2:3" x14ac:dyDescent="0.2">
      <c r="B2213"/>
      <c r="C2213"/>
    </row>
    <row r="2214" spans="2:3" x14ac:dyDescent="0.2">
      <c r="B2214"/>
      <c r="C2214"/>
    </row>
    <row r="2215" spans="2:3" x14ac:dyDescent="0.2">
      <c r="B2215"/>
      <c r="C2215"/>
    </row>
    <row r="2216" spans="2:3" x14ac:dyDescent="0.2">
      <c r="B2216"/>
      <c r="C2216"/>
    </row>
    <row r="2217" spans="2:3" x14ac:dyDescent="0.2">
      <c r="B2217"/>
      <c r="C2217"/>
    </row>
    <row r="2218" spans="2:3" x14ac:dyDescent="0.2">
      <c r="B2218"/>
      <c r="C2218"/>
    </row>
    <row r="2219" spans="2:3" x14ac:dyDescent="0.2">
      <c r="B2219"/>
      <c r="C2219"/>
    </row>
    <row r="2220" spans="2:3" x14ac:dyDescent="0.2">
      <c r="B2220"/>
      <c r="C2220"/>
    </row>
    <row r="2221" spans="2:3" x14ac:dyDescent="0.2">
      <c r="B2221"/>
      <c r="C2221"/>
    </row>
    <row r="2222" spans="2:3" x14ac:dyDescent="0.2">
      <c r="B2222"/>
      <c r="C2222"/>
    </row>
    <row r="2223" spans="2:3" x14ac:dyDescent="0.2">
      <c r="B2223"/>
      <c r="C2223"/>
    </row>
    <row r="2224" spans="2:3" x14ac:dyDescent="0.2">
      <c r="B2224"/>
      <c r="C2224"/>
    </row>
    <row r="2225" spans="2:3" x14ac:dyDescent="0.2">
      <c r="B2225"/>
      <c r="C2225"/>
    </row>
    <row r="2226" spans="2:3" x14ac:dyDescent="0.2">
      <c r="B2226"/>
      <c r="C2226"/>
    </row>
    <row r="2227" spans="2:3" x14ac:dyDescent="0.2">
      <c r="B2227"/>
      <c r="C2227"/>
    </row>
    <row r="2228" spans="2:3" x14ac:dyDescent="0.2">
      <c r="B2228"/>
      <c r="C2228"/>
    </row>
    <row r="2229" spans="2:3" x14ac:dyDescent="0.2">
      <c r="B2229"/>
      <c r="C2229"/>
    </row>
    <row r="2230" spans="2:3" x14ac:dyDescent="0.2">
      <c r="B2230"/>
      <c r="C2230"/>
    </row>
    <row r="2231" spans="2:3" x14ac:dyDescent="0.2">
      <c r="B2231"/>
      <c r="C2231"/>
    </row>
    <row r="2232" spans="2:3" x14ac:dyDescent="0.2">
      <c r="B2232"/>
      <c r="C2232"/>
    </row>
    <row r="2233" spans="2:3" x14ac:dyDescent="0.2">
      <c r="B2233"/>
      <c r="C2233"/>
    </row>
    <row r="2234" spans="2:3" x14ac:dyDescent="0.2">
      <c r="B2234"/>
      <c r="C2234"/>
    </row>
    <row r="2235" spans="2:3" x14ac:dyDescent="0.2">
      <c r="B2235"/>
      <c r="C2235"/>
    </row>
    <row r="2236" spans="2:3" x14ac:dyDescent="0.2">
      <c r="B2236"/>
      <c r="C2236"/>
    </row>
    <row r="2237" spans="2:3" x14ac:dyDescent="0.2">
      <c r="B2237"/>
      <c r="C2237"/>
    </row>
    <row r="2238" spans="2:3" x14ac:dyDescent="0.2">
      <c r="B2238"/>
      <c r="C2238"/>
    </row>
    <row r="2239" spans="2:3" x14ac:dyDescent="0.2">
      <c r="B2239"/>
      <c r="C2239"/>
    </row>
    <row r="2240" spans="2:3" x14ac:dyDescent="0.2">
      <c r="B2240"/>
      <c r="C2240"/>
    </row>
    <row r="2241" spans="2:3" x14ac:dyDescent="0.2">
      <c r="B2241"/>
      <c r="C2241"/>
    </row>
    <row r="2242" spans="2:3" x14ac:dyDescent="0.2">
      <c r="B2242"/>
      <c r="C2242"/>
    </row>
    <row r="2243" spans="2:3" x14ac:dyDescent="0.2">
      <c r="B2243"/>
      <c r="C2243"/>
    </row>
    <row r="2244" spans="2:3" x14ac:dyDescent="0.2">
      <c r="B2244"/>
      <c r="C2244"/>
    </row>
    <row r="2245" spans="2:3" x14ac:dyDescent="0.2">
      <c r="B2245"/>
      <c r="C2245"/>
    </row>
    <row r="2246" spans="2:3" x14ac:dyDescent="0.2">
      <c r="B2246"/>
      <c r="C2246"/>
    </row>
    <row r="2247" spans="2:3" x14ac:dyDescent="0.2">
      <c r="B2247"/>
      <c r="C2247"/>
    </row>
    <row r="2248" spans="2:3" x14ac:dyDescent="0.2">
      <c r="B2248"/>
      <c r="C2248"/>
    </row>
    <row r="2249" spans="2:3" x14ac:dyDescent="0.2">
      <c r="B2249"/>
      <c r="C2249"/>
    </row>
    <row r="2250" spans="2:3" x14ac:dyDescent="0.2">
      <c r="B2250"/>
      <c r="C2250"/>
    </row>
    <row r="2251" spans="2:3" x14ac:dyDescent="0.2">
      <c r="B2251"/>
      <c r="C2251"/>
    </row>
    <row r="2252" spans="2:3" x14ac:dyDescent="0.2">
      <c r="B2252"/>
      <c r="C2252"/>
    </row>
    <row r="2253" spans="2:3" x14ac:dyDescent="0.2">
      <c r="B2253"/>
      <c r="C2253"/>
    </row>
    <row r="2254" spans="2:3" x14ac:dyDescent="0.2">
      <c r="B2254"/>
      <c r="C2254"/>
    </row>
    <row r="2255" spans="2:3" x14ac:dyDescent="0.2">
      <c r="B2255"/>
      <c r="C2255"/>
    </row>
    <row r="2256" spans="2:3" x14ac:dyDescent="0.2">
      <c r="B2256"/>
      <c r="C2256"/>
    </row>
    <row r="2257" spans="2:3" x14ac:dyDescent="0.2">
      <c r="B2257"/>
      <c r="C2257"/>
    </row>
    <row r="2258" spans="2:3" x14ac:dyDescent="0.2">
      <c r="B2258"/>
      <c r="C2258"/>
    </row>
    <row r="2259" spans="2:3" x14ac:dyDescent="0.2">
      <c r="B2259"/>
      <c r="C2259"/>
    </row>
    <row r="2260" spans="2:3" x14ac:dyDescent="0.2">
      <c r="B2260"/>
      <c r="C2260"/>
    </row>
    <row r="2261" spans="2:3" x14ac:dyDescent="0.2">
      <c r="B2261"/>
      <c r="C2261"/>
    </row>
    <row r="2262" spans="2:3" x14ac:dyDescent="0.2">
      <c r="B2262"/>
      <c r="C2262"/>
    </row>
    <row r="2263" spans="2:3" x14ac:dyDescent="0.2">
      <c r="B2263"/>
      <c r="C2263"/>
    </row>
    <row r="2264" spans="2:3" x14ac:dyDescent="0.2">
      <c r="B2264"/>
      <c r="C2264"/>
    </row>
    <row r="2265" spans="2:3" x14ac:dyDescent="0.2">
      <c r="B2265"/>
      <c r="C2265"/>
    </row>
    <row r="2266" spans="2:3" x14ac:dyDescent="0.2">
      <c r="B2266"/>
      <c r="C2266"/>
    </row>
    <row r="2267" spans="2:3" x14ac:dyDescent="0.2">
      <c r="B2267"/>
      <c r="C2267"/>
    </row>
    <row r="2268" spans="2:3" x14ac:dyDescent="0.2">
      <c r="B2268"/>
      <c r="C2268"/>
    </row>
    <row r="2269" spans="2:3" x14ac:dyDescent="0.2">
      <c r="B2269"/>
      <c r="C2269"/>
    </row>
    <row r="2270" spans="2:3" x14ac:dyDescent="0.2">
      <c r="B2270"/>
      <c r="C2270"/>
    </row>
    <row r="2271" spans="2:3" x14ac:dyDescent="0.2">
      <c r="B2271"/>
      <c r="C2271"/>
    </row>
    <row r="2272" spans="2:3" x14ac:dyDescent="0.2">
      <c r="B2272"/>
      <c r="C2272"/>
    </row>
    <row r="2273" spans="2:3" x14ac:dyDescent="0.2">
      <c r="B2273"/>
      <c r="C2273"/>
    </row>
    <row r="2274" spans="2:3" x14ac:dyDescent="0.2">
      <c r="B2274"/>
      <c r="C2274"/>
    </row>
    <row r="2275" spans="2:3" x14ac:dyDescent="0.2">
      <c r="B2275"/>
      <c r="C2275"/>
    </row>
    <row r="2276" spans="2:3" x14ac:dyDescent="0.2">
      <c r="B2276"/>
      <c r="C2276"/>
    </row>
    <row r="2277" spans="2:3" x14ac:dyDescent="0.2">
      <c r="B2277"/>
      <c r="C2277"/>
    </row>
    <row r="2278" spans="2:3" x14ac:dyDescent="0.2">
      <c r="B2278"/>
      <c r="C2278"/>
    </row>
    <row r="2279" spans="2:3" x14ac:dyDescent="0.2">
      <c r="B2279"/>
      <c r="C2279"/>
    </row>
    <row r="2280" spans="2:3" x14ac:dyDescent="0.2">
      <c r="B2280"/>
      <c r="C2280"/>
    </row>
    <row r="2281" spans="2:3" x14ac:dyDescent="0.2">
      <c r="B2281"/>
      <c r="C2281"/>
    </row>
    <row r="2282" spans="2:3" x14ac:dyDescent="0.2">
      <c r="B2282"/>
      <c r="C2282"/>
    </row>
    <row r="2283" spans="2:3" x14ac:dyDescent="0.2">
      <c r="B2283"/>
      <c r="C2283"/>
    </row>
    <row r="2284" spans="2:3" x14ac:dyDescent="0.2">
      <c r="B2284"/>
      <c r="C2284"/>
    </row>
    <row r="2285" spans="2:3" x14ac:dyDescent="0.2">
      <c r="B2285"/>
      <c r="C2285"/>
    </row>
    <row r="2286" spans="2:3" x14ac:dyDescent="0.2">
      <c r="B2286"/>
      <c r="C2286"/>
    </row>
    <row r="2287" spans="2:3" x14ac:dyDescent="0.2">
      <c r="B2287"/>
      <c r="C2287"/>
    </row>
    <row r="2288" spans="2:3" x14ac:dyDescent="0.2">
      <c r="B2288"/>
      <c r="C2288"/>
    </row>
    <row r="2289" spans="2:3" x14ac:dyDescent="0.2">
      <c r="B2289"/>
      <c r="C2289"/>
    </row>
    <row r="2290" spans="2:3" x14ac:dyDescent="0.2">
      <c r="B2290"/>
      <c r="C2290"/>
    </row>
    <row r="2291" spans="2:3" x14ac:dyDescent="0.2">
      <c r="B2291"/>
      <c r="C2291"/>
    </row>
    <row r="2292" spans="2:3" x14ac:dyDescent="0.2">
      <c r="B2292"/>
      <c r="C2292"/>
    </row>
    <row r="2293" spans="2:3" x14ac:dyDescent="0.2">
      <c r="B2293"/>
      <c r="C2293"/>
    </row>
    <row r="2294" spans="2:3" x14ac:dyDescent="0.2">
      <c r="B2294"/>
      <c r="C2294"/>
    </row>
    <row r="2295" spans="2:3" x14ac:dyDescent="0.2">
      <c r="B2295"/>
      <c r="C2295"/>
    </row>
    <row r="2296" spans="2:3" x14ac:dyDescent="0.2">
      <c r="B2296"/>
      <c r="C2296"/>
    </row>
    <row r="2297" spans="2:3" x14ac:dyDescent="0.2">
      <c r="B2297"/>
      <c r="C2297"/>
    </row>
    <row r="2298" spans="2:3" x14ac:dyDescent="0.2">
      <c r="B2298"/>
      <c r="C2298"/>
    </row>
    <row r="2299" spans="2:3" x14ac:dyDescent="0.2">
      <c r="B2299"/>
      <c r="C2299"/>
    </row>
    <row r="2300" spans="2:3" x14ac:dyDescent="0.2">
      <c r="B2300"/>
      <c r="C2300"/>
    </row>
    <row r="2301" spans="2:3" x14ac:dyDescent="0.2">
      <c r="B2301"/>
      <c r="C2301"/>
    </row>
    <row r="2302" spans="2:3" x14ac:dyDescent="0.2">
      <c r="B2302"/>
      <c r="C2302"/>
    </row>
    <row r="2303" spans="2:3" x14ac:dyDescent="0.2">
      <c r="B2303"/>
      <c r="C2303"/>
    </row>
    <row r="2304" spans="2:3" x14ac:dyDescent="0.2">
      <c r="B2304"/>
      <c r="C2304"/>
    </row>
    <row r="2305" spans="2:3" x14ac:dyDescent="0.2">
      <c r="B2305"/>
      <c r="C2305"/>
    </row>
    <row r="2306" spans="2:3" x14ac:dyDescent="0.2">
      <c r="B2306"/>
      <c r="C2306"/>
    </row>
    <row r="2307" spans="2:3" x14ac:dyDescent="0.2">
      <c r="B2307"/>
      <c r="C2307"/>
    </row>
    <row r="2308" spans="2:3" x14ac:dyDescent="0.2">
      <c r="B2308"/>
      <c r="C2308"/>
    </row>
    <row r="2309" spans="2:3" x14ac:dyDescent="0.2">
      <c r="B2309"/>
      <c r="C2309"/>
    </row>
    <row r="2310" spans="2:3" x14ac:dyDescent="0.2">
      <c r="B2310"/>
      <c r="C2310"/>
    </row>
    <row r="2311" spans="2:3" x14ac:dyDescent="0.2">
      <c r="B2311"/>
      <c r="C2311"/>
    </row>
    <row r="2312" spans="2:3" x14ac:dyDescent="0.2">
      <c r="B2312"/>
      <c r="C2312"/>
    </row>
    <row r="2313" spans="2:3" x14ac:dyDescent="0.2">
      <c r="B2313"/>
      <c r="C2313"/>
    </row>
    <row r="2314" spans="2:3" x14ac:dyDescent="0.2">
      <c r="B2314"/>
      <c r="C2314"/>
    </row>
    <row r="2315" spans="2:3" x14ac:dyDescent="0.2">
      <c r="B2315"/>
      <c r="C2315"/>
    </row>
    <row r="2316" spans="2:3" x14ac:dyDescent="0.2">
      <c r="B2316"/>
      <c r="C2316"/>
    </row>
    <row r="2317" spans="2:3" x14ac:dyDescent="0.2">
      <c r="B2317"/>
      <c r="C2317"/>
    </row>
    <row r="2318" spans="2:3" x14ac:dyDescent="0.2">
      <c r="B2318"/>
      <c r="C2318"/>
    </row>
    <row r="2319" spans="2:3" x14ac:dyDescent="0.2">
      <c r="B2319"/>
      <c r="C2319"/>
    </row>
    <row r="2320" spans="2:3" x14ac:dyDescent="0.2">
      <c r="B2320"/>
      <c r="C2320"/>
    </row>
    <row r="2321" spans="2:3" x14ac:dyDescent="0.2">
      <c r="B2321"/>
      <c r="C2321"/>
    </row>
    <row r="2322" spans="2:3" x14ac:dyDescent="0.2">
      <c r="B2322"/>
      <c r="C2322"/>
    </row>
    <row r="2323" spans="2:3" x14ac:dyDescent="0.2">
      <c r="B2323"/>
      <c r="C2323"/>
    </row>
    <row r="2324" spans="2:3" x14ac:dyDescent="0.2">
      <c r="B2324"/>
      <c r="C2324"/>
    </row>
    <row r="2325" spans="2:3" x14ac:dyDescent="0.2">
      <c r="B2325"/>
      <c r="C2325"/>
    </row>
    <row r="2326" spans="2:3" x14ac:dyDescent="0.2">
      <c r="B2326"/>
      <c r="C2326"/>
    </row>
    <row r="2327" spans="2:3" x14ac:dyDescent="0.2">
      <c r="B2327"/>
      <c r="C2327"/>
    </row>
    <row r="2328" spans="2:3" x14ac:dyDescent="0.2">
      <c r="B2328"/>
      <c r="C2328"/>
    </row>
    <row r="2329" spans="2:3" x14ac:dyDescent="0.2">
      <c r="B2329"/>
      <c r="C2329"/>
    </row>
    <row r="2330" spans="2:3" x14ac:dyDescent="0.2">
      <c r="B2330"/>
      <c r="C2330"/>
    </row>
    <row r="2331" spans="2:3" x14ac:dyDescent="0.2">
      <c r="B2331"/>
      <c r="C2331"/>
    </row>
    <row r="2332" spans="2:3" x14ac:dyDescent="0.2">
      <c r="B2332"/>
      <c r="C2332"/>
    </row>
    <row r="2333" spans="2:3" x14ac:dyDescent="0.2">
      <c r="B2333"/>
      <c r="C2333"/>
    </row>
    <row r="2334" spans="2:3" x14ac:dyDescent="0.2">
      <c r="B2334"/>
      <c r="C2334"/>
    </row>
    <row r="2335" spans="2:3" x14ac:dyDescent="0.2">
      <c r="B2335"/>
      <c r="C2335"/>
    </row>
    <row r="2336" spans="2:3" x14ac:dyDescent="0.2">
      <c r="B2336"/>
      <c r="C2336"/>
    </row>
    <row r="2337" spans="2:3" x14ac:dyDescent="0.2">
      <c r="B2337"/>
      <c r="C2337"/>
    </row>
    <row r="2338" spans="2:3" x14ac:dyDescent="0.2">
      <c r="B2338"/>
      <c r="C2338"/>
    </row>
    <row r="2339" spans="2:3" x14ac:dyDescent="0.2">
      <c r="B2339"/>
      <c r="C2339"/>
    </row>
    <row r="2340" spans="2:3" x14ac:dyDescent="0.2">
      <c r="B2340"/>
      <c r="C2340"/>
    </row>
    <row r="2341" spans="2:3" x14ac:dyDescent="0.2">
      <c r="B2341"/>
      <c r="C2341"/>
    </row>
    <row r="2342" spans="2:3" x14ac:dyDescent="0.2">
      <c r="B2342"/>
      <c r="C2342"/>
    </row>
    <row r="2343" spans="2:3" x14ac:dyDescent="0.2">
      <c r="B2343"/>
      <c r="C2343"/>
    </row>
    <row r="2344" spans="2:3" x14ac:dyDescent="0.2">
      <c r="B2344"/>
      <c r="C2344"/>
    </row>
    <row r="2345" spans="2:3" x14ac:dyDescent="0.2">
      <c r="B2345"/>
      <c r="C2345"/>
    </row>
    <row r="2346" spans="2:3" x14ac:dyDescent="0.2">
      <c r="B2346"/>
      <c r="C2346"/>
    </row>
    <row r="2347" spans="2:3" x14ac:dyDescent="0.2">
      <c r="B2347"/>
      <c r="C2347"/>
    </row>
    <row r="2348" spans="2:3" x14ac:dyDescent="0.2">
      <c r="B2348"/>
      <c r="C2348"/>
    </row>
    <row r="2349" spans="2:3" x14ac:dyDescent="0.2">
      <c r="B2349"/>
      <c r="C2349"/>
    </row>
    <row r="2350" spans="2:3" x14ac:dyDescent="0.2">
      <c r="B2350"/>
      <c r="C2350"/>
    </row>
    <row r="2351" spans="2:3" x14ac:dyDescent="0.2">
      <c r="B2351"/>
      <c r="C2351"/>
    </row>
    <row r="2352" spans="2:3" x14ac:dyDescent="0.2">
      <c r="B2352"/>
      <c r="C2352"/>
    </row>
    <row r="2353" spans="2:3" x14ac:dyDescent="0.2">
      <c r="B2353"/>
      <c r="C2353"/>
    </row>
    <row r="2354" spans="2:3" x14ac:dyDescent="0.2">
      <c r="B2354"/>
      <c r="C2354"/>
    </row>
    <row r="2355" spans="2:3" x14ac:dyDescent="0.2">
      <c r="B2355"/>
      <c r="C2355"/>
    </row>
    <row r="2356" spans="2:3" x14ac:dyDescent="0.2">
      <c r="B2356"/>
      <c r="C2356"/>
    </row>
    <row r="2357" spans="2:3" x14ac:dyDescent="0.2">
      <c r="B2357"/>
      <c r="C2357"/>
    </row>
    <row r="2358" spans="2:3" x14ac:dyDescent="0.2">
      <c r="B2358"/>
      <c r="C2358"/>
    </row>
    <row r="2359" spans="2:3" x14ac:dyDescent="0.2">
      <c r="B2359"/>
      <c r="C2359"/>
    </row>
    <row r="2360" spans="2:3" x14ac:dyDescent="0.2">
      <c r="B2360"/>
      <c r="C2360"/>
    </row>
    <row r="2361" spans="2:3" x14ac:dyDescent="0.2">
      <c r="B2361"/>
      <c r="C2361"/>
    </row>
    <row r="2362" spans="2:3" x14ac:dyDescent="0.2">
      <c r="B2362"/>
      <c r="C2362"/>
    </row>
    <row r="2363" spans="2:3" x14ac:dyDescent="0.2">
      <c r="B2363"/>
      <c r="C2363"/>
    </row>
    <row r="2364" spans="2:3" x14ac:dyDescent="0.2">
      <c r="B2364"/>
      <c r="C2364"/>
    </row>
    <row r="2365" spans="2:3" x14ac:dyDescent="0.2">
      <c r="B2365"/>
      <c r="C2365"/>
    </row>
    <row r="2366" spans="2:3" x14ac:dyDescent="0.2">
      <c r="B2366"/>
      <c r="C2366"/>
    </row>
    <row r="2367" spans="2:3" x14ac:dyDescent="0.2">
      <c r="B2367"/>
      <c r="C2367"/>
    </row>
    <row r="2368" spans="2:3" x14ac:dyDescent="0.2">
      <c r="B2368"/>
      <c r="C2368"/>
    </row>
    <row r="2369" spans="2:3" x14ac:dyDescent="0.2">
      <c r="B2369"/>
      <c r="C2369"/>
    </row>
    <row r="2370" spans="2:3" x14ac:dyDescent="0.2">
      <c r="B2370"/>
      <c r="C2370"/>
    </row>
    <row r="2371" spans="2:3" x14ac:dyDescent="0.2">
      <c r="B2371"/>
      <c r="C2371"/>
    </row>
    <row r="2372" spans="2:3" x14ac:dyDescent="0.2">
      <c r="B2372"/>
      <c r="C2372"/>
    </row>
    <row r="2373" spans="2:3" x14ac:dyDescent="0.2">
      <c r="B2373"/>
      <c r="C2373"/>
    </row>
    <row r="2374" spans="2:3" x14ac:dyDescent="0.2">
      <c r="B2374"/>
      <c r="C2374"/>
    </row>
    <row r="2375" spans="2:3" x14ac:dyDescent="0.2">
      <c r="B2375"/>
      <c r="C2375"/>
    </row>
    <row r="2376" spans="2:3" x14ac:dyDescent="0.2">
      <c r="B2376"/>
      <c r="C2376"/>
    </row>
    <row r="2377" spans="2:3" x14ac:dyDescent="0.2">
      <c r="B2377"/>
      <c r="C2377"/>
    </row>
    <row r="2378" spans="2:3" x14ac:dyDescent="0.2">
      <c r="B2378"/>
      <c r="C2378"/>
    </row>
    <row r="2379" spans="2:3" x14ac:dyDescent="0.2">
      <c r="B2379"/>
      <c r="C2379"/>
    </row>
    <row r="2380" spans="2:3" x14ac:dyDescent="0.2">
      <c r="B2380"/>
      <c r="C2380"/>
    </row>
    <row r="2381" spans="2:3" x14ac:dyDescent="0.2">
      <c r="B2381"/>
      <c r="C2381"/>
    </row>
    <row r="2382" spans="2:3" x14ac:dyDescent="0.2">
      <c r="B2382"/>
      <c r="C2382"/>
    </row>
    <row r="2383" spans="2:3" x14ac:dyDescent="0.2">
      <c r="B2383"/>
      <c r="C2383"/>
    </row>
    <row r="2384" spans="2:3" x14ac:dyDescent="0.2">
      <c r="B2384"/>
      <c r="C2384"/>
    </row>
    <row r="2385" spans="2:3" x14ac:dyDescent="0.2">
      <c r="B2385"/>
      <c r="C2385"/>
    </row>
    <row r="2386" spans="2:3" x14ac:dyDescent="0.2">
      <c r="B2386"/>
      <c r="C2386"/>
    </row>
    <row r="2387" spans="2:3" x14ac:dyDescent="0.2">
      <c r="B2387"/>
      <c r="C2387"/>
    </row>
    <row r="2388" spans="2:3" x14ac:dyDescent="0.2">
      <c r="B2388"/>
      <c r="C2388"/>
    </row>
    <row r="2389" spans="2:3" x14ac:dyDescent="0.2">
      <c r="B2389"/>
      <c r="C2389"/>
    </row>
    <row r="2390" spans="2:3" x14ac:dyDescent="0.2">
      <c r="B2390"/>
      <c r="C2390"/>
    </row>
    <row r="2391" spans="2:3" x14ac:dyDescent="0.2">
      <c r="B2391"/>
      <c r="C2391"/>
    </row>
    <row r="2392" spans="2:3" x14ac:dyDescent="0.2">
      <c r="B2392"/>
      <c r="C2392"/>
    </row>
    <row r="2393" spans="2:3" x14ac:dyDescent="0.2">
      <c r="B2393"/>
      <c r="C2393"/>
    </row>
    <row r="2394" spans="2:3" x14ac:dyDescent="0.2">
      <c r="B2394"/>
      <c r="C2394"/>
    </row>
    <row r="2395" spans="2:3" x14ac:dyDescent="0.2">
      <c r="B2395"/>
      <c r="C2395"/>
    </row>
    <row r="2396" spans="2:3" x14ac:dyDescent="0.2">
      <c r="B2396"/>
      <c r="C2396"/>
    </row>
    <row r="2397" spans="2:3" x14ac:dyDescent="0.2">
      <c r="B2397"/>
      <c r="C2397"/>
    </row>
    <row r="2398" spans="2:3" x14ac:dyDescent="0.2">
      <c r="B2398"/>
      <c r="C2398"/>
    </row>
    <row r="2399" spans="2:3" x14ac:dyDescent="0.2">
      <c r="B2399"/>
      <c r="C2399"/>
    </row>
    <row r="2400" spans="2:3" x14ac:dyDescent="0.2">
      <c r="B2400"/>
      <c r="C2400"/>
    </row>
    <row r="2401" spans="2:3" x14ac:dyDescent="0.2">
      <c r="B2401"/>
      <c r="C2401"/>
    </row>
    <row r="2402" spans="2:3" x14ac:dyDescent="0.2">
      <c r="B2402"/>
      <c r="C2402"/>
    </row>
    <row r="2403" spans="2:3" x14ac:dyDescent="0.2">
      <c r="B2403"/>
      <c r="C2403"/>
    </row>
    <row r="2404" spans="2:3" x14ac:dyDescent="0.2">
      <c r="B2404"/>
      <c r="C2404"/>
    </row>
    <row r="2405" spans="2:3" x14ac:dyDescent="0.2">
      <c r="B2405"/>
      <c r="C2405"/>
    </row>
    <row r="2406" spans="2:3" x14ac:dyDescent="0.2">
      <c r="B2406"/>
      <c r="C2406"/>
    </row>
    <row r="2407" spans="2:3" x14ac:dyDescent="0.2">
      <c r="B2407"/>
      <c r="C2407"/>
    </row>
    <row r="2408" spans="2:3" x14ac:dyDescent="0.2">
      <c r="B2408"/>
      <c r="C2408"/>
    </row>
    <row r="2409" spans="2:3" x14ac:dyDescent="0.2">
      <c r="B2409"/>
      <c r="C2409"/>
    </row>
    <row r="2410" spans="2:3" x14ac:dyDescent="0.2">
      <c r="B2410"/>
      <c r="C2410"/>
    </row>
    <row r="2411" spans="2:3" x14ac:dyDescent="0.2">
      <c r="B2411"/>
      <c r="C2411"/>
    </row>
    <row r="2412" spans="2:3" x14ac:dyDescent="0.2">
      <c r="B2412"/>
      <c r="C2412"/>
    </row>
    <row r="2413" spans="2:3" x14ac:dyDescent="0.2">
      <c r="B2413"/>
      <c r="C2413"/>
    </row>
    <row r="2414" spans="2:3" x14ac:dyDescent="0.2">
      <c r="B2414"/>
      <c r="C2414"/>
    </row>
    <row r="2415" spans="2:3" x14ac:dyDescent="0.2">
      <c r="B2415"/>
      <c r="C2415"/>
    </row>
    <row r="2416" spans="2:3" x14ac:dyDescent="0.2">
      <c r="B2416"/>
      <c r="C2416"/>
    </row>
    <row r="2417" spans="2:3" x14ac:dyDescent="0.2">
      <c r="B2417"/>
      <c r="C2417"/>
    </row>
    <row r="2418" spans="2:3" x14ac:dyDescent="0.2">
      <c r="B2418"/>
      <c r="C2418"/>
    </row>
    <row r="2419" spans="2:3" x14ac:dyDescent="0.2">
      <c r="B2419"/>
      <c r="C2419"/>
    </row>
    <row r="2420" spans="2:3" x14ac:dyDescent="0.2">
      <c r="B2420"/>
      <c r="C2420"/>
    </row>
    <row r="2421" spans="2:3" x14ac:dyDescent="0.2">
      <c r="B2421"/>
      <c r="C2421"/>
    </row>
    <row r="2422" spans="2:3" x14ac:dyDescent="0.2">
      <c r="B2422"/>
      <c r="C2422"/>
    </row>
    <row r="2423" spans="2:3" x14ac:dyDescent="0.2">
      <c r="B2423"/>
      <c r="C2423"/>
    </row>
    <row r="2424" spans="2:3" x14ac:dyDescent="0.2">
      <c r="B2424"/>
      <c r="C2424"/>
    </row>
    <row r="2425" spans="2:3" x14ac:dyDescent="0.2">
      <c r="B2425"/>
      <c r="C2425"/>
    </row>
    <row r="2426" spans="2:3" x14ac:dyDescent="0.2">
      <c r="B2426"/>
      <c r="C2426"/>
    </row>
    <row r="2427" spans="2:3" x14ac:dyDescent="0.2">
      <c r="B2427"/>
      <c r="C2427"/>
    </row>
    <row r="2428" spans="2:3" x14ac:dyDescent="0.2">
      <c r="B2428"/>
      <c r="C2428"/>
    </row>
    <row r="2429" spans="2:3" x14ac:dyDescent="0.2">
      <c r="B2429"/>
      <c r="C2429"/>
    </row>
    <row r="2430" spans="2:3" x14ac:dyDescent="0.2">
      <c r="B2430"/>
      <c r="C2430"/>
    </row>
    <row r="2431" spans="2:3" x14ac:dyDescent="0.2">
      <c r="B2431"/>
      <c r="C2431"/>
    </row>
    <row r="2432" spans="2:3" x14ac:dyDescent="0.2">
      <c r="B2432"/>
      <c r="C2432"/>
    </row>
    <row r="2433" spans="2:3" x14ac:dyDescent="0.2">
      <c r="B2433"/>
      <c r="C2433"/>
    </row>
    <row r="2434" spans="2:3" x14ac:dyDescent="0.2">
      <c r="B2434"/>
      <c r="C2434"/>
    </row>
    <row r="2435" spans="2:3" x14ac:dyDescent="0.2">
      <c r="B2435"/>
      <c r="C2435"/>
    </row>
    <row r="2436" spans="2:3" x14ac:dyDescent="0.2">
      <c r="B2436"/>
      <c r="C2436"/>
    </row>
    <row r="2437" spans="2:3" x14ac:dyDescent="0.2">
      <c r="B2437"/>
      <c r="C2437"/>
    </row>
    <row r="2438" spans="2:3" x14ac:dyDescent="0.2">
      <c r="B2438"/>
      <c r="C2438"/>
    </row>
    <row r="2439" spans="2:3" x14ac:dyDescent="0.2">
      <c r="B2439"/>
      <c r="C2439"/>
    </row>
    <row r="2440" spans="2:3" x14ac:dyDescent="0.2">
      <c r="B2440"/>
      <c r="C2440"/>
    </row>
    <row r="2441" spans="2:3" x14ac:dyDescent="0.2">
      <c r="B2441"/>
      <c r="C2441"/>
    </row>
    <row r="2442" spans="2:3" x14ac:dyDescent="0.2">
      <c r="B2442"/>
      <c r="C2442"/>
    </row>
    <row r="2443" spans="2:3" x14ac:dyDescent="0.2">
      <c r="B2443"/>
      <c r="C2443"/>
    </row>
    <row r="2444" spans="2:3" x14ac:dyDescent="0.2">
      <c r="B2444"/>
      <c r="C2444"/>
    </row>
    <row r="2445" spans="2:3" x14ac:dyDescent="0.2">
      <c r="B2445"/>
      <c r="C2445"/>
    </row>
    <row r="2446" spans="2:3" x14ac:dyDescent="0.2">
      <c r="B2446"/>
      <c r="C2446"/>
    </row>
    <row r="2447" spans="2:3" x14ac:dyDescent="0.2">
      <c r="B2447"/>
      <c r="C2447"/>
    </row>
    <row r="2448" spans="2:3" x14ac:dyDescent="0.2">
      <c r="B2448"/>
      <c r="C2448"/>
    </row>
    <row r="2449" spans="2:3" x14ac:dyDescent="0.2">
      <c r="B2449"/>
      <c r="C2449"/>
    </row>
    <row r="2450" spans="2:3" x14ac:dyDescent="0.2">
      <c r="B2450"/>
      <c r="C2450"/>
    </row>
    <row r="2451" spans="2:3" x14ac:dyDescent="0.2">
      <c r="B2451"/>
      <c r="C2451"/>
    </row>
    <row r="2452" spans="2:3" x14ac:dyDescent="0.2">
      <c r="B2452"/>
      <c r="C2452"/>
    </row>
    <row r="2453" spans="2:3" x14ac:dyDescent="0.2">
      <c r="B2453"/>
      <c r="C2453"/>
    </row>
    <row r="2454" spans="2:3" x14ac:dyDescent="0.2">
      <c r="B2454"/>
      <c r="C2454"/>
    </row>
    <row r="2455" spans="2:3" x14ac:dyDescent="0.2">
      <c r="B2455"/>
      <c r="C2455"/>
    </row>
    <row r="2456" spans="2:3" x14ac:dyDescent="0.2">
      <c r="B2456"/>
      <c r="C2456"/>
    </row>
    <row r="2457" spans="2:3" x14ac:dyDescent="0.2">
      <c r="B2457"/>
      <c r="C2457"/>
    </row>
    <row r="2458" spans="2:3" x14ac:dyDescent="0.2">
      <c r="B2458"/>
      <c r="C2458"/>
    </row>
    <row r="2459" spans="2:3" x14ac:dyDescent="0.2">
      <c r="B2459"/>
      <c r="C2459"/>
    </row>
    <row r="2460" spans="2:3" x14ac:dyDescent="0.2">
      <c r="B2460"/>
      <c r="C2460"/>
    </row>
    <row r="2461" spans="2:3" x14ac:dyDescent="0.2">
      <c r="B2461"/>
      <c r="C2461"/>
    </row>
    <row r="2462" spans="2:3" x14ac:dyDescent="0.2">
      <c r="B2462"/>
      <c r="C2462"/>
    </row>
    <row r="2463" spans="2:3" x14ac:dyDescent="0.2">
      <c r="B2463"/>
      <c r="C2463"/>
    </row>
    <row r="2464" spans="2:3" x14ac:dyDescent="0.2">
      <c r="B2464"/>
      <c r="C2464"/>
    </row>
    <row r="2465" spans="2:3" x14ac:dyDescent="0.2">
      <c r="B2465"/>
      <c r="C2465"/>
    </row>
    <row r="2466" spans="2:3" x14ac:dyDescent="0.2">
      <c r="B2466"/>
      <c r="C2466"/>
    </row>
    <row r="2467" spans="2:3" x14ac:dyDescent="0.2">
      <c r="B2467"/>
      <c r="C2467"/>
    </row>
    <row r="2468" spans="2:3" x14ac:dyDescent="0.2">
      <c r="B2468"/>
      <c r="C2468"/>
    </row>
    <row r="2469" spans="2:3" x14ac:dyDescent="0.2">
      <c r="B2469"/>
      <c r="C2469"/>
    </row>
    <row r="2470" spans="2:3" x14ac:dyDescent="0.2">
      <c r="B2470"/>
      <c r="C2470"/>
    </row>
    <row r="2471" spans="2:3" x14ac:dyDescent="0.2">
      <c r="B2471"/>
      <c r="C2471"/>
    </row>
    <row r="2472" spans="2:3" x14ac:dyDescent="0.2">
      <c r="B2472"/>
      <c r="C2472"/>
    </row>
    <row r="2473" spans="2:3" x14ac:dyDescent="0.2">
      <c r="B2473"/>
      <c r="C2473"/>
    </row>
    <row r="2474" spans="2:3" x14ac:dyDescent="0.2">
      <c r="B2474"/>
      <c r="C2474"/>
    </row>
    <row r="2475" spans="2:3" x14ac:dyDescent="0.2">
      <c r="B2475"/>
      <c r="C2475"/>
    </row>
    <row r="2476" spans="2:3" x14ac:dyDescent="0.2">
      <c r="B2476"/>
      <c r="C2476"/>
    </row>
    <row r="2477" spans="2:3" x14ac:dyDescent="0.2">
      <c r="B2477"/>
      <c r="C2477"/>
    </row>
    <row r="2478" spans="2:3" x14ac:dyDescent="0.2">
      <c r="B2478"/>
      <c r="C2478"/>
    </row>
    <row r="2479" spans="2:3" x14ac:dyDescent="0.2">
      <c r="B2479"/>
      <c r="C2479"/>
    </row>
    <row r="2480" spans="2:3" x14ac:dyDescent="0.2">
      <c r="B2480"/>
      <c r="C2480"/>
    </row>
    <row r="2481" spans="2:3" x14ac:dyDescent="0.2">
      <c r="B2481"/>
      <c r="C2481"/>
    </row>
    <row r="2482" spans="2:3" x14ac:dyDescent="0.2">
      <c r="B2482"/>
      <c r="C2482"/>
    </row>
    <row r="2483" spans="2:3" x14ac:dyDescent="0.2">
      <c r="B2483"/>
      <c r="C2483"/>
    </row>
    <row r="2484" spans="2:3" x14ac:dyDescent="0.2">
      <c r="B2484"/>
      <c r="C2484"/>
    </row>
    <row r="2485" spans="2:3" x14ac:dyDescent="0.2">
      <c r="B2485"/>
      <c r="C2485"/>
    </row>
    <row r="2486" spans="2:3" x14ac:dyDescent="0.2">
      <c r="B2486"/>
      <c r="C2486"/>
    </row>
    <row r="2487" spans="2:3" x14ac:dyDescent="0.2">
      <c r="B2487"/>
      <c r="C2487"/>
    </row>
    <row r="2488" spans="2:3" x14ac:dyDescent="0.2">
      <c r="B2488"/>
      <c r="C2488"/>
    </row>
    <row r="2489" spans="2:3" x14ac:dyDescent="0.2">
      <c r="B2489"/>
      <c r="C2489"/>
    </row>
    <row r="2490" spans="2:3" x14ac:dyDescent="0.2">
      <c r="B2490"/>
      <c r="C2490"/>
    </row>
    <row r="2491" spans="2:3" x14ac:dyDescent="0.2">
      <c r="B2491"/>
      <c r="C2491"/>
    </row>
    <row r="2492" spans="2:3" x14ac:dyDescent="0.2">
      <c r="B2492"/>
      <c r="C2492"/>
    </row>
    <row r="2493" spans="2:3" x14ac:dyDescent="0.2">
      <c r="B2493"/>
      <c r="C2493"/>
    </row>
    <row r="2494" spans="2:3" x14ac:dyDescent="0.2">
      <c r="B2494"/>
      <c r="C2494"/>
    </row>
    <row r="2495" spans="2:3" x14ac:dyDescent="0.2">
      <c r="B2495"/>
      <c r="C2495"/>
    </row>
    <row r="2496" spans="2:3" x14ac:dyDescent="0.2">
      <c r="B2496"/>
      <c r="C2496"/>
    </row>
    <row r="2497" spans="2:3" x14ac:dyDescent="0.2">
      <c r="B2497"/>
      <c r="C2497"/>
    </row>
    <row r="2498" spans="2:3" x14ac:dyDescent="0.2">
      <c r="B2498"/>
      <c r="C2498"/>
    </row>
    <row r="2499" spans="2:3" x14ac:dyDescent="0.2">
      <c r="B2499"/>
      <c r="C2499"/>
    </row>
    <row r="2500" spans="2:3" x14ac:dyDescent="0.2">
      <c r="B2500"/>
      <c r="C2500"/>
    </row>
    <row r="2501" spans="2:3" x14ac:dyDescent="0.2">
      <c r="B2501"/>
      <c r="C2501"/>
    </row>
    <row r="2502" spans="2:3" x14ac:dyDescent="0.2">
      <c r="B2502"/>
      <c r="C2502"/>
    </row>
    <row r="2503" spans="2:3" x14ac:dyDescent="0.2">
      <c r="B2503"/>
      <c r="C2503"/>
    </row>
    <row r="2504" spans="2:3" x14ac:dyDescent="0.2">
      <c r="B2504"/>
      <c r="C2504"/>
    </row>
    <row r="2505" spans="2:3" x14ac:dyDescent="0.2">
      <c r="B2505"/>
      <c r="C2505"/>
    </row>
    <row r="2506" spans="2:3" x14ac:dyDescent="0.2">
      <c r="B2506"/>
      <c r="C2506"/>
    </row>
    <row r="2507" spans="2:3" x14ac:dyDescent="0.2">
      <c r="B2507"/>
      <c r="C2507"/>
    </row>
    <row r="2508" spans="2:3" x14ac:dyDescent="0.2">
      <c r="B2508"/>
      <c r="C2508"/>
    </row>
    <row r="2509" spans="2:3" x14ac:dyDescent="0.2">
      <c r="B2509"/>
      <c r="C2509"/>
    </row>
    <row r="2510" spans="2:3" x14ac:dyDescent="0.2">
      <c r="B2510"/>
      <c r="C2510"/>
    </row>
    <row r="2511" spans="2:3" x14ac:dyDescent="0.2">
      <c r="B2511"/>
      <c r="C2511"/>
    </row>
    <row r="2512" spans="2:3" x14ac:dyDescent="0.2">
      <c r="B2512"/>
      <c r="C2512"/>
    </row>
    <row r="2513" spans="2:3" x14ac:dyDescent="0.2">
      <c r="B2513"/>
      <c r="C2513"/>
    </row>
    <row r="2514" spans="2:3" x14ac:dyDescent="0.2">
      <c r="B2514"/>
      <c r="C2514"/>
    </row>
    <row r="2515" spans="2:3" x14ac:dyDescent="0.2">
      <c r="B2515"/>
      <c r="C2515"/>
    </row>
    <row r="2516" spans="2:3" x14ac:dyDescent="0.2">
      <c r="B2516"/>
      <c r="C2516"/>
    </row>
    <row r="2517" spans="2:3" x14ac:dyDescent="0.2">
      <c r="B2517"/>
      <c r="C2517"/>
    </row>
    <row r="2518" spans="2:3" x14ac:dyDescent="0.2">
      <c r="B2518"/>
      <c r="C2518"/>
    </row>
    <row r="2519" spans="2:3" x14ac:dyDescent="0.2">
      <c r="B2519"/>
      <c r="C2519"/>
    </row>
    <row r="2520" spans="2:3" x14ac:dyDescent="0.2">
      <c r="B2520"/>
      <c r="C2520"/>
    </row>
    <row r="2521" spans="2:3" x14ac:dyDescent="0.2">
      <c r="B2521"/>
      <c r="C2521"/>
    </row>
    <row r="2522" spans="2:3" x14ac:dyDescent="0.2">
      <c r="B2522"/>
      <c r="C2522"/>
    </row>
    <row r="2523" spans="2:3" x14ac:dyDescent="0.2">
      <c r="B2523"/>
      <c r="C2523"/>
    </row>
    <row r="2524" spans="2:3" x14ac:dyDescent="0.2">
      <c r="B2524"/>
      <c r="C2524"/>
    </row>
    <row r="2525" spans="2:3" x14ac:dyDescent="0.2">
      <c r="B2525"/>
      <c r="C2525"/>
    </row>
    <row r="2526" spans="2:3" x14ac:dyDescent="0.2">
      <c r="B2526"/>
      <c r="C2526"/>
    </row>
    <row r="2527" spans="2:3" x14ac:dyDescent="0.2">
      <c r="B2527"/>
      <c r="C2527"/>
    </row>
    <row r="2528" spans="2:3" x14ac:dyDescent="0.2">
      <c r="B2528"/>
      <c r="C2528"/>
    </row>
    <row r="2529" spans="2:3" x14ac:dyDescent="0.2">
      <c r="B2529"/>
      <c r="C2529"/>
    </row>
    <row r="2530" spans="2:3" x14ac:dyDescent="0.2">
      <c r="B2530"/>
      <c r="C2530"/>
    </row>
    <row r="2531" spans="2:3" x14ac:dyDescent="0.2">
      <c r="B2531"/>
      <c r="C2531"/>
    </row>
    <row r="2532" spans="2:3" x14ac:dyDescent="0.2">
      <c r="B2532"/>
      <c r="C2532"/>
    </row>
    <row r="2533" spans="2:3" x14ac:dyDescent="0.2">
      <c r="B2533"/>
      <c r="C2533"/>
    </row>
    <row r="2534" spans="2:3" x14ac:dyDescent="0.2">
      <c r="B2534"/>
      <c r="C2534"/>
    </row>
    <row r="2535" spans="2:3" x14ac:dyDescent="0.2">
      <c r="B2535"/>
      <c r="C2535"/>
    </row>
    <row r="2536" spans="2:3" x14ac:dyDescent="0.2">
      <c r="B2536"/>
      <c r="C2536"/>
    </row>
    <row r="2537" spans="2:3" x14ac:dyDescent="0.2">
      <c r="B2537"/>
      <c r="C2537"/>
    </row>
    <row r="2538" spans="2:3" x14ac:dyDescent="0.2">
      <c r="B2538"/>
      <c r="C2538"/>
    </row>
    <row r="2539" spans="2:3" x14ac:dyDescent="0.2">
      <c r="B2539"/>
      <c r="C2539"/>
    </row>
    <row r="2540" spans="2:3" x14ac:dyDescent="0.2">
      <c r="B2540"/>
      <c r="C2540"/>
    </row>
    <row r="2541" spans="2:3" x14ac:dyDescent="0.2">
      <c r="B2541"/>
      <c r="C2541"/>
    </row>
    <row r="2542" spans="2:3" x14ac:dyDescent="0.2">
      <c r="B2542"/>
      <c r="C2542"/>
    </row>
    <row r="2543" spans="2:3" x14ac:dyDescent="0.2">
      <c r="B2543"/>
      <c r="C2543"/>
    </row>
    <row r="2544" spans="2:3" x14ac:dyDescent="0.2">
      <c r="B2544"/>
      <c r="C2544"/>
    </row>
    <row r="2545" spans="2:3" x14ac:dyDescent="0.2">
      <c r="B2545"/>
      <c r="C2545"/>
    </row>
    <row r="2546" spans="2:3" x14ac:dyDescent="0.2">
      <c r="B2546"/>
      <c r="C2546"/>
    </row>
    <row r="2547" spans="2:3" x14ac:dyDescent="0.2">
      <c r="B2547"/>
      <c r="C2547"/>
    </row>
    <row r="2548" spans="2:3" x14ac:dyDescent="0.2">
      <c r="B2548"/>
      <c r="C2548"/>
    </row>
    <row r="2549" spans="2:3" x14ac:dyDescent="0.2">
      <c r="B2549"/>
      <c r="C2549"/>
    </row>
    <row r="2550" spans="2:3" x14ac:dyDescent="0.2">
      <c r="B2550"/>
      <c r="C2550"/>
    </row>
    <row r="2551" spans="2:3" x14ac:dyDescent="0.2">
      <c r="B2551"/>
      <c r="C2551"/>
    </row>
    <row r="2552" spans="2:3" x14ac:dyDescent="0.2">
      <c r="B2552"/>
      <c r="C2552"/>
    </row>
    <row r="2553" spans="2:3" x14ac:dyDescent="0.2">
      <c r="B2553"/>
      <c r="C2553"/>
    </row>
    <row r="2554" spans="2:3" x14ac:dyDescent="0.2">
      <c r="B2554"/>
      <c r="C2554"/>
    </row>
    <row r="2555" spans="2:3" x14ac:dyDescent="0.2">
      <c r="B2555"/>
      <c r="C2555"/>
    </row>
    <row r="2556" spans="2:3" x14ac:dyDescent="0.2">
      <c r="B2556"/>
      <c r="C2556"/>
    </row>
    <row r="2557" spans="2:3" x14ac:dyDescent="0.2">
      <c r="B2557"/>
      <c r="C2557"/>
    </row>
    <row r="2558" spans="2:3" x14ac:dyDescent="0.2">
      <c r="B2558"/>
      <c r="C2558"/>
    </row>
    <row r="2559" spans="2:3" x14ac:dyDescent="0.2">
      <c r="B2559"/>
      <c r="C2559"/>
    </row>
    <row r="2560" spans="2:3" x14ac:dyDescent="0.2">
      <c r="B2560"/>
      <c r="C2560"/>
    </row>
    <row r="2561" spans="2:3" x14ac:dyDescent="0.2">
      <c r="B2561"/>
      <c r="C2561"/>
    </row>
    <row r="2562" spans="2:3" x14ac:dyDescent="0.2">
      <c r="B2562"/>
      <c r="C2562"/>
    </row>
    <row r="2563" spans="2:3" x14ac:dyDescent="0.2">
      <c r="B2563"/>
      <c r="C2563"/>
    </row>
    <row r="2564" spans="2:3" x14ac:dyDescent="0.2">
      <c r="B2564"/>
      <c r="C2564"/>
    </row>
    <row r="2565" spans="2:3" x14ac:dyDescent="0.2">
      <c r="B2565"/>
      <c r="C2565"/>
    </row>
    <row r="2566" spans="2:3" x14ac:dyDescent="0.2">
      <c r="B2566"/>
      <c r="C2566"/>
    </row>
    <row r="2567" spans="2:3" x14ac:dyDescent="0.2">
      <c r="B2567"/>
      <c r="C2567"/>
    </row>
    <row r="2568" spans="2:3" x14ac:dyDescent="0.2">
      <c r="B2568"/>
      <c r="C2568"/>
    </row>
    <row r="2569" spans="2:3" x14ac:dyDescent="0.2">
      <c r="B2569"/>
      <c r="C2569"/>
    </row>
    <row r="2570" spans="2:3" x14ac:dyDescent="0.2">
      <c r="B2570"/>
      <c r="C2570"/>
    </row>
    <row r="2571" spans="2:3" x14ac:dyDescent="0.2">
      <c r="B2571"/>
      <c r="C2571"/>
    </row>
    <row r="2572" spans="2:3" x14ac:dyDescent="0.2">
      <c r="B2572"/>
      <c r="C2572"/>
    </row>
    <row r="2573" spans="2:3" x14ac:dyDescent="0.2">
      <c r="B2573"/>
      <c r="C2573"/>
    </row>
    <row r="2574" spans="2:3" x14ac:dyDescent="0.2">
      <c r="B2574"/>
      <c r="C2574"/>
    </row>
    <row r="2575" spans="2:3" x14ac:dyDescent="0.2">
      <c r="B2575"/>
      <c r="C2575"/>
    </row>
    <row r="2576" spans="2:3" x14ac:dyDescent="0.2">
      <c r="B2576"/>
      <c r="C2576"/>
    </row>
    <row r="2577" spans="2:3" x14ac:dyDescent="0.2">
      <c r="B2577"/>
      <c r="C2577"/>
    </row>
    <row r="2578" spans="2:3" x14ac:dyDescent="0.2">
      <c r="B2578"/>
      <c r="C2578"/>
    </row>
    <row r="2579" spans="2:3" x14ac:dyDescent="0.2">
      <c r="B2579"/>
      <c r="C2579"/>
    </row>
    <row r="2580" spans="2:3" x14ac:dyDescent="0.2">
      <c r="B2580"/>
      <c r="C2580"/>
    </row>
    <row r="2581" spans="2:3" x14ac:dyDescent="0.2">
      <c r="B2581"/>
      <c r="C2581"/>
    </row>
    <row r="2582" spans="2:3" x14ac:dyDescent="0.2">
      <c r="B2582"/>
      <c r="C2582"/>
    </row>
    <row r="2583" spans="2:3" x14ac:dyDescent="0.2">
      <c r="B2583"/>
      <c r="C2583"/>
    </row>
    <row r="2584" spans="2:3" x14ac:dyDescent="0.2">
      <c r="B2584"/>
      <c r="C2584"/>
    </row>
    <row r="2585" spans="2:3" x14ac:dyDescent="0.2">
      <c r="B2585"/>
      <c r="C2585"/>
    </row>
    <row r="2586" spans="2:3" x14ac:dyDescent="0.2">
      <c r="B2586"/>
      <c r="C2586"/>
    </row>
    <row r="2587" spans="2:3" x14ac:dyDescent="0.2">
      <c r="B2587"/>
      <c r="C2587"/>
    </row>
    <row r="2588" spans="2:3" x14ac:dyDescent="0.2">
      <c r="B2588"/>
      <c r="C2588"/>
    </row>
    <row r="2589" spans="2:3" x14ac:dyDescent="0.2">
      <c r="B2589"/>
      <c r="C2589"/>
    </row>
    <row r="2590" spans="2:3" x14ac:dyDescent="0.2">
      <c r="B2590"/>
      <c r="C2590"/>
    </row>
    <row r="2591" spans="2:3" x14ac:dyDescent="0.2">
      <c r="B2591"/>
      <c r="C2591"/>
    </row>
    <row r="2592" spans="2:3" x14ac:dyDescent="0.2">
      <c r="B2592"/>
      <c r="C2592"/>
    </row>
    <row r="2593" spans="2:3" x14ac:dyDescent="0.2">
      <c r="B2593"/>
      <c r="C2593"/>
    </row>
    <row r="2594" spans="2:3" x14ac:dyDescent="0.2">
      <c r="B2594"/>
      <c r="C2594"/>
    </row>
    <row r="2595" spans="2:3" x14ac:dyDescent="0.2">
      <c r="B2595"/>
      <c r="C2595"/>
    </row>
    <row r="2596" spans="2:3" x14ac:dyDescent="0.2">
      <c r="B2596"/>
      <c r="C2596"/>
    </row>
    <row r="2597" spans="2:3" x14ac:dyDescent="0.2">
      <c r="B2597"/>
      <c r="C2597"/>
    </row>
    <row r="2598" spans="2:3" x14ac:dyDescent="0.2">
      <c r="B2598"/>
      <c r="C2598"/>
    </row>
    <row r="2599" spans="2:3" x14ac:dyDescent="0.2">
      <c r="B2599"/>
      <c r="C2599"/>
    </row>
    <row r="2600" spans="2:3" x14ac:dyDescent="0.2">
      <c r="B2600"/>
      <c r="C2600"/>
    </row>
    <row r="2601" spans="2:3" x14ac:dyDescent="0.2">
      <c r="B2601"/>
      <c r="C2601"/>
    </row>
    <row r="2602" spans="2:3" x14ac:dyDescent="0.2">
      <c r="B2602"/>
      <c r="C2602"/>
    </row>
    <row r="2603" spans="2:3" x14ac:dyDescent="0.2">
      <c r="B2603"/>
      <c r="C2603"/>
    </row>
    <row r="2604" spans="2:3" x14ac:dyDescent="0.2">
      <c r="B2604"/>
      <c r="C2604"/>
    </row>
    <row r="2605" spans="2:3" x14ac:dyDescent="0.2">
      <c r="B2605"/>
      <c r="C2605"/>
    </row>
    <row r="2606" spans="2:3" x14ac:dyDescent="0.2">
      <c r="B2606"/>
      <c r="C2606"/>
    </row>
    <row r="2607" spans="2:3" x14ac:dyDescent="0.2">
      <c r="B2607"/>
      <c r="C2607"/>
    </row>
    <row r="2608" spans="2:3" x14ac:dyDescent="0.2">
      <c r="B2608"/>
      <c r="C2608"/>
    </row>
    <row r="2609" spans="2:3" x14ac:dyDescent="0.2">
      <c r="B2609"/>
      <c r="C2609"/>
    </row>
    <row r="2610" spans="2:3" x14ac:dyDescent="0.2">
      <c r="B2610"/>
      <c r="C2610"/>
    </row>
    <row r="2611" spans="2:3" x14ac:dyDescent="0.2">
      <c r="B2611"/>
      <c r="C2611"/>
    </row>
    <row r="2612" spans="2:3" x14ac:dyDescent="0.2">
      <c r="B2612"/>
      <c r="C2612"/>
    </row>
    <row r="2613" spans="2:3" x14ac:dyDescent="0.2">
      <c r="B2613"/>
      <c r="C2613"/>
    </row>
    <row r="2614" spans="2:3" x14ac:dyDescent="0.2">
      <c r="B2614"/>
      <c r="C2614"/>
    </row>
    <row r="2615" spans="2:3" x14ac:dyDescent="0.2">
      <c r="B2615"/>
      <c r="C2615"/>
    </row>
    <row r="2616" spans="2:3" x14ac:dyDescent="0.2">
      <c r="B2616"/>
      <c r="C2616"/>
    </row>
    <row r="2617" spans="2:3" x14ac:dyDescent="0.2">
      <c r="B2617"/>
      <c r="C2617"/>
    </row>
    <row r="2618" spans="2:3" x14ac:dyDescent="0.2">
      <c r="B2618"/>
      <c r="C2618"/>
    </row>
    <row r="2619" spans="2:3" x14ac:dyDescent="0.2">
      <c r="B2619"/>
      <c r="C2619"/>
    </row>
    <row r="2620" spans="2:3" x14ac:dyDescent="0.2">
      <c r="B2620"/>
      <c r="C2620"/>
    </row>
    <row r="2621" spans="2:3" x14ac:dyDescent="0.2">
      <c r="B2621"/>
      <c r="C2621"/>
    </row>
    <row r="2622" spans="2:3" x14ac:dyDescent="0.2">
      <c r="B2622"/>
      <c r="C2622"/>
    </row>
    <row r="2623" spans="2:3" x14ac:dyDescent="0.2">
      <c r="B2623"/>
      <c r="C2623"/>
    </row>
    <row r="2624" spans="2:3" x14ac:dyDescent="0.2">
      <c r="B2624"/>
      <c r="C2624"/>
    </row>
    <row r="2625" spans="2:3" x14ac:dyDescent="0.2">
      <c r="B2625"/>
      <c r="C2625"/>
    </row>
    <row r="2626" spans="2:3" x14ac:dyDescent="0.2">
      <c r="B2626"/>
      <c r="C2626"/>
    </row>
    <row r="2627" spans="2:3" x14ac:dyDescent="0.2">
      <c r="B2627"/>
      <c r="C2627"/>
    </row>
    <row r="2628" spans="2:3" x14ac:dyDescent="0.2">
      <c r="B2628"/>
      <c r="C2628"/>
    </row>
    <row r="2629" spans="2:3" x14ac:dyDescent="0.2">
      <c r="B2629"/>
      <c r="C2629"/>
    </row>
    <row r="2630" spans="2:3" x14ac:dyDescent="0.2">
      <c r="B2630"/>
      <c r="C2630"/>
    </row>
    <row r="2631" spans="2:3" x14ac:dyDescent="0.2">
      <c r="B2631"/>
      <c r="C2631"/>
    </row>
    <row r="2632" spans="2:3" x14ac:dyDescent="0.2">
      <c r="B2632"/>
      <c r="C2632"/>
    </row>
    <row r="2633" spans="2:3" x14ac:dyDescent="0.2">
      <c r="B2633"/>
      <c r="C2633"/>
    </row>
    <row r="2634" spans="2:3" x14ac:dyDescent="0.2">
      <c r="B2634"/>
      <c r="C2634"/>
    </row>
    <row r="2635" spans="2:3" x14ac:dyDescent="0.2">
      <c r="B2635"/>
      <c r="C2635"/>
    </row>
    <row r="2636" spans="2:3" x14ac:dyDescent="0.2">
      <c r="B2636"/>
      <c r="C2636"/>
    </row>
    <row r="2637" spans="2:3" x14ac:dyDescent="0.2">
      <c r="B2637"/>
      <c r="C2637"/>
    </row>
    <row r="2638" spans="2:3" x14ac:dyDescent="0.2">
      <c r="B2638"/>
      <c r="C2638"/>
    </row>
    <row r="2639" spans="2:3" x14ac:dyDescent="0.2">
      <c r="B2639"/>
      <c r="C2639"/>
    </row>
    <row r="2640" spans="2:3" x14ac:dyDescent="0.2">
      <c r="B2640"/>
      <c r="C2640"/>
    </row>
    <row r="2641" spans="2:3" x14ac:dyDescent="0.2">
      <c r="B2641"/>
      <c r="C2641"/>
    </row>
    <row r="2642" spans="2:3" x14ac:dyDescent="0.2">
      <c r="B2642"/>
      <c r="C2642"/>
    </row>
    <row r="2643" spans="2:3" x14ac:dyDescent="0.2">
      <c r="B2643"/>
      <c r="C2643"/>
    </row>
    <row r="2644" spans="2:3" x14ac:dyDescent="0.2">
      <c r="B2644"/>
      <c r="C2644"/>
    </row>
    <row r="2645" spans="2:3" x14ac:dyDescent="0.2">
      <c r="B2645"/>
      <c r="C2645"/>
    </row>
    <row r="2646" spans="2:3" x14ac:dyDescent="0.2">
      <c r="B2646"/>
      <c r="C2646"/>
    </row>
    <row r="2647" spans="2:3" x14ac:dyDescent="0.2">
      <c r="B2647"/>
      <c r="C2647"/>
    </row>
    <row r="2648" spans="2:3" x14ac:dyDescent="0.2">
      <c r="B2648"/>
      <c r="C2648"/>
    </row>
    <row r="2649" spans="2:3" x14ac:dyDescent="0.2">
      <c r="B2649"/>
      <c r="C2649"/>
    </row>
    <row r="2650" spans="2:3" x14ac:dyDescent="0.2">
      <c r="B2650"/>
      <c r="C2650"/>
    </row>
    <row r="2651" spans="2:3" x14ac:dyDescent="0.2">
      <c r="B2651"/>
      <c r="C2651"/>
    </row>
    <row r="2652" spans="2:3" x14ac:dyDescent="0.2">
      <c r="B2652"/>
      <c r="C2652"/>
    </row>
    <row r="2653" spans="2:3" x14ac:dyDescent="0.2">
      <c r="B2653"/>
      <c r="C2653"/>
    </row>
    <row r="2654" spans="2:3" x14ac:dyDescent="0.2">
      <c r="B2654"/>
      <c r="C2654"/>
    </row>
    <row r="2655" spans="2:3" x14ac:dyDescent="0.2">
      <c r="B2655"/>
      <c r="C2655"/>
    </row>
    <row r="2656" spans="2:3" x14ac:dyDescent="0.2">
      <c r="B2656"/>
      <c r="C2656"/>
    </row>
    <row r="2657" spans="2:3" x14ac:dyDescent="0.2">
      <c r="B2657"/>
      <c r="C2657"/>
    </row>
    <row r="2658" spans="2:3" x14ac:dyDescent="0.2">
      <c r="B2658"/>
      <c r="C2658"/>
    </row>
    <row r="2659" spans="2:3" x14ac:dyDescent="0.2">
      <c r="B2659"/>
      <c r="C2659"/>
    </row>
    <row r="2660" spans="2:3" x14ac:dyDescent="0.2">
      <c r="B2660"/>
      <c r="C2660"/>
    </row>
    <row r="2661" spans="2:3" x14ac:dyDescent="0.2">
      <c r="B2661"/>
      <c r="C2661"/>
    </row>
    <row r="2662" spans="2:3" x14ac:dyDescent="0.2">
      <c r="B2662"/>
      <c r="C2662"/>
    </row>
    <row r="2663" spans="2:3" x14ac:dyDescent="0.2">
      <c r="B2663"/>
      <c r="C2663"/>
    </row>
    <row r="2664" spans="2:3" x14ac:dyDescent="0.2">
      <c r="B2664"/>
      <c r="C2664"/>
    </row>
    <row r="2665" spans="2:3" x14ac:dyDescent="0.2">
      <c r="B2665"/>
      <c r="C2665"/>
    </row>
    <row r="2666" spans="2:3" x14ac:dyDescent="0.2">
      <c r="B2666"/>
      <c r="C2666"/>
    </row>
    <row r="2667" spans="2:3" x14ac:dyDescent="0.2">
      <c r="B2667"/>
      <c r="C2667"/>
    </row>
    <row r="2668" spans="2:3" x14ac:dyDescent="0.2">
      <c r="B2668"/>
      <c r="C2668"/>
    </row>
    <row r="2669" spans="2:3" x14ac:dyDescent="0.2">
      <c r="B2669"/>
      <c r="C2669"/>
    </row>
    <row r="2670" spans="2:3" x14ac:dyDescent="0.2">
      <c r="B2670"/>
      <c r="C2670"/>
    </row>
    <row r="2671" spans="2:3" x14ac:dyDescent="0.2">
      <c r="B2671"/>
      <c r="C2671"/>
    </row>
    <row r="2672" spans="2:3" x14ac:dyDescent="0.2">
      <c r="B2672"/>
      <c r="C2672"/>
    </row>
    <row r="2673" spans="2:3" x14ac:dyDescent="0.2">
      <c r="B2673"/>
      <c r="C2673"/>
    </row>
    <row r="2674" spans="2:3" x14ac:dyDescent="0.2">
      <c r="B2674"/>
      <c r="C2674"/>
    </row>
    <row r="2675" spans="2:3" x14ac:dyDescent="0.2">
      <c r="B2675"/>
      <c r="C2675"/>
    </row>
    <row r="2676" spans="2:3" x14ac:dyDescent="0.2">
      <c r="B2676"/>
      <c r="C2676"/>
    </row>
    <row r="2677" spans="2:3" x14ac:dyDescent="0.2">
      <c r="B2677"/>
      <c r="C2677"/>
    </row>
    <row r="2678" spans="2:3" x14ac:dyDescent="0.2">
      <c r="B2678"/>
      <c r="C2678"/>
    </row>
    <row r="2679" spans="2:3" x14ac:dyDescent="0.2">
      <c r="B2679"/>
      <c r="C2679"/>
    </row>
    <row r="2680" spans="2:3" x14ac:dyDescent="0.2">
      <c r="B2680"/>
      <c r="C2680"/>
    </row>
    <row r="2681" spans="2:3" x14ac:dyDescent="0.2">
      <c r="B2681"/>
      <c r="C2681"/>
    </row>
    <row r="2682" spans="2:3" x14ac:dyDescent="0.2">
      <c r="B2682"/>
      <c r="C2682"/>
    </row>
    <row r="2683" spans="2:3" x14ac:dyDescent="0.2">
      <c r="B2683"/>
      <c r="C2683"/>
    </row>
    <row r="2684" spans="2:3" x14ac:dyDescent="0.2">
      <c r="B2684"/>
      <c r="C2684"/>
    </row>
    <row r="2685" spans="2:3" x14ac:dyDescent="0.2">
      <c r="B2685"/>
      <c r="C2685"/>
    </row>
    <row r="2686" spans="2:3" x14ac:dyDescent="0.2">
      <c r="B2686"/>
      <c r="C2686"/>
    </row>
    <row r="2687" spans="2:3" x14ac:dyDescent="0.2">
      <c r="B2687"/>
      <c r="C2687"/>
    </row>
    <row r="2688" spans="2:3" x14ac:dyDescent="0.2">
      <c r="B2688"/>
      <c r="C2688"/>
    </row>
    <row r="2689" spans="2:3" x14ac:dyDescent="0.2">
      <c r="B2689"/>
      <c r="C2689"/>
    </row>
    <row r="2690" spans="2:3" x14ac:dyDescent="0.2">
      <c r="B2690"/>
      <c r="C2690"/>
    </row>
    <row r="2691" spans="2:3" x14ac:dyDescent="0.2">
      <c r="B2691"/>
      <c r="C2691"/>
    </row>
    <row r="2692" spans="2:3" x14ac:dyDescent="0.2">
      <c r="B2692"/>
      <c r="C2692"/>
    </row>
    <row r="2693" spans="2:3" x14ac:dyDescent="0.2">
      <c r="B2693"/>
      <c r="C2693"/>
    </row>
    <row r="2694" spans="2:3" x14ac:dyDescent="0.2">
      <c r="B2694"/>
      <c r="C2694"/>
    </row>
    <row r="2695" spans="2:3" x14ac:dyDescent="0.2">
      <c r="B2695"/>
      <c r="C2695"/>
    </row>
    <row r="2696" spans="2:3" x14ac:dyDescent="0.2">
      <c r="B2696"/>
      <c r="C2696"/>
    </row>
    <row r="2697" spans="2:3" x14ac:dyDescent="0.2">
      <c r="B2697"/>
      <c r="C2697"/>
    </row>
    <row r="2698" spans="2:3" x14ac:dyDescent="0.2">
      <c r="B2698"/>
      <c r="C2698"/>
    </row>
    <row r="2699" spans="2:3" x14ac:dyDescent="0.2">
      <c r="B2699"/>
      <c r="C2699"/>
    </row>
    <row r="2700" spans="2:3" x14ac:dyDescent="0.2">
      <c r="B2700"/>
      <c r="C2700"/>
    </row>
    <row r="2701" spans="2:3" x14ac:dyDescent="0.2">
      <c r="B2701"/>
      <c r="C2701"/>
    </row>
    <row r="2702" spans="2:3" x14ac:dyDescent="0.2">
      <c r="B2702"/>
      <c r="C2702"/>
    </row>
    <row r="2703" spans="2:3" x14ac:dyDescent="0.2">
      <c r="B2703"/>
      <c r="C2703"/>
    </row>
    <row r="2704" spans="2:3" x14ac:dyDescent="0.2">
      <c r="B2704"/>
      <c r="C2704"/>
    </row>
    <row r="2705" spans="2:3" x14ac:dyDescent="0.2">
      <c r="B2705"/>
      <c r="C2705"/>
    </row>
    <row r="2706" spans="2:3" x14ac:dyDescent="0.2">
      <c r="B2706"/>
      <c r="C2706"/>
    </row>
    <row r="2707" spans="2:3" x14ac:dyDescent="0.2">
      <c r="B2707"/>
      <c r="C2707"/>
    </row>
    <row r="2708" spans="2:3" x14ac:dyDescent="0.2">
      <c r="B2708"/>
      <c r="C2708"/>
    </row>
    <row r="2709" spans="2:3" x14ac:dyDescent="0.2">
      <c r="B2709"/>
      <c r="C2709"/>
    </row>
    <row r="2710" spans="2:3" x14ac:dyDescent="0.2">
      <c r="B2710"/>
      <c r="C2710"/>
    </row>
    <row r="2711" spans="2:3" x14ac:dyDescent="0.2">
      <c r="B2711"/>
      <c r="C2711"/>
    </row>
    <row r="2712" spans="2:3" x14ac:dyDescent="0.2">
      <c r="B2712"/>
      <c r="C2712"/>
    </row>
    <row r="2713" spans="2:3" x14ac:dyDescent="0.2">
      <c r="B2713"/>
      <c r="C2713"/>
    </row>
    <row r="2714" spans="2:3" x14ac:dyDescent="0.2">
      <c r="B2714"/>
      <c r="C2714"/>
    </row>
    <row r="2715" spans="2:3" x14ac:dyDescent="0.2">
      <c r="B2715"/>
      <c r="C2715"/>
    </row>
    <row r="2716" spans="2:3" x14ac:dyDescent="0.2">
      <c r="B2716"/>
      <c r="C2716"/>
    </row>
    <row r="2717" spans="2:3" x14ac:dyDescent="0.2">
      <c r="B2717"/>
      <c r="C2717"/>
    </row>
    <row r="2718" spans="2:3" x14ac:dyDescent="0.2">
      <c r="B2718"/>
      <c r="C2718"/>
    </row>
    <row r="2719" spans="2:3" x14ac:dyDescent="0.2">
      <c r="B2719"/>
      <c r="C2719"/>
    </row>
    <row r="2720" spans="2:3" x14ac:dyDescent="0.2">
      <c r="B2720"/>
      <c r="C2720"/>
    </row>
    <row r="2721" spans="2:3" x14ac:dyDescent="0.2">
      <c r="B2721"/>
      <c r="C2721"/>
    </row>
    <row r="2722" spans="2:3" x14ac:dyDescent="0.2">
      <c r="B2722"/>
      <c r="C2722"/>
    </row>
    <row r="2723" spans="2:3" x14ac:dyDescent="0.2">
      <c r="B2723"/>
      <c r="C2723"/>
    </row>
    <row r="2724" spans="2:3" x14ac:dyDescent="0.2">
      <c r="B2724"/>
      <c r="C2724"/>
    </row>
    <row r="2725" spans="2:3" x14ac:dyDescent="0.2">
      <c r="B2725"/>
      <c r="C2725"/>
    </row>
    <row r="2726" spans="2:3" x14ac:dyDescent="0.2">
      <c r="B2726"/>
      <c r="C2726"/>
    </row>
    <row r="2727" spans="2:3" x14ac:dyDescent="0.2">
      <c r="B2727"/>
      <c r="C2727"/>
    </row>
    <row r="2728" spans="2:3" x14ac:dyDescent="0.2">
      <c r="B2728"/>
      <c r="C2728"/>
    </row>
    <row r="2729" spans="2:3" x14ac:dyDescent="0.2">
      <c r="B2729"/>
      <c r="C2729"/>
    </row>
    <row r="2730" spans="2:3" x14ac:dyDescent="0.2">
      <c r="B2730"/>
      <c r="C2730"/>
    </row>
    <row r="2731" spans="2:3" x14ac:dyDescent="0.2">
      <c r="B2731"/>
      <c r="C2731"/>
    </row>
    <row r="2732" spans="2:3" x14ac:dyDescent="0.2">
      <c r="B2732"/>
      <c r="C2732"/>
    </row>
    <row r="2733" spans="2:3" x14ac:dyDescent="0.2">
      <c r="B2733"/>
      <c r="C2733"/>
    </row>
    <row r="2734" spans="2:3" x14ac:dyDescent="0.2">
      <c r="B2734"/>
      <c r="C2734"/>
    </row>
    <row r="2735" spans="2:3" x14ac:dyDescent="0.2">
      <c r="B2735"/>
      <c r="C2735"/>
    </row>
    <row r="2736" spans="2:3" x14ac:dyDescent="0.2">
      <c r="B2736"/>
      <c r="C2736"/>
    </row>
    <row r="2737" spans="2:3" x14ac:dyDescent="0.2">
      <c r="B2737"/>
      <c r="C2737"/>
    </row>
    <row r="2738" spans="2:3" x14ac:dyDescent="0.2">
      <c r="B2738"/>
      <c r="C2738"/>
    </row>
    <row r="2739" spans="2:3" x14ac:dyDescent="0.2">
      <c r="B2739"/>
      <c r="C2739"/>
    </row>
    <row r="2740" spans="2:3" x14ac:dyDescent="0.2">
      <c r="B2740"/>
      <c r="C2740"/>
    </row>
    <row r="2741" spans="2:3" x14ac:dyDescent="0.2">
      <c r="B2741"/>
      <c r="C2741"/>
    </row>
    <row r="2742" spans="2:3" x14ac:dyDescent="0.2">
      <c r="B2742"/>
      <c r="C2742"/>
    </row>
    <row r="2743" spans="2:3" x14ac:dyDescent="0.2">
      <c r="B2743"/>
      <c r="C2743"/>
    </row>
    <row r="2744" spans="2:3" x14ac:dyDescent="0.2">
      <c r="B2744"/>
      <c r="C2744"/>
    </row>
    <row r="2745" spans="2:3" x14ac:dyDescent="0.2">
      <c r="B2745"/>
      <c r="C2745"/>
    </row>
    <row r="2746" spans="2:3" x14ac:dyDescent="0.2">
      <c r="B2746"/>
      <c r="C2746"/>
    </row>
    <row r="2747" spans="2:3" x14ac:dyDescent="0.2">
      <c r="B2747"/>
      <c r="C2747"/>
    </row>
    <row r="2748" spans="2:3" x14ac:dyDescent="0.2">
      <c r="B2748"/>
      <c r="C2748"/>
    </row>
    <row r="2749" spans="2:3" x14ac:dyDescent="0.2">
      <c r="B2749"/>
      <c r="C2749"/>
    </row>
    <row r="2750" spans="2:3" x14ac:dyDescent="0.2">
      <c r="B2750"/>
      <c r="C2750"/>
    </row>
    <row r="2751" spans="2:3" x14ac:dyDescent="0.2">
      <c r="B2751"/>
      <c r="C2751"/>
    </row>
    <row r="2752" spans="2:3" x14ac:dyDescent="0.2">
      <c r="B2752"/>
      <c r="C2752"/>
    </row>
    <row r="2753" spans="2:3" x14ac:dyDescent="0.2">
      <c r="B2753"/>
      <c r="C2753"/>
    </row>
    <row r="2754" spans="2:3" x14ac:dyDescent="0.2">
      <c r="B2754"/>
      <c r="C2754"/>
    </row>
    <row r="2755" spans="2:3" x14ac:dyDescent="0.2">
      <c r="B2755"/>
      <c r="C2755"/>
    </row>
    <row r="2756" spans="2:3" x14ac:dyDescent="0.2">
      <c r="B2756"/>
      <c r="C2756"/>
    </row>
    <row r="2757" spans="2:3" x14ac:dyDescent="0.2">
      <c r="B2757"/>
      <c r="C2757"/>
    </row>
    <row r="2758" spans="2:3" x14ac:dyDescent="0.2">
      <c r="B2758"/>
      <c r="C2758"/>
    </row>
    <row r="2759" spans="2:3" x14ac:dyDescent="0.2">
      <c r="B2759"/>
      <c r="C2759"/>
    </row>
    <row r="2760" spans="2:3" x14ac:dyDescent="0.2">
      <c r="B2760"/>
      <c r="C2760"/>
    </row>
    <row r="2761" spans="2:3" x14ac:dyDescent="0.2">
      <c r="B2761"/>
      <c r="C2761"/>
    </row>
    <row r="2762" spans="2:3" x14ac:dyDescent="0.2">
      <c r="B2762"/>
      <c r="C2762"/>
    </row>
    <row r="2763" spans="2:3" x14ac:dyDescent="0.2">
      <c r="B2763"/>
      <c r="C2763"/>
    </row>
    <row r="2764" spans="2:3" x14ac:dyDescent="0.2">
      <c r="B2764"/>
      <c r="C2764"/>
    </row>
    <row r="2765" spans="2:3" x14ac:dyDescent="0.2">
      <c r="B2765"/>
      <c r="C2765"/>
    </row>
    <row r="2766" spans="2:3" x14ac:dyDescent="0.2">
      <c r="B2766"/>
      <c r="C2766"/>
    </row>
    <row r="2767" spans="2:3" x14ac:dyDescent="0.2">
      <c r="B2767"/>
      <c r="C2767"/>
    </row>
    <row r="2768" spans="2:3" x14ac:dyDescent="0.2">
      <c r="B2768"/>
      <c r="C2768"/>
    </row>
    <row r="2769" spans="2:3" x14ac:dyDescent="0.2">
      <c r="B2769"/>
      <c r="C2769"/>
    </row>
    <row r="2770" spans="2:3" x14ac:dyDescent="0.2">
      <c r="B2770"/>
      <c r="C2770"/>
    </row>
    <row r="2771" spans="2:3" x14ac:dyDescent="0.2">
      <c r="B2771"/>
      <c r="C2771"/>
    </row>
    <row r="2772" spans="2:3" x14ac:dyDescent="0.2">
      <c r="B2772"/>
      <c r="C2772"/>
    </row>
    <row r="2773" spans="2:3" x14ac:dyDescent="0.2">
      <c r="B2773"/>
      <c r="C2773"/>
    </row>
    <row r="2774" spans="2:3" x14ac:dyDescent="0.2">
      <c r="B2774"/>
      <c r="C2774"/>
    </row>
    <row r="2775" spans="2:3" x14ac:dyDescent="0.2">
      <c r="B2775"/>
      <c r="C2775"/>
    </row>
    <row r="2776" spans="2:3" x14ac:dyDescent="0.2">
      <c r="B2776"/>
      <c r="C2776"/>
    </row>
    <row r="2777" spans="2:3" x14ac:dyDescent="0.2">
      <c r="B2777"/>
      <c r="C2777"/>
    </row>
    <row r="2778" spans="2:3" x14ac:dyDescent="0.2">
      <c r="B2778"/>
      <c r="C2778"/>
    </row>
    <row r="2779" spans="2:3" x14ac:dyDescent="0.2">
      <c r="B2779"/>
      <c r="C2779"/>
    </row>
    <row r="2780" spans="2:3" x14ac:dyDescent="0.2">
      <c r="B2780"/>
      <c r="C2780"/>
    </row>
    <row r="2781" spans="2:3" x14ac:dyDescent="0.2">
      <c r="B2781"/>
      <c r="C2781"/>
    </row>
    <row r="2782" spans="2:3" x14ac:dyDescent="0.2">
      <c r="B2782"/>
      <c r="C2782"/>
    </row>
    <row r="2783" spans="2:3" x14ac:dyDescent="0.2">
      <c r="B2783"/>
      <c r="C2783"/>
    </row>
    <row r="2784" spans="2:3" x14ac:dyDescent="0.2">
      <c r="B2784"/>
      <c r="C2784"/>
    </row>
    <row r="2785" spans="2:3" x14ac:dyDescent="0.2">
      <c r="B2785"/>
      <c r="C2785"/>
    </row>
    <row r="2786" spans="2:3" x14ac:dyDescent="0.2">
      <c r="B2786"/>
      <c r="C2786"/>
    </row>
    <row r="2787" spans="2:3" x14ac:dyDescent="0.2">
      <c r="B2787"/>
      <c r="C2787"/>
    </row>
    <row r="2788" spans="2:3" x14ac:dyDescent="0.2">
      <c r="B2788"/>
      <c r="C2788"/>
    </row>
    <row r="2789" spans="2:3" x14ac:dyDescent="0.2">
      <c r="B2789"/>
      <c r="C2789"/>
    </row>
    <row r="2790" spans="2:3" x14ac:dyDescent="0.2">
      <c r="B2790"/>
      <c r="C2790"/>
    </row>
    <row r="2791" spans="2:3" x14ac:dyDescent="0.2">
      <c r="B2791"/>
      <c r="C2791"/>
    </row>
    <row r="2792" spans="2:3" x14ac:dyDescent="0.2">
      <c r="B2792"/>
      <c r="C2792"/>
    </row>
    <row r="2793" spans="2:3" x14ac:dyDescent="0.2">
      <c r="B2793"/>
      <c r="C2793"/>
    </row>
    <row r="2794" spans="2:3" x14ac:dyDescent="0.2">
      <c r="B2794"/>
      <c r="C2794"/>
    </row>
    <row r="2795" spans="2:3" x14ac:dyDescent="0.2">
      <c r="B2795"/>
      <c r="C2795"/>
    </row>
    <row r="2796" spans="2:3" x14ac:dyDescent="0.2">
      <c r="B2796"/>
      <c r="C2796"/>
    </row>
    <row r="2797" spans="2:3" x14ac:dyDescent="0.2">
      <c r="B2797"/>
      <c r="C2797"/>
    </row>
    <row r="2798" spans="2:3" x14ac:dyDescent="0.2">
      <c r="B2798"/>
      <c r="C2798"/>
    </row>
    <row r="2799" spans="2:3" x14ac:dyDescent="0.2">
      <c r="B2799"/>
      <c r="C2799"/>
    </row>
    <row r="2800" spans="2:3" x14ac:dyDescent="0.2">
      <c r="B2800"/>
      <c r="C2800"/>
    </row>
    <row r="2801" spans="2:3" x14ac:dyDescent="0.2">
      <c r="B2801"/>
      <c r="C2801"/>
    </row>
    <row r="2802" spans="2:3" x14ac:dyDescent="0.2">
      <c r="B2802"/>
      <c r="C2802"/>
    </row>
    <row r="2803" spans="2:3" x14ac:dyDescent="0.2">
      <c r="B2803"/>
      <c r="C2803"/>
    </row>
    <row r="2804" spans="2:3" x14ac:dyDescent="0.2">
      <c r="B2804"/>
      <c r="C2804"/>
    </row>
    <row r="2805" spans="2:3" x14ac:dyDescent="0.2">
      <c r="B2805"/>
      <c r="C2805"/>
    </row>
    <row r="2806" spans="2:3" x14ac:dyDescent="0.2">
      <c r="B2806"/>
      <c r="C2806"/>
    </row>
    <row r="2807" spans="2:3" x14ac:dyDescent="0.2">
      <c r="B2807"/>
      <c r="C2807"/>
    </row>
    <row r="2808" spans="2:3" x14ac:dyDescent="0.2">
      <c r="B2808"/>
      <c r="C2808"/>
    </row>
    <row r="2809" spans="2:3" x14ac:dyDescent="0.2">
      <c r="B2809"/>
      <c r="C2809"/>
    </row>
    <row r="2810" spans="2:3" x14ac:dyDescent="0.2">
      <c r="B2810"/>
      <c r="C2810"/>
    </row>
    <row r="2811" spans="2:3" x14ac:dyDescent="0.2">
      <c r="B2811"/>
      <c r="C2811"/>
    </row>
    <row r="2812" spans="2:3" x14ac:dyDescent="0.2">
      <c r="B2812"/>
      <c r="C2812"/>
    </row>
    <row r="2813" spans="2:3" x14ac:dyDescent="0.2">
      <c r="B2813"/>
      <c r="C2813"/>
    </row>
    <row r="2814" spans="2:3" x14ac:dyDescent="0.2">
      <c r="B2814"/>
      <c r="C2814"/>
    </row>
    <row r="2815" spans="2:3" x14ac:dyDescent="0.2">
      <c r="B2815"/>
      <c r="C2815"/>
    </row>
    <row r="2816" spans="2:3" x14ac:dyDescent="0.2">
      <c r="B2816"/>
      <c r="C2816"/>
    </row>
    <row r="2817" spans="2:3" x14ac:dyDescent="0.2">
      <c r="B2817"/>
      <c r="C2817"/>
    </row>
    <row r="2818" spans="2:3" x14ac:dyDescent="0.2">
      <c r="B2818"/>
      <c r="C2818"/>
    </row>
    <row r="2819" spans="2:3" x14ac:dyDescent="0.2">
      <c r="B2819"/>
      <c r="C2819"/>
    </row>
    <row r="2820" spans="2:3" x14ac:dyDescent="0.2">
      <c r="B2820"/>
      <c r="C2820"/>
    </row>
    <row r="2821" spans="2:3" x14ac:dyDescent="0.2">
      <c r="B2821"/>
      <c r="C2821"/>
    </row>
    <row r="2822" spans="2:3" x14ac:dyDescent="0.2">
      <c r="B2822"/>
      <c r="C2822"/>
    </row>
    <row r="2823" spans="2:3" x14ac:dyDescent="0.2">
      <c r="B2823"/>
      <c r="C2823"/>
    </row>
    <row r="2824" spans="2:3" x14ac:dyDescent="0.2">
      <c r="B2824"/>
      <c r="C2824"/>
    </row>
    <row r="2825" spans="2:3" x14ac:dyDescent="0.2">
      <c r="B2825"/>
      <c r="C2825"/>
    </row>
    <row r="2826" spans="2:3" x14ac:dyDescent="0.2">
      <c r="B2826"/>
      <c r="C2826"/>
    </row>
    <row r="2827" spans="2:3" x14ac:dyDescent="0.2">
      <c r="B2827"/>
      <c r="C2827"/>
    </row>
    <row r="2828" spans="2:3" x14ac:dyDescent="0.2">
      <c r="B2828"/>
      <c r="C2828"/>
    </row>
    <row r="2829" spans="2:3" x14ac:dyDescent="0.2">
      <c r="B2829"/>
      <c r="C2829"/>
    </row>
    <row r="2830" spans="2:3" x14ac:dyDescent="0.2">
      <c r="B2830"/>
      <c r="C2830"/>
    </row>
    <row r="2831" spans="2:3" x14ac:dyDescent="0.2">
      <c r="B2831"/>
      <c r="C2831"/>
    </row>
    <row r="2832" spans="2:3" x14ac:dyDescent="0.2">
      <c r="B2832"/>
      <c r="C2832"/>
    </row>
    <row r="2833" spans="2:3" x14ac:dyDescent="0.2">
      <c r="B2833"/>
      <c r="C2833"/>
    </row>
    <row r="2834" spans="2:3" x14ac:dyDescent="0.2">
      <c r="B2834"/>
      <c r="C2834"/>
    </row>
    <row r="2835" spans="2:3" x14ac:dyDescent="0.2">
      <c r="B2835"/>
      <c r="C2835"/>
    </row>
    <row r="2836" spans="2:3" x14ac:dyDescent="0.2">
      <c r="B2836"/>
      <c r="C2836"/>
    </row>
    <row r="2837" spans="2:3" x14ac:dyDescent="0.2">
      <c r="B2837"/>
      <c r="C2837"/>
    </row>
    <row r="2838" spans="2:3" x14ac:dyDescent="0.2">
      <c r="B2838"/>
      <c r="C2838"/>
    </row>
    <row r="2839" spans="2:3" x14ac:dyDescent="0.2">
      <c r="B2839"/>
      <c r="C2839"/>
    </row>
    <row r="2840" spans="2:3" x14ac:dyDescent="0.2">
      <c r="B2840"/>
      <c r="C2840"/>
    </row>
    <row r="2841" spans="2:3" x14ac:dyDescent="0.2">
      <c r="B2841"/>
      <c r="C2841"/>
    </row>
    <row r="2842" spans="2:3" x14ac:dyDescent="0.2">
      <c r="B2842"/>
      <c r="C2842"/>
    </row>
    <row r="2843" spans="2:3" x14ac:dyDescent="0.2">
      <c r="B2843"/>
      <c r="C2843"/>
    </row>
    <row r="2844" spans="2:3" x14ac:dyDescent="0.2">
      <c r="B2844"/>
      <c r="C2844"/>
    </row>
    <row r="2845" spans="2:3" x14ac:dyDescent="0.2">
      <c r="B2845"/>
      <c r="C2845"/>
    </row>
    <row r="2846" spans="2:3" x14ac:dyDescent="0.2">
      <c r="B2846"/>
      <c r="C2846"/>
    </row>
    <row r="2847" spans="2:3" x14ac:dyDescent="0.2">
      <c r="B2847"/>
      <c r="C2847"/>
    </row>
    <row r="2848" spans="2:3" x14ac:dyDescent="0.2">
      <c r="B2848"/>
      <c r="C2848"/>
    </row>
    <row r="2849" spans="2:3" x14ac:dyDescent="0.2">
      <c r="B2849"/>
      <c r="C2849"/>
    </row>
    <row r="2850" spans="2:3" x14ac:dyDescent="0.2">
      <c r="B2850"/>
      <c r="C2850"/>
    </row>
    <row r="2851" spans="2:3" x14ac:dyDescent="0.2">
      <c r="B2851"/>
      <c r="C2851"/>
    </row>
    <row r="2852" spans="2:3" x14ac:dyDescent="0.2">
      <c r="B2852"/>
      <c r="C2852"/>
    </row>
    <row r="2853" spans="2:3" x14ac:dyDescent="0.2">
      <c r="B2853"/>
      <c r="C2853"/>
    </row>
    <row r="2854" spans="2:3" x14ac:dyDescent="0.2">
      <c r="B2854"/>
      <c r="C2854"/>
    </row>
    <row r="2855" spans="2:3" x14ac:dyDescent="0.2">
      <c r="B2855"/>
      <c r="C2855"/>
    </row>
    <row r="2856" spans="2:3" x14ac:dyDescent="0.2">
      <c r="B2856"/>
      <c r="C2856"/>
    </row>
    <row r="2857" spans="2:3" x14ac:dyDescent="0.2">
      <c r="B2857"/>
      <c r="C2857"/>
    </row>
    <row r="2858" spans="2:3" x14ac:dyDescent="0.2">
      <c r="B2858"/>
      <c r="C2858"/>
    </row>
    <row r="2859" spans="2:3" x14ac:dyDescent="0.2">
      <c r="B2859"/>
      <c r="C2859"/>
    </row>
    <row r="2860" spans="2:3" x14ac:dyDescent="0.2">
      <c r="B2860"/>
      <c r="C2860"/>
    </row>
    <row r="2861" spans="2:3" x14ac:dyDescent="0.2">
      <c r="B2861"/>
      <c r="C2861"/>
    </row>
    <row r="2862" spans="2:3" x14ac:dyDescent="0.2">
      <c r="B2862"/>
      <c r="C2862"/>
    </row>
    <row r="2863" spans="2:3" x14ac:dyDescent="0.2">
      <c r="B2863"/>
      <c r="C2863"/>
    </row>
    <row r="2864" spans="2:3" x14ac:dyDescent="0.2">
      <c r="B2864"/>
      <c r="C2864"/>
    </row>
    <row r="2865" spans="2:3" x14ac:dyDescent="0.2">
      <c r="B2865"/>
      <c r="C2865"/>
    </row>
    <row r="2866" spans="2:3" x14ac:dyDescent="0.2">
      <c r="B2866"/>
      <c r="C2866"/>
    </row>
    <row r="2867" spans="2:3" x14ac:dyDescent="0.2">
      <c r="B2867"/>
      <c r="C2867"/>
    </row>
    <row r="2868" spans="2:3" x14ac:dyDescent="0.2">
      <c r="B2868"/>
      <c r="C2868"/>
    </row>
    <row r="2869" spans="2:3" x14ac:dyDescent="0.2">
      <c r="B2869"/>
      <c r="C2869"/>
    </row>
    <row r="2870" spans="2:3" x14ac:dyDescent="0.2">
      <c r="B2870"/>
      <c r="C2870"/>
    </row>
    <row r="2871" spans="2:3" x14ac:dyDescent="0.2">
      <c r="B2871"/>
      <c r="C2871"/>
    </row>
    <row r="2872" spans="2:3" x14ac:dyDescent="0.2">
      <c r="B2872"/>
      <c r="C2872"/>
    </row>
    <row r="2873" spans="2:3" x14ac:dyDescent="0.2">
      <c r="B2873"/>
      <c r="C2873"/>
    </row>
    <row r="2874" spans="2:3" x14ac:dyDescent="0.2">
      <c r="B2874"/>
      <c r="C2874"/>
    </row>
  </sheetData>
  <autoFilter ref="B3:I3" xr:uid="{242F7744-7C34-5848-B308-11C564FEB4D7}">
    <sortState xmlns:xlrd2="http://schemas.microsoft.com/office/spreadsheetml/2017/richdata2" ref="B4:I846">
      <sortCondition ref="B3:B846"/>
    </sortState>
  </autoFilter>
  <phoneticPr fontId="36" type="noConversion"/>
  <conditionalFormatting sqref="C1:C1048576">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README</vt:lpstr>
      <vt:lpstr>BC-Sources</vt:lpstr>
      <vt:lpstr>Generation</vt:lpstr>
      <vt:lpstr>Storage</vt:lpstr>
      <vt:lpstr>HydroExisting</vt:lpstr>
      <vt:lpstr>HydroRenewals</vt:lpstr>
      <vt:lpstr>HydroGreenfield</vt:lpstr>
      <vt:lpstr>Transmission</vt:lpstr>
      <vt:lpstr>Nodes</vt:lpstr>
      <vt:lpstr>Distribution</vt:lpstr>
      <vt:lpstr>System</vt:lpstr>
      <vt:lpstr>HGWh</vt:lpstr>
      <vt:lpstr>HMW</vt:lpstr>
      <vt:lpstr>FGWh</vt:lpstr>
      <vt:lpstr>FMW</vt:lpstr>
      <vt:lpstr>Hourly</vt:lpstr>
      <vt:lpstr>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Collins</dc:creator>
  <cp:lastModifiedBy>Richard Hendriks</cp:lastModifiedBy>
  <cp:lastPrinted>2019-05-29T14:46:03Z</cp:lastPrinted>
  <dcterms:created xsi:type="dcterms:W3CDTF">2018-03-01T23:28:31Z</dcterms:created>
  <dcterms:modified xsi:type="dcterms:W3CDTF">2021-05-16T15:59:40Z</dcterms:modified>
</cp:coreProperties>
</file>