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za\Desktop\Google Drive\PhD\Thesis\Copper Data\210516-Update\"/>
    </mc:Choice>
  </mc:AlternateContent>
  <xr:revisionPtr revIDLastSave="0" documentId="8_{4E36D948-98FE-481B-A15F-5FAA5B04D32F}" xr6:coauthVersionLast="46" xr6:coauthVersionMax="46" xr10:uidLastSave="{00000000-0000-0000-0000-000000000000}"/>
  <bookViews>
    <workbookView xWindow="-93" yWindow="-93" windowWidth="20186" windowHeight="12920" activeTab="2" xr2:uid="{00000000-000D-0000-FFFF-FFFF00000000}"/>
  </bookViews>
  <sheets>
    <sheet name="README" sheetId="36" r:id="rId1"/>
    <sheet name="NB-Sources" sheetId="45" r:id="rId2"/>
    <sheet name="Generation" sheetId="44" r:id="rId3"/>
    <sheet name="Storage" sheetId="50" r:id="rId4"/>
    <sheet name="HydroExisting" sheetId="26" r:id="rId5"/>
    <sheet name="HydroRenewals" sheetId="34" r:id="rId6"/>
    <sheet name="HydroGreenfield" sheetId="35" r:id="rId7"/>
    <sheet name="HydroPS" sheetId="51" r:id="rId8"/>
    <sheet name="Transmission" sheetId="27" r:id="rId9"/>
    <sheet name="Nodes" sheetId="46" r:id="rId10"/>
    <sheet name="Distribution" sheetId="49" r:id="rId11"/>
    <sheet name="System" sheetId="30" r:id="rId12"/>
    <sheet name="HGWh" sheetId="42" r:id="rId13"/>
    <sheet name="HMW" sheetId="43" r:id="rId14"/>
    <sheet name="FGWh" sheetId="28" r:id="rId15"/>
    <sheet name="FMW" sheetId="29" r:id="rId16"/>
    <sheet name="Hourly" sheetId="37" r:id="rId17"/>
    <sheet name="Inputs" sheetId="47" r:id="rId18"/>
  </sheets>
  <externalReferences>
    <externalReference r:id="rId19"/>
    <externalReference r:id="rId20"/>
    <externalReference r:id="rId21"/>
    <externalReference r:id="rId22"/>
  </externalReferences>
  <definedNames>
    <definedName name="_xlnm._FilterDatabase" localSheetId="10" hidden="1">Distribution!$B$3:$Q$3</definedName>
    <definedName name="_xlnm._FilterDatabase" localSheetId="2" hidden="1">Generation!$B$3:$AU$3</definedName>
    <definedName name="_xlnm._FilterDatabase" localSheetId="6" hidden="1">HydroGreenfield!$B$3:$AL$3</definedName>
    <definedName name="_xlnm._FilterDatabase" localSheetId="7">HydroPS!$B$3:$BJ$3</definedName>
    <definedName name="_xlnm._FilterDatabase" localSheetId="5" hidden="1">HydroRenewals!$B$3:$AV$3</definedName>
    <definedName name="_xlnm._FilterDatabase" localSheetId="1" hidden="1">'NB-Sources'!$B$3:$H$3</definedName>
    <definedName name="_xlnm._FilterDatabase" localSheetId="9" hidden="1">Nodes!$B$3:$I$3</definedName>
    <definedName name="_xlnm._FilterDatabase" localSheetId="3" hidden="1">Storage!$B$3:$AF$3</definedName>
    <definedName name="_xlnm._FilterDatabase" localSheetId="8" hidden="1">Transmission!$B$3:$Y$3</definedName>
    <definedName name="code" localSheetId="7">#REF!</definedName>
    <definedName name="code" localSheetId="3">#REF!</definedName>
    <definedName name="code">#REF!</definedName>
    <definedName name="Keywords">[1]Selection!$I$2:$I$59</definedName>
    <definedName name="Organization">[1]Selection!$A$9:$A$31</definedName>
    <definedName name="Process">[1]Selection!$A$2:$A$3</definedName>
    <definedName name="renumber" localSheetId="7">#REF!</definedName>
    <definedName name="renumber" localSheetId="3">#REF!</definedName>
    <definedName name="renumber">#REF!</definedName>
    <definedName name="rerank" localSheetId="7">#REF!</definedName>
    <definedName name="rerank" localSheetId="3">#REF!</definedName>
    <definedName name="rerank">#REF!</definedName>
    <definedName name="total" localSheetId="7">#REF!</definedName>
    <definedName name="total" localSheetId="3">#REF!</definedName>
    <definedName name="total">#REF!</definedName>
    <definedName name="user" localSheetId="7">#REF!</definedName>
    <definedName name="user" localSheetId="3">#REF!</definedName>
    <definedName name="user">#REF!</definedName>
    <definedName name="VRE">[2]lists!$B$3:$C$3</definedName>
    <definedName name="Yes_No">[1]Selection!$F$2:$F$3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4" i="51" l="1"/>
  <c r="BF4" i="51" s="1"/>
  <c r="BC4" i="51"/>
  <c r="AU4" i="51"/>
  <c r="Z4" i="51"/>
  <c r="W4" i="51"/>
  <c r="X4" i="51" s="1"/>
  <c r="Q4" i="51"/>
  <c r="R4" i="51" s="1"/>
  <c r="K83" i="27"/>
  <c r="K84" i="27"/>
  <c r="K89" i="27"/>
  <c r="K90" i="27"/>
  <c r="Q90" i="27" s="1"/>
  <c r="Q83" i="27"/>
  <c r="R83" i="27"/>
  <c r="Q84" i="27"/>
  <c r="R84" i="27"/>
  <c r="Q89" i="27"/>
  <c r="R89" i="27"/>
  <c r="AV4" i="51" l="1"/>
  <c r="AW4" i="51"/>
  <c r="R90" i="27"/>
  <c r="AX4" i="51" l="1"/>
  <c r="J43" i="27" a="1"/>
  <c r="J43" i="27" s="1"/>
  <c r="J71" i="27" a="1"/>
  <c r="J71" i="27" s="1"/>
  <c r="J160" i="27" a="1"/>
  <c r="J160" i="27" s="1"/>
  <c r="J313" i="27" a="1"/>
  <c r="J313" i="27" s="1"/>
  <c r="J8" i="27" a="1"/>
  <c r="J8" i="27" s="1"/>
  <c r="J138" i="27" a="1"/>
  <c r="J138" i="27" s="1"/>
  <c r="J359" i="27" a="1"/>
  <c r="J359" i="27" s="1"/>
  <c r="J343" i="27" a="1"/>
  <c r="J343" i="27" s="1"/>
  <c r="J393" i="27" a="1"/>
  <c r="J393" i="27" s="1"/>
  <c r="J394" i="27" a="1"/>
  <c r="J394" i="27" s="1"/>
  <c r="J113" i="27" a="1"/>
  <c r="J113" i="27" s="1"/>
  <c r="J353" i="27" a="1"/>
  <c r="J353" i="27" s="1"/>
  <c r="J316" i="27" a="1"/>
  <c r="J316" i="27" s="1"/>
  <c r="J142" i="27" a="1"/>
  <c r="J142" i="27" s="1"/>
  <c r="J51" i="27" a="1"/>
  <c r="J51" i="27" s="1"/>
  <c r="J60" i="27" a="1"/>
  <c r="J60" i="27" s="1"/>
  <c r="J108" i="27" a="1"/>
  <c r="J108" i="27" s="1"/>
  <c r="J311" i="27" a="1"/>
  <c r="J311" i="27" s="1"/>
  <c r="J105" i="27" a="1"/>
  <c r="J105" i="27" s="1"/>
  <c r="J61" i="27" a="1"/>
  <c r="J61" i="27" s="1"/>
  <c r="J213" i="27" a="1"/>
  <c r="J213" i="27" s="1"/>
  <c r="J63" i="27" a="1"/>
  <c r="J63" i="27" s="1"/>
  <c r="J377" i="27" a="1"/>
  <c r="J377" i="27" s="1"/>
  <c r="J114" i="27" a="1"/>
  <c r="J114" i="27" s="1"/>
  <c r="J354" i="27" a="1"/>
  <c r="J354" i="27" s="1"/>
  <c r="J96" i="27" a="1"/>
  <c r="J96" i="27" s="1"/>
  <c r="J178" i="27" a="1"/>
  <c r="J178" i="27" s="1"/>
  <c r="J44" i="27" a="1"/>
  <c r="J44" i="27" s="1"/>
  <c r="J324" i="27" a="1"/>
  <c r="J324" i="27" s="1"/>
  <c r="J326" i="27" a="1"/>
  <c r="J326" i="27" s="1"/>
  <c r="J395" i="27" a="1"/>
  <c r="J395" i="27" s="1"/>
  <c r="J95" i="27" a="1"/>
  <c r="J95" i="27" s="1"/>
  <c r="J81" i="27" a="1"/>
  <c r="J81" i="27" s="1"/>
  <c r="J183" i="27" a="1"/>
  <c r="J183" i="27" s="1"/>
  <c r="J352" i="27" a="1"/>
  <c r="J352" i="27" s="1"/>
  <c r="J115" i="27" a="1"/>
  <c r="J115" i="27" s="1"/>
  <c r="J58" i="27" a="1"/>
  <c r="J58" i="27" s="1"/>
  <c r="J285" i="27" a="1"/>
  <c r="J285" i="27" s="1"/>
  <c r="J11" i="27" a="1"/>
  <c r="J11" i="27" s="1"/>
  <c r="J6" i="27" a="1"/>
  <c r="J6" i="27" s="1"/>
  <c r="J5" i="27" a="1"/>
  <c r="J5" i="27" s="1"/>
  <c r="J7" i="27" a="1"/>
  <c r="J7" i="27" s="1"/>
  <c r="J111" i="27" a="1"/>
  <c r="J111" i="27" s="1"/>
  <c r="J374" i="27" a="1"/>
  <c r="J374" i="27" s="1"/>
  <c r="J211" i="27" a="1"/>
  <c r="J211" i="27" s="1"/>
  <c r="J279" i="27" a="1"/>
  <c r="J279" i="27" s="1"/>
  <c r="J59" i="27" a="1"/>
  <c r="J59" i="27" s="1"/>
  <c r="J139" i="27" a="1"/>
  <c r="J139" i="27" s="1"/>
  <c r="J406" i="27" a="1"/>
  <c r="J406" i="27" s="1"/>
  <c r="J411" i="27" a="1"/>
  <c r="J411" i="27" s="1"/>
  <c r="J159" i="27" a="1"/>
  <c r="J159" i="27" s="1"/>
  <c r="J340" i="27" a="1"/>
  <c r="J340" i="27" s="1"/>
  <c r="J152" i="27" a="1"/>
  <c r="J152" i="27" s="1"/>
  <c r="J383" i="27" a="1"/>
  <c r="J383" i="27" s="1"/>
  <c r="J382" i="27" a="1"/>
  <c r="J382" i="27" s="1"/>
  <c r="J165" i="27" a="1"/>
  <c r="J165" i="27" s="1"/>
  <c r="J31" i="27" a="1"/>
  <c r="J31" i="27" s="1"/>
  <c r="J333" i="27" a="1"/>
  <c r="J333" i="27" s="1"/>
  <c r="J297" i="27" a="1"/>
  <c r="J297" i="27" s="1"/>
  <c r="J154" i="27" a="1"/>
  <c r="J154" i="27" s="1"/>
  <c r="J398" i="27" a="1"/>
  <c r="J398" i="27" s="1"/>
  <c r="J222" i="27" a="1"/>
  <c r="J222" i="27" s="1"/>
  <c r="J209" i="27" a="1"/>
  <c r="J209" i="27" s="1"/>
  <c r="J176" i="27" a="1"/>
  <c r="J176" i="27" s="1"/>
  <c r="J321" i="27" a="1"/>
  <c r="J321" i="27" s="1"/>
  <c r="J106" i="27" a="1"/>
  <c r="J106" i="27" s="1"/>
  <c r="J104" i="27" a="1"/>
  <c r="J104" i="27" s="1"/>
  <c r="J351" i="27" a="1"/>
  <c r="J351" i="27" s="1"/>
  <c r="J46" i="27" a="1"/>
  <c r="J46" i="27" s="1"/>
  <c r="J141" i="27" a="1"/>
  <c r="J141" i="27" s="1"/>
  <c r="J413" i="27" a="1"/>
  <c r="J413" i="27" s="1"/>
  <c r="J384" i="27" a="1"/>
  <c r="J384" i="27" s="1"/>
  <c r="J9" i="27" a="1"/>
  <c r="J9" i="27" s="1"/>
  <c r="J295" i="27" a="1"/>
  <c r="J295" i="27" s="1"/>
  <c r="J112" i="27" a="1"/>
  <c r="J112" i="27" s="1"/>
  <c r="J309" i="27" a="1"/>
  <c r="J309" i="27" s="1"/>
  <c r="J308" i="27" a="1"/>
  <c r="J308" i="27" s="1"/>
  <c r="J97" i="27" a="1"/>
  <c r="J97" i="27" s="1"/>
  <c r="J148" i="27" a="1"/>
  <c r="J148" i="27" s="1"/>
  <c r="J143" i="27" a="1"/>
  <c r="J143" i="27" s="1"/>
  <c r="J129" i="27" a="1"/>
  <c r="J129" i="27" s="1"/>
  <c r="J187" i="27" a="1"/>
  <c r="J187" i="27" s="1"/>
  <c r="J381" i="27" a="1"/>
  <c r="J381" i="27" s="1"/>
  <c r="J110" i="27" a="1"/>
  <c r="J110" i="27" s="1"/>
  <c r="J196" i="27" a="1"/>
  <c r="J196" i="27" s="1"/>
  <c r="J386" i="27" a="1"/>
  <c r="J386" i="27" s="1"/>
  <c r="J102" i="27" a="1"/>
  <c r="J102" i="27" s="1"/>
  <c r="J220" i="27" a="1"/>
  <c r="J220" i="27" s="1"/>
  <c r="J144" i="27" a="1"/>
  <c r="J144" i="27" s="1"/>
  <c r="J337" i="27" a="1"/>
  <c r="J337" i="27" s="1"/>
  <c r="J294" i="27" a="1"/>
  <c r="J294" i="27" s="1"/>
  <c r="J315" i="27" a="1"/>
  <c r="J315" i="27" s="1"/>
  <c r="J140" i="27" a="1"/>
  <c r="J140" i="27" s="1"/>
  <c r="J146" i="27" a="1"/>
  <c r="J146" i="27" s="1"/>
  <c r="J276" i="27" a="1"/>
  <c r="J276" i="27" s="1"/>
  <c r="J373" i="27" a="1"/>
  <c r="J373" i="27" s="1"/>
  <c r="J198" i="27" a="1"/>
  <c r="J198" i="27" s="1"/>
  <c r="J277" i="27" a="1"/>
  <c r="J277" i="27" s="1"/>
  <c r="J87" i="27" a="1"/>
  <c r="J87" i="27" s="1"/>
  <c r="J74" i="27" a="1"/>
  <c r="J74" i="27" s="1"/>
  <c r="J208" i="27" a="1"/>
  <c r="J208" i="27" s="1"/>
  <c r="J170" i="27" a="1"/>
  <c r="J170" i="27" s="1"/>
  <c r="J342" i="27" a="1"/>
  <c r="J342" i="27" s="1"/>
  <c r="J188" i="27" a="1"/>
  <c r="J188" i="27" s="1"/>
  <c r="J19" i="27" a="1"/>
  <c r="J19" i="27" s="1"/>
  <c r="J206" i="27" a="1"/>
  <c r="J206" i="27" s="1"/>
  <c r="J376" i="27" a="1"/>
  <c r="J376" i="27" s="1"/>
  <c r="J336" i="27" a="1"/>
  <c r="J336" i="27" s="1"/>
  <c r="J325" i="27" a="1"/>
  <c r="J325" i="27" s="1"/>
  <c r="J344" i="27" a="1"/>
  <c r="J344" i="27" s="1"/>
  <c r="J387" i="27" a="1"/>
  <c r="J387" i="27" s="1"/>
  <c r="J173" i="27" a="1"/>
  <c r="J173" i="27" s="1"/>
  <c r="J157" i="27" a="1"/>
  <c r="J157" i="27" s="1"/>
  <c r="J389" i="27" a="1"/>
  <c r="J389" i="27" s="1"/>
  <c r="J145" i="27" a="1"/>
  <c r="J145" i="27" s="1"/>
  <c r="J80" i="27" a="1"/>
  <c r="J80" i="27" s="1"/>
  <c r="J180" i="27" a="1"/>
  <c r="J180" i="27" s="1"/>
  <c r="J69" i="27" a="1"/>
  <c r="J69" i="27" s="1"/>
  <c r="J4" i="27" a="1"/>
  <c r="J4" i="27" s="1"/>
  <c r="J79" i="27" a="1"/>
  <c r="J79" i="27" s="1"/>
  <c r="J408" i="27" a="1"/>
  <c r="J408" i="27" s="1"/>
  <c r="J26" i="27" a="1"/>
  <c r="J26" i="27" s="1"/>
  <c r="J29" i="27" a="1"/>
  <c r="J29" i="27" s="1"/>
  <c r="J134" i="27" a="1"/>
  <c r="J134" i="27" s="1"/>
  <c r="J135" i="27" a="1"/>
  <c r="J135" i="27" s="1"/>
  <c r="J136" i="27" a="1"/>
  <c r="J136" i="27" s="1"/>
  <c r="J402" i="27" a="1"/>
  <c r="J402" i="27" s="1"/>
  <c r="J403" i="27" a="1"/>
  <c r="J403" i="27" s="1"/>
  <c r="J70" i="27" a="1"/>
  <c r="J70" i="27" s="1"/>
  <c r="J147" i="27" a="1"/>
  <c r="J147" i="27" s="1"/>
  <c r="J296" i="27" a="1"/>
  <c r="J296" i="27" s="1"/>
  <c r="J396" i="27" a="1"/>
  <c r="J396" i="27" s="1"/>
  <c r="J215" i="27" a="1"/>
  <c r="J215" i="27" s="1"/>
  <c r="J42" i="27" a="1"/>
  <c r="J42" i="27" s="1"/>
  <c r="J283" i="27" a="1"/>
  <c r="J283" i="27" s="1"/>
  <c r="J282" i="27" a="1"/>
  <c r="J282" i="27" s="1"/>
  <c r="J292" i="27" a="1"/>
  <c r="J292" i="27" s="1"/>
  <c r="J76" i="27" a="1"/>
  <c r="J76" i="27" s="1"/>
  <c r="J306" i="27" a="1"/>
  <c r="J306" i="27" s="1"/>
  <c r="J23" i="27" a="1"/>
  <c r="J23" i="27" s="1"/>
  <c r="J22" i="27" a="1"/>
  <c r="J22" i="27" s="1"/>
  <c r="J372" i="27" a="1"/>
  <c r="J372" i="27" s="1"/>
  <c r="J150" i="27" a="1"/>
  <c r="J150" i="27" s="1"/>
  <c r="J149" i="27" a="1"/>
  <c r="J149" i="27" s="1"/>
  <c r="J151" i="27" a="1"/>
  <c r="J151" i="27" s="1"/>
  <c r="J75" i="27" a="1"/>
  <c r="J75" i="27" s="1"/>
  <c r="J50" i="27" a="1"/>
  <c r="J50" i="27" s="1"/>
  <c r="J109" i="27" a="1"/>
  <c r="J109" i="27" s="1"/>
  <c r="J120" i="27" a="1"/>
  <c r="J120" i="27" s="1"/>
  <c r="J93" i="27" a="1"/>
  <c r="J93" i="27" s="1"/>
  <c r="J270" i="27" a="1"/>
  <c r="J270" i="27" s="1"/>
  <c r="J339" i="27" a="1"/>
  <c r="J339" i="27" s="1"/>
  <c r="J153" i="27" a="1"/>
  <c r="J153" i="27" s="1"/>
  <c r="J27" i="27" a="1"/>
  <c r="J27" i="27" s="1"/>
  <c r="J72" i="27" a="1"/>
  <c r="J72" i="27" s="1"/>
  <c r="J407" i="27" a="1"/>
  <c r="J407" i="27" s="1"/>
  <c r="J99" i="27" a="1"/>
  <c r="J99" i="27" s="1"/>
  <c r="J103" i="27" a="1"/>
  <c r="J103" i="27" s="1"/>
  <c r="J390" i="27" a="1"/>
  <c r="J390" i="27" s="1"/>
  <c r="J191" i="27" a="1"/>
  <c r="J191" i="27" s="1"/>
  <c r="J307" i="27" a="1"/>
  <c r="J307" i="27" s="1"/>
  <c r="J88" i="27" a="1"/>
  <c r="J88" i="27" s="1"/>
  <c r="J73" i="27" a="1"/>
  <c r="J73" i="27" s="1"/>
  <c r="J14" i="27" a="1"/>
  <c r="J14" i="27" s="1"/>
  <c r="J155" i="27" a="1"/>
  <c r="J155" i="27" s="1"/>
  <c r="J18" i="27" a="1"/>
  <c r="J18" i="27" s="1"/>
  <c r="J385" i="27" a="1"/>
  <c r="J385" i="27" s="1"/>
  <c r="J41" i="27" a="1"/>
  <c r="J41" i="27" s="1"/>
  <c r="J392" i="27" a="1"/>
  <c r="J392" i="27" s="1"/>
  <c r="J156" i="27" a="1"/>
  <c r="J156" i="27" s="1"/>
  <c r="J158" i="27" a="1"/>
  <c r="J158" i="27" s="1"/>
  <c r="J161" i="27" a="1"/>
  <c r="J161" i="27" s="1"/>
  <c r="J348" i="27" a="1"/>
  <c r="J348" i="27" s="1"/>
  <c r="J137" i="27" a="1"/>
  <c r="J137" i="27" s="1"/>
  <c r="J375" i="27" a="1"/>
  <c r="J375" i="27" s="1"/>
  <c r="J404" i="27" a="1"/>
  <c r="J404" i="27" s="1"/>
  <c r="J130" i="27" a="1"/>
  <c r="J130" i="27" s="1"/>
  <c r="J202" i="27" a="1"/>
  <c r="J202" i="27" s="1"/>
  <c r="J82" i="27" a="1"/>
  <c r="J82" i="27" s="1"/>
  <c r="J218" i="27" a="1"/>
  <c r="J218" i="27" s="1"/>
  <c r="J162" i="27" a="1"/>
  <c r="J162" i="27" s="1"/>
  <c r="J123" i="27" a="1"/>
  <c r="J123" i="27" s="1"/>
  <c r="J125" i="27" a="1"/>
  <c r="J125" i="27" s="1"/>
  <c r="J131" i="27" a="1"/>
  <c r="J131" i="27" s="1"/>
  <c r="J298" i="27" a="1"/>
  <c r="J298" i="27" s="1"/>
  <c r="J78" i="27" a="1"/>
  <c r="J78" i="27" s="1"/>
  <c r="J355" i="27" a="1"/>
  <c r="J355" i="27" s="1"/>
  <c r="J47" i="27" a="1"/>
  <c r="J47" i="27" s="1"/>
  <c r="J77" i="27" a="1"/>
  <c r="J77" i="27" s="1"/>
  <c r="J94" i="27" a="1"/>
  <c r="J94" i="27" s="1"/>
  <c r="J45" i="27" a="1"/>
  <c r="J45" i="27" s="1"/>
  <c r="J334" i="27" a="1"/>
  <c r="J334" i="27" s="1"/>
  <c r="J124" i="27" a="1"/>
  <c r="J124" i="27" s="1"/>
  <c r="J10" i="27" a="1"/>
  <c r="J10" i="27" s="1"/>
  <c r="J293" i="27" a="1"/>
  <c r="J293" i="27" s="1"/>
  <c r="J163" i="27" a="1"/>
  <c r="J163" i="27" s="1"/>
  <c r="J166" i="27" a="1"/>
  <c r="J166" i="27" s="1"/>
  <c r="J167" i="27" a="1"/>
  <c r="J167" i="27" s="1"/>
  <c r="J127" i="27" a="1"/>
  <c r="J127" i="27" s="1"/>
  <c r="J128" i="27" a="1"/>
  <c r="J128" i="27" s="1"/>
  <c r="J169" i="27" a="1"/>
  <c r="J169" i="27" s="1"/>
  <c r="J91" i="27" a="1"/>
  <c r="J91" i="27" s="1"/>
  <c r="J171" i="27" a="1"/>
  <c r="J171" i="27" s="1"/>
  <c r="J194" i="27" a="1"/>
  <c r="J194" i="27" s="1"/>
  <c r="J203" i="27" a="1"/>
  <c r="J203" i="27" s="1"/>
  <c r="J172" i="27" a="1"/>
  <c r="J172" i="27" s="1"/>
  <c r="J405" i="27" a="1"/>
  <c r="J405" i="27" s="1"/>
  <c r="J20" i="27" a="1"/>
  <c r="J20" i="27" s="1"/>
  <c r="J174" i="27" a="1"/>
  <c r="J174" i="27" s="1"/>
  <c r="J175" i="27" a="1"/>
  <c r="J175" i="27" s="1"/>
  <c r="J177" i="27" a="1"/>
  <c r="J177" i="27" s="1"/>
  <c r="J341" i="27" a="1"/>
  <c r="J341" i="27" s="1"/>
  <c r="J179" i="27" a="1"/>
  <c r="J179" i="27" s="1"/>
  <c r="J181" i="27" a="1"/>
  <c r="J181" i="27" s="1"/>
  <c r="J21" i="27" a="1"/>
  <c r="J21" i="27" s="1"/>
  <c r="J182" i="27" a="1"/>
  <c r="J182" i="27" s="1"/>
  <c r="J186" i="27" a="1"/>
  <c r="J186" i="27" s="1"/>
  <c r="J189" i="27" a="1"/>
  <c r="J189" i="27" s="1"/>
  <c r="J190" i="27" a="1"/>
  <c r="J190" i="27" s="1"/>
  <c r="J52" i="27" a="1"/>
  <c r="J52" i="27" s="1"/>
  <c r="J192" i="27" a="1"/>
  <c r="J192" i="27" s="1"/>
  <c r="J193" i="27" a="1"/>
  <c r="J193" i="27" s="1"/>
  <c r="J195" i="27" a="1"/>
  <c r="J195" i="27" s="1"/>
  <c r="J329" i="27" a="1"/>
  <c r="J329" i="27" s="1"/>
  <c r="J303" i="27" a="1"/>
  <c r="J303" i="27" s="1"/>
  <c r="J200" i="27" a="1"/>
  <c r="J200" i="27" s="1"/>
  <c r="J168" i="27" a="1"/>
  <c r="J168" i="27" s="1"/>
  <c r="J358" i="27" a="1"/>
  <c r="J358" i="27" s="1"/>
  <c r="J57" i="27" a="1"/>
  <c r="J57" i="27" s="1"/>
  <c r="J197" i="27" a="1"/>
  <c r="J197" i="27" s="1"/>
  <c r="J185" i="27" a="1"/>
  <c r="J185" i="27" s="1"/>
  <c r="J199" i="27" a="1"/>
  <c r="J199" i="27" s="1"/>
  <c r="J98" i="27" a="1"/>
  <c r="J98" i="27" s="1"/>
  <c r="J280" i="27" a="1"/>
  <c r="J280" i="27" s="1"/>
  <c r="J201" i="27" a="1"/>
  <c r="J201" i="27" s="1"/>
  <c r="J204" i="27" a="1"/>
  <c r="J204" i="27" s="1"/>
  <c r="J205" i="27" a="1"/>
  <c r="J205" i="27" s="1"/>
  <c r="J207" i="27" a="1"/>
  <c r="J207" i="27" s="1"/>
  <c r="J210" i="27" a="1"/>
  <c r="J210" i="27" s="1"/>
  <c r="J53" i="27" a="1"/>
  <c r="J53" i="27" s="1"/>
  <c r="J212" i="27" a="1"/>
  <c r="J212" i="27" s="1"/>
  <c r="J214" i="27" a="1"/>
  <c r="J214" i="27" s="1"/>
  <c r="J216" i="27" a="1"/>
  <c r="J216" i="27" s="1"/>
  <c r="J54" i="27" a="1"/>
  <c r="J54" i="27" s="1"/>
  <c r="J217" i="27" a="1"/>
  <c r="J217" i="27" s="1"/>
  <c r="J219" i="27" a="1"/>
  <c r="J219" i="27" s="1"/>
  <c r="J221" i="27" a="1"/>
  <c r="J221" i="27" s="1"/>
  <c r="J184" i="27" a="1"/>
  <c r="J184" i="27" s="1"/>
  <c r="J284" i="27" a="1"/>
  <c r="J284" i="27" s="1"/>
  <c r="J338" i="27" a="1"/>
  <c r="J338" i="27" s="1"/>
  <c r="J414" i="27" a="1"/>
  <c r="J414" i="27" s="1"/>
  <c r="J164" i="27" a="1"/>
  <c r="J164" i="27" s="1"/>
  <c r="J119" i="27" a="1"/>
  <c r="J119" i="27" s="1"/>
  <c r="J35" i="27" a="1"/>
  <c r="J35" i="27" s="1"/>
  <c r="J314" i="27" a="1"/>
  <c r="J314" i="27" s="1"/>
  <c r="J107" i="27" a="1"/>
  <c r="J107" i="27" s="1"/>
  <c r="J273" i="27" a="1"/>
  <c r="J273" i="27" s="1"/>
  <c r="J323" i="27" a="1"/>
  <c r="J323" i="27" s="1"/>
  <c r="J64" i="27" a="1"/>
  <c r="J64" i="27" s="1"/>
  <c r="J224" i="27" a="1"/>
  <c r="J224" i="27" s="1"/>
  <c r="J410" i="27" a="1"/>
  <c r="J410" i="27" s="1"/>
  <c r="J239" i="27" a="1"/>
  <c r="J239" i="27" s="1"/>
  <c r="J264" i="27" a="1"/>
  <c r="J264" i="27" s="1"/>
  <c r="J247" i="27" a="1"/>
  <c r="J247" i="27" s="1"/>
  <c r="J327" i="27" a="1"/>
  <c r="J327" i="27" s="1"/>
  <c r="J233" i="27" a="1"/>
  <c r="J233" i="27" s="1"/>
  <c r="J16" i="27" a="1"/>
  <c r="J16" i="27" s="1"/>
  <c r="J317" i="27" a="1"/>
  <c r="J317" i="27" s="1"/>
  <c r="J242" i="27" a="1"/>
  <c r="J242" i="27" s="1"/>
  <c r="J28" i="27" a="1"/>
  <c r="J28" i="27" s="1"/>
  <c r="J379" i="27" a="1"/>
  <c r="J379" i="27" s="1"/>
  <c r="J229" i="27" a="1"/>
  <c r="J229" i="27" s="1"/>
  <c r="J101" i="27" a="1"/>
  <c r="J101" i="27" s="1"/>
  <c r="J335" i="27" a="1"/>
  <c r="J335" i="27" s="1"/>
  <c r="J232" i="27" a="1"/>
  <c r="J232" i="27" s="1"/>
  <c r="J401" i="27" a="1"/>
  <c r="J401" i="27" s="1"/>
  <c r="J274" i="27" a="1"/>
  <c r="J274" i="27" s="1"/>
  <c r="J322" i="27" a="1"/>
  <c r="J322" i="27" s="1"/>
  <c r="J262" i="27" a="1"/>
  <c r="J262" i="27" s="1"/>
  <c r="J92" i="27" a="1"/>
  <c r="J92" i="27" s="1"/>
  <c r="J226" i="27" a="1"/>
  <c r="J226" i="27" s="1"/>
  <c r="J397" i="27" a="1"/>
  <c r="J397" i="27" s="1"/>
  <c r="J65" i="27" a="1"/>
  <c r="J65" i="27" s="1"/>
  <c r="J328" i="27" a="1"/>
  <c r="J328" i="27" s="1"/>
  <c r="J312" i="27" a="1"/>
  <c r="J312" i="27" s="1"/>
  <c r="J388" i="27" a="1"/>
  <c r="J388" i="27" s="1"/>
  <c r="J350" i="27" a="1"/>
  <c r="J350" i="27" s="1"/>
  <c r="J223" i="27" a="1"/>
  <c r="J223" i="27" s="1"/>
  <c r="J228" i="27" a="1"/>
  <c r="J228" i="27" s="1"/>
  <c r="J30" i="27" a="1"/>
  <c r="J30" i="27" s="1"/>
  <c r="J365" i="27" a="1"/>
  <c r="J365" i="27" s="1"/>
  <c r="J33" i="27" a="1"/>
  <c r="J33" i="27" s="1"/>
  <c r="J243" i="27" a="1"/>
  <c r="J243" i="27" s="1"/>
  <c r="J34" i="27" a="1"/>
  <c r="J34" i="27" s="1"/>
  <c r="J266" i="27" a="1"/>
  <c r="J266" i="27" s="1"/>
  <c r="J225" i="27" a="1"/>
  <c r="J225" i="27" s="1"/>
  <c r="J227" i="27" a="1"/>
  <c r="J227" i="27" s="1"/>
  <c r="J287" i="27" a="1"/>
  <c r="J287" i="27" s="1"/>
  <c r="J288" i="27" a="1"/>
  <c r="J288" i="27" s="1"/>
  <c r="J291" i="27" a="1"/>
  <c r="J291" i="27" s="1"/>
  <c r="J230" i="27" a="1"/>
  <c r="J230" i="27" s="1"/>
  <c r="J15" i="27" a="1"/>
  <c r="J15" i="27" s="1"/>
  <c r="J126" i="27" a="1"/>
  <c r="J126" i="27" s="1"/>
  <c r="J299" i="27" a="1"/>
  <c r="J299" i="27" s="1"/>
  <c r="J116" i="27" a="1"/>
  <c r="J116" i="27" s="1"/>
  <c r="J319" i="27" a="1"/>
  <c r="J319" i="27" s="1"/>
  <c r="J300" i="27" a="1"/>
  <c r="J300" i="27" s="1"/>
  <c r="J117" i="27" a="1"/>
  <c r="J117" i="27" s="1"/>
  <c r="J320" i="27" a="1"/>
  <c r="J320" i="27" s="1"/>
  <c r="J231" i="27" a="1"/>
  <c r="J231" i="27" s="1"/>
  <c r="J400" i="27" a="1"/>
  <c r="J400" i="27" s="1"/>
  <c r="J399" i="27" a="1"/>
  <c r="J399" i="27" s="1"/>
  <c r="J24" i="27" a="1"/>
  <c r="J24" i="27" s="1"/>
  <c r="J366" i="27" a="1"/>
  <c r="J366" i="27" s="1"/>
  <c r="J331" i="27" a="1"/>
  <c r="J331" i="27" s="1"/>
  <c r="J252" i="27" a="1"/>
  <c r="J252" i="27" s="1"/>
  <c r="J246" i="27" a="1"/>
  <c r="J246" i="27" s="1"/>
  <c r="J238" i="27" a="1"/>
  <c r="J238" i="27" s="1"/>
  <c r="J269" i="27" a="1"/>
  <c r="J269" i="27" s="1"/>
  <c r="J257" i="27" a="1"/>
  <c r="J257" i="27" s="1"/>
  <c r="J278" i="27" a="1"/>
  <c r="J278" i="27" s="1"/>
  <c r="J133" i="27" a="1"/>
  <c r="J133" i="27" s="1"/>
  <c r="J367" i="27" a="1"/>
  <c r="J367" i="27" s="1"/>
  <c r="J12" i="27" a="1"/>
  <c r="J12" i="27" s="1"/>
  <c r="J234" i="27" a="1"/>
  <c r="J234" i="27" s="1"/>
  <c r="J332" i="27" a="1"/>
  <c r="J332" i="27" s="1"/>
  <c r="J349" i="27" a="1"/>
  <c r="J349" i="27" s="1"/>
  <c r="J412" i="27" a="1"/>
  <c r="J412" i="27" s="1"/>
  <c r="J62" i="27" a="1"/>
  <c r="J62" i="27" s="1"/>
  <c r="J369" i="27" a="1"/>
  <c r="J369" i="27" s="1"/>
  <c r="J49" i="27" a="1"/>
  <c r="J49" i="27" s="1"/>
  <c r="J357" i="27" a="1"/>
  <c r="J357" i="27" s="1"/>
  <c r="J318" i="27" a="1"/>
  <c r="J318" i="27" s="1"/>
  <c r="J356" i="27" a="1"/>
  <c r="J356" i="27" s="1"/>
  <c r="J48" i="27" a="1"/>
  <c r="J48" i="27" s="1"/>
  <c r="J254" i="27" a="1"/>
  <c r="J254" i="27" s="1"/>
  <c r="J260" i="27" a="1"/>
  <c r="J260" i="27" s="1"/>
  <c r="J55" i="27" a="1"/>
  <c r="J55" i="27" s="1"/>
  <c r="J391" i="27" a="1"/>
  <c r="J391" i="27" s="1"/>
  <c r="J302" i="27" a="1"/>
  <c r="J302" i="27" s="1"/>
  <c r="J301" i="27" a="1"/>
  <c r="J301" i="27" s="1"/>
  <c r="J370" i="27" a="1"/>
  <c r="J370" i="27" s="1"/>
  <c r="J235" i="27" a="1"/>
  <c r="J235" i="27" s="1"/>
  <c r="J237" i="27" a="1"/>
  <c r="J237" i="27" s="1"/>
  <c r="J25" i="27" a="1"/>
  <c r="J25" i="27" s="1"/>
  <c r="J371" i="27" a="1"/>
  <c r="J371" i="27" s="1"/>
  <c r="J240" i="27" a="1"/>
  <c r="J240" i="27" s="1"/>
  <c r="J241" i="27" a="1"/>
  <c r="J241" i="27" s="1"/>
  <c r="J310" i="27" a="1"/>
  <c r="J310" i="27" s="1"/>
  <c r="J244" i="27" a="1"/>
  <c r="J244" i="27" s="1"/>
  <c r="J245" i="27" a="1"/>
  <c r="J245" i="27" s="1"/>
  <c r="J248" i="27" a="1"/>
  <c r="J248" i="27" s="1"/>
  <c r="J409" i="27" a="1"/>
  <c r="J409" i="27" s="1"/>
  <c r="J100" i="27" a="1"/>
  <c r="J100" i="27" s="1"/>
  <c r="J236" i="27" a="1"/>
  <c r="J236" i="27" s="1"/>
  <c r="J32" i="27" a="1"/>
  <c r="J32" i="27" s="1"/>
  <c r="J250" i="27" a="1"/>
  <c r="J250" i="27" s="1"/>
  <c r="J251" i="27" a="1"/>
  <c r="J251" i="27" s="1"/>
  <c r="J253" i="27" a="1"/>
  <c r="J253" i="27" s="1"/>
  <c r="J256" i="27" a="1"/>
  <c r="J256" i="27" s="1"/>
  <c r="J121" i="27" a="1"/>
  <c r="J121" i="27" s="1"/>
  <c r="J122" i="27" a="1"/>
  <c r="J122" i="27" s="1"/>
  <c r="J347" i="27" a="1"/>
  <c r="J347" i="27" s="1"/>
  <c r="J258" i="27" a="1"/>
  <c r="J258" i="27" s="1"/>
  <c r="J286" i="27" a="1"/>
  <c r="J286" i="27" s="1"/>
  <c r="J271" i="27" a="1"/>
  <c r="J271" i="27" s="1"/>
  <c r="J364" i="27" a="1"/>
  <c r="J364" i="27" s="1"/>
  <c r="J259" i="27" a="1"/>
  <c r="J259" i="27" s="1"/>
  <c r="J261" i="27" a="1"/>
  <c r="J261" i="27" s="1"/>
  <c r="J67" i="27" a="1"/>
  <c r="J67" i="27" s="1"/>
  <c r="J56" i="27" a="1"/>
  <c r="J56" i="27" s="1"/>
  <c r="J263" i="27" a="1"/>
  <c r="J263" i="27" s="1"/>
  <c r="J265" i="27" a="1"/>
  <c r="J265" i="27" s="1"/>
  <c r="J361" i="27" a="1"/>
  <c r="J361" i="27" s="1"/>
  <c r="J255" i="27" a="1"/>
  <c r="J255" i="27" s="1"/>
  <c r="J249" i="27" a="1"/>
  <c r="J249" i="27" s="1"/>
  <c r="J38" i="27" a="1"/>
  <c r="J38" i="27" s="1"/>
  <c r="J305" i="27" a="1"/>
  <c r="J305" i="27" s="1"/>
  <c r="J267" i="27" a="1"/>
  <c r="J267" i="27" s="1"/>
  <c r="J268" i="27" a="1"/>
  <c r="J268" i="27" s="1"/>
  <c r="J36" i="27" a="1"/>
  <c r="J36" i="27" s="1"/>
  <c r="J89" i="27" a="1"/>
  <c r="J89" i="27" s="1"/>
  <c r="J90" i="27" a="1"/>
  <c r="J90" i="27" s="1"/>
  <c r="J85" i="27" a="1"/>
  <c r="J85" i="27" s="1"/>
  <c r="J304" i="27" a="1"/>
  <c r="J304" i="27" s="1"/>
  <c r="J275" i="27" a="1"/>
  <c r="J275" i="27" s="1"/>
  <c r="J13" i="27" a="1"/>
  <c r="J13" i="27" s="1"/>
  <c r="J118" i="27" a="1"/>
  <c r="J118" i="27" s="1"/>
  <c r="J363" i="27" a="1"/>
  <c r="J363" i="27" s="1"/>
  <c r="J272" i="27" a="1"/>
  <c r="J272" i="27" s="1"/>
  <c r="J66" i="27" a="1"/>
  <c r="J66" i="27" s="1"/>
  <c r="J289" i="27" a="1"/>
  <c r="J289" i="27" s="1"/>
  <c r="J290" i="27" a="1"/>
  <c r="J290" i="27" s="1"/>
  <c r="J346" i="27" a="1"/>
  <c r="J346" i="27" s="1"/>
  <c r="J330" i="27" a="1"/>
  <c r="J330" i="27" s="1"/>
  <c r="J360" i="27" a="1"/>
  <c r="J360" i="27" s="1"/>
  <c r="J86" i="27" a="1"/>
  <c r="J86" i="27" s="1"/>
  <c r="J68" i="27" a="1"/>
  <c r="J68" i="27" s="1"/>
  <c r="J378" i="27" a="1"/>
  <c r="J378" i="27" s="1"/>
  <c r="J380" i="27" a="1"/>
  <c r="J380" i="27" s="1"/>
  <c r="J132" i="27" a="1"/>
  <c r="J132" i="27" s="1"/>
  <c r="J368" i="27" a="1"/>
  <c r="J368" i="27" s="1"/>
  <c r="J37" i="27" a="1"/>
  <c r="J37" i="27" s="1"/>
  <c r="J362" i="27" a="1"/>
  <c r="J362" i="27" s="1"/>
  <c r="J345" i="27" a="1"/>
  <c r="J345" i="27" s="1"/>
  <c r="J17" i="27" a="1"/>
  <c r="J17" i="27" s="1"/>
  <c r="J39" i="27" a="1"/>
  <c r="J39" i="27" s="1"/>
  <c r="J40" i="27" a="1"/>
  <c r="J40" i="27" s="1"/>
  <c r="J83" i="27" a="1"/>
  <c r="J83" i="27" s="1"/>
  <c r="J84" i="27" a="1"/>
  <c r="J84" i="27" s="1"/>
  <c r="K37" i="27"/>
  <c r="K36" i="27"/>
  <c r="K185" i="27"/>
  <c r="Q185" i="27" s="1"/>
  <c r="AY4" i="51" l="1"/>
  <c r="AZ4" i="51" s="1"/>
  <c r="BA4" i="51" s="1"/>
  <c r="BB4" i="51" s="1"/>
  <c r="BG4" i="51" s="1"/>
  <c r="R185" i="27"/>
  <c r="K400" i="27" l="1"/>
  <c r="K399" i="27"/>
  <c r="K212" i="27" l="1"/>
  <c r="R212" i="27" s="1"/>
  <c r="Q212" i="27" l="1"/>
  <c r="K135" i="27"/>
  <c r="R135" i="27" s="1"/>
  <c r="K134" i="27"/>
  <c r="Q134" i="27" s="1"/>
  <c r="K408" i="27"/>
  <c r="Q408" i="27" s="1"/>
  <c r="J281" i="27" a="1"/>
  <c r="J281" i="27" s="1"/>
  <c r="K5" i="27"/>
  <c r="R5" i="27" s="1"/>
  <c r="R408" i="27" l="1"/>
  <c r="Q135" i="27"/>
  <c r="R134" i="27"/>
  <c r="Q5" i="27"/>
  <c r="K95" i="27" l="1"/>
  <c r="Q95" i="27" s="1"/>
  <c r="R95" i="27" l="1"/>
  <c r="K253" i="27"/>
  <c r="R253" i="27" s="1"/>
  <c r="K254" i="27"/>
  <c r="R254" i="27" s="1"/>
  <c r="Q253" i="27" l="1"/>
  <c r="Q254" i="27"/>
  <c r="I4" i="34" l="1"/>
  <c r="F4" i="34"/>
  <c r="G4" i="34" s="1"/>
  <c r="O4" i="43" l="1"/>
  <c r="O4" i="42"/>
  <c r="P17" i="47" l="1"/>
  <c r="S17" i="47" s="1"/>
  <c r="O17" i="47"/>
  <c r="Q17" i="47" s="1"/>
  <c r="T17" i="47" s="1"/>
  <c r="Q16" i="47"/>
  <c r="T16" i="47" s="1"/>
  <c r="P16" i="47"/>
  <c r="S16" i="47" s="1"/>
  <c r="O16" i="47"/>
  <c r="S15" i="47"/>
  <c r="Q15" i="47"/>
  <c r="T15" i="47" s="1"/>
  <c r="P15" i="47"/>
  <c r="O15" i="47"/>
  <c r="S14" i="47"/>
  <c r="P14" i="47"/>
  <c r="O14" i="47"/>
  <c r="Q14" i="47" s="1"/>
  <c r="T14" i="47" s="1"/>
  <c r="P13" i="47"/>
  <c r="S13" i="47" s="1"/>
  <c r="O13" i="47"/>
  <c r="Q13" i="47" s="1"/>
  <c r="T13" i="47" s="1"/>
  <c r="Q12" i="47"/>
  <c r="T12" i="47" s="1"/>
  <c r="P12" i="47"/>
  <c r="S12" i="47" s="1"/>
  <c r="O12" i="47"/>
  <c r="S11" i="47"/>
  <c r="Q11" i="47"/>
  <c r="T11" i="47" s="1"/>
  <c r="P11" i="47"/>
  <c r="O11" i="47"/>
  <c r="S10" i="47"/>
  <c r="P10" i="47"/>
  <c r="O10" i="47"/>
  <c r="Q10" i="47" s="1"/>
  <c r="T10" i="47" s="1"/>
  <c r="P9" i="47"/>
  <c r="S9" i="47" s="1"/>
  <c r="O9" i="47"/>
  <c r="Q9" i="47" s="1"/>
  <c r="T9" i="47" s="1"/>
  <c r="Q8" i="47"/>
  <c r="T8" i="47" s="1"/>
  <c r="P8" i="47"/>
  <c r="S8" i="47" s="1"/>
  <c r="O8" i="47"/>
  <c r="S7" i="47"/>
  <c r="Q7" i="47"/>
  <c r="T7" i="47" s="1"/>
  <c r="P7" i="47"/>
  <c r="O7" i="47"/>
  <c r="S6" i="47"/>
  <c r="P6" i="47"/>
  <c r="O6" i="47"/>
  <c r="Q6" i="47" s="1"/>
  <c r="T6" i="47" s="1"/>
  <c r="K307" i="27" l="1"/>
  <c r="K128" i="27"/>
  <c r="K281" i="27"/>
  <c r="K43" i="27"/>
  <c r="K71" i="27"/>
  <c r="K160" i="27"/>
  <c r="K313" i="27"/>
  <c r="K8" i="27"/>
  <c r="K138" i="27"/>
  <c r="K359" i="27"/>
  <c r="K343" i="27"/>
  <c r="K393" i="27"/>
  <c r="K394" i="27"/>
  <c r="K113" i="27"/>
  <c r="K353" i="27"/>
  <c r="K316" i="27"/>
  <c r="K142" i="27"/>
  <c r="K51" i="27"/>
  <c r="K60" i="27"/>
  <c r="K108" i="27"/>
  <c r="K311" i="27"/>
  <c r="K105" i="27"/>
  <c r="K61" i="27"/>
  <c r="K213" i="27"/>
  <c r="K63" i="27"/>
  <c r="K377" i="27"/>
  <c r="K114" i="27"/>
  <c r="K354" i="27"/>
  <c r="K96" i="27"/>
  <c r="K178" i="27"/>
  <c r="K44" i="27"/>
  <c r="K324" i="27"/>
  <c r="K326" i="27"/>
  <c r="K395" i="27"/>
  <c r="K81" i="27"/>
  <c r="K183" i="27"/>
  <c r="K352" i="27"/>
  <c r="K115" i="27"/>
  <c r="K58" i="27"/>
  <c r="K285" i="27"/>
  <c r="K11" i="27"/>
  <c r="K6" i="27"/>
  <c r="K7" i="27"/>
  <c r="K111" i="27"/>
  <c r="K374" i="27"/>
  <c r="K211" i="27"/>
  <c r="K279" i="27"/>
  <c r="K59" i="27"/>
  <c r="K139" i="27"/>
  <c r="K406" i="27"/>
  <c r="K411" i="27"/>
  <c r="K159" i="27"/>
  <c r="K340" i="27"/>
  <c r="K152" i="27"/>
  <c r="K383" i="27"/>
  <c r="K382" i="27"/>
  <c r="K165" i="27"/>
  <c r="K31" i="27"/>
  <c r="K333" i="27"/>
  <c r="K297" i="27"/>
  <c r="K154" i="27"/>
  <c r="K398" i="27"/>
  <c r="K222" i="27"/>
  <c r="K209" i="27"/>
  <c r="K176" i="27"/>
  <c r="K321" i="27"/>
  <c r="K106" i="27"/>
  <c r="K104" i="27"/>
  <c r="K351" i="27"/>
  <c r="K46" i="27"/>
  <c r="K141" i="27"/>
  <c r="K413" i="27"/>
  <c r="K384" i="27"/>
  <c r="K9" i="27"/>
  <c r="K295" i="27"/>
  <c r="K112" i="27"/>
  <c r="K309" i="27"/>
  <c r="K308" i="27"/>
  <c r="K97" i="27"/>
  <c r="K148" i="27"/>
  <c r="K143" i="27"/>
  <c r="K129" i="27"/>
  <c r="K187" i="27"/>
  <c r="K381" i="27"/>
  <c r="K110" i="27"/>
  <c r="K196" i="27"/>
  <c r="K386" i="27"/>
  <c r="K102" i="27"/>
  <c r="K220" i="27"/>
  <c r="K144" i="27"/>
  <c r="K337" i="27"/>
  <c r="K294" i="27"/>
  <c r="K315" i="27"/>
  <c r="K140" i="27"/>
  <c r="K146" i="27"/>
  <c r="K276" i="27"/>
  <c r="K373" i="27"/>
  <c r="K198" i="27"/>
  <c r="K277" i="27"/>
  <c r="K87" i="27"/>
  <c r="K74" i="27"/>
  <c r="K208" i="27"/>
  <c r="K170" i="27"/>
  <c r="K342" i="27"/>
  <c r="K188" i="27"/>
  <c r="K19" i="27"/>
  <c r="K206" i="27"/>
  <c r="K376" i="27"/>
  <c r="K336" i="27"/>
  <c r="K325" i="27"/>
  <c r="K344" i="27"/>
  <c r="K387" i="27"/>
  <c r="K173" i="27"/>
  <c r="K157" i="27"/>
  <c r="K389" i="27"/>
  <c r="K145" i="27"/>
  <c r="K80" i="27"/>
  <c r="K180" i="27"/>
  <c r="K69" i="27"/>
  <c r="K402" i="27"/>
  <c r="K403" i="27"/>
  <c r="K4" i="27"/>
  <c r="K79" i="27"/>
  <c r="K26" i="27"/>
  <c r="K29" i="27"/>
  <c r="K136" i="27"/>
  <c r="K70" i="27"/>
  <c r="K147" i="27"/>
  <c r="K296" i="27"/>
  <c r="K396" i="27"/>
  <c r="K215" i="27"/>
  <c r="K42" i="27"/>
  <c r="K283" i="27"/>
  <c r="K282" i="27"/>
  <c r="K292" i="27"/>
  <c r="K76" i="27"/>
  <c r="K306" i="27"/>
  <c r="K23" i="27"/>
  <c r="K22" i="27"/>
  <c r="K372" i="27"/>
  <c r="K150" i="27"/>
  <c r="K149" i="27"/>
  <c r="K151" i="27"/>
  <c r="K75" i="27"/>
  <c r="K50" i="27"/>
  <c r="K109" i="27"/>
  <c r="K120" i="27"/>
  <c r="K93" i="27"/>
  <c r="K270" i="27"/>
  <c r="K339" i="27"/>
  <c r="K153" i="27"/>
  <c r="K27" i="27"/>
  <c r="K72" i="27"/>
  <c r="K407" i="27"/>
  <c r="K99" i="27"/>
  <c r="K103" i="27"/>
  <c r="K390" i="27"/>
  <c r="K191" i="27"/>
  <c r="K88" i="27"/>
  <c r="K73" i="27"/>
  <c r="K14" i="27"/>
  <c r="K155" i="27"/>
  <c r="K18" i="27"/>
  <c r="K385" i="27"/>
  <c r="K41" i="27"/>
  <c r="K156" i="27"/>
  <c r="K158" i="27"/>
  <c r="K161" i="27"/>
  <c r="K348" i="27"/>
  <c r="K137" i="27"/>
  <c r="K130" i="27"/>
  <c r="K202" i="27"/>
  <c r="K82" i="27"/>
  <c r="K218" i="27"/>
  <c r="K162" i="27"/>
  <c r="K123" i="27"/>
  <c r="K125" i="27"/>
  <c r="K131" i="27"/>
  <c r="K298" i="27"/>
  <c r="K78" i="27"/>
  <c r="K355" i="27"/>
  <c r="K47" i="27"/>
  <c r="K77" i="27"/>
  <c r="K94" i="27"/>
  <c r="K45" i="27"/>
  <c r="K334" i="27"/>
  <c r="K124" i="27"/>
  <c r="K10" i="27"/>
  <c r="K293" i="27"/>
  <c r="K163" i="27"/>
  <c r="K166" i="27"/>
  <c r="K167" i="27"/>
  <c r="K169" i="27"/>
  <c r="K91" i="27"/>
  <c r="K171" i="27"/>
  <c r="K194" i="27"/>
  <c r="K203" i="27"/>
  <c r="K172" i="27"/>
  <c r="K405" i="27"/>
  <c r="K20" i="27"/>
  <c r="K174" i="27"/>
  <c r="K175" i="27"/>
  <c r="K177" i="27"/>
  <c r="K341" i="27"/>
  <c r="K179" i="27"/>
  <c r="K181" i="27"/>
  <c r="K21" i="27"/>
  <c r="K182" i="27"/>
  <c r="K186" i="27"/>
  <c r="K189" i="27"/>
  <c r="K190" i="27"/>
  <c r="K52" i="27"/>
  <c r="K192" i="27"/>
  <c r="K193" i="27"/>
  <c r="K195" i="27"/>
  <c r="K329" i="27"/>
  <c r="K303" i="27"/>
  <c r="K200" i="27"/>
  <c r="K168" i="27"/>
  <c r="K358" i="27"/>
  <c r="K57" i="27"/>
  <c r="K197" i="27"/>
  <c r="K199" i="27"/>
  <c r="K98" i="27"/>
  <c r="K280" i="27"/>
  <c r="K201" i="27"/>
  <c r="K204" i="27"/>
  <c r="K205" i="27"/>
  <c r="K207" i="27"/>
  <c r="K210" i="27"/>
  <c r="K53" i="27"/>
  <c r="K214" i="27"/>
  <c r="K216" i="27"/>
  <c r="K54" i="27"/>
  <c r="K217" i="27"/>
  <c r="K219" i="27"/>
  <c r="K221" i="27"/>
  <c r="K184" i="27"/>
  <c r="K284" i="27"/>
  <c r="K338" i="27"/>
  <c r="K414" i="27"/>
  <c r="K164" i="27"/>
  <c r="K119" i="27"/>
  <c r="K35" i="27"/>
  <c r="K55" i="27"/>
  <c r="K391" i="27"/>
  <c r="K375" i="27"/>
  <c r="K404" i="27"/>
  <c r="K319" i="27"/>
  <c r="K320" i="27"/>
  <c r="K231" i="27"/>
  <c r="K302" i="27"/>
  <c r="K301" i="27"/>
  <c r="K32" i="27"/>
  <c r="K392" i="27"/>
  <c r="K314" i="27"/>
  <c r="K107" i="27"/>
  <c r="K273" i="27"/>
  <c r="K323" i="27"/>
  <c r="K64" i="27"/>
  <c r="K224" i="27"/>
  <c r="K410" i="27"/>
  <c r="K239" i="27"/>
  <c r="K264" i="27"/>
  <c r="K247" i="27"/>
  <c r="K327" i="27"/>
  <c r="K233" i="27"/>
  <c r="K16" i="27"/>
  <c r="K317" i="27"/>
  <c r="K242" i="27"/>
  <c r="K28" i="27"/>
  <c r="K379" i="27"/>
  <c r="K229" i="27"/>
  <c r="K101" i="27"/>
  <c r="K335" i="27"/>
  <c r="K232" i="27"/>
  <c r="K401" i="27"/>
  <c r="K274" i="27"/>
  <c r="K322" i="27"/>
  <c r="K262" i="27"/>
  <c r="K92" i="27"/>
  <c r="K226" i="27"/>
  <c r="K397" i="27"/>
  <c r="K65" i="27"/>
  <c r="K328" i="27"/>
  <c r="K312" i="27"/>
  <c r="K388" i="27"/>
  <c r="K350" i="27"/>
  <c r="K223" i="27"/>
  <c r="K228" i="27"/>
  <c r="K30" i="27"/>
  <c r="K365" i="27"/>
  <c r="K33" i="27"/>
  <c r="K243" i="27"/>
  <c r="K34" i="27"/>
  <c r="K266" i="27"/>
  <c r="K225" i="27"/>
  <c r="K227" i="27"/>
  <c r="K287" i="27"/>
  <c r="K288" i="27"/>
  <c r="K291" i="27"/>
  <c r="K230" i="27"/>
  <c r="K15" i="27"/>
  <c r="K126" i="27"/>
  <c r="K116" i="27"/>
  <c r="K299" i="27"/>
  <c r="K117" i="27"/>
  <c r="K300" i="27"/>
  <c r="K24" i="27"/>
  <c r="K366" i="27"/>
  <c r="K331" i="27"/>
  <c r="K252" i="27"/>
  <c r="K246" i="27"/>
  <c r="K238" i="27"/>
  <c r="K269" i="27"/>
  <c r="K257" i="27"/>
  <c r="K278" i="27"/>
  <c r="K133" i="27"/>
  <c r="K367" i="27"/>
  <c r="K12" i="27"/>
  <c r="K234" i="27"/>
  <c r="K332" i="27"/>
  <c r="K349" i="27"/>
  <c r="K412" i="27"/>
  <c r="K62" i="27"/>
  <c r="K369" i="27"/>
  <c r="K49" i="27"/>
  <c r="K357" i="27"/>
  <c r="K318" i="27"/>
  <c r="K356" i="27"/>
  <c r="K48" i="27"/>
  <c r="K260" i="27"/>
  <c r="K370" i="27"/>
  <c r="K235" i="27"/>
  <c r="K237" i="27"/>
  <c r="K25" i="27"/>
  <c r="K371" i="27"/>
  <c r="K240" i="27"/>
  <c r="K241" i="27"/>
  <c r="K310" i="27"/>
  <c r="K244" i="27"/>
  <c r="K245" i="27"/>
  <c r="K248" i="27"/>
  <c r="K409" i="27"/>
  <c r="K100" i="27"/>
  <c r="K236" i="27"/>
  <c r="K250" i="27"/>
  <c r="K251" i="27"/>
  <c r="K256" i="27"/>
  <c r="K121" i="27"/>
  <c r="K122" i="27"/>
  <c r="K347" i="27"/>
  <c r="K258" i="27"/>
  <c r="K286" i="27"/>
  <c r="K271" i="27"/>
  <c r="K364" i="27"/>
  <c r="K259" i="27"/>
  <c r="K261" i="27"/>
  <c r="K67" i="27"/>
  <c r="K56" i="27"/>
  <c r="K263" i="27"/>
  <c r="K265" i="27"/>
  <c r="K361" i="27"/>
  <c r="K255" i="27"/>
  <c r="K249" i="27"/>
  <c r="K38" i="27"/>
  <c r="K305" i="27"/>
  <c r="K267" i="27"/>
  <c r="K268" i="27"/>
  <c r="K362" i="27"/>
  <c r="K85" i="27"/>
  <c r="K304" i="27"/>
  <c r="K275" i="27"/>
  <c r="K13" i="27"/>
  <c r="K118" i="27"/>
  <c r="K363" i="27"/>
  <c r="K345" i="27"/>
  <c r="K360" i="27"/>
  <c r="K272" i="27"/>
  <c r="K66" i="27"/>
  <c r="K289" i="27"/>
  <c r="K290" i="27"/>
  <c r="K346" i="27"/>
  <c r="K330" i="27"/>
  <c r="K86" i="27"/>
  <c r="K68" i="27"/>
  <c r="K378" i="27"/>
  <c r="K380" i="27"/>
  <c r="K132" i="27"/>
  <c r="K368" i="27"/>
  <c r="K17" i="27"/>
  <c r="K39" i="27"/>
  <c r="K40" i="27"/>
  <c r="K127" i="27"/>
  <c r="G23" i="47"/>
  <c r="C23" i="47"/>
  <c r="K22" i="47"/>
  <c r="J22" i="47"/>
  <c r="G22" i="47"/>
  <c r="C22" i="47"/>
  <c r="G21" i="47"/>
  <c r="C21" i="47"/>
  <c r="K20" i="47"/>
  <c r="J20" i="47"/>
  <c r="G20" i="47"/>
  <c r="C20" i="47"/>
  <c r="G19" i="47"/>
  <c r="C19" i="47"/>
  <c r="K18" i="47"/>
  <c r="J18" i="47"/>
  <c r="G18" i="47"/>
  <c r="C18" i="47"/>
  <c r="K17" i="47"/>
  <c r="J17" i="47"/>
  <c r="G17" i="47"/>
  <c r="C17" i="47"/>
  <c r="K16" i="47"/>
  <c r="J16" i="47"/>
  <c r="G16" i="47"/>
  <c r="C16" i="47"/>
  <c r="D16" i="47" s="1"/>
  <c r="G15" i="47"/>
  <c r="C15" i="47"/>
  <c r="D20" i="47" s="1"/>
  <c r="K14" i="47"/>
  <c r="J14" i="47"/>
  <c r="G14" i="47"/>
  <c r="C14" i="47"/>
  <c r="K13" i="47"/>
  <c r="J13" i="47"/>
  <c r="G13" i="47"/>
  <c r="C13" i="47"/>
  <c r="G12" i="47"/>
  <c r="C12" i="47"/>
  <c r="K11" i="47"/>
  <c r="J11" i="47"/>
  <c r="G11" i="47"/>
  <c r="C11" i="47"/>
  <c r="K10" i="47"/>
  <c r="J10" i="47"/>
  <c r="G10" i="47"/>
  <c r="C10" i="47"/>
  <c r="K9" i="47"/>
  <c r="J9" i="47"/>
  <c r="G9" i="47"/>
  <c r="C9" i="47"/>
  <c r="G8" i="47"/>
  <c r="C8" i="47"/>
  <c r="K7" i="47"/>
  <c r="J7" i="47"/>
  <c r="G7" i="47"/>
  <c r="C7" i="47"/>
  <c r="D7" i="47" s="1"/>
  <c r="K6" i="47"/>
  <c r="J6" i="47"/>
  <c r="G6" i="47"/>
  <c r="C6" i="47"/>
  <c r="Q302" i="27" l="1"/>
  <c r="R302" i="27"/>
  <c r="Q360" i="27"/>
  <c r="R360" i="27"/>
  <c r="R320" i="27"/>
  <c r="Q320" i="27"/>
  <c r="R301" i="27"/>
  <c r="Q301" i="27"/>
  <c r="Q319" i="27"/>
  <c r="R319" i="27"/>
  <c r="D8" i="47"/>
  <c r="D19" i="47"/>
  <c r="D23" i="47"/>
  <c r="Q39" i="27"/>
  <c r="Q380" i="27"/>
  <c r="Q330" i="27"/>
  <c r="Q66" i="27"/>
  <c r="R363" i="27"/>
  <c r="R304" i="27"/>
  <c r="R362" i="27"/>
  <c r="R267" i="27"/>
  <c r="R255" i="27"/>
  <c r="R56" i="27"/>
  <c r="R364" i="27"/>
  <c r="R121" i="27"/>
  <c r="R236" i="27"/>
  <c r="R245" i="27"/>
  <c r="R240" i="27"/>
  <c r="R235" i="27"/>
  <c r="R356" i="27"/>
  <c r="R369" i="27"/>
  <c r="R332" i="27"/>
  <c r="R133" i="27"/>
  <c r="D13" i="47"/>
  <c r="R17" i="27"/>
  <c r="R378" i="27"/>
  <c r="R346" i="27"/>
  <c r="Q118" i="27"/>
  <c r="Q305" i="27"/>
  <c r="Q361" i="27"/>
  <c r="Q67" i="27"/>
  <c r="Q271" i="27"/>
  <c r="Q256" i="27"/>
  <c r="Q100" i="27"/>
  <c r="Q244" i="27"/>
  <c r="Q371" i="27"/>
  <c r="Q370" i="27"/>
  <c r="Q318" i="27"/>
  <c r="Q62" i="27"/>
  <c r="Q234" i="27"/>
  <c r="Q278" i="27"/>
  <c r="Q368" i="27"/>
  <c r="Q68" i="27"/>
  <c r="Q290" i="27"/>
  <c r="R13" i="27"/>
  <c r="R38" i="27"/>
  <c r="R265" i="27"/>
  <c r="R261" i="27"/>
  <c r="R286" i="27"/>
  <c r="R347" i="27"/>
  <c r="R251" i="27"/>
  <c r="R409" i="27"/>
  <c r="R310" i="27"/>
  <c r="R25" i="27"/>
  <c r="R260" i="27"/>
  <c r="R357" i="27"/>
  <c r="R412" i="27"/>
  <c r="R12" i="27"/>
  <c r="Q257" i="27"/>
  <c r="D9" i="47"/>
  <c r="D10" i="47"/>
  <c r="D11" i="47"/>
  <c r="D12" i="47"/>
  <c r="D17" i="47"/>
  <c r="R40" i="27"/>
  <c r="R132" i="27"/>
  <c r="R86" i="27"/>
  <c r="R289" i="27"/>
  <c r="Q275" i="27"/>
  <c r="Q85" i="27"/>
  <c r="Q268" i="27"/>
  <c r="Q249" i="27"/>
  <c r="Q263" i="27"/>
  <c r="Q259" i="27"/>
  <c r="Q258" i="27"/>
  <c r="Q122" i="27"/>
  <c r="Q250" i="27"/>
  <c r="Q248" i="27"/>
  <c r="Q241" i="27"/>
  <c r="Q237" i="27"/>
  <c r="Q48" i="27"/>
  <c r="Q49" i="27"/>
  <c r="Q349" i="27"/>
  <c r="Q367" i="27"/>
  <c r="R281" i="27"/>
  <c r="Q281" i="27"/>
  <c r="Q246" i="27"/>
  <c r="R246" i="27"/>
  <c r="Q24" i="27"/>
  <c r="R24" i="27"/>
  <c r="Q116" i="27"/>
  <c r="R116" i="27"/>
  <c r="Q15" i="27"/>
  <c r="R15" i="27"/>
  <c r="Q287" i="27"/>
  <c r="R287" i="27"/>
  <c r="Q34" i="27"/>
  <c r="R34" i="27"/>
  <c r="Q30" i="27"/>
  <c r="R30" i="27"/>
  <c r="Q350" i="27"/>
  <c r="R350" i="27"/>
  <c r="Q65" i="27"/>
  <c r="R65" i="27"/>
  <c r="Q262" i="27"/>
  <c r="R262" i="27"/>
  <c r="Q232" i="27"/>
  <c r="R232" i="27"/>
  <c r="Q379" i="27"/>
  <c r="R379" i="27"/>
  <c r="Q16" i="27"/>
  <c r="R16" i="27"/>
  <c r="Q247" i="27"/>
  <c r="R247" i="27"/>
  <c r="Q224" i="27"/>
  <c r="R224" i="27"/>
  <c r="Q107" i="27"/>
  <c r="R107" i="27"/>
  <c r="Q391" i="27"/>
  <c r="R391" i="27"/>
  <c r="Q164" i="27"/>
  <c r="R164" i="27"/>
  <c r="Q184" i="27"/>
  <c r="R184" i="27"/>
  <c r="Q54" i="27"/>
  <c r="R54" i="27"/>
  <c r="Q53" i="27"/>
  <c r="R53" i="27"/>
  <c r="Q204" i="27"/>
  <c r="R204" i="27"/>
  <c r="Q199" i="27"/>
  <c r="R199" i="27"/>
  <c r="Q168" i="27"/>
  <c r="R168" i="27"/>
  <c r="Q195" i="27"/>
  <c r="R195" i="27"/>
  <c r="Q190" i="27"/>
  <c r="R190" i="27"/>
  <c r="Q182" i="27"/>
  <c r="R182" i="27"/>
  <c r="Q341" i="27"/>
  <c r="R341" i="27"/>
  <c r="Q20" i="27"/>
  <c r="R20" i="27"/>
  <c r="Q194" i="27"/>
  <c r="R194" i="27"/>
  <c r="Q167" i="27"/>
  <c r="R167" i="27"/>
  <c r="Q10" i="27"/>
  <c r="R10" i="27"/>
  <c r="Q94" i="27"/>
  <c r="R94" i="27"/>
  <c r="Q355" i="27"/>
  <c r="R355" i="27"/>
  <c r="Q125" i="27"/>
  <c r="R125" i="27"/>
  <c r="Q82" i="27"/>
  <c r="R82" i="27"/>
  <c r="Q348" i="27"/>
  <c r="R348" i="27"/>
  <c r="Q73" i="27"/>
  <c r="R73" i="27"/>
  <c r="Q103" i="27"/>
  <c r="R103" i="27"/>
  <c r="Q407" i="27"/>
  <c r="R407" i="27"/>
  <c r="Q339" i="27"/>
  <c r="R339" i="27"/>
  <c r="Q109" i="27"/>
  <c r="R109" i="27"/>
  <c r="Q149" i="27"/>
  <c r="R149" i="27"/>
  <c r="Q22" i="27"/>
  <c r="R22" i="27"/>
  <c r="Q292" i="27"/>
  <c r="R292" i="27"/>
  <c r="Q215" i="27"/>
  <c r="R215" i="27"/>
  <c r="Q70" i="27"/>
  <c r="R70" i="27"/>
  <c r="Q79" i="27"/>
  <c r="R79" i="27"/>
  <c r="Q402" i="27"/>
  <c r="R402" i="27"/>
  <c r="Q145" i="27"/>
  <c r="R145" i="27"/>
  <c r="Q387" i="27"/>
  <c r="R387" i="27"/>
  <c r="Q376" i="27"/>
  <c r="R376" i="27"/>
  <c r="Q188" i="27"/>
  <c r="R188" i="27"/>
  <c r="Q74" i="27"/>
  <c r="R74" i="27"/>
  <c r="Q373" i="27"/>
  <c r="R373" i="27"/>
  <c r="Q315" i="27"/>
  <c r="R315" i="27"/>
  <c r="Q220" i="27"/>
  <c r="R220" i="27"/>
  <c r="Q110" i="27"/>
  <c r="R110" i="27"/>
  <c r="Q97" i="27"/>
  <c r="R97" i="27"/>
  <c r="Q295" i="27"/>
  <c r="R295" i="27"/>
  <c r="Q141" i="27"/>
  <c r="R141" i="27"/>
  <c r="Q104" i="27"/>
  <c r="R104" i="27"/>
  <c r="Q209" i="27"/>
  <c r="R209" i="27"/>
  <c r="Q297" i="27"/>
  <c r="R297" i="27"/>
  <c r="Q340" i="27"/>
  <c r="R340" i="27"/>
  <c r="Q139" i="27"/>
  <c r="R139" i="27"/>
  <c r="Q374" i="27"/>
  <c r="R374" i="27"/>
  <c r="Q58" i="27"/>
  <c r="R58" i="27"/>
  <c r="Q81" i="27"/>
  <c r="R81" i="27"/>
  <c r="Q324" i="27"/>
  <c r="R324" i="27"/>
  <c r="Q63" i="27"/>
  <c r="R63" i="27"/>
  <c r="Q311" i="27"/>
  <c r="R311" i="27"/>
  <c r="Q142" i="27"/>
  <c r="R142" i="27"/>
  <c r="Q394" i="27"/>
  <c r="R394" i="27"/>
  <c r="Q138" i="27"/>
  <c r="R138" i="27"/>
  <c r="Q71" i="27"/>
  <c r="R71" i="27"/>
  <c r="Q40" i="27"/>
  <c r="Q17" i="27"/>
  <c r="Q132" i="27"/>
  <c r="Q378" i="27"/>
  <c r="Q86" i="27"/>
  <c r="Q346" i="27"/>
  <c r="Q289" i="27"/>
  <c r="Q363" i="27"/>
  <c r="Q13" i="27"/>
  <c r="Q304" i="27"/>
  <c r="Q362" i="27"/>
  <c r="Q267" i="27"/>
  <c r="Q38" i="27"/>
  <c r="Q255" i="27"/>
  <c r="Q265" i="27"/>
  <c r="Q56" i="27"/>
  <c r="Q261" i="27"/>
  <c r="Q364" i="27"/>
  <c r="Q286" i="27"/>
  <c r="Q347" i="27"/>
  <c r="Q121" i="27"/>
  <c r="Q251" i="27"/>
  <c r="Q236" i="27"/>
  <c r="Q409" i="27"/>
  <c r="Q245" i="27"/>
  <c r="Q310" i="27"/>
  <c r="Q240" i="27"/>
  <c r="Q25" i="27"/>
  <c r="Q235" i="27"/>
  <c r="Q260" i="27"/>
  <c r="Q356" i="27"/>
  <c r="Q357" i="27"/>
  <c r="Q369" i="27"/>
  <c r="Q412" i="27"/>
  <c r="Q332" i="27"/>
  <c r="Q12" i="27"/>
  <c r="Q133" i="27"/>
  <c r="Q252" i="27"/>
  <c r="R252" i="27"/>
  <c r="Q300" i="27"/>
  <c r="R300" i="27"/>
  <c r="Q126" i="27"/>
  <c r="R126" i="27"/>
  <c r="Q230" i="27"/>
  <c r="R230" i="27"/>
  <c r="Q227" i="27"/>
  <c r="R227" i="27"/>
  <c r="Q243" i="27"/>
  <c r="R243" i="27"/>
  <c r="Q228" i="27"/>
  <c r="R228" i="27"/>
  <c r="Q388" i="27"/>
  <c r="R388" i="27"/>
  <c r="Q397" i="27"/>
  <c r="R397" i="27"/>
  <c r="Q322" i="27"/>
  <c r="R322" i="27"/>
  <c r="Q335" i="27"/>
  <c r="R335" i="27"/>
  <c r="Q28" i="27"/>
  <c r="R28" i="27"/>
  <c r="Q264" i="27"/>
  <c r="R264" i="27"/>
  <c r="Q64" i="27"/>
  <c r="R64" i="27"/>
  <c r="Q314" i="27"/>
  <c r="R314" i="27"/>
  <c r="Q55" i="27"/>
  <c r="R55" i="27"/>
  <c r="Q414" i="27"/>
  <c r="R414" i="27"/>
  <c r="Q221" i="27"/>
  <c r="R221" i="27"/>
  <c r="Q216" i="27"/>
  <c r="R216" i="27"/>
  <c r="Q210" i="27"/>
  <c r="R210" i="27"/>
  <c r="Q201" i="27"/>
  <c r="R201" i="27"/>
  <c r="Q197" i="27"/>
  <c r="R197" i="27"/>
  <c r="Q200" i="27"/>
  <c r="R200" i="27"/>
  <c r="Q193" i="27"/>
  <c r="R193" i="27"/>
  <c r="Q189" i="27"/>
  <c r="R189" i="27"/>
  <c r="Q21" i="27"/>
  <c r="R21" i="27"/>
  <c r="Q177" i="27"/>
  <c r="R177" i="27"/>
  <c r="Q405" i="27"/>
  <c r="R405" i="27"/>
  <c r="Q171" i="27"/>
  <c r="R171" i="27"/>
  <c r="Q166" i="27"/>
  <c r="R166" i="27"/>
  <c r="Q124" i="27"/>
  <c r="R124" i="27"/>
  <c r="Q78" i="27"/>
  <c r="R78" i="27"/>
  <c r="Q123" i="27"/>
  <c r="R123" i="27"/>
  <c r="Q202" i="27"/>
  <c r="R202" i="27"/>
  <c r="Q161" i="27"/>
  <c r="R161" i="27"/>
  <c r="Q41" i="27"/>
  <c r="R41" i="27"/>
  <c r="Q155" i="27"/>
  <c r="R155" i="27"/>
  <c r="Q88" i="27"/>
  <c r="R88" i="27"/>
  <c r="Q99" i="27"/>
  <c r="R99" i="27"/>
  <c r="Q72" i="27"/>
  <c r="R72" i="27"/>
  <c r="Q270" i="27"/>
  <c r="R270" i="27"/>
  <c r="Q50" i="27"/>
  <c r="R50" i="27"/>
  <c r="Q150" i="27"/>
  <c r="R150" i="27"/>
  <c r="Q23" i="27"/>
  <c r="R23" i="27"/>
  <c r="Q282" i="27"/>
  <c r="R282" i="27"/>
  <c r="Q396" i="27"/>
  <c r="R396" i="27"/>
  <c r="Q136" i="27"/>
  <c r="R136" i="27"/>
  <c r="Q4" i="27"/>
  <c r="R4" i="27"/>
  <c r="Q69" i="27"/>
  <c r="R69" i="27"/>
  <c r="Q389" i="27"/>
  <c r="R389" i="27"/>
  <c r="Q344" i="27"/>
  <c r="R344" i="27"/>
  <c r="Q342" i="27"/>
  <c r="R342" i="27"/>
  <c r="Q87" i="27"/>
  <c r="R87" i="27"/>
  <c r="Q276" i="27"/>
  <c r="R276" i="27"/>
  <c r="Q294" i="27"/>
  <c r="R294" i="27"/>
  <c r="Q102" i="27"/>
  <c r="R102" i="27"/>
  <c r="Q381" i="27"/>
  <c r="R381" i="27"/>
  <c r="Q308" i="27"/>
  <c r="R308" i="27"/>
  <c r="Q9" i="27"/>
  <c r="R9" i="27"/>
  <c r="Q46" i="27"/>
  <c r="R46" i="27"/>
  <c r="Q106" i="27"/>
  <c r="R106" i="27"/>
  <c r="Q222" i="27"/>
  <c r="R222" i="27"/>
  <c r="Q333" i="27"/>
  <c r="R333" i="27"/>
  <c r="Q382" i="27"/>
  <c r="R382" i="27"/>
  <c r="Q159" i="27"/>
  <c r="R159" i="27"/>
  <c r="Q59" i="27"/>
  <c r="R59" i="27"/>
  <c r="Q111" i="27"/>
  <c r="R111" i="27"/>
  <c r="Q6" i="27"/>
  <c r="R6" i="27"/>
  <c r="Q115" i="27"/>
  <c r="R115" i="27"/>
  <c r="Q44" i="27"/>
  <c r="R44" i="27"/>
  <c r="Q354" i="27"/>
  <c r="R354" i="27"/>
  <c r="Q213" i="27"/>
  <c r="R213" i="27"/>
  <c r="Q108" i="27"/>
  <c r="R108" i="27"/>
  <c r="Q316" i="27"/>
  <c r="R316" i="27"/>
  <c r="Q393" i="27"/>
  <c r="R393" i="27"/>
  <c r="Q8" i="27"/>
  <c r="R8" i="27"/>
  <c r="Q43" i="27"/>
  <c r="R43" i="27"/>
  <c r="R39" i="27"/>
  <c r="R368" i="27"/>
  <c r="R380" i="27"/>
  <c r="R68" i="27"/>
  <c r="R330" i="27"/>
  <c r="R290" i="27"/>
  <c r="R66" i="27"/>
  <c r="R118" i="27"/>
  <c r="R275" i="27"/>
  <c r="R85" i="27"/>
  <c r="R268" i="27"/>
  <c r="R305" i="27"/>
  <c r="R249" i="27"/>
  <c r="R361" i="27"/>
  <c r="R263" i="27"/>
  <c r="R67" i="27"/>
  <c r="R259" i="27"/>
  <c r="R271" i="27"/>
  <c r="R258" i="27"/>
  <c r="R122" i="27"/>
  <c r="R256" i="27"/>
  <c r="R250" i="27"/>
  <c r="R100" i="27"/>
  <c r="R248" i="27"/>
  <c r="R244" i="27"/>
  <c r="R241" i="27"/>
  <c r="R371" i="27"/>
  <c r="R237" i="27"/>
  <c r="R370" i="27"/>
  <c r="R48" i="27"/>
  <c r="R318" i="27"/>
  <c r="R49" i="27"/>
  <c r="R62" i="27"/>
  <c r="R349" i="27"/>
  <c r="R234" i="27"/>
  <c r="R367" i="27"/>
  <c r="R278" i="27"/>
  <c r="Q269" i="27"/>
  <c r="R269" i="27"/>
  <c r="Q331" i="27"/>
  <c r="R331" i="27"/>
  <c r="Q117" i="27"/>
  <c r="R117" i="27"/>
  <c r="Q291" i="27"/>
  <c r="R291" i="27"/>
  <c r="Q225" i="27"/>
  <c r="R225" i="27"/>
  <c r="Q33" i="27"/>
  <c r="R33" i="27"/>
  <c r="Q223" i="27"/>
  <c r="R223" i="27"/>
  <c r="Q312" i="27"/>
  <c r="R312" i="27"/>
  <c r="Q226" i="27"/>
  <c r="R226" i="27"/>
  <c r="Q274" i="27"/>
  <c r="R274" i="27"/>
  <c r="Q101" i="27"/>
  <c r="R101" i="27"/>
  <c r="Q242" i="27"/>
  <c r="R242" i="27"/>
  <c r="Q233" i="27"/>
  <c r="R233" i="27"/>
  <c r="Q239" i="27"/>
  <c r="R239" i="27"/>
  <c r="Q323" i="27"/>
  <c r="R323" i="27"/>
  <c r="Q404" i="27"/>
  <c r="R404" i="27"/>
  <c r="Q35" i="27"/>
  <c r="R35" i="27"/>
  <c r="Q338" i="27"/>
  <c r="R338" i="27"/>
  <c r="Q219" i="27"/>
  <c r="R219" i="27"/>
  <c r="Q214" i="27"/>
  <c r="R214" i="27"/>
  <c r="Q207" i="27"/>
  <c r="R207" i="27"/>
  <c r="Q280" i="27"/>
  <c r="R280" i="27"/>
  <c r="Q57" i="27"/>
  <c r="R57" i="27"/>
  <c r="Q303" i="27"/>
  <c r="R303" i="27"/>
  <c r="Q192" i="27"/>
  <c r="R192" i="27"/>
  <c r="Q186" i="27"/>
  <c r="R186" i="27"/>
  <c r="Q181" i="27"/>
  <c r="R181" i="27"/>
  <c r="Q175" i="27"/>
  <c r="R175" i="27"/>
  <c r="Q172" i="27"/>
  <c r="R172" i="27"/>
  <c r="Q91" i="27"/>
  <c r="R91" i="27"/>
  <c r="Q163" i="27"/>
  <c r="R163" i="27"/>
  <c r="Q334" i="27"/>
  <c r="R334" i="27"/>
  <c r="Q77" i="27"/>
  <c r="R77" i="27"/>
  <c r="Q298" i="27"/>
  <c r="R298" i="27"/>
  <c r="Q162" i="27"/>
  <c r="R162" i="27"/>
  <c r="Q130" i="27"/>
  <c r="R130" i="27"/>
  <c r="Q158" i="27"/>
  <c r="R158" i="27"/>
  <c r="Q385" i="27"/>
  <c r="R385" i="27"/>
  <c r="Q14" i="27"/>
  <c r="R14" i="27"/>
  <c r="Q191" i="27"/>
  <c r="R191" i="27"/>
  <c r="Q27" i="27"/>
  <c r="R27" i="27"/>
  <c r="Q93" i="27"/>
  <c r="R93" i="27"/>
  <c r="Q75" i="27"/>
  <c r="R75" i="27"/>
  <c r="Q372" i="27"/>
  <c r="R372" i="27"/>
  <c r="Q306" i="27"/>
  <c r="R306" i="27"/>
  <c r="Q283" i="27"/>
  <c r="R283" i="27"/>
  <c r="Q296" i="27"/>
  <c r="R296" i="27"/>
  <c r="Q29" i="27"/>
  <c r="R29" i="27"/>
  <c r="Q180" i="27"/>
  <c r="R180" i="27"/>
  <c r="Q157" i="27"/>
  <c r="R157" i="27"/>
  <c r="Q325" i="27"/>
  <c r="R325" i="27"/>
  <c r="Q206" i="27"/>
  <c r="R206" i="27"/>
  <c r="Q170" i="27"/>
  <c r="R170" i="27"/>
  <c r="Q277" i="27"/>
  <c r="R277" i="27"/>
  <c r="Q146" i="27"/>
  <c r="R146" i="27"/>
  <c r="Q337" i="27"/>
  <c r="R337" i="27"/>
  <c r="Q386" i="27"/>
  <c r="R386" i="27"/>
  <c r="Q187" i="27"/>
  <c r="R187" i="27"/>
  <c r="Q143" i="27"/>
  <c r="R143" i="27"/>
  <c r="Q309" i="27"/>
  <c r="R309" i="27"/>
  <c r="Q384" i="27"/>
  <c r="R384" i="27"/>
  <c r="Q351" i="27"/>
  <c r="R351" i="27"/>
  <c r="Q321" i="27"/>
  <c r="R321" i="27"/>
  <c r="Q398" i="27"/>
  <c r="R398" i="27"/>
  <c r="Q31" i="27"/>
  <c r="R31" i="27"/>
  <c r="Q383" i="27"/>
  <c r="R383" i="27"/>
  <c r="Q411" i="27"/>
  <c r="R411" i="27"/>
  <c r="Q279" i="27"/>
  <c r="R279" i="27"/>
  <c r="Q7" i="27"/>
  <c r="R7" i="27"/>
  <c r="Q11" i="27"/>
  <c r="R11" i="27"/>
  <c r="Q352" i="27"/>
  <c r="R352" i="27"/>
  <c r="Q395" i="27"/>
  <c r="R395" i="27"/>
  <c r="Q178" i="27"/>
  <c r="R178" i="27"/>
  <c r="Q114" i="27"/>
  <c r="R114" i="27"/>
  <c r="Q61" i="27"/>
  <c r="R61" i="27"/>
  <c r="Q60" i="27"/>
  <c r="R60" i="27"/>
  <c r="Q353" i="27"/>
  <c r="R353" i="27"/>
  <c r="Q343" i="27"/>
  <c r="R343" i="27"/>
  <c r="Q313" i="27"/>
  <c r="R313" i="27"/>
  <c r="Q238" i="27"/>
  <c r="R238" i="27"/>
  <c r="Q366" i="27"/>
  <c r="R366" i="27"/>
  <c r="Q299" i="27"/>
  <c r="R299" i="27"/>
  <c r="Q288" i="27"/>
  <c r="R288" i="27"/>
  <c r="Q266" i="27"/>
  <c r="R266" i="27"/>
  <c r="Q365" i="27"/>
  <c r="R365" i="27"/>
  <c r="Q328" i="27"/>
  <c r="R328" i="27"/>
  <c r="Q92" i="27"/>
  <c r="R92" i="27"/>
  <c r="Q401" i="27"/>
  <c r="R401" i="27"/>
  <c r="Q229" i="27"/>
  <c r="R229" i="27"/>
  <c r="Q317" i="27"/>
  <c r="R317" i="27"/>
  <c r="Q327" i="27"/>
  <c r="R327" i="27"/>
  <c r="Q410" i="27"/>
  <c r="R410" i="27"/>
  <c r="Q273" i="27"/>
  <c r="R273" i="27"/>
  <c r="Q392" i="27"/>
  <c r="R392" i="27"/>
  <c r="R231" i="27"/>
  <c r="Q231" i="27"/>
  <c r="Q375" i="27"/>
  <c r="R375" i="27"/>
  <c r="Q119" i="27"/>
  <c r="R119" i="27"/>
  <c r="Q284" i="27"/>
  <c r="R284" i="27"/>
  <c r="Q217" i="27"/>
  <c r="R217" i="27"/>
  <c r="Q205" i="27"/>
  <c r="R205" i="27"/>
  <c r="Q98" i="27"/>
  <c r="R98" i="27"/>
  <c r="Q358" i="27"/>
  <c r="R358" i="27"/>
  <c r="Q329" i="27"/>
  <c r="R329" i="27"/>
  <c r="Q52" i="27"/>
  <c r="R52" i="27"/>
  <c r="Q179" i="27"/>
  <c r="R179" i="27"/>
  <c r="Q174" i="27"/>
  <c r="R174" i="27"/>
  <c r="Q203" i="27"/>
  <c r="R203" i="27"/>
  <c r="Q169" i="27"/>
  <c r="R169" i="27"/>
  <c r="Q293" i="27"/>
  <c r="R293" i="27"/>
  <c r="Q45" i="27"/>
  <c r="R45" i="27"/>
  <c r="Q47" i="27"/>
  <c r="R47" i="27"/>
  <c r="Q131" i="27"/>
  <c r="R131" i="27"/>
  <c r="Q218" i="27"/>
  <c r="R218" i="27"/>
  <c r="Q137" i="27"/>
  <c r="R137" i="27"/>
  <c r="Q156" i="27"/>
  <c r="R156" i="27"/>
  <c r="Q18" i="27"/>
  <c r="R18" i="27"/>
  <c r="Q390" i="27"/>
  <c r="R390" i="27"/>
  <c r="Q153" i="27"/>
  <c r="R153" i="27"/>
  <c r="Q120" i="27"/>
  <c r="R120" i="27"/>
  <c r="Q151" i="27"/>
  <c r="R151" i="27"/>
  <c r="Q76" i="27"/>
  <c r="R76" i="27"/>
  <c r="Q42" i="27"/>
  <c r="R42" i="27"/>
  <c r="Q147" i="27"/>
  <c r="R147" i="27"/>
  <c r="Q26" i="27"/>
  <c r="R26" i="27"/>
  <c r="Q403" i="27"/>
  <c r="R403" i="27"/>
  <c r="Q80" i="27"/>
  <c r="R80" i="27"/>
  <c r="Q173" i="27"/>
  <c r="R173" i="27"/>
  <c r="Q336" i="27"/>
  <c r="R336" i="27"/>
  <c r="Q19" i="27"/>
  <c r="R19" i="27"/>
  <c r="Q208" i="27"/>
  <c r="R208" i="27"/>
  <c r="Q198" i="27"/>
  <c r="R198" i="27"/>
  <c r="Q140" i="27"/>
  <c r="R140" i="27"/>
  <c r="Q144" i="27"/>
  <c r="R144" i="27"/>
  <c r="Q196" i="27"/>
  <c r="R196" i="27"/>
  <c r="Q129" i="27"/>
  <c r="R129" i="27"/>
  <c r="Q148" i="27"/>
  <c r="R148" i="27"/>
  <c r="Q112" i="27"/>
  <c r="R112" i="27"/>
  <c r="Q413" i="27"/>
  <c r="R413" i="27"/>
  <c r="Q176" i="27"/>
  <c r="R176" i="27"/>
  <c r="Q154" i="27"/>
  <c r="R154" i="27"/>
  <c r="Q165" i="27"/>
  <c r="R165" i="27"/>
  <c r="Q152" i="27"/>
  <c r="R152" i="27"/>
  <c r="Q406" i="27"/>
  <c r="R406" i="27"/>
  <c r="Q211" i="27"/>
  <c r="R211" i="27"/>
  <c r="Q285" i="27"/>
  <c r="R285" i="27"/>
  <c r="Q183" i="27"/>
  <c r="R183" i="27"/>
  <c r="Q326" i="27"/>
  <c r="R326" i="27"/>
  <c r="Q96" i="27"/>
  <c r="R96" i="27"/>
  <c r="Q377" i="27"/>
  <c r="R377" i="27"/>
  <c r="Q105" i="27"/>
  <c r="R105" i="27"/>
  <c r="Q51" i="27"/>
  <c r="R51" i="27"/>
  <c r="Q113" i="27"/>
  <c r="R113" i="27"/>
  <c r="Q359" i="27"/>
  <c r="R359" i="27"/>
  <c r="Q160" i="27"/>
  <c r="R160" i="27"/>
  <c r="R257" i="27"/>
  <c r="D18" i="47"/>
  <c r="H7" i="26" l="1"/>
  <c r="H4" i="26"/>
  <c r="H6" i="26"/>
  <c r="H5" i="26"/>
  <c r="E7" i="26"/>
  <c r="F7" i="26" s="1"/>
  <c r="E6" i="26"/>
  <c r="F6" i="26" s="1"/>
  <c r="E5" i="26"/>
  <c r="F5" i="26" s="1"/>
  <c r="E4" i="26"/>
  <c r="F4" i="26" s="1"/>
  <c r="S20" i="44"/>
  <c r="U37" i="44" l="1"/>
  <c r="V37" i="44" s="1"/>
  <c r="U45" i="44"/>
  <c r="U44" i="44"/>
  <c r="U43" i="44"/>
  <c r="U8" i="44"/>
  <c r="V8" i="44" s="1"/>
  <c r="S49" i="44"/>
  <c r="T49" i="44" s="1"/>
  <c r="S47" i="44"/>
  <c r="T47" i="44" s="1"/>
  <c r="S46" i="44"/>
  <c r="T46" i="44" s="1"/>
  <c r="S48" i="44"/>
  <c r="T48" i="44" s="1"/>
  <c r="S45" i="44"/>
  <c r="T45" i="44" s="1"/>
  <c r="S44" i="44"/>
  <c r="T44" i="44" s="1"/>
  <c r="S43" i="44"/>
  <c r="S39" i="44"/>
  <c r="T39" i="44" s="1"/>
  <c r="S38" i="44"/>
  <c r="T38" i="44" s="1"/>
  <c r="S37" i="44"/>
  <c r="T37" i="44" s="1"/>
  <c r="T43" i="44"/>
  <c r="S6" i="44"/>
  <c r="T6" i="44" s="1"/>
  <c r="S7" i="44"/>
  <c r="T7" i="44" s="1"/>
  <c r="S5" i="44"/>
  <c r="T5" i="44" s="1"/>
  <c r="S4" i="44"/>
  <c r="T4" i="44" s="1"/>
  <c r="V34" i="44"/>
  <c r="V32" i="44"/>
  <c r="V31" i="44"/>
  <c r="V30" i="44"/>
  <c r="V29" i="44"/>
  <c r="V28" i="44"/>
  <c r="V27" i="44"/>
  <c r="V26" i="44"/>
  <c r="V25" i="44"/>
  <c r="V24" i="44"/>
  <c r="V23" i="44"/>
  <c r="V22" i="44"/>
  <c r="V21" i="44"/>
  <c r="V20" i="44"/>
  <c r="V19" i="44"/>
  <c r="V18" i="44"/>
  <c r="V17" i="44"/>
  <c r="V16" i="44"/>
  <c r="V15" i="44"/>
  <c r="U9" i="44"/>
  <c r="V9" i="44" s="1"/>
  <c r="U10" i="44"/>
  <c r="V10" i="44" s="1"/>
  <c r="U11" i="44"/>
  <c r="V11" i="44" s="1"/>
  <c r="U12" i="44"/>
  <c r="V12" i="44" s="1"/>
  <c r="U13" i="44"/>
  <c r="V13" i="44" s="1"/>
  <c r="U14" i="44"/>
  <c r="V14" i="44" s="1"/>
  <c r="U38" i="44"/>
  <c r="V38" i="44" s="1"/>
  <c r="U39" i="44"/>
  <c r="V39" i="44" s="1"/>
  <c r="U40" i="44"/>
  <c r="V40" i="44" s="1"/>
  <c r="U6" i="44"/>
  <c r="V6" i="44" s="1"/>
  <c r="U7" i="44"/>
  <c r="V7" i="44" s="1"/>
  <c r="U5" i="44"/>
  <c r="V5" i="44" s="1"/>
  <c r="U4" i="44"/>
  <c r="V4" i="44" s="1"/>
  <c r="S41" i="44"/>
  <c r="T41" i="44" s="1"/>
  <c r="S42" i="44"/>
  <c r="T42" i="44" s="1"/>
  <c r="U42" i="44"/>
  <c r="V42" i="44" s="1"/>
  <c r="U41" i="44"/>
  <c r="V41" i="44" s="1"/>
  <c r="S40" i="44"/>
  <c r="T40" i="44" s="1"/>
  <c r="S8" i="44"/>
  <c r="T8" i="44" s="1"/>
  <c r="S14" i="44"/>
  <c r="T14" i="44" s="1"/>
  <c r="S13" i="44"/>
  <c r="T13" i="44" s="1"/>
  <c r="S12" i="44"/>
  <c r="T12" i="44" s="1"/>
  <c r="S11" i="44"/>
  <c r="T11" i="44" s="1"/>
  <c r="S10" i="44"/>
  <c r="T10" i="44" s="1"/>
  <c r="S9" i="44"/>
  <c r="T9" i="44" s="1"/>
  <c r="U49" i="44"/>
  <c r="V49" i="44" s="1"/>
  <c r="U47" i="44"/>
  <c r="V47" i="44" s="1"/>
  <c r="U46" i="44"/>
  <c r="V46" i="44" s="1"/>
  <c r="U48" i="44"/>
  <c r="V48" i="44" s="1"/>
  <c r="S35" i="44" l="1"/>
  <c r="T35" i="44" s="1"/>
  <c r="S34" i="44"/>
  <c r="T34" i="44" s="1"/>
  <c r="S32" i="44"/>
  <c r="T32" i="44" s="1"/>
  <c r="S31" i="44"/>
  <c r="T31" i="44" s="1"/>
  <c r="S33" i="44"/>
  <c r="T33" i="44" s="1"/>
  <c r="S30" i="44"/>
  <c r="T30" i="44" s="1"/>
  <c r="S36" i="44"/>
  <c r="T36" i="44" s="1"/>
  <c r="S29" i="44"/>
  <c r="T29" i="44" s="1"/>
  <c r="S28" i="44"/>
  <c r="T28" i="44" s="1"/>
  <c r="S27" i="44"/>
  <c r="T27" i="44" s="1"/>
  <c r="S26" i="44"/>
  <c r="T26" i="44" s="1"/>
  <c r="S25" i="44"/>
  <c r="T25" i="44" s="1"/>
  <c r="S24" i="44"/>
  <c r="T24" i="44" s="1"/>
  <c r="S23" i="44"/>
  <c r="T23" i="44" s="1"/>
  <c r="S22" i="44"/>
  <c r="T22" i="44" s="1"/>
  <c r="S21" i="44"/>
  <c r="T21" i="44" s="1"/>
  <c r="T20" i="44"/>
  <c r="S19" i="44"/>
  <c r="T19" i="44" s="1"/>
  <c r="S18" i="44"/>
  <c r="T18" i="44" s="1"/>
  <c r="S17" i="44"/>
  <c r="T17" i="44" s="1"/>
  <c r="S16" i="44"/>
  <c r="T16" i="44" s="1"/>
  <c r="S15" i="44"/>
  <c r="T15" i="44" s="1"/>
  <c r="U35" i="44"/>
  <c r="V35" i="44" s="1"/>
  <c r="U33" i="44"/>
  <c r="V33" i="44" s="1"/>
  <c r="U36" i="44"/>
  <c r="V36" i="44" s="1"/>
  <c r="AD4" i="35" l="1"/>
  <c r="AM4" i="34"/>
  <c r="AL4" i="34"/>
  <c r="AN4" i="34" l="1"/>
  <c r="AE4" i="35"/>
  <c r="AO4" i="34"/>
  <c r="N3" i="43" l="1"/>
  <c r="N4" i="43" s="1"/>
  <c r="M3" i="43"/>
  <c r="M4" i="43" s="1"/>
  <c r="L3" i="43"/>
  <c r="L4" i="43" s="1"/>
  <c r="K3" i="43"/>
  <c r="K4" i="43" s="1"/>
  <c r="J3" i="43"/>
  <c r="J4" i="43" s="1"/>
  <c r="I3" i="43"/>
  <c r="I4" i="43" s="1"/>
  <c r="H3" i="43"/>
  <c r="H4" i="43" s="1"/>
  <c r="G3" i="43"/>
  <c r="G4" i="43" s="1"/>
  <c r="F3" i="43"/>
  <c r="F4" i="43" s="1"/>
  <c r="E3" i="43"/>
  <c r="N3" i="42"/>
  <c r="N4" i="42" s="1"/>
  <c r="M3" i="42"/>
  <c r="M4" i="42" s="1"/>
  <c r="L3" i="42"/>
  <c r="L4" i="42" s="1"/>
  <c r="K3" i="42"/>
  <c r="K4" i="42" s="1"/>
  <c r="J3" i="42"/>
  <c r="J4" i="42" s="1"/>
  <c r="I3" i="42"/>
  <c r="I4" i="42" s="1"/>
  <c r="H3" i="42"/>
  <c r="H4" i="42" s="1"/>
  <c r="G3" i="42"/>
  <c r="G4" i="42" s="1"/>
  <c r="F3" i="42"/>
  <c r="F4" i="42" s="1"/>
  <c r="E3" i="42"/>
  <c r="E4" i="42" s="1"/>
  <c r="E4" i="43" l="1"/>
  <c r="AG4" i="35" l="1"/>
  <c r="Y4" i="35"/>
  <c r="AG4" i="34"/>
  <c r="AH4" i="34" s="1"/>
  <c r="Z4" i="35" l="1"/>
  <c r="AA4" i="35" s="1"/>
  <c r="AB4" i="35" s="1"/>
  <c r="AC4" i="35" s="1"/>
  <c r="AQ4" i="34"/>
  <c r="AI4" i="34" l="1"/>
  <c r="AJ4" i="34" s="1"/>
  <c r="AK4" i="34" s="1"/>
  <c r="M14" i="29" l="1"/>
  <c r="N15" i="29" s="1"/>
  <c r="O15" i="29" s="1"/>
  <c r="L14" i="29"/>
  <c r="K14" i="29"/>
  <c r="J14" i="29"/>
  <c r="I14" i="29"/>
  <c r="H14" i="29"/>
  <c r="G14" i="29"/>
  <c r="F14" i="29"/>
  <c r="E14" i="29"/>
  <c r="M14" i="28"/>
  <c r="L14" i="28"/>
  <c r="K14" i="28"/>
  <c r="J14" i="28"/>
  <c r="I14" i="28"/>
  <c r="H14" i="28"/>
  <c r="G14" i="28"/>
  <c r="F14" i="28"/>
  <c r="E14" i="28"/>
  <c r="N15" i="28" l="1"/>
  <c r="J15" i="29"/>
  <c r="G15" i="29"/>
  <c r="K15" i="29"/>
  <c r="F15" i="29"/>
  <c r="H15" i="29"/>
  <c r="L15" i="29"/>
  <c r="E15" i="29"/>
  <c r="I15" i="29"/>
  <c r="M15" i="29"/>
  <c r="E15" i="28"/>
  <c r="M15" i="28"/>
  <c r="G15" i="28"/>
  <c r="K15" i="28"/>
  <c r="H15" i="28"/>
  <c r="L15" i="28"/>
  <c r="I15" i="28"/>
  <c r="F15" i="28"/>
  <c r="J15" i="28"/>
  <c r="O15" i="28"/>
  <c r="E1" i="29" l="1"/>
  <c r="F1" i="29" s="1"/>
  <c r="G1" i="29" s="1"/>
  <c r="H1" i="29" s="1"/>
  <c r="I1" i="29" s="1"/>
  <c r="J1" i="29" s="1"/>
  <c r="K1" i="29" s="1"/>
  <c r="L1" i="29" s="1"/>
  <c r="M1" i="29" s="1"/>
  <c r="E1" i="28"/>
  <c r="F1" i="28" s="1"/>
  <c r="G1" i="28" s="1"/>
  <c r="H1" i="28" s="1"/>
  <c r="I1" i="28" s="1"/>
  <c r="J1" i="28" s="1"/>
  <c r="K1" i="28" s="1"/>
  <c r="L1" i="28" s="1"/>
  <c r="M1" i="28" s="1"/>
  <c r="V45" i="44" l="1"/>
  <c r="V43" i="44"/>
  <c r="V44" i="4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<sst xmlns="http://schemas.openxmlformats.org/spreadsheetml/2006/main" count="7461" uniqueCount="1572">
  <si>
    <t>Initial Level</t>
  </si>
  <si>
    <t>M10</t>
  </si>
  <si>
    <t>M11</t>
  </si>
  <si>
    <t>M12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</si>
  <si>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</si>
  <si>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</si>
  <si>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</si>
  <si>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</si>
  <si>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</si>
  <si>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</si>
  <si>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</si>
  <si>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</si>
  <si>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</si>
  <si>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Owner</t>
  </si>
  <si>
    <t>Latitude</t>
  </si>
  <si>
    <t>Longitude</t>
  </si>
  <si>
    <t>Installed Capacity</t>
  </si>
  <si>
    <t>Start Year</t>
  </si>
  <si>
    <t>Project Name</t>
  </si>
  <si>
    <t>(MW)</t>
  </si>
  <si>
    <t>(GWh/year)</t>
  </si>
  <si>
    <t>Location</t>
  </si>
  <si>
    <t>Transmission</t>
  </si>
  <si>
    <t>($/MWh)</t>
  </si>
  <si>
    <t>Fixed O&amp;M Cost</t>
  </si>
  <si>
    <t>Variable O&amp;M Cost</t>
  </si>
  <si>
    <t>Minimum Up Time</t>
  </si>
  <si>
    <t>Minimum Down Time</t>
  </si>
  <si>
    <t>Shut Down Costs</t>
  </si>
  <si>
    <t>Shut Down Ramp Limit</t>
  </si>
  <si>
    <t>(%/min)</t>
  </si>
  <si>
    <t>(hours)</t>
  </si>
  <si>
    <t>(%)</t>
  </si>
  <si>
    <t>Operating Reserve Fraction</t>
  </si>
  <si>
    <t>Characteristics of existing system transmission</t>
  </si>
  <si>
    <t>LEGEND</t>
  </si>
  <si>
    <t>Start Up Ramp Limit</t>
  </si>
  <si>
    <t>Start Up Costs</t>
  </si>
  <si>
    <t>[MW/hr p MWcap]</t>
  </si>
  <si>
    <t>(S/MWcap)</t>
  </si>
  <si>
    <t>DESIGN</t>
  </si>
  <si>
    <t>OPERATIONS</t>
  </si>
  <si>
    <t>Voltage</t>
  </si>
  <si>
    <t># of units</t>
  </si>
  <si>
    <t>Must Run</t>
  </si>
  <si>
    <t>(T/F)</t>
  </si>
  <si>
    <t>Notes</t>
  </si>
  <si>
    <t>Low Volume</t>
  </si>
  <si>
    <t>High Volume</t>
  </si>
  <si>
    <t>(m)</t>
  </si>
  <si>
    <t>OPERATING COSTS</t>
  </si>
  <si>
    <t xml:space="preserve">Inc Heat Rate @ Max </t>
  </si>
  <si>
    <t>(MMBtu/MWh)</t>
  </si>
  <si>
    <t>Forced Outage Rate</t>
  </si>
  <si>
    <t>Live Storage</t>
  </si>
  <si>
    <t>Notes:</t>
  </si>
  <si>
    <t>Dependable Capacity</t>
  </si>
  <si>
    <t>Station Flow</t>
  </si>
  <si>
    <t>(WSC#)</t>
  </si>
  <si>
    <t>System</t>
  </si>
  <si>
    <t>Miscellaneous provincial system characteristics</t>
  </si>
  <si>
    <t>GWh/year</t>
  </si>
  <si>
    <t>Mid-load (after DSM)</t>
  </si>
  <si>
    <t>%</t>
  </si>
  <si>
    <t>MW</t>
  </si>
  <si>
    <t>System Characteristics</t>
  </si>
  <si>
    <t>Reserve Requirements</t>
  </si>
  <si>
    <t>(% installed MW)</t>
  </si>
  <si>
    <t>Number of Circuits</t>
  </si>
  <si>
    <t>Circuit ID</t>
  </si>
  <si>
    <t>(ad/dc)</t>
  </si>
  <si>
    <t>(kV)</t>
  </si>
  <si>
    <t>(A)</t>
  </si>
  <si>
    <t>(km)</t>
  </si>
  <si>
    <t>Spin Up Ramp Rate</t>
  </si>
  <si>
    <t>Spin Down Ramp Rate</t>
  </si>
  <si>
    <t>Calculated values (may be overlain by reference shading)</t>
  </si>
  <si>
    <t>(% across system)</t>
  </si>
  <si>
    <t>Line Losses</t>
  </si>
  <si>
    <t>NB</t>
  </si>
  <si>
    <t>Nuclear</t>
  </si>
  <si>
    <t>Point Lepreau</t>
  </si>
  <si>
    <t>Belledune</t>
  </si>
  <si>
    <t>Mactaquac</t>
  </si>
  <si>
    <t>Beechwood</t>
  </si>
  <si>
    <t>Grand Falls</t>
  </si>
  <si>
    <t>Tobique</t>
  </si>
  <si>
    <t>Millbank</t>
  </si>
  <si>
    <t>Ste. Rose</t>
  </si>
  <si>
    <t>Grand Manan</t>
  </si>
  <si>
    <t>Kent Hills</t>
  </si>
  <si>
    <t>Caribou Mountain</t>
  </si>
  <si>
    <t>Lamèque</t>
  </si>
  <si>
    <t>NB Power</t>
  </si>
  <si>
    <t>Transalta</t>
  </si>
  <si>
    <t>GDF Suez</t>
  </si>
  <si>
    <t>Acciona</t>
  </si>
  <si>
    <t>TransCanada Energy</t>
  </si>
  <si>
    <t>St. George Power</t>
  </si>
  <si>
    <t xml:space="preserve">Saint John </t>
  </si>
  <si>
    <t>Saint John River</t>
  </si>
  <si>
    <t>Tobique River</t>
  </si>
  <si>
    <t>Nepisiguit River</t>
  </si>
  <si>
    <t>St. Croix River</t>
  </si>
  <si>
    <t>Riverside-Albert</t>
  </si>
  <si>
    <t>Lamèque Island</t>
  </si>
  <si>
    <t>Magaguadavic River</t>
  </si>
  <si>
    <t>Madawaska River</t>
  </si>
  <si>
    <t>Green River</t>
  </si>
  <si>
    <t>Central NB</t>
  </si>
  <si>
    <t>Upper Storage Level</t>
  </si>
  <si>
    <t>Lower Storage Level</t>
  </si>
  <si>
    <t>01AF002</t>
  </si>
  <si>
    <t>01AD004</t>
  </si>
  <si>
    <t>01AH004</t>
  </si>
  <si>
    <t>01AJ012</t>
  </si>
  <si>
    <t>01AK004/01AK010</t>
  </si>
  <si>
    <t>January</t>
  </si>
  <si>
    <t>GWh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</si>
  <si>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</si>
  <si>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</si>
  <si>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</si>
  <si>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</si>
  <si>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</si>
  <si>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</si>
  <si>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</si>
  <si>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</si>
  <si>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</si>
  <si>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</si>
  <si>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</si>
  <si>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The above load forecast includes demand met by the Large Industrial Renewable Energy Purchase Program (LIREPP)</t>
  </si>
  <si>
    <t>UNIT</t>
  </si>
  <si>
    <t>The above is coincident peak demand</t>
  </si>
  <si>
    <t>End Year</t>
  </si>
  <si>
    <t>NB Power has a regulatory target of 40% in-province electricity demand from renewable sources by 2020.</t>
  </si>
  <si>
    <t>The above load forecast includes demand met by the Large Industrial Renewable Energy Purchase Program (LIREPP).</t>
  </si>
  <si>
    <t>Line losses determined as ratio of (transmission losses + distribution losses)/(gross generation and purchases) for the last 5 years</t>
  </si>
  <si>
    <t>Transmission losses determined to be 3.2% and distribution losses 1.8%</t>
  </si>
  <si>
    <t>Maximum Level</t>
  </si>
  <si>
    <t>Minimum Level</t>
  </si>
  <si>
    <t>(m3)</t>
  </si>
  <si>
    <t>(m3/s)</t>
  </si>
  <si>
    <t>Minimum Capacity</t>
  </si>
  <si>
    <t>Maximum Capacity</t>
  </si>
  <si>
    <t>Maintenance Days</t>
  </si>
  <si>
    <t>RH Additions, Comments and TODOs</t>
  </si>
  <si>
    <t>Remote projects are not included in this list.</t>
  </si>
  <si>
    <t>See calculations sheets for sources of values.</t>
  </si>
  <si>
    <t>Sources</t>
  </si>
  <si>
    <t>EXISTING GENERATION</t>
  </si>
  <si>
    <t>Summer Capacity = 90 MW</t>
  </si>
  <si>
    <t>n/a</t>
  </si>
  <si>
    <t>ac</t>
  </si>
  <si>
    <t>L3114</t>
  </si>
  <si>
    <t>L3113</t>
  </si>
  <si>
    <t>L3012</t>
  </si>
  <si>
    <t>dc</t>
  </si>
  <si>
    <t>NB Power / HQT</t>
  </si>
  <si>
    <t>L2101</t>
  </si>
  <si>
    <t>L2102</t>
  </si>
  <si>
    <t>L3006</t>
  </si>
  <si>
    <t>L1160</t>
  </si>
  <si>
    <t>L1142</t>
  </si>
  <si>
    <t>L0088</t>
  </si>
  <si>
    <t>L0089</t>
  </si>
  <si>
    <t>L1144</t>
  </si>
  <si>
    <t>Aroostook River</t>
  </si>
  <si>
    <t>L1176</t>
  </si>
  <si>
    <t>NB Power / NSPI</t>
  </si>
  <si>
    <t>NB Power / MPS</t>
  </si>
  <si>
    <t>NB Power / Emera Maine</t>
  </si>
  <si>
    <t>L3001</t>
  </si>
  <si>
    <t>NB-EMEC</t>
  </si>
  <si>
    <t>L0077</t>
  </si>
  <si>
    <t>L1184</t>
  </si>
  <si>
    <t>L1183</t>
  </si>
  <si>
    <t>L0070</t>
  </si>
  <si>
    <t>L1140</t>
  </si>
  <si>
    <t>Grand Falls GS</t>
  </si>
  <si>
    <t>L1175</t>
  </si>
  <si>
    <t>L0022</t>
  </si>
  <si>
    <t>Tobique GS</t>
  </si>
  <si>
    <t>L0073</t>
  </si>
  <si>
    <t>L1111</t>
  </si>
  <si>
    <t>L0027</t>
  </si>
  <si>
    <t>L3011</t>
  </si>
  <si>
    <t>L3010</t>
  </si>
  <si>
    <t>L1110</t>
  </si>
  <si>
    <t>L0028</t>
  </si>
  <si>
    <t>L0065</t>
  </si>
  <si>
    <t>Sisson GS</t>
  </si>
  <si>
    <t>L1136</t>
  </si>
  <si>
    <t>L0091</t>
  </si>
  <si>
    <t>L0114</t>
  </si>
  <si>
    <t>L0125</t>
  </si>
  <si>
    <t>L0092</t>
  </si>
  <si>
    <t>L0060</t>
  </si>
  <si>
    <t>L0071</t>
  </si>
  <si>
    <t>L0025</t>
  </si>
  <si>
    <t>L0137</t>
  </si>
  <si>
    <t>L0107</t>
  </si>
  <si>
    <t>L0097</t>
  </si>
  <si>
    <t>L0090</t>
  </si>
  <si>
    <t>L0129</t>
  </si>
  <si>
    <t>L0109</t>
  </si>
  <si>
    <t>L0095</t>
  </si>
  <si>
    <t>L1115</t>
  </si>
  <si>
    <t>L2103</t>
  </si>
  <si>
    <t>L3008</t>
  </si>
  <si>
    <t>L3018</t>
  </si>
  <si>
    <t>L3022</t>
  </si>
  <si>
    <t>Belledune GS</t>
  </si>
  <si>
    <t>L1128</t>
  </si>
  <si>
    <t>L1201</t>
  </si>
  <si>
    <t>L1213</t>
  </si>
  <si>
    <t>L1137</t>
  </si>
  <si>
    <t>L1195</t>
  </si>
  <si>
    <t>L0126</t>
  </si>
  <si>
    <t>L0062</t>
  </si>
  <si>
    <t>L0112</t>
  </si>
  <si>
    <t>L0063</t>
  </si>
  <si>
    <t>L1152</t>
  </si>
  <si>
    <t>L0136</t>
  </si>
  <si>
    <t>L1158</t>
  </si>
  <si>
    <t>Ste Rose GS</t>
  </si>
  <si>
    <t>L0013</t>
  </si>
  <si>
    <t>L0012</t>
  </si>
  <si>
    <t>L0104</t>
  </si>
  <si>
    <t>L1106</t>
  </si>
  <si>
    <t>Millbank GS</t>
  </si>
  <si>
    <t>L1203</t>
  </si>
  <si>
    <t>L2111</t>
  </si>
  <si>
    <t>L2131</t>
  </si>
  <si>
    <t>L0010</t>
  </si>
  <si>
    <t>L0014</t>
  </si>
  <si>
    <t>L1118</t>
  </si>
  <si>
    <t>L1156</t>
  </si>
  <si>
    <t>L1166</t>
  </si>
  <si>
    <t>L0105</t>
  </si>
  <si>
    <t>L0009</t>
  </si>
  <si>
    <t>L0007</t>
  </si>
  <si>
    <t>L0076</t>
  </si>
  <si>
    <t>L1143</t>
  </si>
  <si>
    <t>L0024</t>
  </si>
  <si>
    <t>L0044</t>
  </si>
  <si>
    <t>L0121</t>
  </si>
  <si>
    <t>L0118</t>
  </si>
  <si>
    <t>L0085</t>
  </si>
  <si>
    <t>L1108</t>
  </si>
  <si>
    <t>L1190</t>
  </si>
  <si>
    <t>L1171</t>
  </si>
  <si>
    <t>L1124</t>
  </si>
  <si>
    <t>L1151</t>
  </si>
  <si>
    <t>L1148</t>
  </si>
  <si>
    <t>L1157</t>
  </si>
  <si>
    <t>L1191</t>
  </si>
  <si>
    <t>L0019</t>
  </si>
  <si>
    <t>L0029</t>
  </si>
  <si>
    <t>L0103</t>
  </si>
  <si>
    <t>L1101</t>
  </si>
  <si>
    <t>L0006</t>
  </si>
  <si>
    <t>L0003</t>
  </si>
  <si>
    <t>L0015</t>
  </si>
  <si>
    <t>L0094</t>
  </si>
  <si>
    <t>L0067</t>
  </si>
  <si>
    <t>L3013</t>
  </si>
  <si>
    <t>L1199</t>
  </si>
  <si>
    <t>L1181</t>
  </si>
  <si>
    <t>L1177</t>
  </si>
  <si>
    <t>L2145</t>
  </si>
  <si>
    <t>L0021</t>
  </si>
  <si>
    <t>L1149</t>
  </si>
  <si>
    <t>L1173</t>
  </si>
  <si>
    <t>L1163</t>
  </si>
  <si>
    <t>L1208</t>
  </si>
  <si>
    <t>L1187</t>
  </si>
  <si>
    <t>L0008</t>
  </si>
  <si>
    <t>L0134</t>
  </si>
  <si>
    <t>L3004</t>
  </si>
  <si>
    <t>Coleson Cove GS</t>
  </si>
  <si>
    <t>L0034</t>
  </si>
  <si>
    <t>L0035</t>
  </si>
  <si>
    <t>L0036</t>
  </si>
  <si>
    <t>L0041</t>
  </si>
  <si>
    <t>L0002</t>
  </si>
  <si>
    <t>L0042</t>
  </si>
  <si>
    <t>L1122</t>
  </si>
  <si>
    <t>L1109</t>
  </si>
  <si>
    <t>L1165</t>
  </si>
  <si>
    <t>L1147</t>
  </si>
  <si>
    <t>L1116</t>
  </si>
  <si>
    <t>L0052</t>
  </si>
  <si>
    <t>L0068</t>
  </si>
  <si>
    <t>L1104</t>
  </si>
  <si>
    <t>L1121</t>
  </si>
  <si>
    <t>L1129</t>
  </si>
  <si>
    <t>L3002</t>
  </si>
  <si>
    <t>Mactaquac GS</t>
  </si>
  <si>
    <t>L3003</t>
  </si>
  <si>
    <t>L3009</t>
  </si>
  <si>
    <t>Point Lepreau GS</t>
  </si>
  <si>
    <t>L0040</t>
  </si>
  <si>
    <t>L0001</t>
  </si>
  <si>
    <t>L1193</t>
  </si>
  <si>
    <t>L0140</t>
  </si>
  <si>
    <t>L0049</t>
  </si>
  <si>
    <t>L0100</t>
  </si>
  <si>
    <t>L0016</t>
  </si>
  <si>
    <t>L0045</t>
  </si>
  <si>
    <t>Grand Manan GS</t>
  </si>
  <si>
    <t>L0082</t>
  </si>
  <si>
    <t>L0059</t>
  </si>
  <si>
    <t>L0110</t>
  </si>
  <si>
    <t>L1155</t>
  </si>
  <si>
    <t>L0017</t>
  </si>
  <si>
    <t>L0050</t>
  </si>
  <si>
    <t>L0130</t>
  </si>
  <si>
    <t>L0098</t>
  </si>
  <si>
    <t>L0020</t>
  </si>
  <si>
    <t>L0038</t>
  </si>
  <si>
    <t>L0141</t>
  </si>
  <si>
    <t>L0081</t>
  </si>
  <si>
    <t>L0048</t>
  </si>
  <si>
    <t>L1126</t>
  </si>
  <si>
    <t>L1205</t>
  </si>
  <si>
    <t>L1125</t>
  </si>
  <si>
    <t>L1172</t>
  </si>
  <si>
    <t>L1134</t>
  </si>
  <si>
    <t>L1133</t>
  </si>
  <si>
    <t>L1189</t>
  </si>
  <si>
    <t>L1135</t>
  </si>
  <si>
    <t>L0039</t>
  </si>
  <si>
    <t>L0135</t>
  </si>
  <si>
    <t>L2130</t>
  </si>
  <si>
    <t>L0116</t>
  </si>
  <si>
    <t>L1105</t>
  </si>
  <si>
    <t>L1153</t>
  </si>
  <si>
    <t>L0018</t>
  </si>
  <si>
    <t>L1102</t>
  </si>
  <si>
    <t>L0023</t>
  </si>
  <si>
    <t>L0079</t>
  </si>
  <si>
    <t>L0075</t>
  </si>
  <si>
    <t>L0074</t>
  </si>
  <si>
    <t>L1174</t>
  </si>
  <si>
    <t>L0033</t>
  </si>
  <si>
    <t>L1185</t>
  </si>
  <si>
    <t>L1197</t>
  </si>
  <si>
    <t>L1168</t>
  </si>
  <si>
    <t>L1103</t>
  </si>
  <si>
    <t>L1112</t>
  </si>
  <si>
    <t>L0078</t>
  </si>
  <si>
    <t>L0072</t>
  </si>
  <si>
    <t>L0115</t>
  </si>
  <si>
    <t>L1162</t>
  </si>
  <si>
    <t>L0111</t>
  </si>
  <si>
    <t>L0133</t>
  </si>
  <si>
    <t>L0099</t>
  </si>
  <si>
    <t>Miramichi P&amp;P - South Nelson 5419</t>
  </si>
  <si>
    <t>L1161</t>
  </si>
  <si>
    <t>L1159</t>
  </si>
  <si>
    <t>L0122</t>
  </si>
  <si>
    <t>L0123</t>
  </si>
  <si>
    <t>L0139</t>
  </si>
  <si>
    <t>L1192</t>
  </si>
  <si>
    <t>L3016</t>
  </si>
  <si>
    <t>Howard Substation presumed to be 6441</t>
  </si>
  <si>
    <t>St. Louis Substation presumed to be 6532.</t>
  </si>
  <si>
    <t>Substation Voltage</t>
  </si>
  <si>
    <t>Milltown GS</t>
  </si>
  <si>
    <t>Summer Capacity = 43 MW; presumed connected at Irving Refinery 138 Terminal</t>
  </si>
  <si>
    <t>Kent Hills Wind GS</t>
  </si>
  <si>
    <t>Lameque GS</t>
  </si>
  <si>
    <t>Caribou GS</t>
  </si>
  <si>
    <t>Grandview GS</t>
  </si>
  <si>
    <t>St. George GS</t>
  </si>
  <si>
    <t>St. George GS presumed connected at St. George Substation 6145</t>
  </si>
  <si>
    <t>Presumed connected to St. George Substation 6145</t>
  </si>
  <si>
    <t xml:space="preserve">Grand Lake GS decommissioned </t>
  </si>
  <si>
    <t>Algonquin Power</t>
  </si>
  <si>
    <t>Power is sold to town of Andover-Perth until 2031</t>
  </si>
  <si>
    <t>Atholville</t>
  </si>
  <si>
    <t>Saint John</t>
  </si>
  <si>
    <t>AV Group NB</t>
  </si>
  <si>
    <t>Bayside</t>
  </si>
  <si>
    <t>Beechwood_01</t>
  </si>
  <si>
    <t>Beechwood_02</t>
  </si>
  <si>
    <t>Beechwood_03</t>
  </si>
  <si>
    <t>Coleson Cove_03</t>
  </si>
  <si>
    <t>Coleson Cove_01</t>
  </si>
  <si>
    <t>Coleson Cove_02</t>
  </si>
  <si>
    <t>Grand Falls_01</t>
  </si>
  <si>
    <t>Grand Falls_02</t>
  </si>
  <si>
    <t>Grand Falls_03</t>
  </si>
  <si>
    <t>Grand Falls_04</t>
  </si>
  <si>
    <t>Grandview_01</t>
  </si>
  <si>
    <t>Grandview_02</t>
  </si>
  <si>
    <t>Mactaquac_01</t>
  </si>
  <si>
    <t>Mactaquac_02</t>
  </si>
  <si>
    <t>Mactaquac_03</t>
  </si>
  <si>
    <t>Mactaquac_04</t>
  </si>
  <si>
    <t>Mactaquac_05</t>
  </si>
  <si>
    <t>Mactaquac_06</t>
  </si>
  <si>
    <t>Madawaska</t>
  </si>
  <si>
    <t>Irving Pulp &amp; Paper Ltd</t>
  </si>
  <si>
    <t>Generator Type</t>
  </si>
  <si>
    <t>Millbank_01</t>
  </si>
  <si>
    <t>Millbank_02</t>
  </si>
  <si>
    <t>Millbank_03</t>
  </si>
  <si>
    <t>Millbank_04</t>
  </si>
  <si>
    <t>Milltown</t>
  </si>
  <si>
    <t>Nepisiguit Falls</t>
  </si>
  <si>
    <t>Point Lepreau Diesel</t>
  </si>
  <si>
    <t>Point Lepreau Nuclear</t>
  </si>
  <si>
    <t>Sisson</t>
  </si>
  <si>
    <t>St. George</t>
  </si>
  <si>
    <t>Tobique_01</t>
  </si>
  <si>
    <t>Tobique_02</t>
  </si>
  <si>
    <t>Twin Rivers</t>
  </si>
  <si>
    <t>Nepisiguit Falls Substation 6404</t>
  </si>
  <si>
    <t>NG_CC</t>
  </si>
  <si>
    <t>Hydro_daily</t>
  </si>
  <si>
    <t>Oil_ST</t>
  </si>
  <si>
    <t>NG_CG</t>
  </si>
  <si>
    <t>Hydro_run</t>
  </si>
  <si>
    <t>NG_CT</t>
  </si>
  <si>
    <t>Wind_Onshore</t>
  </si>
  <si>
    <t>Dam Type</t>
  </si>
  <si>
    <t>Penstock</t>
  </si>
  <si>
    <t>Rated Head</t>
  </si>
  <si>
    <t>Maximum Head</t>
  </si>
  <si>
    <t>Minimum Head</t>
  </si>
  <si>
    <t>Operating Flow (Facility)</t>
  </si>
  <si>
    <t>Rated Discharge (Unit)</t>
  </si>
  <si>
    <t>Rated Discharge (Facility)</t>
  </si>
  <si>
    <t>Upstream Reservoir Area</t>
  </si>
  <si>
    <t>Upstream Reservoir Storage</t>
  </si>
  <si>
    <t>Turbine Type</t>
  </si>
  <si>
    <t>Upper Storage Name</t>
  </si>
  <si>
    <t>Lower Storage Name</t>
  </si>
  <si>
    <t>Low Reference Level</t>
  </si>
  <si>
    <t>High Reference Level</t>
  </si>
  <si>
    <t>(km2)</t>
  </si>
  <si>
    <t>EXISTING STORAGE HYDROELECTRIC</t>
  </si>
  <si>
    <t>HYDROELECTRIC RENEWAL</t>
  </si>
  <si>
    <t>COSTS</t>
  </si>
  <si>
    <t>Existing Project Name</t>
  </si>
  <si>
    <t>Existing #units</t>
  </si>
  <si>
    <t>Renewal Project Name</t>
  </si>
  <si>
    <t>Distance to Market Grid</t>
  </si>
  <si>
    <t>Additional Installed Capacity</t>
  </si>
  <si>
    <t>Additional Dependable Capacity</t>
  </si>
  <si>
    <t>Additional Annual Energy</t>
  </si>
  <si>
    <t>Total Capital Cost</t>
  </si>
  <si>
    <t>Capital Overhead</t>
  </si>
  <si>
    <t>Interest During Construction</t>
  </si>
  <si>
    <t>Implementation Costs</t>
  </si>
  <si>
    <t>Project Definition Costs</t>
  </si>
  <si>
    <t>Annualized Project Cost</t>
  </si>
  <si>
    <t>Fixed O&amp;M</t>
  </si>
  <si>
    <t>Variable Costs</t>
  </si>
  <si>
    <t>Water Rentals</t>
  </si>
  <si>
    <t>Variable O&amp;M</t>
  </si>
  <si>
    <t>Construction Time</t>
  </si>
  <si>
    <t>Development Time</t>
  </si>
  <si>
    <t>($2018M)</t>
  </si>
  <si>
    <t>($M)</t>
  </si>
  <si>
    <t>($M/year)</t>
  </si>
  <si>
    <t>(years)</t>
  </si>
  <si>
    <t>Hydroelectric generation type has been estimated based on available information concerning operations, reservoir size and operations, facility location and design flows.</t>
  </si>
  <si>
    <t>Total Capital Costs include contingency and project management costs, but exclude IDC, corporate overhead, future inflation and transmission costs</t>
  </si>
  <si>
    <t>Assume a Capital Overhead rate of 1.77% of total capital costs (inclusive of contingencies, as they are above) based on BC Hydro rate</t>
  </si>
  <si>
    <t>Assume IDC rate of 5% each year</t>
  </si>
  <si>
    <t>HYDROELECTRIC GREENFIELD</t>
  </si>
  <si>
    <t>Project Short Name</t>
  </si>
  <si>
    <t>Generation Type</t>
  </si>
  <si>
    <t>Average Annual Energy</t>
  </si>
  <si>
    <t>Annualized Project Cost per KW</t>
  </si>
  <si>
    <t>($M/MW-year)</t>
  </si>
  <si>
    <t>See the related Gitlab issue for a summary of inventory status</t>
  </si>
  <si>
    <t>HydroExisting</t>
  </si>
  <si>
    <t>Characteristics specific to existing interconnected hydroelectric generators with hourly or monthly storage</t>
  </si>
  <si>
    <t>HydroRenewals</t>
  </si>
  <si>
    <t>Characteristics specific to potential future capacity upgrades and pumped storage additions at existing facilities</t>
  </si>
  <si>
    <t>HydroGreenfield</t>
  </si>
  <si>
    <t>Characteristics specific to potential future greenfield hydroelectric projects</t>
  </si>
  <si>
    <t>HydroPS</t>
  </si>
  <si>
    <t>Characteristics specific to potential future pumped storage hydroelectric projects</t>
  </si>
  <si>
    <t>HGWh</t>
  </si>
  <si>
    <t>Provincial historical energy demand, after DSM</t>
  </si>
  <si>
    <t>HMW</t>
  </si>
  <si>
    <t>Provincial historical capacity demand, after DSM</t>
  </si>
  <si>
    <t>FGWh</t>
  </si>
  <si>
    <t>Provincial mid-load energy forecast, before and after DSM</t>
  </si>
  <si>
    <t>FMW</t>
  </si>
  <si>
    <t>Provincial mid-load capacity forecast, before and after DSM</t>
  </si>
  <si>
    <t>Hourly</t>
  </si>
  <si>
    <t>Provincial hourly generation data</t>
  </si>
  <si>
    <t>Data not yet obtained</t>
  </si>
  <si>
    <t>Data obtained and calculated</t>
  </si>
  <si>
    <t>See the accompanying calculations file and raw data files for additional supporting information</t>
  </si>
  <si>
    <t>See Hourly2018 file in the Hourly-2018 folder</t>
  </si>
  <si>
    <t>(days/y)</t>
  </si>
  <si>
    <t>($/year)</t>
  </si>
  <si>
    <t>Grand Falls_05</t>
  </si>
  <si>
    <t>Fixed O&amp;M and variable costs estimated using regression curves found in the CA-Inventory dataset</t>
  </si>
  <si>
    <t>High Narrows</t>
  </si>
  <si>
    <t>Bathurst</t>
  </si>
  <si>
    <t>($2013M)</t>
  </si>
  <si>
    <t>HYDROELECTRIC PUMPED STORAGE</t>
  </si>
  <si>
    <t>Storage Requirement</t>
  </si>
  <si>
    <t>Gross Head</t>
  </si>
  <si>
    <t>H/L Ratio</t>
  </si>
  <si>
    <t>Design Flow (Generation)</t>
  </si>
  <si>
    <t>Total Footprint</t>
  </si>
  <si>
    <t>dd.dddd</t>
  </si>
  <si>
    <t>(MWh)</t>
  </si>
  <si>
    <t>(h)</t>
  </si>
  <si>
    <t>(ha)</t>
  </si>
  <si>
    <t>Grand Falls Pumped Storage</t>
  </si>
  <si>
    <t>Fresh</t>
  </si>
  <si>
    <t>Assume Project Definition costs using regression curve found in the CA-Inventory dataset</t>
  </si>
  <si>
    <t>Total Project Cost</t>
  </si>
  <si>
    <t>HISTORICAL ANNUAL ENERGY DEMAND</t>
  </si>
  <si>
    <t>Annual Energy Demand (after DSM)</t>
  </si>
  <si>
    <t>Annual Change in Energy Demand</t>
  </si>
  <si>
    <t>Percentage Change in Energy Demand</t>
  </si>
  <si>
    <t>HISTORICAL PEAK CAPACITY</t>
  </si>
  <si>
    <t>Annual Capacity Demand (after DSM)</t>
  </si>
  <si>
    <t>Annual Change in Capacity Demand</t>
  </si>
  <si>
    <t>Percentage Change in Capacity Demand</t>
  </si>
  <si>
    <t>FORECASTED ANNUAL ENERGY DEMAND</t>
  </si>
  <si>
    <t>FORECASTED PEAK CAPACITY</t>
  </si>
  <si>
    <t>2019 - 2030</t>
  </si>
  <si>
    <t>2019-2050</t>
  </si>
  <si>
    <t>Incremental annual load growth After DSM</t>
  </si>
  <si>
    <t>2019-2027 Rate</t>
  </si>
  <si>
    <t>Capacity Factor</t>
  </si>
  <si>
    <t>coal</t>
  </si>
  <si>
    <t>diesel</t>
  </si>
  <si>
    <t>hydro_daily</t>
  </si>
  <si>
    <t>hydro_run</t>
  </si>
  <si>
    <t>nuclear</t>
  </si>
  <si>
    <t>wind</t>
  </si>
  <si>
    <t>hydro_pump</t>
  </si>
  <si>
    <t>($/kW-year)</t>
  </si>
  <si>
    <t>General Notes:</t>
  </si>
  <si>
    <t>See calculations sheets for sources of values</t>
  </si>
  <si>
    <t>Start year indicates the year at which the facilitated was commissioned or refurbished to its current type</t>
  </si>
  <si>
    <t>Unless noted otherwise, the wind generating stations are presumed to be connected to the nearest 69 kV substation</t>
  </si>
  <si>
    <t>Multi-unit Hydro_run facilities treated as single-unit facilities</t>
  </si>
  <si>
    <t>Specific Notes:</t>
  </si>
  <si>
    <t>Biomass</t>
  </si>
  <si>
    <t>Coal</t>
  </si>
  <si>
    <t>The WSC# refers to the Water Survey of Canada Hydrometric station</t>
  </si>
  <si>
    <t>Assume installed capacity of hydroelectric renewals is all dependable capacity, though this should be verified with new studies.</t>
  </si>
  <si>
    <t>Assume Hydro_daily and Hydro_monthly generation has dependable capacity equal to installed capacity</t>
  </si>
  <si>
    <t>Assume hydroelectric, greenfield and pumped storage facilities have an economic life of 70 years</t>
  </si>
  <si>
    <t>Assume a discount rate of 7% each year</t>
  </si>
  <si>
    <t>Balancing Area</t>
  </si>
  <si>
    <t>Generation Type - CREST EMI</t>
  </si>
  <si>
    <t>New Brunswick.a</t>
  </si>
  <si>
    <t>Fixed Cost Existing Project</t>
  </si>
  <si>
    <t>Fixed Cost Renewed Project</t>
  </si>
  <si>
    <t>($/MW-year)</t>
  </si>
  <si>
    <t>Unit Capacity Cost</t>
  </si>
  <si>
    <t>Unit Energy Cost</t>
  </si>
  <si>
    <t>RN_GFL</t>
  </si>
  <si>
    <t>GF_HGN</t>
  </si>
  <si>
    <t>Other References</t>
  </si>
  <si>
    <t>2013-2018</t>
  </si>
  <si>
    <t>Reservoir Storage</t>
  </si>
  <si>
    <t>Pump Type</t>
  </si>
  <si>
    <t>Starting Node Name</t>
  </si>
  <si>
    <t>Starting Node Code</t>
  </si>
  <si>
    <t>Current</t>
  </si>
  <si>
    <t>PP_NSNB1_IPT</t>
  </si>
  <si>
    <t>PP_NSNB3_IPT</t>
  </si>
  <si>
    <t>PP_NSNB2_IPT</t>
  </si>
  <si>
    <t>SOURCES</t>
  </si>
  <si>
    <t>Source</t>
  </si>
  <si>
    <t>Year</t>
  </si>
  <si>
    <t>Name</t>
  </si>
  <si>
    <t>Link</t>
  </si>
  <si>
    <t>Publication</t>
  </si>
  <si>
    <t>Region</t>
  </si>
  <si>
    <t>Nova Scotia Power Inc.</t>
  </si>
  <si>
    <t>Environment Canada</t>
  </si>
  <si>
    <t>Historical Hydrometric Data Search</t>
  </si>
  <si>
    <t>https://wateroffice.ec.gc.ca/search/historical_e.html</t>
  </si>
  <si>
    <t>National</t>
  </si>
  <si>
    <t>10-Year System Outlook 2018 Report Revised</t>
  </si>
  <si>
    <t>http://oasis.nspower.ca/en/home/oasis/forecasts-and-assessments.aspx</t>
  </si>
  <si>
    <t>World Resources Institute</t>
  </si>
  <si>
    <t>Global Power Plant Database</t>
  </si>
  <si>
    <t>http://datasets.wri.org/dataset/globalpowerplantdatabase</t>
  </si>
  <si>
    <t>Google Maps / Google Earth</t>
  </si>
  <si>
    <t>See "Other References" column of the relevant tab</t>
  </si>
  <si>
    <t>https://www.nbpower.com/en/about-us/accountability-reports/annual-and-quarterly-reports/</t>
  </si>
  <si>
    <t>New Brunswick</t>
  </si>
  <si>
    <t>TransCanada Energy. (2019). Grandview Cogeneration Plant.</t>
  </si>
  <si>
    <t>2018-2027 Load Forecast Update</t>
  </si>
  <si>
    <t>https://filemaker.nbeub.ca/fmi/webd/NBEUB%20ToolKit13</t>
  </si>
  <si>
    <t>NB Power 2017 Integrated Resource Plan Part A</t>
  </si>
  <si>
    <t>https://www.nbpower.com/en/about-us/our-energy/integrated-resource-plan</t>
  </si>
  <si>
    <t>NPCC</t>
  </si>
  <si>
    <t>2016 Maritimes Area Comprehensive Review of Resource Adequacy</t>
  </si>
  <si>
    <t>https://www.npcc.org/Library/Resource%20Adequacy/2016%20Maritimes%20Area%20CRRA%20for%20RCCpaf.pdf</t>
  </si>
  <si>
    <t>Wind Energy</t>
  </si>
  <si>
    <t>https://www.nbpower.com/en/about-us/our-energy/wind-energy</t>
  </si>
  <si>
    <t>Dunsky Energy Consulting</t>
  </si>
  <si>
    <t>City of Summerside Capacity Resource Plan</t>
  </si>
  <si>
    <t>https://summerside.ca/residents/electricity/energy_capacity_resource_planning</t>
  </si>
  <si>
    <t>Connecting Node Name</t>
  </si>
  <si>
    <t>Connecting Node Code</t>
  </si>
  <si>
    <t>Length</t>
  </si>
  <si>
    <t>Count</t>
  </si>
  <si>
    <t>Junction 0105</t>
  </si>
  <si>
    <t>Junction 0068</t>
  </si>
  <si>
    <t>Junction 0015</t>
  </si>
  <si>
    <t>Junction 0021</t>
  </si>
  <si>
    <t>Junction 0134</t>
  </si>
  <si>
    <t>Junction 0099</t>
  </si>
  <si>
    <t>Junction 0104</t>
  </si>
  <si>
    <t>Junction 0067</t>
  </si>
  <si>
    <t>Junction 0045</t>
  </si>
  <si>
    <t>Junction 0082</t>
  </si>
  <si>
    <t>Junction 0050</t>
  </si>
  <si>
    <t>Junction 0139</t>
  </si>
  <si>
    <t>Junction 0130</t>
  </si>
  <si>
    <t>Junction 0098</t>
  </si>
  <si>
    <t>Junction 0019</t>
  </si>
  <si>
    <t>Junction 0038</t>
  </si>
  <si>
    <t>Junction 0107</t>
  </si>
  <si>
    <t>Junction 0115</t>
  </si>
  <si>
    <t>L0058</t>
  </si>
  <si>
    <t>Junction 0022</t>
  </si>
  <si>
    <t>Junction 0138</t>
  </si>
  <si>
    <t>L0138</t>
  </si>
  <si>
    <t>Junction 0029</t>
  </si>
  <si>
    <t>Junction 0121</t>
  </si>
  <si>
    <t>Junction 0129</t>
  </si>
  <si>
    <t>Junction 0090</t>
  </si>
  <si>
    <t>Junction 0109</t>
  </si>
  <si>
    <t>Junction 0126</t>
  </si>
  <si>
    <t>Junction 0097</t>
  </si>
  <si>
    <t>Junction 0065</t>
  </si>
  <si>
    <t>Junction 0106</t>
  </si>
  <si>
    <t>L0013E</t>
  </si>
  <si>
    <t>Junction 0103</t>
  </si>
  <si>
    <t>Beechwood GS</t>
  </si>
  <si>
    <t>Junction 0081</t>
  </si>
  <si>
    <t>Junction 0135</t>
  </si>
  <si>
    <t>Junction 0044E</t>
  </si>
  <si>
    <t>L0044E</t>
  </si>
  <si>
    <t>L0045E</t>
  </si>
  <si>
    <t>Junction 0110</t>
  </si>
  <si>
    <t>Junction 0071</t>
  </si>
  <si>
    <t>Junction 0062</t>
  </si>
  <si>
    <t>Junction 0112</t>
  </si>
  <si>
    <t>L0124</t>
  </si>
  <si>
    <t>Junction 0124</t>
  </si>
  <si>
    <t>Second Falls</t>
  </si>
  <si>
    <t>Junction 0085</t>
  </si>
  <si>
    <t>Junction 0092</t>
  </si>
  <si>
    <t>Junction 0114</t>
  </si>
  <si>
    <t>Junction 0125</t>
  </si>
  <si>
    <t>Junction 0122</t>
  </si>
  <si>
    <t>Junction 0137</t>
  </si>
  <si>
    <t>Junction 1121</t>
  </si>
  <si>
    <t>Junction 1168</t>
  </si>
  <si>
    <t>Junction 1197</t>
  </si>
  <si>
    <t>Junction 1174</t>
  </si>
  <si>
    <t>Junction 1153</t>
  </si>
  <si>
    <t>Junction 1171</t>
  </si>
  <si>
    <t>Junction 1144</t>
  </si>
  <si>
    <t>Junction 1192</t>
  </si>
  <si>
    <t>Junction 1128</t>
  </si>
  <si>
    <t>Junction 1129</t>
  </si>
  <si>
    <t>Junction 1172</t>
  </si>
  <si>
    <t>Junction 1205</t>
  </si>
  <si>
    <t>Junction 1195</t>
  </si>
  <si>
    <t>Junction 1178</t>
  </si>
  <si>
    <t>L1178</t>
  </si>
  <si>
    <t>Junction 1173</t>
  </si>
  <si>
    <t>Junction 1163</t>
  </si>
  <si>
    <t>Junction 1187</t>
  </si>
  <si>
    <t>Junction 1191</t>
  </si>
  <si>
    <t>Junction 1162</t>
  </si>
  <si>
    <t>Junction 1177</t>
  </si>
  <si>
    <t>Junction 1181</t>
  </si>
  <si>
    <t>Junction 1208</t>
  </si>
  <si>
    <t>L3017</t>
  </si>
  <si>
    <t>Also called L3019</t>
  </si>
  <si>
    <t>Wisokolamson</t>
  </si>
  <si>
    <t>Wisokolamson Energy</t>
  </si>
  <si>
    <t>Nackawic</t>
  </si>
  <si>
    <t>Junction 1136</t>
  </si>
  <si>
    <t>NB_0138_JCT</t>
  </si>
  <si>
    <t>NB_0110_JCT</t>
  </si>
  <si>
    <t>NB_0065_JCT</t>
  </si>
  <si>
    <t>NB_1144_JCT</t>
  </si>
  <si>
    <t>NB_0021_JCT</t>
  </si>
  <si>
    <t>NB_0019_JCT</t>
  </si>
  <si>
    <t>NB_0126_JCT</t>
  </si>
  <si>
    <t>NB_6404_SUB</t>
  </si>
  <si>
    <t>NB_0097_JCT</t>
  </si>
  <si>
    <t>NB_0122_JCT</t>
  </si>
  <si>
    <t>NB_0129_JCT</t>
  </si>
  <si>
    <t>NB_0130_JCT</t>
  </si>
  <si>
    <t>NB_0062_JCT</t>
  </si>
  <si>
    <t>NB_0092_JCT</t>
  </si>
  <si>
    <t>NB_0114_JCT</t>
  </si>
  <si>
    <t>NB_0139_JCT</t>
  </si>
  <si>
    <t>NB_1121_JCT</t>
  </si>
  <si>
    <t>NB_GRFS_GEN</t>
  </si>
  <si>
    <t>NB_1173_JCT</t>
  </si>
  <si>
    <t>NB_1178_JCT</t>
  </si>
  <si>
    <t>NB_1197_JCT</t>
  </si>
  <si>
    <t>NB_1181_JCT</t>
  </si>
  <si>
    <t>NB_1208_JCT</t>
  </si>
  <si>
    <t>NB_1168_JCT</t>
  </si>
  <si>
    <t>NB_1163_JCT</t>
  </si>
  <si>
    <t>NB_0109_JCT</t>
  </si>
  <si>
    <t>NB_0107_JCT</t>
  </si>
  <si>
    <t>NB_0115_JCT</t>
  </si>
  <si>
    <t>NB_1153_JCT</t>
  </si>
  <si>
    <t>NB_0106_JCT</t>
  </si>
  <si>
    <t>NB_1187_JCT</t>
  </si>
  <si>
    <t>NB_0068_JCT</t>
  </si>
  <si>
    <t>NB_1129_JCT</t>
  </si>
  <si>
    <t>NB_0099_JCT</t>
  </si>
  <si>
    <t>NB_0071_JCT</t>
  </si>
  <si>
    <t>NB_1136_JCT</t>
  </si>
  <si>
    <t>NB_0112_JCT</t>
  </si>
  <si>
    <t>NB_1195_JCT</t>
  </si>
  <si>
    <t>NB_0098_JCT</t>
  </si>
  <si>
    <t>NB_0135_JCT</t>
  </si>
  <si>
    <t>NB_1174_JCT</t>
  </si>
  <si>
    <t>NB_0081_JCT</t>
  </si>
  <si>
    <t>NB_0045_JCT</t>
  </si>
  <si>
    <t>NB_0134_JCT</t>
  </si>
  <si>
    <t>NB_1192_JCT</t>
  </si>
  <si>
    <t>NB_0050_JCT</t>
  </si>
  <si>
    <t>NB_0038_JCT</t>
  </si>
  <si>
    <t>NB_0082_JCT</t>
  </si>
  <si>
    <t>NB_0124_JCT</t>
  </si>
  <si>
    <t>NB_1162_JCT</t>
  </si>
  <si>
    <t>NB_0137_JCT</t>
  </si>
  <si>
    <t>NB_0125_JCT</t>
  </si>
  <si>
    <t>NB_0104_JCT</t>
  </si>
  <si>
    <t>NB_0105_JCT</t>
  </si>
  <si>
    <t>NB_0090_JCT</t>
  </si>
  <si>
    <t>NB_1128_JCT</t>
  </si>
  <si>
    <t>NB_0103_JCT</t>
  </si>
  <si>
    <t>NB_0044E_JCT</t>
  </si>
  <si>
    <t>NB_0085_JCT</t>
  </si>
  <si>
    <t>NB_0067_JCT</t>
  </si>
  <si>
    <t>NB_0015_JCT</t>
  </si>
  <si>
    <t>NB_0121_JCT</t>
  </si>
  <si>
    <t>NB_1191_JCT</t>
  </si>
  <si>
    <t>NB_1171_JCT</t>
  </si>
  <si>
    <t>NB_1177_JCT</t>
  </si>
  <si>
    <t>NB_0029_JCT</t>
  </si>
  <si>
    <t>NB_1172_JCT</t>
  </si>
  <si>
    <t>NB_1205_JCT</t>
  </si>
  <si>
    <t>NB_0022_JCT</t>
  </si>
  <si>
    <t>PP_NBPE1_IPT</t>
  </si>
  <si>
    <t>PP_QBNB1_IPT</t>
  </si>
  <si>
    <t>PP_QBNB2_IPT</t>
  </si>
  <si>
    <t>NB_0133_JCT</t>
  </si>
  <si>
    <t>Ending Node Name</t>
  </si>
  <si>
    <t>Ending Node Code</t>
  </si>
  <si>
    <t>SYSTEM CHARACTERISTICS</t>
  </si>
  <si>
    <t>Capacity Adjustment (ELCC)</t>
  </si>
  <si>
    <t>Heavy Fuel Oil</t>
  </si>
  <si>
    <t>Light Fuel Oil CT</t>
  </si>
  <si>
    <t>Natural Gas CC</t>
  </si>
  <si>
    <t>Natural Gas CT</t>
  </si>
  <si>
    <t>Biomass / Biogas</t>
  </si>
  <si>
    <t>Wind</t>
  </si>
  <si>
    <t>Solar</t>
  </si>
  <si>
    <t>NS Power 2020 IRP Modeling Results Release</t>
  </si>
  <si>
    <t>https://irp.nspower.ca/documents/modeling-results/</t>
  </si>
  <si>
    <t>Nova Scotia</t>
  </si>
  <si>
    <t>Energy and Environmental Economics</t>
  </si>
  <si>
    <t>Planning Reserve Margin and Capacity Value Study</t>
  </si>
  <si>
    <t>https://irp.nspower.ca/documents/pre-irp-deliverables/</t>
  </si>
  <si>
    <t>2018/2019 Annual Report [2011 through 2020]</t>
  </si>
  <si>
    <t>Diesel_CT</t>
  </si>
  <si>
    <t>Capacity factor estimated from NB Power Annual Reports</t>
  </si>
  <si>
    <t>https://www.nbpower.com/en/about-us/our-energy</t>
  </si>
  <si>
    <t>Capacity factor based on reported 630 GWh/year from all biomass</t>
  </si>
  <si>
    <t>Capacity factor reflects operation only at peak or for contingencies</t>
  </si>
  <si>
    <t>Hydro - non NB Power</t>
  </si>
  <si>
    <t>Hydro  - NB Power</t>
  </si>
  <si>
    <t>by facility</t>
  </si>
  <si>
    <t>Capacity factor based on reported 160 GWh/year for Grandview</t>
  </si>
  <si>
    <t>Ismail, S.</t>
  </si>
  <si>
    <t>Potential Hydro Energy: Review, Evaluation and Methodology</t>
  </si>
  <si>
    <t>prepared for New Brunswick Power Corporation</t>
  </si>
  <si>
    <t>https://filemaker.nbeub.ca/fmi/webd/NBEUB%20ToolKit13 [Matter 336]</t>
  </si>
  <si>
    <t>About Our Energy - Our Current Energy Mix</t>
  </si>
  <si>
    <t>NBP03.03 [Matter 458] - NBP (NBEUB) - IR-06</t>
  </si>
  <si>
    <t>Based on 2560 GWh/year for Belledune</t>
  </si>
  <si>
    <t>https://www.pembina.org/pub/out-with-coal</t>
  </si>
  <si>
    <t>https://www.stgeorgepower.ca</t>
  </si>
  <si>
    <t>Edmundston Energy Project - GHG Quantification Report</t>
  </si>
  <si>
    <t>https://www.csaregistries.ca/files/projects/prj_5210_932.pdf</t>
  </si>
  <si>
    <t>XX_NBUS1_INT</t>
  </si>
  <si>
    <t>XX_NBUS2_INT</t>
  </si>
  <si>
    <t>XX_NBUS3_INT</t>
  </si>
  <si>
    <t>Dual function generation/substation nodes are categorized as "GEN"</t>
  </si>
  <si>
    <t>EXISTING TRANSMISSION</t>
  </si>
  <si>
    <t>Summer Capacity</t>
  </si>
  <si>
    <t>Winter Capacity</t>
  </si>
  <si>
    <t>Primary sources for the provincial data</t>
  </si>
  <si>
    <t>Generation</t>
  </si>
  <si>
    <t>Characteristics of existing interconnected generators</t>
  </si>
  <si>
    <t>NB-Sources</t>
  </si>
  <si>
    <t>Transformers</t>
  </si>
  <si>
    <t>COPPER Balancing Area</t>
  </si>
  <si>
    <t>Planning Region</t>
  </si>
  <si>
    <t>Connecting Voltage</t>
  </si>
  <si>
    <t>Generation Type - COPPER</t>
  </si>
  <si>
    <t>Capacity Adjustment</t>
  </si>
  <si>
    <t>Effective Capacity</t>
  </si>
  <si>
    <t>Annual Average Energy - Unit</t>
  </si>
  <si>
    <t>Outage Duration</t>
  </si>
  <si>
    <t>Fuel Costs</t>
  </si>
  <si>
    <t>Renewal Year</t>
  </si>
  <si>
    <t>Annual Average Energy - Plant</t>
  </si>
  <si>
    <t>RESERVOIR</t>
  </si>
  <si>
    <t>Project Code</t>
  </si>
  <si>
    <t>Reactance</t>
  </si>
  <si>
    <t>Summer Ampacity</t>
  </si>
  <si>
    <t>Winter Ampacity</t>
  </si>
  <si>
    <t>Power Factor</t>
  </si>
  <si>
    <t>Primary Voltage</t>
  </si>
  <si>
    <t>Secondary Voltage</t>
  </si>
  <si>
    <t>Summer Rating</t>
  </si>
  <si>
    <t>Winter Rating</t>
  </si>
  <si>
    <t>(MVA)</t>
  </si>
  <si>
    <t>Legend:</t>
  </si>
  <si>
    <t>CGS = Customer Generating Station</t>
  </si>
  <si>
    <t>CS = Converter Station</t>
  </si>
  <si>
    <t>CTS = Customer Transformer Station</t>
  </si>
  <si>
    <t>DSC = Distribution Supply Centre</t>
  </si>
  <si>
    <t>GEN = Generating Station</t>
  </si>
  <si>
    <t>GS = Generating Station</t>
  </si>
  <si>
    <t>JCT = Junction</t>
  </si>
  <si>
    <t>MTS = Municipal Transformer Station</t>
  </si>
  <si>
    <t>SS = Switching Station</t>
  </si>
  <si>
    <t>SUB = Substation, Switching Station or Transformer Station</t>
  </si>
  <si>
    <t>TS = Transformer Station</t>
  </si>
  <si>
    <t>(miles)</t>
  </si>
  <si>
    <t>(ohm)</t>
  </si>
  <si>
    <t>Reactance as function of voltage</t>
  </si>
  <si>
    <t>Surge Impedance Loading</t>
  </si>
  <si>
    <t>CPI - Canada (all items)</t>
  </si>
  <si>
    <t>Zc (High)</t>
  </si>
  <si>
    <t>Zc 
(Low)</t>
  </si>
  <si>
    <t>SIL (Low)</t>
  </si>
  <si>
    <t>SIL
(High)</t>
  </si>
  <si>
    <t>(V)</t>
  </si>
  <si>
    <t>(ohm/km)</t>
  </si>
  <si>
    <t>(ohms)</t>
  </si>
  <si>
    <t>SIL (Low) assumed for summer and SIL (High) for winter</t>
  </si>
  <si>
    <t>Values estimated between known values</t>
  </si>
  <si>
    <t>Surge impedance loading (SIL) is the power delivered by a lossless line to a load resistance equal to the surge impedance Zc = (L/C)^0.5</t>
  </si>
  <si>
    <t>L = inductance</t>
  </si>
  <si>
    <t>C = capacitance</t>
  </si>
  <si>
    <t>Smax</t>
  </si>
  <si>
    <t>Inputs</t>
  </si>
  <si>
    <t>Inputs to the data calculations</t>
  </si>
  <si>
    <t>Overbye et al.</t>
  </si>
  <si>
    <t>Power System Analysis and Design (Sixth Edition). Table 5.2</t>
  </si>
  <si>
    <t xml:space="preserve">Athari, MH and Zhifang, W. </t>
  </si>
  <si>
    <t xml:space="preserve">Interdependence of Transmission Branch Parameters on the Voltage Levels. Electrical Engineering and Systems Science. </t>
  </si>
  <si>
    <t>https://arxiv.org/abs/1709.06930</t>
  </si>
  <si>
    <t>Gutman, R., Marchenko, P.P., and Dunlop, R.D.</t>
  </si>
  <si>
    <t>Analytical Development of Loadability Characteristics for EHV and UHV Transmission Lines</t>
  </si>
  <si>
    <t>http://home.eng.iastate.edu/~jdm/ee552/StClairAEP.pdf</t>
  </si>
  <si>
    <t>When a substation contains two voltage levels, the generator connects at the more appropriate voltage based on generator capacity</t>
  </si>
  <si>
    <t>Effective capacities estimated using the ELCC values in the "System" tab</t>
  </si>
  <si>
    <t>Unless already included in total capital costs, a distance of 25 km is added to distance to market grid to account for potential grid interconnection costs</t>
  </si>
  <si>
    <t>Assume hydro_daily and hydro_monthly generation has dependable capacity equal to installed capacity</t>
  </si>
  <si>
    <t>Unless already included in total capital costs, a distance of 25 km is added to didtance to market grid to account for potential grid interconnection costs</t>
  </si>
  <si>
    <t>See inputs tab for assumptions regarding system parameters</t>
  </si>
  <si>
    <t>Smax = Loadability in multiples of SIL = 42.40 (Length in Miles)^(−0.6595) (this is a power function interpolation of Figure 7 in Gutman et al.)</t>
  </si>
  <si>
    <t>CTS = Customer Transfofmer Station</t>
  </si>
  <si>
    <t>DFL = Dual Function Line</t>
  </si>
  <si>
    <t>LC = Line Connection</t>
  </si>
  <si>
    <t>N = Network</t>
  </si>
  <si>
    <t>Transmission line flow ratings</t>
  </si>
  <si>
    <t>Conversions</t>
  </si>
  <si>
    <t>MH Values</t>
  </si>
  <si>
    <t>Winter/Summer Tranmission Flow Conversion</t>
  </si>
  <si>
    <t>Winter/Summer Transformer Flow Conversion</t>
  </si>
  <si>
    <t>Index</t>
  </si>
  <si>
    <t>Same values used for 63-72 kV</t>
  </si>
  <si>
    <t>Statistics Canada – TABLE 18-10-0005-01,  annual average, not seasonally adjusted</t>
  </si>
  <si>
    <t>Ampacity estimates made from known ratings on existing lines</t>
  </si>
  <si>
    <t>MH estimates provided by David Jacobson in an email of July 30, 2019</t>
  </si>
  <si>
    <t>Storage</t>
  </si>
  <si>
    <t>Characteristics of existing grid-scale storage facilities</t>
  </si>
  <si>
    <t>Data under review or being gathered</t>
  </si>
  <si>
    <t>all other colours are linked to sources</t>
  </si>
  <si>
    <t>Average</t>
  </si>
  <si>
    <t>Mid-load forecast for use in COPPER</t>
  </si>
  <si>
    <t>INPUT DATA AND ASSUMPTIONS</t>
  </si>
  <si>
    <t>EXISTING STORAGE</t>
  </si>
  <si>
    <t xml:space="preserve">Technology </t>
  </si>
  <si>
    <t>Storage Capacity</t>
  </si>
  <si>
    <t>Storage Energy</t>
  </si>
  <si>
    <t>Duration</t>
  </si>
  <si>
    <t>Associated Generation</t>
  </si>
  <si>
    <t>Cost</t>
  </si>
  <si>
    <t>kV</t>
  </si>
  <si>
    <t>(Hours)</t>
  </si>
  <si>
    <t>Maintenance Outage Rate</t>
  </si>
  <si>
    <t>Existing Design</t>
  </si>
  <si>
    <t>Pumped Storage Project</t>
  </si>
  <si>
    <t>Reservoir Design</t>
  </si>
  <si>
    <t>Costs</t>
  </si>
  <si>
    <t>Renewal Project Code</t>
  </si>
  <si>
    <t>Renewal Design</t>
  </si>
  <si>
    <t>St. John River</t>
  </si>
  <si>
    <t>Tinker</t>
  </si>
  <si>
    <t>Gen Code</t>
  </si>
  <si>
    <t>Allison SS 6520</t>
  </si>
  <si>
    <t>Salisbury SS 6556</t>
  </si>
  <si>
    <t>Petitcodiac SS 6558</t>
  </si>
  <si>
    <t>Sussex North SS 6297</t>
  </si>
  <si>
    <t>Sussex W. SS 6203</t>
  </si>
  <si>
    <t>Hampton 69 SS 6268</t>
  </si>
  <si>
    <t>Rothesay SS 6267</t>
  </si>
  <si>
    <t>Canaan Forks SS 6202</t>
  </si>
  <si>
    <t>Coal Creek SS 6195</t>
  </si>
  <si>
    <t>Minto SS 6120</t>
  </si>
  <si>
    <t>Coles Island SS 6536</t>
  </si>
  <si>
    <t>Springfield SS 6200</t>
  </si>
  <si>
    <t>Gordon Road SS 6412</t>
  </si>
  <si>
    <t>Nelson SS 6442</t>
  </si>
  <si>
    <t>Newcastle Town SS 6443</t>
  </si>
  <si>
    <t>Sweeny Lane SS 6409</t>
  </si>
  <si>
    <t>East Chatham SS 6440</t>
  </si>
  <si>
    <t>Rogersville SS 6411</t>
  </si>
  <si>
    <t>Harcourt SS 6504</t>
  </si>
  <si>
    <t>Clairville SS 6544</t>
  </si>
  <si>
    <t>Lutz Mtn. SS 6510</t>
  </si>
  <si>
    <t>Hacheyville SS 6415</t>
  </si>
  <si>
    <t>Six Roads SS 6425</t>
  </si>
  <si>
    <t>Lameque SS 6417</t>
  </si>
  <si>
    <t>Turtle Creek SS 6517</t>
  </si>
  <si>
    <t>Weldon SS  6538</t>
  </si>
  <si>
    <t>St. George SS 6145</t>
  </si>
  <si>
    <t>Bayside SS 6222</t>
  </si>
  <si>
    <t>McAdam SS 6225</t>
  </si>
  <si>
    <t>Thomaston Corner SS 6193</t>
  </si>
  <si>
    <t>Nackawic SS 6108</t>
  </si>
  <si>
    <t>Grand Lake SS 6143</t>
  </si>
  <si>
    <t>Ripples SS 6142</t>
  </si>
  <si>
    <t>Burpee Brook SS 6152</t>
  </si>
  <si>
    <t>Wilber St SS 6555</t>
  </si>
  <si>
    <t>Baig Blvd SS 6507</t>
  </si>
  <si>
    <t>Hainesville SS 6133</t>
  </si>
  <si>
    <t>Millville SS  6194</t>
  </si>
  <si>
    <t>Grafton SS 6105</t>
  </si>
  <si>
    <t>St. Basile SS 6396</t>
  </si>
  <si>
    <t>Green River SS 6144</t>
  </si>
  <si>
    <t>Grand Falls North SS 6333</t>
  </si>
  <si>
    <t>Lakeside SS 6545</t>
  </si>
  <si>
    <t>Scoudouc SS 6595</t>
  </si>
  <si>
    <t>Darlington SS 6498</t>
  </si>
  <si>
    <t>Petit Rocher SS 6491</t>
  </si>
  <si>
    <t>South Bathurst SS 6449</t>
  </si>
  <si>
    <t>New Denmark SS 6390</t>
  </si>
  <si>
    <t>Plaster Rock SS 6394</t>
  </si>
  <si>
    <t>St. Quentin SS 6337</t>
  </si>
  <si>
    <t>Drummond St SS 6596</t>
  </si>
  <si>
    <t>Commercial St SS 6503</t>
  </si>
  <si>
    <t>Nepisiguit Falls SS 6404</t>
  </si>
  <si>
    <t>Tobique Narrows SS 6156</t>
  </si>
  <si>
    <t>Aberdeen St SS 6100</t>
  </si>
  <si>
    <t>Taymouth SS 6111</t>
  </si>
  <si>
    <t>Manawagonish Road SS 5219</t>
  </si>
  <si>
    <t>Dever Road SS 5263</t>
  </si>
  <si>
    <t>Millidgeville SS 5213</t>
  </si>
  <si>
    <t>Bayside Drive SS 5299</t>
  </si>
  <si>
    <t>Deer Island SS 6293</t>
  </si>
  <si>
    <t>Campobello Island SS 6132</t>
  </si>
  <si>
    <t>Hunters Corner SS 6129</t>
  </si>
  <si>
    <t>Florenceville SS 6114</t>
  </si>
  <si>
    <t>Juniper SS 6107</t>
  </si>
  <si>
    <t>Crown Street SS 5293</t>
  </si>
  <si>
    <t>Union Street SS 5202</t>
  </si>
  <si>
    <t>Grand Falls South SS 6395</t>
  </si>
  <si>
    <t>St. Stephen SS 6223</t>
  </si>
  <si>
    <t>St. Leolin SS 6435</t>
  </si>
  <si>
    <t>Bertrand SS 6421</t>
  </si>
  <si>
    <t>Caraquet SS 6401</t>
  </si>
  <si>
    <t>Raynes Avenue SS 5214</t>
  </si>
  <si>
    <t>Irving Tissue SS 5203</t>
  </si>
  <si>
    <t>Edmundston North SS 6397</t>
  </si>
  <si>
    <t>McCains SS 5102</t>
  </si>
  <si>
    <t>Rusagonis SS 6141</t>
  </si>
  <si>
    <t>Burton SS 6112</t>
  </si>
  <si>
    <t>Barkers Pt. SS 6125</t>
  </si>
  <si>
    <t>Bay du Vin SS 6410</t>
  </si>
  <si>
    <t>Sackville SS 6511</t>
  </si>
  <si>
    <t>CBC Sackville SS 6541</t>
  </si>
  <si>
    <t>Grand Bay SS 6528</t>
  </si>
  <si>
    <t>Lepreau SS 6205</t>
  </si>
  <si>
    <t>Pennfield Ridge SS 6206</t>
  </si>
  <si>
    <t>Beechwood SS 6391</t>
  </si>
  <si>
    <t>Nashwaaksis SS 6135</t>
  </si>
  <si>
    <t>Tetagouche SS 6438</t>
  </si>
  <si>
    <t>St. Louis SS 6532</t>
  </si>
  <si>
    <t>Richibucto SS 6533</t>
  </si>
  <si>
    <t>Hardy Road SS 6514</t>
  </si>
  <si>
    <t>Lakewood SS 5211</t>
  </si>
  <si>
    <t>Rexton SS 6535</t>
  </si>
  <si>
    <t>West Buctouche SS 6508</t>
  </si>
  <si>
    <t>Cocagne SS 6521</t>
  </si>
  <si>
    <t>Scoudouc Ind. SS 6540</t>
  </si>
  <si>
    <t>Caledonia Park SS 6522</t>
  </si>
  <si>
    <t>Ryan Rd SS 6525</t>
  </si>
  <si>
    <t>Vanier SS 6118</t>
  </si>
  <si>
    <t>Rainsford Lane SS 6137</t>
  </si>
  <si>
    <t>Keswick Ridge SS 6139</t>
  </si>
  <si>
    <t>Caribou Mining SS 5497</t>
  </si>
  <si>
    <t>Belledune SS 6439</t>
  </si>
  <si>
    <t>Chipman SS 6106</t>
  </si>
  <si>
    <t>St. Mary's SS 6505</t>
  </si>
  <si>
    <t>Hillsborough SS 6599</t>
  </si>
  <si>
    <t>Havelock SS 6519</t>
  </si>
  <si>
    <t>Kedgwick SS 6301</t>
  </si>
  <si>
    <t>Carleton St SS 6150</t>
  </si>
  <si>
    <t>Woodstock South SS 6121</t>
  </si>
  <si>
    <t>Connell St. SS 6199</t>
  </si>
  <si>
    <t>Doaktown SS 6419</t>
  </si>
  <si>
    <t>Westfield SS 6298</t>
  </si>
  <si>
    <t>Canaport SS 5204</t>
  </si>
  <si>
    <t>Shediac SS 6513</t>
  </si>
  <si>
    <t>Cape Pele SS 6506</t>
  </si>
  <si>
    <t>Deersdale SS 5100</t>
  </si>
  <si>
    <t>Blacks Harbour North SS 6209</t>
  </si>
  <si>
    <t>Mill Lane SS 6207</t>
  </si>
  <si>
    <t>Albert SS 6515</t>
  </si>
  <si>
    <t>Irving Pulp and Paper SS 5264</t>
  </si>
  <si>
    <t>Clair SS 6311</t>
  </si>
  <si>
    <t>Dalhousie SS 6492</t>
  </si>
  <si>
    <t>Edmunston City SS 5398</t>
  </si>
  <si>
    <t>Fredericton Junction SS 6116</t>
  </si>
  <si>
    <t>Camp Gagetown SS 5191</t>
  </si>
  <si>
    <t>Frasers Edmunston SS 5301</t>
  </si>
  <si>
    <t>Hartland SS 6127</t>
  </si>
  <si>
    <t>St. Andrews SS 6296</t>
  </si>
  <si>
    <t>Dorchester Cape SS 6539</t>
  </si>
  <si>
    <t>Jacquet River SS 6413</t>
  </si>
  <si>
    <t>Atholville SS 6401</t>
  </si>
  <si>
    <t>Sugar Loaf SS 6408</t>
  </si>
  <si>
    <t>Riverview SS 6518</t>
  </si>
  <si>
    <t>West Bathurst SS 6418</t>
  </si>
  <si>
    <t>Veneer Siding SS 5312</t>
  </si>
  <si>
    <t>Canterbury SS 6113</t>
  </si>
  <si>
    <t>Atlantic Waferboard SS 5407</t>
  </si>
  <si>
    <t>Lake Utopia Paper SS 5206</t>
  </si>
  <si>
    <t>Chartersville SS 6502</t>
  </si>
  <si>
    <t>Neguac SS 6406</t>
  </si>
  <si>
    <t>Baie Ste. Anne SS 6429</t>
  </si>
  <si>
    <t>Frasers Iroquois SS 5105</t>
  </si>
  <si>
    <t>Beresford SS 6416</t>
  </si>
  <si>
    <t>Flakeboard Co. SS 5209</t>
  </si>
  <si>
    <t>Stone Con. Sawmill SS 6431</t>
  </si>
  <si>
    <t>Christopher Brook SS 6422</t>
  </si>
  <si>
    <t>St. Leonard Sawmill SS 5107</t>
  </si>
  <si>
    <t>Red Bank SS 6424</t>
  </si>
  <si>
    <t>Gayton SS 6527</t>
  </si>
  <si>
    <t>College Bridge SS 6526</t>
  </si>
  <si>
    <t>Edmundston East SS 6302</t>
  </si>
  <si>
    <t>Campbellton SS 6426</t>
  </si>
  <si>
    <t>Charlo SS 6430</t>
  </si>
  <si>
    <t>Lake George SS 6126</t>
  </si>
  <si>
    <t>Shippigan SS 6490</t>
  </si>
  <si>
    <t>Jemseg SS 6153</t>
  </si>
  <si>
    <t>Cross Creek SS 6155</t>
  </si>
  <si>
    <t>Lower Caraquet SS 6437</t>
  </si>
  <si>
    <t>Baker Brook SS 6304</t>
  </si>
  <si>
    <t>Harvey SS 6211</t>
  </si>
  <si>
    <t>Rothesay Paper SS 5295</t>
  </si>
  <si>
    <t>Mount Pleasant Mines SS 5216</t>
  </si>
  <si>
    <t>Frasers Atholville SS 5409</t>
  </si>
  <si>
    <t>Howard SS 6441</t>
  </si>
  <si>
    <t>Dieppe Industrial SS 6530</t>
  </si>
  <si>
    <t>Sheila SS 6405</t>
  </si>
  <si>
    <t>Coulter Manufacturing SS  5503</t>
  </si>
  <si>
    <t>Grand Falls East SS 6303</t>
  </si>
  <si>
    <t>Gondola Point SS  6524</t>
  </si>
  <si>
    <t>Shediac Wst SS 6529</t>
  </si>
  <si>
    <t>Oromocto Town SS 6140</t>
  </si>
  <si>
    <t>Gunningsville SS 6531</t>
  </si>
  <si>
    <t>St. Anne Nackawic SS 5116</t>
  </si>
  <si>
    <t xml:space="preserve">Hampton 138 SS 6534 </t>
  </si>
  <si>
    <t>Sussex Corner SS 6537</t>
  </si>
  <si>
    <t>Potash Co. SS 5217</t>
  </si>
  <si>
    <t>Priestman SS 6124</t>
  </si>
  <si>
    <t>Loch Lomond SS 6204</t>
  </si>
  <si>
    <t>Kingsclear SS 6109</t>
  </si>
  <si>
    <t>Church St. SS 6543</t>
  </si>
  <si>
    <t>Devon SS 6154</t>
  </si>
  <si>
    <t>New Maryland SS 6158</t>
  </si>
  <si>
    <t>Fairvale SS 6226</t>
  </si>
  <si>
    <t>Belledune Smelter SS 5404</t>
  </si>
  <si>
    <t>Cranston TS</t>
  </si>
  <si>
    <t>Lancaster TS</t>
  </si>
  <si>
    <t>Grand Lake TS</t>
  </si>
  <si>
    <t>Newcastle TS</t>
  </si>
  <si>
    <t>Moncton TS</t>
  </si>
  <si>
    <t>Oak Bay TS</t>
  </si>
  <si>
    <t>Marysville TS</t>
  </si>
  <si>
    <t>Millville TS</t>
  </si>
  <si>
    <t>Woodstock TS</t>
  </si>
  <si>
    <t>Memramcook TS</t>
  </si>
  <si>
    <t>Pennfield TS</t>
  </si>
  <si>
    <t>Eel River TS</t>
  </si>
  <si>
    <t>Keswick TS</t>
  </si>
  <si>
    <t>Murray Corner TS</t>
  </si>
  <si>
    <t>Caraquet TS</t>
  </si>
  <si>
    <t>St. André TS</t>
  </si>
  <si>
    <t>Edmundston TS</t>
  </si>
  <si>
    <t>Norton TS</t>
  </si>
  <si>
    <t>Highbank TS</t>
  </si>
  <si>
    <t>Belledune TS</t>
  </si>
  <si>
    <t>Salisbury TS</t>
  </si>
  <si>
    <t>Iroquois TS</t>
  </si>
  <si>
    <t>TS = Terminal Station</t>
  </si>
  <si>
    <t>EXISTING SSS</t>
  </si>
  <si>
    <t>Brown Rd. SWS</t>
  </si>
  <si>
    <t>Ortonville SWS</t>
  </si>
  <si>
    <t>St. Leonard SWS</t>
  </si>
  <si>
    <t>Waasis Road SWS SS 4103</t>
  </si>
  <si>
    <t>Bayside GS</t>
  </si>
  <si>
    <t>NB-PEI Border</t>
  </si>
  <si>
    <t>SWS = Switching Station</t>
  </si>
  <si>
    <t>SUB = Substation, Switching Station or Terminal Station</t>
  </si>
  <si>
    <t>SS = Substation</t>
  </si>
  <si>
    <t>Storage Code</t>
  </si>
  <si>
    <t>Node Code</t>
  </si>
  <si>
    <t>Node Name</t>
  </si>
  <si>
    <t>L0069</t>
  </si>
  <si>
    <t>Tracadie SS 6436</t>
  </si>
  <si>
    <t>Aulac SS 6516</t>
  </si>
  <si>
    <t>Junction 1179</t>
  </si>
  <si>
    <t>NB_1179_JCT</t>
  </si>
  <si>
    <t>L1179</t>
  </si>
  <si>
    <t>Canada Liquid Air SS 5501</t>
  </si>
  <si>
    <t>Closed December 2019</t>
  </si>
  <si>
    <t>Boiestown SS 6117</t>
  </si>
  <si>
    <t>Denison Potacan SS 5218</t>
  </si>
  <si>
    <t>Assumed connected to Gorden Road when Chatham Plant closed</t>
  </si>
  <si>
    <t>Location approximate</t>
  </si>
  <si>
    <t>Nodes</t>
  </si>
  <si>
    <t>Characteristics of existing transmission system nodes</t>
  </si>
  <si>
    <t>Distribution</t>
  </si>
  <si>
    <t>Characteristics of existing distribution substations</t>
  </si>
  <si>
    <t>SNC-Lavalin T&amp;D</t>
  </si>
  <si>
    <t>https://energy.novascotia.ca/sites/default/files/Transmission%20and%20System%20Operator%20Options%20for%20Nova%20Scotia.pdf</t>
  </si>
  <si>
    <t>Transmission and System Operator Options for Nova Scotia. Prepared for Nova Scotia Department of Energy</t>
  </si>
  <si>
    <t>Nova Scotia and New Brunswick</t>
  </si>
  <si>
    <t>NB_BCWD01_GEN</t>
  </si>
  <si>
    <t>NB_CLCV01_GEN</t>
  </si>
  <si>
    <t>NB_GRFS01_GEN</t>
  </si>
  <si>
    <t>NB_GRDV01_GEN</t>
  </si>
  <si>
    <t>NB_MTQC01_GEN</t>
  </si>
  <si>
    <t>NB_MLBK01_GEN</t>
  </si>
  <si>
    <t>NB_TOBQ01_GEN</t>
  </si>
  <si>
    <t>NB_BCWD02_GEN</t>
  </si>
  <si>
    <t>NB_CLCV02_GEN</t>
  </si>
  <si>
    <t>NB_GRFS02_GEN</t>
  </si>
  <si>
    <t>NB_GRDV02_GEN</t>
  </si>
  <si>
    <t>NB_MTQC02_GEN</t>
  </si>
  <si>
    <t>NB_MLBK02_GEN</t>
  </si>
  <si>
    <t>NB_TOBQ02_GEN</t>
  </si>
  <si>
    <t>NB_BCWD03_GEN</t>
  </si>
  <si>
    <t>NB_CLCV03_GEN</t>
  </si>
  <si>
    <t>NB_GRFS03_GEN</t>
  </si>
  <si>
    <t>NB_MTQC03_GEN</t>
  </si>
  <si>
    <t>NB_MLBK03_GEN</t>
  </si>
  <si>
    <t>NB_GRFS04_GEN</t>
  </si>
  <si>
    <t>NB_MTQC04_GEN</t>
  </si>
  <si>
    <t>NB_MLBK04_GEN</t>
  </si>
  <si>
    <t>NB_MTQC05_GEN</t>
  </si>
  <si>
    <t>NB_MTQC06_GEN</t>
  </si>
  <si>
    <t>30 MW from the Point Lepreau Generating Station is committed to Maritime Electric Company Limited (MECL) until the end of 2024, and is presumed renewed beyond 2050.</t>
  </si>
  <si>
    <t>Formerly called "Courtenay Bay"</t>
  </si>
  <si>
    <t>NB_6100_DSS</t>
  </si>
  <si>
    <t>NB_6515_DSS</t>
  </si>
  <si>
    <t>NB_6420_DSS</t>
  </si>
  <si>
    <t>NB_6520_DSS</t>
  </si>
  <si>
    <t>NB_6401_DSS</t>
  </si>
  <si>
    <t>NB_6516_DSS</t>
  </si>
  <si>
    <t>NB_6429_DSS</t>
  </si>
  <si>
    <t>NB_6507_DSS</t>
  </si>
  <si>
    <t>NB_6304_DSS</t>
  </si>
  <si>
    <t>NB_6125_DSS</t>
  </si>
  <si>
    <t>NB_6432_DSS</t>
  </si>
  <si>
    <t>NB_4400_DSS</t>
  </si>
  <si>
    <t>NB_6410_DSS</t>
  </si>
  <si>
    <t>NB_5299_DSS</t>
  </si>
  <si>
    <t>NB_6391_DSS</t>
  </si>
  <si>
    <t>NB_6439_DSS</t>
  </si>
  <si>
    <t>NB_6416_DSS</t>
  </si>
  <si>
    <t>NB_6421_DSS</t>
  </si>
  <si>
    <t>NB_6209_DSS</t>
  </si>
  <si>
    <t>NB_6117_DSS</t>
  </si>
  <si>
    <t>NB_5266_DSS</t>
  </si>
  <si>
    <t>NB_6152_DSS</t>
  </si>
  <si>
    <t>NB_6112_DSS</t>
  </si>
  <si>
    <t>NB_6522_DSS</t>
  </si>
  <si>
    <t>NB_5191_DSS</t>
  </si>
  <si>
    <t>NB_6426_DSS</t>
  </si>
  <si>
    <t>NB_6132_DSS</t>
  </si>
  <si>
    <t>NB_6202_DSS</t>
  </si>
  <si>
    <t>NB_6113_DSS</t>
  </si>
  <si>
    <t>NB_6506_DSS</t>
  </si>
  <si>
    <t>NB_6150_DSS</t>
  </si>
  <si>
    <t>NB_6541_DSS</t>
  </si>
  <si>
    <t>NB_6430_DSS</t>
  </si>
  <si>
    <t>NB_6502_DSS</t>
  </si>
  <si>
    <t>NB_6106_DSS</t>
  </si>
  <si>
    <t>NB_6422_DSS</t>
  </si>
  <si>
    <t>NB_6543_DSS</t>
  </si>
  <si>
    <t>NB_6311_DSS</t>
  </si>
  <si>
    <t>NB_6544_DSS</t>
  </si>
  <si>
    <t>NB_6195_DSS</t>
  </si>
  <si>
    <t>NB_6521_DSS</t>
  </si>
  <si>
    <t>NB_6536_DSS</t>
  </si>
  <si>
    <t>NB_6526_DSS</t>
  </si>
  <si>
    <t>NB_6503_DSS</t>
  </si>
  <si>
    <t>NB_6199_DSS</t>
  </si>
  <si>
    <t>NB_5503_DSS</t>
  </si>
  <si>
    <t>NB_6155_DSS</t>
  </si>
  <si>
    <t>NB_5293_DSS</t>
  </si>
  <si>
    <t>NB_6492_DSS</t>
  </si>
  <si>
    <t>NB_6498_DSS</t>
  </si>
  <si>
    <t>NB_6293_DSS</t>
  </si>
  <si>
    <t>NB_5100_DSS</t>
  </si>
  <si>
    <t>NB_5218_DSS</t>
  </si>
  <si>
    <t>NB_5263_DSS</t>
  </si>
  <si>
    <t>NB_6154_DSS</t>
  </si>
  <si>
    <t>NB_6530_DSS</t>
  </si>
  <si>
    <t>NB_6419_DSS</t>
  </si>
  <si>
    <t>NB_6539_DSS</t>
  </si>
  <si>
    <t>NB_6596_DSS</t>
  </si>
  <si>
    <t>NB_6440_DSS</t>
  </si>
  <si>
    <t>NB_6302_DSS</t>
  </si>
  <si>
    <t>NB_6397_DSS</t>
  </si>
  <si>
    <t>NB_5398_DSS</t>
  </si>
  <si>
    <t>NB_6226_DSS</t>
  </si>
  <si>
    <t>NB_6114_DSS</t>
  </si>
  <si>
    <t>NB_5409_DSS</t>
  </si>
  <si>
    <t>NB_6116_DSS</t>
  </si>
  <si>
    <t>NB_6527_DSS</t>
  </si>
  <si>
    <t>NB_6524_DSS</t>
  </si>
  <si>
    <t>NB_6412_DSS</t>
  </si>
  <si>
    <t>NB_6105_DSS</t>
  </si>
  <si>
    <t>NB_6528_DSS</t>
  </si>
  <si>
    <t>NB_6303_DSS</t>
  </si>
  <si>
    <t>NB_6333_DSS</t>
  </si>
  <si>
    <t>NB_6395_DSS</t>
  </si>
  <si>
    <t>NB_6143_DSS</t>
  </si>
  <si>
    <t>NB_6131_DSS</t>
  </si>
  <si>
    <t>NB_6144_DSS</t>
  </si>
  <si>
    <t>NB_6531_DSS</t>
  </si>
  <si>
    <t>NB_6415_DSS</t>
  </si>
  <si>
    <t>NB_6133_DSS</t>
  </si>
  <si>
    <t>NB_6534_DSS</t>
  </si>
  <si>
    <t>NB_6268_DSS</t>
  </si>
  <si>
    <t>NB_6504_DSS</t>
  </si>
  <si>
    <t>NB_6514_DSS</t>
  </si>
  <si>
    <t>NB_6127_DSS</t>
  </si>
  <si>
    <t>NB_6211_DSS</t>
  </si>
  <si>
    <t>NB_6519_DSS</t>
  </si>
  <si>
    <t>NB_6599_DSS</t>
  </si>
  <si>
    <t>NB_6441_DSS</t>
  </si>
  <si>
    <t>NB_6129_DSS</t>
  </si>
  <si>
    <t>NB_6413_DSS</t>
  </si>
  <si>
    <t>NB_6153_DSS</t>
  </si>
  <si>
    <t>NB_6107_DSS</t>
  </si>
  <si>
    <t>NB_6301_DSS</t>
  </si>
  <si>
    <t>NB_6139_DSS</t>
  </si>
  <si>
    <t>NB_6109_DSS</t>
  </si>
  <si>
    <t>NB_6126_DSS</t>
  </si>
  <si>
    <t>NB_6545_DSS</t>
  </si>
  <si>
    <t>NB_5211_DSS</t>
  </si>
  <si>
    <t>NB_6417_DSS</t>
  </si>
  <si>
    <t>NB_6205_DSS</t>
  </si>
  <si>
    <t>NB_6204_DSS</t>
  </si>
  <si>
    <t>NB_6437_DSS</t>
  </si>
  <si>
    <t>NB_6510_DSS</t>
  </si>
  <si>
    <t>NB_5219_DSS</t>
  </si>
  <si>
    <t>NB_6225_DSS</t>
  </si>
  <si>
    <t>NB_5102_DSS</t>
  </si>
  <si>
    <t>NB_6207_DSS</t>
  </si>
  <si>
    <t>NB_5213_DSS</t>
  </si>
  <si>
    <t>NB_6194_DSS</t>
  </si>
  <si>
    <t>NB_6120_DSS</t>
  </si>
  <si>
    <t>NB_5216_DSS</t>
  </si>
  <si>
    <t>NB_6108_DSS</t>
  </si>
  <si>
    <t>NB_6135_DSS</t>
  </si>
  <si>
    <t>NB_6406_DSS</t>
  </si>
  <si>
    <t>NB_6442_DSS</t>
  </si>
  <si>
    <t>NB_6404_DSS</t>
  </si>
  <si>
    <t>NB_6390_DSS</t>
  </si>
  <si>
    <t>NB_6158_DSS</t>
  </si>
  <si>
    <t>NB_6443_DSS</t>
  </si>
  <si>
    <t>NB_6140_DSS</t>
  </si>
  <si>
    <t>NB_6206_DSS</t>
  </si>
  <si>
    <t>NB_6491_DSS</t>
  </si>
  <si>
    <t>NB_6558_DSS</t>
  </si>
  <si>
    <t>NB_6394_DSS</t>
  </si>
  <si>
    <t>NB_6124_DSS</t>
  </si>
  <si>
    <t>NB_6137_DSS</t>
  </si>
  <si>
    <t>NB_5214_DSS</t>
  </si>
  <si>
    <t>NB_6424_DSS</t>
  </si>
  <si>
    <t>NB_6535_DSS</t>
  </si>
  <si>
    <t>NB_6533_DSS</t>
  </si>
  <si>
    <t>NB_6142_DSS</t>
  </si>
  <si>
    <t>NB_6518_DSS</t>
  </si>
  <si>
    <t>NB_6411_DSS</t>
  </si>
  <si>
    <t>NB_6267_DSS</t>
  </si>
  <si>
    <t>NB_6141_DSS</t>
  </si>
  <si>
    <t>NB_6525_DSS</t>
  </si>
  <si>
    <t>NB_6511_DSS</t>
  </si>
  <si>
    <t>NB_6556_DSS</t>
  </si>
  <si>
    <t>NB_6595_DSS</t>
  </si>
  <si>
    <t>NB_6513_DSS</t>
  </si>
  <si>
    <t>NB_6529_DSS</t>
  </si>
  <si>
    <t>NB_6405_DSS</t>
  </si>
  <si>
    <t>NB_6490_DSS</t>
  </si>
  <si>
    <t>NB_6425_DSS</t>
  </si>
  <si>
    <t>NB_6449_DSS</t>
  </si>
  <si>
    <t>NB_6200_DSS</t>
  </si>
  <si>
    <t>NB_6296_DSS</t>
  </si>
  <si>
    <t>NB_5116_DSS</t>
  </si>
  <si>
    <t>NB_6396_DSS</t>
  </si>
  <si>
    <t>NB_6145_DSS</t>
  </si>
  <si>
    <t>NB_6555_DSS</t>
  </si>
  <si>
    <t>NB_6435_DSS</t>
  </si>
  <si>
    <t>NB_6532_DSS</t>
  </si>
  <si>
    <t>NB_6505_DSS</t>
  </si>
  <si>
    <t>NB_6337_DSS</t>
  </si>
  <si>
    <t>NB_6223_DSS</t>
  </si>
  <si>
    <t>NB_6408_DSS</t>
  </si>
  <si>
    <t>NB_6537_DSS</t>
  </si>
  <si>
    <t>NB_6297_DSS</t>
  </si>
  <si>
    <t>NB_6203_DSS</t>
  </si>
  <si>
    <t>NB_6409_DSS</t>
  </si>
  <si>
    <t>NB_6111_DSS</t>
  </si>
  <si>
    <t>NB_6438_DSS</t>
  </si>
  <si>
    <t>NB_6193_DSS</t>
  </si>
  <si>
    <t>NB_6156_DSS</t>
  </si>
  <si>
    <t>NB_6436_DSS</t>
  </si>
  <si>
    <t>NB_6517_DSS</t>
  </si>
  <si>
    <t>NB_5202_DSS</t>
  </si>
  <si>
    <t>NB_6118_DSS</t>
  </si>
  <si>
    <t>NB_5312_DSS</t>
  </si>
  <si>
    <t>NB_4103_DSS</t>
  </si>
  <si>
    <t>NB_6538_DSS</t>
  </si>
  <si>
    <t>NB_6418_DSS</t>
  </si>
  <si>
    <t>NB_6508_DSS</t>
  </si>
  <si>
    <t>NB_6298_DSS</t>
  </si>
  <si>
    <t>NB_6121_DSS</t>
  </si>
  <si>
    <t>NB_BAYS_GSS</t>
  </si>
  <si>
    <t>NB_BCWD_GSS</t>
  </si>
  <si>
    <t>NB_BELL_GSS</t>
  </si>
  <si>
    <t>NB_CRBO_GSS</t>
  </si>
  <si>
    <t>NB_CLCV_GSS</t>
  </si>
  <si>
    <t>NB_GRFS_GSS</t>
  </si>
  <si>
    <t>NB_GMAN_GSS</t>
  </si>
  <si>
    <t>NB_GRDV_GSS</t>
  </si>
  <si>
    <t>NB_KNTH_GSS</t>
  </si>
  <si>
    <t>NB_LMEQ_GSS</t>
  </si>
  <si>
    <t>NB_MTQC_GSS</t>
  </si>
  <si>
    <t>NB_MLBK_GSS</t>
  </si>
  <si>
    <t>NB_MLTN_GSS</t>
  </si>
  <si>
    <t>NB_PLPR_GSS</t>
  </si>
  <si>
    <t>NB_SSON_GSS</t>
  </si>
  <si>
    <t>NB_SGRG_GSS</t>
  </si>
  <si>
    <t>NB_SROS_GSS</t>
  </si>
  <si>
    <t>NB_TOBQ_GSS</t>
  </si>
  <si>
    <t>Allardville SWS</t>
  </si>
  <si>
    <t>Allardville SS 6420</t>
  </si>
  <si>
    <t>NB_ALDV_SWS</t>
  </si>
  <si>
    <t>NB_5407_ISS</t>
  </si>
  <si>
    <t>Bathurst TS/SS 6432</t>
  </si>
  <si>
    <t>Bathurst West SWS/SS 4400</t>
  </si>
  <si>
    <t>Brookville TS/SS 5266</t>
  </si>
  <si>
    <t>NB_BRWN_SWS</t>
  </si>
  <si>
    <t>NB_CRQT_TSS</t>
  </si>
  <si>
    <t>NB_CRAN_TSS</t>
  </si>
  <si>
    <t>Doak SWS 4119</t>
  </si>
  <si>
    <t>NB_4119_SWS</t>
  </si>
  <si>
    <t>NB_EDMN_TSS</t>
  </si>
  <si>
    <t>NB_EELR_TSS</t>
  </si>
  <si>
    <t>NB_HBNK_TSS</t>
  </si>
  <si>
    <t>NB_GRLK_TSS</t>
  </si>
  <si>
    <t>Grand Manan - Grand Harbour SS 6131</t>
  </si>
  <si>
    <t>NB_IROQ_TSS</t>
  </si>
  <si>
    <t>Irving Refinery 69 TS</t>
  </si>
  <si>
    <t>NB_IRV138_TSS</t>
  </si>
  <si>
    <t>NB_IRV69_TSS</t>
  </si>
  <si>
    <t>Irving Refinery SS 5296</t>
  </si>
  <si>
    <t>NB_5296_ISS</t>
  </si>
  <si>
    <t>NB_KSWK_TSS</t>
  </si>
  <si>
    <t>NB_LNCT_TSS</t>
  </si>
  <si>
    <t>NB_MRMK_TSS</t>
  </si>
  <si>
    <t>NB_MIVL_TSS</t>
  </si>
  <si>
    <t>NB_MCTN_TSS</t>
  </si>
  <si>
    <t>NB_MCNR_TSS</t>
  </si>
  <si>
    <t>NB_NWCS_TSS</t>
  </si>
  <si>
    <t>NB_NRTN_TSS</t>
  </si>
  <si>
    <t>NB_OKBY_TSS</t>
  </si>
  <si>
    <t>NB_ORTN_SWS</t>
  </si>
  <si>
    <t>NB_PNFD_TSS</t>
  </si>
  <si>
    <t>NB_SLBY_TSS</t>
  </si>
  <si>
    <t>NB_SADR_TSS</t>
  </si>
  <si>
    <t>NB_SLND_SWS</t>
  </si>
  <si>
    <t>NB_WDSK_TSS</t>
  </si>
  <si>
    <t>NB_BELL_TSS</t>
  </si>
  <si>
    <t>NB_MRYV_TSS</t>
  </si>
  <si>
    <t>CSS = Converter Station</t>
  </si>
  <si>
    <t>DFS = Dual Function Distribution and Generation Substation</t>
  </si>
  <si>
    <t>DSS = Distribution Substation</t>
  </si>
  <si>
    <t>GEN = Generating Unit</t>
  </si>
  <si>
    <t>GSS = Generating Substation</t>
  </si>
  <si>
    <t>ISS = Industrial Customer Substation</t>
  </si>
  <si>
    <t>TSS = Terminal Station</t>
  </si>
  <si>
    <t>NB_5501_ISS</t>
  </si>
  <si>
    <t>NB_5204_ISS</t>
  </si>
  <si>
    <t>NB_5497_ISS</t>
  </si>
  <si>
    <t>NB_5264_ISS</t>
  </si>
  <si>
    <t>NB_5203_ISS</t>
  </si>
  <si>
    <t>NB_5206_ISS</t>
  </si>
  <si>
    <t>NB_5217_ISS</t>
  </si>
  <si>
    <t>NB_5295_ISS</t>
  </si>
  <si>
    <t>NB_6540_ISS</t>
  </si>
  <si>
    <t>NB_5107_ISS</t>
  </si>
  <si>
    <t>NB_6431_ISS</t>
  </si>
  <si>
    <t>Junction 0133</t>
  </si>
  <si>
    <t>Irving Refinery 138 TS</t>
  </si>
  <si>
    <t>NB_5419_ISS</t>
  </si>
  <si>
    <t>NB_5404_ISS</t>
  </si>
  <si>
    <t>NB_5209_ISS</t>
  </si>
  <si>
    <t>NB_5106_ISS</t>
  </si>
  <si>
    <t>NB_5301_ISS</t>
  </si>
  <si>
    <t>Frasers Plaster Rock SS 5106</t>
  </si>
  <si>
    <t>NB_5105_ISS</t>
  </si>
  <si>
    <t>Bathurst West SWS/SS 4401</t>
  </si>
  <si>
    <t>St. George St SS 6553</t>
  </si>
  <si>
    <t>NB_6553_DSS</t>
  </si>
  <si>
    <t>NB_6407_DSS</t>
  </si>
  <si>
    <t>Atholville SS 6407</t>
  </si>
  <si>
    <t>XX_NBUS4_INT</t>
  </si>
  <si>
    <t>INT Madawaska</t>
  </si>
  <si>
    <t>L1236</t>
  </si>
  <si>
    <t>Tinker GS</t>
  </si>
  <si>
    <t>NB_TNK_GSS</t>
  </si>
  <si>
    <t>INT Tinker North</t>
  </si>
  <si>
    <t>L6904</t>
  </si>
  <si>
    <t>L6901</t>
  </si>
  <si>
    <t>INT Tinker South</t>
  </si>
  <si>
    <t>XX_NBUS7_INT</t>
  </si>
  <si>
    <t>INT Beechwood</t>
  </si>
  <si>
    <t>XX_NBUS6_INT</t>
  </si>
  <si>
    <t>XX_NBUS5_INT</t>
  </si>
  <si>
    <t>INT Lepreau</t>
  </si>
  <si>
    <t>INT Milltown</t>
  </si>
  <si>
    <t>L0106</t>
  </si>
  <si>
    <t>Musquash Pumping Station 5208</t>
  </si>
  <si>
    <t>NB_5208_SUB</t>
  </si>
  <si>
    <t>Belledune Fert. SS 5406</t>
  </si>
  <si>
    <t>NB_5406_ISS</t>
  </si>
  <si>
    <t>Edmundston Energy</t>
  </si>
  <si>
    <t>Black start power</t>
  </si>
  <si>
    <t>Fraser Papers (Edmundston Pulp Mill)</t>
  </si>
  <si>
    <t>Presumed connected to Edmundston North Substation 6397</t>
  </si>
  <si>
    <t>Presumed connected to Edmundston North Substation 6398</t>
  </si>
  <si>
    <t>Presumed connected to Edmundston North Substation 6399</t>
  </si>
  <si>
    <t xml:space="preserve">Grandview GS is internal to the Irving Refinery </t>
  </si>
  <si>
    <t>Dalhousie GS decommissioned.</t>
  </si>
  <si>
    <t>Musquash GS decommissioned.</t>
  </si>
  <si>
    <t>L0037</t>
  </si>
  <si>
    <t>NB_6222_ISS</t>
  </si>
  <si>
    <t>Midway across Northumberland Strait</t>
  </si>
  <si>
    <t>IPT Amherst</t>
  </si>
  <si>
    <t>IPT Church St</t>
  </si>
  <si>
    <t>IPT Madawaska</t>
  </si>
  <si>
    <t>IPT Matapédia</t>
  </si>
  <si>
    <t>IPT Onslow</t>
  </si>
  <si>
    <t>IPT Richmond Cove</t>
  </si>
  <si>
    <t>NS-NB Border</t>
  </si>
  <si>
    <t>QB-NB Border</t>
  </si>
  <si>
    <t>NB-PE Border</t>
  </si>
  <si>
    <t>NB-US Border</t>
  </si>
  <si>
    <t>INT Keswick</t>
  </si>
  <si>
    <t>TransCanada Energy. 2019. Grandview Cogeneration Plant</t>
  </si>
  <si>
    <t>NB_BAYS00_GEN</t>
  </si>
  <si>
    <t>NB_BELL00_GEN</t>
  </si>
  <si>
    <t>NB_CRBO00_GEN</t>
  </si>
  <si>
    <t>NB_MADA00_GEN</t>
  </si>
  <si>
    <t>NB_SFLS00_GEN</t>
  </si>
  <si>
    <t>NB_TWNR00_GEN</t>
  </si>
  <si>
    <t>NB_ATHO00_GEN</t>
  </si>
  <si>
    <t>NB_GMAN00_GEN</t>
  </si>
  <si>
    <t>NB_STJO00_GEN</t>
  </si>
  <si>
    <t>NB_KNTH00_GEN</t>
  </si>
  <si>
    <t>NB_WSKL00_GEN</t>
  </si>
  <si>
    <t>NB_LMEQ00_GEN</t>
  </si>
  <si>
    <t>NB_MLTN00_GEN</t>
  </si>
  <si>
    <t>NB_NPSG00_GEN</t>
  </si>
  <si>
    <t>NB_PLPR00_GEN</t>
  </si>
  <si>
    <t>NB_PLPD00_GEN</t>
  </si>
  <si>
    <t>NB_SSON00_GEN</t>
  </si>
  <si>
    <t>NB_NACK00_GEN</t>
  </si>
  <si>
    <t>NB_SGRG00_GEN</t>
  </si>
  <si>
    <t>NB_SROS00_GEN</t>
  </si>
  <si>
    <t>NB_TINK00_GEN</t>
  </si>
  <si>
    <t>Canada Energy Regulator</t>
  </si>
  <si>
    <t>International Power Lines Dashboard</t>
  </si>
  <si>
    <t>https://www.cer-rec.gc.ca/en/data-analysis/facilities-we-regulate/international-power-lines-dashboard/index.html</t>
  </si>
  <si>
    <t>Canada</t>
  </si>
  <si>
    <t>CONTRACTED - NBPower-MECL</t>
  </si>
  <si>
    <t>PP_NBPE100_GEN</t>
  </si>
  <si>
    <t>Edmundston</t>
  </si>
  <si>
    <t>gasCC</t>
  </si>
  <si>
    <t>gasSC</t>
  </si>
  <si>
    <t>This is a simplification. See reference map.</t>
  </si>
  <si>
    <t>biomass</t>
  </si>
  <si>
    <t>Existing Facility</t>
  </si>
  <si>
    <t>Annual Generation</t>
  </si>
  <si>
    <t>Annual Pumping</t>
  </si>
  <si>
    <t>Design Flow (Pumping)</t>
  </si>
  <si>
    <t>Generation Duration to Empty Reservoir</t>
  </si>
  <si>
    <t>Pumping Duration to Fill Reservoir</t>
  </si>
  <si>
    <t>Overnight Capital Cost</t>
  </si>
  <si>
    <t>Annual Fixed O&amp;M</t>
  </si>
  <si>
    <t>Variable Cost</t>
  </si>
  <si>
    <t>Annualized
Variable O&amp;M</t>
  </si>
  <si>
    <t>Levelized Cost of Capacity</t>
  </si>
  <si>
    <t>(GWh/y)</t>
  </si>
  <si>
    <t>($2021M)</t>
  </si>
  <si>
    <t>($2021M/year)</t>
  </si>
  <si>
    <t>($2021/kW-year)</t>
  </si>
  <si>
    <t>NB_GFL00_STO</t>
  </si>
  <si>
    <t>Reservoir to Reservoir</t>
  </si>
  <si>
    <t>$690M total in-service project cost in $2017</t>
  </si>
  <si>
    <t>All projects assumed to be connected to the provincial or territorial transmission system</t>
  </si>
  <si>
    <t>Assume installed capacity is all dependable capacity, though this should be verified with new studies.</t>
  </si>
  <si>
    <t>Annual generation based on 8 hours per day generation, unless otherwise provided</t>
  </si>
  <si>
    <t>Annual pumping estimated at 125% of annual generation, unless otherwise provided</t>
  </si>
  <si>
    <t>Assume a Capital Overhead rate of 2% of total capital costs (inclusive of contingencies, as they are above) based on BC Hydro rate of 1.77%</t>
  </si>
  <si>
    <t>Assume IDC rate of 4% real</t>
  </si>
  <si>
    <t>Assume pumped storage facilities have an economic life of 70 years</t>
  </si>
  <si>
    <t>Assume a discount rate of 5% real</t>
  </si>
  <si>
    <t>Water Rental assumed to be $0/MWh (i.e., not applied to pumped storage)</t>
  </si>
  <si>
    <t>Water Type</t>
  </si>
  <si>
    <t>Cycle Type</t>
  </si>
  <si>
    <t>Storage Type</t>
  </si>
  <si>
    <t>Open</t>
  </si>
  <si>
    <t>Assume extended to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</si>
</sst>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#,##0.000000"/>
    <numFmt numFmtId="166" formatCode="#,##0.0000"/>
    <numFmt numFmtId="167" formatCode="#,##0.0"/>
    <numFmt numFmtId="168" formatCode="#,##0.0000000000"/>
  </numFmts>
  <fonts count="3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  <font>
      <sz val="14"/>
      <name val="Calibri"/>
      <family val="2"/>
    </font>
    <font>
      <sz val="14"/>
      <color rgb="FF000000"/>
      <name val="Calibri"/>
      <family val="2"/>
    </font>
    <font>
      <sz val="14"/>
      <color theme="1"/>
      <name val="Calibri (Body)"/>
    </font>
    <font>
      <b/>
      <sz val="14"/>
      <color rgb="FFFF0000"/>
      <name val="Calibri"/>
      <family val="2"/>
      <scheme val="minor"/>
    </font>
    <font>
      <sz val="14"/>
      <color theme="1"/>
      <name val="Helvetic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FA7D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gray125">
        <fgColor theme="0" tint="-0.149967955565050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2F75B5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5">
    <xf numFmtId="3" fontId="0" fillId="0" borderId="0">
      <alignment horizontal="right" vertical="center"/>
    </xf>
    <xf numFmtId="0" fontId="8" fillId="0" borderId="0"/>
    <xf numFmtId="0" fontId="5" fillId="0" borderId="0" applyNumberFormat="0" applyFill="0" applyBorder="0" applyAlignment="0" applyProtection="0"/>
    <xf numFmtId="1" fontId="31" fillId="0" borderId="9">
      <alignment horizontal="center" vertical="center" wrapText="1"/>
    </xf>
    <xf numFmtId="1" fontId="16" fillId="11" borderId="9">
      <alignment horizontal="center" vertical="center"/>
    </xf>
    <xf numFmtId="0" fontId="16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2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6" fillId="17" borderId="4" applyNumberFormat="0" applyAlignment="0" applyProtection="0"/>
    <xf numFmtId="0" fontId="27" fillId="18" borderId="5" applyNumberFormat="0" applyAlignment="0" applyProtection="0"/>
    <xf numFmtId="0" fontId="28" fillId="0" borderId="6" applyNumberFormat="0" applyFill="0" applyAlignment="0" applyProtection="0"/>
    <xf numFmtId="0" fontId="4" fillId="44" borderId="0" applyNumberFormat="0" applyAlignment="0" applyProtection="0"/>
    <xf numFmtId="0" fontId="18" fillId="19" borderId="7" applyNumberFormat="0" applyFont="0" applyAlignment="0" applyProtection="0"/>
    <xf numFmtId="0" fontId="29" fillId="0" borderId="0" applyNumberFormat="0" applyFill="0" applyBorder="0" applyAlignment="0" applyProtection="0"/>
    <xf numFmtId="0" fontId="2" fillId="0" borderId="8" applyNumberFormat="0" applyFill="0" applyAlignment="0" applyProtection="0"/>
    <xf numFmtId="0" fontId="3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0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30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10" fontId="32" fillId="0" borderId="9">
      <alignment horizontal="right" vertical="center"/>
    </xf>
    <xf numFmtId="0" fontId="13" fillId="0" borderId="9">
      <alignment horizontal="left" vertical="center" wrapText="1"/>
    </xf>
    <xf numFmtId="0" fontId="13" fillId="0" borderId="9">
      <alignment horizontal="center" vertical="center" wrapText="1"/>
    </xf>
    <xf numFmtId="3" fontId="3" fillId="0" borderId="0">
      <alignment horizontal="left" vertical="center"/>
    </xf>
    <xf numFmtId="0" fontId="5" fillId="0" borderId="0" applyNumberFormat="0" applyFill="0" applyBorder="0" applyAlignment="0" applyProtection="0"/>
    <xf numFmtId="3" fontId="8" fillId="0" borderId="9">
      <alignment horizontal="right" vertical="center"/>
    </xf>
    <xf numFmtId="0" fontId="4" fillId="0" borderId="0">
      <alignment vertical="center"/>
    </xf>
    <xf numFmtId="0" fontId="13" fillId="0" borderId="9">
      <alignment horizontal="right" vertical="center" wrapText="1"/>
    </xf>
    <xf numFmtId="165" fontId="8" fillId="0" borderId="9">
      <alignment horizontal="right" vertical="center"/>
    </xf>
    <xf numFmtId="3" fontId="3" fillId="0" borderId="9">
      <alignment horizontal="left" vertical="center"/>
    </xf>
    <xf numFmtId="4" fontId="8" fillId="0" borderId="9">
      <alignment horizontal="right" vertical="center"/>
    </xf>
    <xf numFmtId="0" fontId="4" fillId="0" borderId="0">
      <alignment horizontal="left" vertical="center"/>
    </xf>
    <xf numFmtId="10" fontId="8" fillId="0" borderId="9">
      <alignment vertical="center"/>
    </xf>
    <xf numFmtId="4" fontId="16" fillId="11" borderId="9">
      <alignment vertical="center"/>
    </xf>
    <xf numFmtId="166" fontId="8" fillId="0" borderId="9">
      <alignment horizontal="right" vertical="center"/>
    </xf>
    <xf numFmtId="167" fontId="8" fillId="0" borderId="9">
      <alignment horizontal="right" vertical="center"/>
    </xf>
    <xf numFmtId="1" fontId="8" fillId="0" borderId="9">
      <alignment horizontal="right" vertical="center"/>
    </xf>
    <xf numFmtId="0" fontId="4" fillId="0" borderId="0">
      <alignment vertical="center"/>
    </xf>
    <xf numFmtId="3" fontId="8" fillId="0" borderId="9">
      <alignment horizontal="right" vertical="center"/>
    </xf>
    <xf numFmtId="1" fontId="16" fillId="11" borderId="9">
      <alignment vertical="center"/>
    </xf>
    <xf numFmtId="2" fontId="16" fillId="11" borderId="9">
      <alignment vertical="center"/>
    </xf>
    <xf numFmtId="10" fontId="8" fillId="0" borderId="9" applyFill="0" applyAlignment="0" applyProtection="0"/>
    <xf numFmtId="0" fontId="13" fillId="0" borderId="9">
      <alignment horizontal="left" vertical="center" wrapText="1"/>
    </xf>
    <xf numFmtId="0" fontId="13" fillId="0" borderId="9">
      <alignment horizontal="center" vertical="center" wrapText="1"/>
    </xf>
    <xf numFmtId="168" fontId="8" fillId="0" borderId="9">
      <alignment horizontal="right" vertical="center"/>
    </xf>
  </cellStyleXfs>
  <cellXfs count="279">
    <xf numFmtId="3" fontId="0" fillId="0" borderId="0" xfId="0">
      <alignment horizontal="right" vertical="center"/>
    </xf>
    <xf numFmtId="0" fontId="2" fillId="0" borderId="0" xfId="1" applyFont="1" applyAlignment="1">
      <alignment horizontal="center" vertical="center" wrapText="1"/>
    </xf>
    <xf numFmtId="0" fontId="8" fillId="0" borderId="0" xfId="1"/>
    <xf numFmtId="0" fontId="2" fillId="0" borderId="0" xfId="1" applyFont="1" applyAlignment="1">
      <alignment horizontal="center"/>
    </xf>
    <xf numFmtId="1" fontId="8" fillId="0" borderId="0" xfId="1" applyNumberFormat="1"/>
    <xf numFmtId="0" fontId="8" fillId="0" borderId="0" xfId="1" applyAlignment="1">
      <alignment horizontal="center"/>
    </xf>
    <xf numFmtId="1" fontId="6" fillId="0" borderId="0" xfId="3" applyFont="1" applyBorder="1" applyAlignment="1">
      <alignment horizontal="left" vertical="top" wrapText="1"/>
    </xf>
    <xf numFmtId="1" fontId="6" fillId="0" borderId="0" xfId="3" applyFont="1" applyBorder="1" applyAlignment="1">
      <alignment horizontal="center" vertical="top" wrapText="1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 vertical="center"/>
    </xf>
    <xf numFmtId="3" fontId="0" fillId="0" borderId="0" xfId="0" applyAlignment="1"/>
    <xf numFmtId="1" fontId="13" fillId="0" borderId="0" xfId="3" applyFont="1" applyBorder="1" applyAlignment="1">
      <alignment horizontal="left" vertical="top" wrapText="1"/>
    </xf>
    <xf numFmtId="1" fontId="13" fillId="0" borderId="0" xfId="3" applyFont="1" applyBorder="1" applyAlignment="1">
      <alignment horizontal="center" vertical="top" wrapText="1"/>
    </xf>
    <xf numFmtId="3" fontId="8" fillId="0" borderId="0" xfId="0" applyFont="1" applyAlignment="1"/>
    <xf numFmtId="3" fontId="0" fillId="0" borderId="0" xfId="0" applyFill="1">
      <alignment horizontal="right" vertical="center"/>
    </xf>
    <xf numFmtId="0" fontId="1" fillId="0" borderId="0" xfId="1" applyFont="1"/>
    <xf numFmtId="3" fontId="1" fillId="0" borderId="0" xfId="0" applyFont="1">
      <alignment horizontal="right" vertical="center"/>
    </xf>
    <xf numFmtId="1" fontId="31" fillId="0" borderId="9" xfId="3">
      <alignment horizontal="center" vertical="center" wrapText="1"/>
    </xf>
    <xf numFmtId="0" fontId="13" fillId="0" borderId="9" xfId="51">
      <alignment horizontal="left" vertical="center" wrapText="1"/>
    </xf>
    <xf numFmtId="0" fontId="13" fillId="8" borderId="9" xfId="52" applyFill="1">
      <alignment horizontal="center" vertical="center" wrapText="1"/>
    </xf>
    <xf numFmtId="0" fontId="13" fillId="9" borderId="9" xfId="52" applyFill="1">
      <alignment horizontal="center" vertical="center" wrapText="1"/>
    </xf>
    <xf numFmtId="3" fontId="3" fillId="0" borderId="0" xfId="53">
      <alignment horizontal="left" vertical="center"/>
    </xf>
    <xf numFmtId="0" fontId="13" fillId="45" borderId="9" xfId="52" applyFill="1">
      <alignment horizontal="center" vertical="center" wrapText="1"/>
    </xf>
    <xf numFmtId="1" fontId="31" fillId="4" borderId="9" xfId="3" applyFill="1">
      <alignment horizontal="center" vertical="center" wrapText="1"/>
    </xf>
    <xf numFmtId="0" fontId="3" fillId="0" borderId="0" xfId="1" applyFont="1" applyAlignment="1">
      <alignment horizontal="left" wrapText="1"/>
    </xf>
    <xf numFmtId="0" fontId="1" fillId="0" borderId="0" xfId="1" applyFont="1" applyAlignment="1">
      <alignment horizontal="center"/>
    </xf>
    <xf numFmtId="0" fontId="4" fillId="0" borderId="0" xfId="1" applyFont="1"/>
    <xf numFmtId="3" fontId="0" fillId="0" borderId="0" xfId="0" applyAlignment="1">
      <alignment horizontal="center"/>
    </xf>
    <xf numFmtId="0" fontId="1" fillId="0" borderId="0" xfId="1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3" fontId="2" fillId="0" borderId="0" xfId="0" applyFont="1" applyAlignment="1">
      <alignment horizontal="center"/>
    </xf>
    <xf numFmtId="3" fontId="6" fillId="0" borderId="0" xfId="0" applyFont="1" applyAlignment="1">
      <alignment horizontal="left" vertical="top" wrapText="1"/>
    </xf>
    <xf numFmtId="3" fontId="0" fillId="0" borderId="0" xfId="0">
      <alignment horizontal="right" vertical="center"/>
    </xf>
    <xf numFmtId="1" fontId="7" fillId="0" borderId="0" xfId="0" applyNumberFormat="1" applyFont="1" applyAlignment="1">
      <alignment horizontal="right" vertical="top" shrinkToFit="1"/>
    </xf>
    <xf numFmtId="0" fontId="12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3" fontId="7" fillId="0" borderId="0" xfId="0" applyFont="1" applyAlignment="1">
      <alignment horizontal="right" vertical="top" shrinkToFit="1"/>
    </xf>
    <xf numFmtId="3" fontId="6" fillId="0" borderId="0" xfId="0" applyFont="1" applyAlignment="1">
      <alignment horizontal="right" vertical="top" wrapText="1"/>
    </xf>
    <xf numFmtId="0" fontId="8" fillId="0" borderId="0" xfId="1" applyAlignment="1">
      <alignment horizontal="right" vertical="center"/>
    </xf>
    <xf numFmtId="3" fontId="8" fillId="0" borderId="0" xfId="0" applyFont="1">
      <alignment horizontal="right" vertical="center"/>
    </xf>
    <xf numFmtId="0" fontId="8" fillId="0" borderId="0" xfId="1" applyAlignment="1">
      <alignment horizontal="center" vertical="center"/>
    </xf>
    <xf numFmtId="1" fontId="14" fillId="0" borderId="0" xfId="0" applyNumberFormat="1" applyFont="1" applyAlignment="1">
      <alignment horizontal="right" vertical="top" shrinkToFit="1"/>
    </xf>
    <xf numFmtId="3" fontId="8" fillId="0" borderId="0" xfId="0" applyFont="1" applyAlignment="1">
      <alignment horizontal="center"/>
    </xf>
    <xf numFmtId="3" fontId="13" fillId="0" borderId="0" xfId="0" applyFont="1" applyAlignment="1">
      <alignment horizontal="center" vertical="top" wrapText="1"/>
    </xf>
    <xf numFmtId="3" fontId="6" fillId="0" borderId="0" xfId="0" applyFont="1" applyAlignment="1">
      <alignment horizontal="center" vertical="top" wrapText="1"/>
    </xf>
    <xf numFmtId="2" fontId="7" fillId="0" borderId="0" xfId="0" applyNumberFormat="1" applyFont="1" applyAlignment="1">
      <alignment horizontal="right" vertical="top" shrinkToFit="1"/>
    </xf>
    <xf numFmtId="164" fontId="7" fillId="0" borderId="0" xfId="0" applyNumberFormat="1" applyFont="1" applyAlignment="1">
      <alignment horizontal="right" vertical="top" shrinkToFit="1"/>
    </xf>
    <xf numFmtId="0" fontId="13" fillId="0" borderId="9" xfId="52">
      <alignment horizontal="center" vertical="center" wrapText="1"/>
    </xf>
    <xf numFmtId="3" fontId="4" fillId="0" borderId="0" xfId="0" applyFont="1">
      <alignment horizontal="right" vertical="center"/>
    </xf>
    <xf numFmtId="3" fontId="0" fillId="0" borderId="0" xfId="0" applyAlignment="1">
      <alignment horizontal="center"/>
    </xf>
    <xf numFmtId="3" fontId="8" fillId="0" borderId="0" xfId="0" applyFont="1">
      <alignment horizontal="right" vertical="center"/>
    </xf>
    <xf numFmtId="3" fontId="8" fillId="3" borderId="0" xfId="0" applyFont="1" applyFill="1">
      <alignment horizontal="right" vertical="center"/>
    </xf>
    <xf numFmtId="3" fontId="0" fillId="0" borderId="0" xfId="0">
      <alignment horizontal="right" vertical="center"/>
    </xf>
    <xf numFmtId="3" fontId="10" fillId="0" borderId="0" xfId="0" applyFont="1">
      <alignment horizontal="right" vertical="center"/>
    </xf>
    <xf numFmtId="3" fontId="10" fillId="0" borderId="0" xfId="0" applyFont="1" applyAlignment="1">
      <alignment horizontal="right"/>
    </xf>
    <xf numFmtId="3" fontId="10" fillId="0" borderId="0" xfId="0" applyFont="1" applyAlignment="1">
      <alignment horizontal="center"/>
    </xf>
    <xf numFmtId="4" fontId="10" fillId="0" borderId="0" xfId="0" applyNumberFormat="1" applyFont="1">
      <alignment horizontal="right" vertical="center"/>
    </xf>
    <xf numFmtId="3" fontId="10" fillId="0" borderId="0" xfId="0" applyFont="1">
      <alignment horizontal="right" vertical="center"/>
    </xf>
    <xf numFmtId="3" fontId="10" fillId="0" borderId="0" xfId="0" applyFont="1">
      <alignment horizontal="right" vertical="center"/>
    </xf>
    <xf numFmtId="4" fontId="10" fillId="0" borderId="0" xfId="0" applyNumberFormat="1" applyFont="1">
      <alignment horizontal="right" vertical="center"/>
    </xf>
    <xf numFmtId="10" fontId="0" fillId="0" borderId="0" xfId="0" applyNumberFormat="1">
      <alignment horizontal="right" vertical="center"/>
    </xf>
    <xf numFmtId="164" fontId="17" fillId="0" borderId="0" xfId="0" applyNumberFormat="1" applyFont="1">
      <alignment horizontal="right" vertical="center"/>
    </xf>
    <xf numFmtId="3" fontId="0" fillId="0" borderId="0" xfId="0" applyAlignment="1">
      <alignment horizontal="right"/>
    </xf>
    <xf numFmtId="1" fontId="8" fillId="0" borderId="0" xfId="0" applyNumberFormat="1" applyFont="1">
      <alignment horizontal="right" vertical="center"/>
    </xf>
    <xf numFmtId="3" fontId="15" fillId="0" borderId="0" xfId="0" applyFont="1">
      <alignment horizontal="right" vertical="center"/>
    </xf>
    <xf numFmtId="3" fontId="8" fillId="2" borderId="0" xfId="0" applyFont="1" applyFill="1" applyAlignment="1"/>
    <xf numFmtId="3" fontId="8" fillId="4" borderId="0" xfId="0" applyFont="1" applyFill="1" applyAlignment="1"/>
    <xf numFmtId="3" fontId="8" fillId="3" borderId="0" xfId="0" applyFont="1" applyFill="1" applyAlignment="1"/>
    <xf numFmtId="3" fontId="8" fillId="0" borderId="9" xfId="55">
      <alignment horizontal="right" vertical="center"/>
    </xf>
    <xf numFmtId="0" fontId="4" fillId="0" borderId="0" xfId="56">
      <alignment vertical="center"/>
    </xf>
    <xf numFmtId="3" fontId="8" fillId="9" borderId="9" xfId="55" applyFill="1">
      <alignment horizontal="right" vertical="center"/>
    </xf>
    <xf numFmtId="3" fontId="8" fillId="6" borderId="9" xfId="55" applyFill="1">
      <alignment horizontal="right" vertical="center"/>
    </xf>
    <xf numFmtId="3" fontId="8" fillId="8" borderId="9" xfId="55" applyFill="1">
      <alignment horizontal="right" vertical="center"/>
    </xf>
    <xf numFmtId="1" fontId="31" fillId="0" borderId="9" xfId="3" quotePrefix="1">
      <alignment horizontal="center" vertical="center" wrapText="1"/>
    </xf>
    <xf numFmtId="0" fontId="13" fillId="9" borderId="9" xfId="51" applyFill="1">
      <alignment horizontal="left" vertical="center" wrapText="1"/>
    </xf>
    <xf numFmtId="3" fontId="8" fillId="7" borderId="9" xfId="55" applyFill="1">
      <alignment horizontal="right" vertical="center"/>
    </xf>
    <xf numFmtId="0" fontId="13" fillId="0" borderId="9" xfId="57">
      <alignment horizontal="right" vertical="center" wrapText="1"/>
    </xf>
    <xf numFmtId="0" fontId="13" fillId="0" borderId="11" xfId="57" applyBorder="1">
      <alignment horizontal="right" vertical="center" wrapText="1"/>
    </xf>
    <xf numFmtId="0" fontId="13" fillId="0" borderId="11" xfId="52" applyBorder="1">
      <alignment horizontal="center" vertical="center" wrapText="1"/>
    </xf>
    <xf numFmtId="0" fontId="13" fillId="0" borderId="10" xfId="52" applyBorder="1">
      <alignment horizontal="center" vertical="center" wrapText="1"/>
    </xf>
    <xf numFmtId="10" fontId="32" fillId="0" borderId="9" xfId="50">
      <alignment horizontal="right" vertical="center"/>
    </xf>
    <xf numFmtId="2" fontId="14" fillId="0" borderId="0" xfId="0" applyNumberFormat="1" applyFont="1" applyAlignment="1">
      <alignment horizontal="right" vertical="top" shrinkToFit="1"/>
    </xf>
    <xf numFmtId="3" fontId="13" fillId="0" borderId="0" xfId="0" applyFont="1" applyAlignment="1">
      <alignment horizontal="center" vertical="top"/>
    </xf>
    <xf numFmtId="1" fontId="31" fillId="0" borderId="9" xfId="3" applyFill="1">
      <alignment horizontal="center" vertical="center" wrapText="1"/>
    </xf>
    <xf numFmtId="3" fontId="8" fillId="0" borderId="10" xfId="55" applyBorder="1">
      <alignment horizontal="right" vertical="center"/>
    </xf>
    <xf numFmtId="3" fontId="8" fillId="12" borderId="9" xfId="55" applyFill="1">
      <alignment horizontal="right" vertical="center"/>
    </xf>
    <xf numFmtId="3" fontId="8" fillId="12" borderId="10" xfId="55" applyFill="1" applyBorder="1">
      <alignment horizontal="right" vertical="center"/>
    </xf>
    <xf numFmtId="3" fontId="8" fillId="12" borderId="11" xfId="55" applyFill="1" applyBorder="1">
      <alignment horizontal="right" vertical="center"/>
    </xf>
    <xf numFmtId="10" fontId="32" fillId="9" borderId="9" xfId="50" applyFill="1" applyAlignment="1">
      <alignment horizontal="center" vertical="center"/>
    </xf>
    <xf numFmtId="10" fontId="32" fillId="8" borderId="9" xfId="50" applyFill="1" applyAlignment="1">
      <alignment horizontal="center" vertical="center"/>
    </xf>
    <xf numFmtId="0" fontId="13" fillId="6" borderId="9" xfId="51" applyFill="1">
      <alignment horizontal="left" vertical="center" wrapText="1"/>
    </xf>
    <xf numFmtId="1" fontId="16" fillId="11" borderId="9" xfId="4">
      <alignment horizontal="center" vertical="center"/>
    </xf>
    <xf numFmtId="3" fontId="11" fillId="0" borderId="0" xfId="0" applyFont="1">
      <alignment horizontal="right" vertical="center"/>
    </xf>
    <xf numFmtId="0" fontId="8" fillId="0" borderId="0" xfId="1" applyFill="1"/>
    <xf numFmtId="0" fontId="13" fillId="0" borderId="9" xfId="51" applyFill="1">
      <alignment horizontal="left" vertical="center" wrapText="1"/>
    </xf>
    <xf numFmtId="3" fontId="8" fillId="0" borderId="0" xfId="0" applyFont="1" applyFill="1">
      <alignment horizontal="right" vertical="center"/>
    </xf>
    <xf numFmtId="0" fontId="8" fillId="0" borderId="0" xfId="1" applyFill="1" applyAlignment="1">
      <alignment horizontal="center" vertical="center"/>
    </xf>
    <xf numFmtId="3" fontId="8" fillId="0" borderId="9" xfId="55" applyFill="1">
      <alignment horizontal="right" vertical="center"/>
    </xf>
    <xf numFmtId="0" fontId="13" fillId="0" borderId="9" xfId="52" applyFill="1">
      <alignment horizontal="center" vertical="center" wrapText="1"/>
    </xf>
    <xf numFmtId="0" fontId="13" fillId="46" borderId="9" xfId="52" applyFill="1">
      <alignment horizontal="center" vertical="center" wrapText="1"/>
    </xf>
    <xf numFmtId="3" fontId="8" fillId="46" borderId="9" xfId="55" applyFill="1">
      <alignment horizontal="right" vertical="center"/>
    </xf>
    <xf numFmtId="0" fontId="13" fillId="8" borderId="9" xfId="51" applyFill="1">
      <alignment horizontal="left" vertical="center" wrapText="1"/>
    </xf>
    <xf numFmtId="3" fontId="8" fillId="13" borderId="9" xfId="55" applyFill="1">
      <alignment horizontal="right" vertical="center"/>
    </xf>
    <xf numFmtId="0" fontId="13" fillId="13" borderId="9" xfId="52" applyFill="1">
      <alignment horizontal="center" vertical="center" wrapText="1"/>
    </xf>
    <xf numFmtId="0" fontId="1" fillId="0" borderId="0" xfId="1" applyFont="1" applyFill="1"/>
    <xf numFmtId="0" fontId="13" fillId="48" borderId="9" xfId="51" applyFill="1">
      <alignment horizontal="left" vertical="center" wrapText="1"/>
    </xf>
    <xf numFmtId="165" fontId="8" fillId="48" borderId="9" xfId="58" applyFill="1">
      <alignment horizontal="right" vertical="center"/>
    </xf>
    <xf numFmtId="165" fontId="8" fillId="0" borderId="9" xfId="58">
      <alignment horizontal="right" vertical="center"/>
    </xf>
    <xf numFmtId="165" fontId="8" fillId="0" borderId="9" xfId="58" applyFill="1">
      <alignment horizontal="right" vertical="center"/>
    </xf>
    <xf numFmtId="1" fontId="31" fillId="3" borderId="9" xfId="3" applyFill="1">
      <alignment horizontal="center" vertical="center" wrapText="1"/>
    </xf>
    <xf numFmtId="165" fontId="8" fillId="49" borderId="9" xfId="58" applyFill="1">
      <alignment horizontal="right" vertical="center"/>
    </xf>
    <xf numFmtId="3" fontId="8" fillId="0" borderId="11" xfId="55" applyBorder="1">
      <alignment horizontal="right" vertical="center"/>
    </xf>
    <xf numFmtId="0" fontId="13" fillId="0" borderId="9" xfId="52" applyBorder="1">
      <alignment horizontal="center" vertical="center" wrapText="1"/>
    </xf>
    <xf numFmtId="3" fontId="8" fillId="0" borderId="9" xfId="55" applyBorder="1">
      <alignment horizontal="right" vertical="center"/>
    </xf>
    <xf numFmtId="3" fontId="8" fillId="12" borderId="9" xfId="55" applyFill="1" applyBorder="1">
      <alignment horizontal="right" vertical="center"/>
    </xf>
    <xf numFmtId="0" fontId="8" fillId="0" borderId="0" xfId="1" applyFill="1" applyAlignment="1">
      <alignment horizontal="center"/>
    </xf>
    <xf numFmtId="3" fontId="13" fillId="0" borderId="0" xfId="0" applyFont="1" applyFill="1" applyAlignment="1">
      <alignment horizontal="center" vertical="top" wrapText="1"/>
    </xf>
    <xf numFmtId="3" fontId="6" fillId="0" borderId="0" xfId="0" applyFont="1" applyFill="1" applyAlignment="1">
      <alignment horizontal="center" vertical="top" wrapText="1"/>
    </xf>
    <xf numFmtId="3" fontId="13" fillId="0" borderId="0" xfId="0" applyFont="1" applyFill="1" applyAlignment="1">
      <alignment horizontal="center" vertical="top"/>
    </xf>
    <xf numFmtId="0" fontId="13" fillId="48" borderId="9" xfId="52" applyFill="1">
      <alignment horizontal="center" vertical="center" wrapText="1"/>
    </xf>
    <xf numFmtId="3" fontId="0" fillId="0" borderId="0" xfId="0" applyAlignment="1">
      <alignment horizontal="right" vertical="center" wrapText="1"/>
    </xf>
    <xf numFmtId="3" fontId="3" fillId="0" borderId="9" xfId="59">
      <alignment horizontal="left" vertical="center"/>
    </xf>
    <xf numFmtId="4" fontId="8" fillId="9" borderId="9" xfId="60" applyFill="1">
      <alignment horizontal="right" vertical="center"/>
    </xf>
    <xf numFmtId="4" fontId="8" fillId="0" borderId="9" xfId="60" applyFill="1">
      <alignment horizontal="right" vertical="center"/>
    </xf>
    <xf numFmtId="4" fontId="8" fillId="0" borderId="9" xfId="60">
      <alignment horizontal="right" vertical="center"/>
    </xf>
    <xf numFmtId="4" fontId="8" fillId="6" borderId="9" xfId="60" applyFill="1">
      <alignment horizontal="right" vertical="center"/>
    </xf>
    <xf numFmtId="3" fontId="10" fillId="0" borderId="0" xfId="0" applyFont="1" applyFill="1">
      <alignment horizontal="right" vertical="center"/>
    </xf>
    <xf numFmtId="0" fontId="4" fillId="0" borderId="0" xfId="61">
      <alignment horizontal="left" vertical="center"/>
    </xf>
    <xf numFmtId="10" fontId="8" fillId="0" borderId="9" xfId="62" applyAlignment="1">
      <alignment horizontal="right" vertical="center"/>
    </xf>
    <xf numFmtId="4" fontId="16" fillId="0" borderId="9" xfId="63" applyFill="1">
      <alignment vertical="center"/>
    </xf>
    <xf numFmtId="3" fontId="1" fillId="0" borderId="0" xfId="0" applyFont="1" applyAlignment="1"/>
    <xf numFmtId="0" fontId="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/>
    </xf>
    <xf numFmtId="3" fontId="3" fillId="4" borderId="9" xfId="59" applyFill="1">
      <alignment horizontal="left" vertical="center"/>
    </xf>
    <xf numFmtId="1" fontId="31" fillId="0" borderId="9" xfId="0" applyNumberFormat="1" applyFont="1" applyBorder="1" applyAlignment="1">
      <alignment horizontal="center" vertical="center" wrapText="1"/>
    </xf>
    <xf numFmtId="3" fontId="3" fillId="4" borderId="0" xfId="53" applyFill="1">
      <alignment horizontal="left" vertical="center"/>
    </xf>
    <xf numFmtId="10" fontId="8" fillId="0" borderId="9" xfId="62" applyFill="1" applyAlignment="1">
      <alignment horizontal="right" vertical="center"/>
    </xf>
    <xf numFmtId="1" fontId="13" fillId="0" borderId="0" xfId="3" applyFont="1" applyBorder="1" applyAlignment="1">
      <alignment horizontal="left" vertical="top"/>
    </xf>
    <xf numFmtId="0" fontId="8" fillId="6" borderId="9" xfId="22" applyFont="1" applyFill="1" applyBorder="1" applyAlignment="1">
      <alignment horizontal="left" vertical="center" wrapText="1"/>
    </xf>
    <xf numFmtId="4" fontId="8" fillId="8" borderId="9" xfId="60" applyFill="1">
      <alignment horizontal="right" vertical="center"/>
    </xf>
    <xf numFmtId="1" fontId="16" fillId="11" borderId="9" xfId="4" applyBorder="1" applyAlignment="1">
      <alignment horizontal="center" vertical="center"/>
    </xf>
    <xf numFmtId="0" fontId="4" fillId="0" borderId="0" xfId="56" applyFill="1">
      <alignment vertical="center"/>
    </xf>
    <xf numFmtId="1" fontId="6" fillId="0" borderId="0" xfId="3" applyFont="1" applyFill="1" applyBorder="1" applyAlignment="1">
      <alignment horizontal="center" vertical="top" wrapText="1"/>
    </xf>
    <xf numFmtId="1" fontId="13" fillId="0" borderId="0" xfId="3" applyFont="1" applyFill="1" applyBorder="1" applyAlignment="1">
      <alignment horizontal="center" vertical="top" wrapText="1"/>
    </xf>
    <xf numFmtId="4" fontId="1" fillId="0" borderId="0" xfId="1" applyNumberFormat="1" applyFont="1" applyAlignment="1">
      <alignment horizontal="right" vertical="center"/>
    </xf>
    <xf numFmtId="0" fontId="4" fillId="0" borderId="0" xfId="61" applyAlignment="1">
      <alignment vertical="center"/>
    </xf>
    <xf numFmtId="3" fontId="3" fillId="2" borderId="0" xfId="53" applyFill="1">
      <alignment horizontal="left" vertical="center"/>
    </xf>
    <xf numFmtId="0" fontId="8" fillId="0" borderId="0" xfId="1" applyFill="1" applyAlignment="1">
      <alignment horizontal="right" vertical="center"/>
    </xf>
    <xf numFmtId="0" fontId="13" fillId="0" borderId="9" xfId="52" quotePrefix="1">
      <alignment horizontal="center" vertical="center" wrapText="1"/>
    </xf>
    <xf numFmtId="0" fontId="13" fillId="0" borderId="9" xfId="52" applyAlignment="1">
      <alignment horizontal="center" vertical="top" wrapText="1"/>
    </xf>
    <xf numFmtId="0" fontId="13" fillId="13" borderId="9" xfId="52" applyFill="1" applyAlignment="1">
      <alignment horizontal="center" vertical="top" wrapText="1"/>
    </xf>
    <xf numFmtId="3" fontId="3" fillId="0" borderId="0" xfId="0" applyFont="1" applyAlignment="1">
      <alignment horizontal="center"/>
    </xf>
    <xf numFmtId="1" fontId="8" fillId="0" borderId="0" xfId="1" applyNumberFormat="1" applyAlignment="1">
      <alignment horizontal="center"/>
    </xf>
    <xf numFmtId="49" fontId="15" fillId="0" borderId="0" xfId="1" applyNumberFormat="1" applyFont="1" applyAlignment="1">
      <alignment horizontal="left"/>
    </xf>
    <xf numFmtId="0" fontId="15" fillId="0" borderId="0" xfId="1" applyFont="1" applyAlignment="1">
      <alignment horizontal="left"/>
    </xf>
    <xf numFmtId="0" fontId="3" fillId="0" borderId="0" xfId="1" applyFont="1"/>
    <xf numFmtId="3" fontId="33" fillId="0" borderId="0" xfId="0" applyFont="1">
      <alignment horizontal="right" vertical="center"/>
    </xf>
    <xf numFmtId="0" fontId="13" fillId="8" borderId="9" xfId="51" applyFill="1" applyAlignment="1">
      <alignment horizontal="left" vertical="top" wrapText="1"/>
    </xf>
    <xf numFmtId="3" fontId="0" fillId="0" borderId="0" xfId="0">
      <alignment horizontal="right" vertical="center"/>
    </xf>
    <xf numFmtId="0" fontId="13" fillId="52" borderId="9" xfId="52" applyFill="1">
      <alignment horizontal="center" vertical="center" wrapText="1"/>
    </xf>
    <xf numFmtId="0" fontId="4" fillId="0" borderId="0" xfId="1" applyFont="1" applyFill="1"/>
    <xf numFmtId="4" fontId="1" fillId="0" borderId="0" xfId="1" applyNumberFormat="1" applyFont="1" applyFill="1" applyAlignment="1">
      <alignment horizontal="right" vertical="center"/>
    </xf>
    <xf numFmtId="0" fontId="1" fillId="0" borderId="0" xfId="1" applyFont="1" applyFill="1" applyAlignment="1">
      <alignment horizontal="right" vertical="center"/>
    </xf>
    <xf numFmtId="2" fontId="7" fillId="0" borderId="0" xfId="0" applyNumberFormat="1" applyFont="1" applyFill="1" applyAlignment="1">
      <alignment horizontal="right" vertical="top" shrinkToFit="1"/>
    </xf>
    <xf numFmtId="0" fontId="13" fillId="10" borderId="9" xfId="51" applyFill="1" applyAlignment="1">
      <alignment horizontal="left" vertical="top" wrapText="1"/>
    </xf>
    <xf numFmtId="0" fontId="13" fillId="7" borderId="9" xfId="51" applyFill="1" applyAlignment="1">
      <alignment horizontal="left" vertical="top" wrapText="1"/>
    </xf>
    <xf numFmtId="0" fontId="13" fillId="12" borderId="9" xfId="51" applyFill="1" applyAlignment="1">
      <alignment horizontal="left" vertical="top" wrapText="1"/>
    </xf>
    <xf numFmtId="0" fontId="13" fillId="9" borderId="9" xfId="51" applyFill="1" applyAlignment="1">
      <alignment horizontal="left" vertical="top" wrapText="1"/>
    </xf>
    <xf numFmtId="0" fontId="13" fillId="6" borderId="9" xfId="51" applyFill="1" applyAlignment="1">
      <alignment horizontal="left" vertical="top" wrapText="1"/>
    </xf>
    <xf numFmtId="0" fontId="13" fillId="5" borderId="9" xfId="51" applyFill="1" applyAlignment="1">
      <alignment horizontal="left" vertical="top" wrapText="1"/>
    </xf>
    <xf numFmtId="0" fontId="13" fillId="13" borderId="9" xfId="51" applyFill="1" applyAlignment="1">
      <alignment horizontal="left" vertical="top" wrapText="1"/>
    </xf>
    <xf numFmtId="0" fontId="13" fillId="46" borderId="9" xfId="51" applyFill="1" applyAlignment="1">
      <alignment horizontal="left" vertical="top" wrapText="1"/>
    </xf>
    <xf numFmtId="0" fontId="13" fillId="47" borderId="9" xfId="51" applyFill="1" applyAlignment="1">
      <alignment horizontal="left" vertical="top" wrapText="1"/>
    </xf>
    <xf numFmtId="0" fontId="13" fillId="50" borderId="9" xfId="51" applyFill="1" applyAlignment="1">
      <alignment horizontal="left" vertical="top" wrapText="1"/>
    </xf>
    <xf numFmtId="0" fontId="13" fillId="51" borderId="9" xfId="51" applyFill="1" applyAlignment="1">
      <alignment horizontal="left" vertical="top" wrapText="1"/>
    </xf>
    <xf numFmtId="0" fontId="13" fillId="48" borderId="9" xfId="51" applyFill="1" applyAlignment="1">
      <alignment horizontal="left" vertical="top" wrapText="1"/>
    </xf>
    <xf numFmtId="0" fontId="13" fillId="49" borderId="9" xfId="51" applyFill="1" applyAlignment="1">
      <alignment horizontal="left" vertical="top" wrapText="1"/>
    </xf>
    <xf numFmtId="0" fontId="13" fillId="52" borderId="9" xfId="51" applyFill="1" applyAlignment="1">
      <alignment horizontal="left" vertical="top" wrapText="1"/>
    </xf>
    <xf numFmtId="3" fontId="8" fillId="52" borderId="9" xfId="55" applyFill="1">
      <alignment horizontal="right" vertical="center"/>
    </xf>
    <xf numFmtId="0" fontId="32" fillId="53" borderId="9" xfId="0" applyNumberFormat="1" applyFont="1" applyFill="1" applyBorder="1" applyAlignment="1">
      <alignment horizontal="center" vertical="center" wrapText="1"/>
    </xf>
    <xf numFmtId="167" fontId="8" fillId="13" borderId="9" xfId="65" applyFill="1">
      <alignment horizontal="right" vertical="center"/>
    </xf>
    <xf numFmtId="3" fontId="0" fillId="0" borderId="0" xfId="0" applyAlignment="1">
      <alignment horizontal="right" vertical="center"/>
    </xf>
    <xf numFmtId="1" fontId="31" fillId="0" borderId="9" xfId="3" applyAlignment="1">
      <alignment horizontal="right" vertical="center" wrapText="1"/>
    </xf>
    <xf numFmtId="0" fontId="13" fillId="0" borderId="9" xfId="51" applyAlignment="1">
      <alignment horizontal="left" vertical="top" wrapText="1"/>
    </xf>
    <xf numFmtId="10" fontId="32" fillId="54" borderId="9" xfId="50" applyFill="1">
      <alignment horizontal="right" vertical="center"/>
    </xf>
    <xf numFmtId="10" fontId="32" fillId="55" borderId="9" xfId="50" applyFill="1">
      <alignment horizontal="right" vertical="center"/>
    </xf>
    <xf numFmtId="10" fontId="8" fillId="9" borderId="9" xfId="62" applyFill="1">
      <alignment vertical="center"/>
    </xf>
    <xf numFmtId="0" fontId="13" fillId="54" borderId="9" xfId="51" applyFill="1" applyAlignment="1">
      <alignment horizontal="left" vertical="top" wrapText="1"/>
    </xf>
    <xf numFmtId="0" fontId="13" fillId="55" borderId="9" xfId="51" applyFill="1" applyAlignment="1">
      <alignment horizontal="left" vertical="top" wrapText="1"/>
    </xf>
    <xf numFmtId="10" fontId="32" fillId="8" borderId="9" xfId="50" applyFill="1">
      <alignment horizontal="right" vertical="center"/>
    </xf>
    <xf numFmtId="10" fontId="8" fillId="8" borderId="9" xfId="62" applyFill="1">
      <alignment vertical="center"/>
    </xf>
    <xf numFmtId="10" fontId="8" fillId="8" borderId="9" xfId="62" applyFill="1" applyAlignment="1">
      <alignment horizontal="right" vertical="center"/>
    </xf>
    <xf numFmtId="10" fontId="8" fillId="55" borderId="9" xfId="62" applyFill="1" applyAlignment="1">
      <alignment horizontal="right" vertical="center"/>
    </xf>
    <xf numFmtId="10" fontId="32" fillId="52" borderId="9" xfId="50" applyFill="1">
      <alignment horizontal="right" vertical="center"/>
    </xf>
    <xf numFmtId="10" fontId="8" fillId="52" borderId="9" xfId="62" applyFill="1" applyAlignment="1">
      <alignment horizontal="right" vertical="center"/>
    </xf>
    <xf numFmtId="4" fontId="8" fillId="52" borderId="9" xfId="60" applyFill="1">
      <alignment horizontal="right" vertical="center"/>
    </xf>
    <xf numFmtId="4" fontId="8" fillId="54" borderId="9" xfId="60" applyFill="1">
      <alignment horizontal="right" vertical="center"/>
    </xf>
    <xf numFmtId="4" fontId="8" fillId="56" borderId="9" xfId="60" applyFill="1">
      <alignment horizontal="right" vertical="center"/>
    </xf>
    <xf numFmtId="4" fontId="8" fillId="55" borderId="9" xfId="60" applyFill="1">
      <alignment horizontal="right" vertical="center"/>
    </xf>
    <xf numFmtId="10" fontId="8" fillId="10" borderId="9" xfId="62" applyFill="1" applyAlignment="1">
      <alignment horizontal="right" vertical="center"/>
    </xf>
    <xf numFmtId="4" fontId="8" fillId="10" borderId="9" xfId="60" applyFill="1">
      <alignment horizontal="right" vertical="center"/>
    </xf>
    <xf numFmtId="10" fontId="32" fillId="10" borderId="9" xfId="50" applyFill="1">
      <alignment horizontal="right" vertical="center"/>
    </xf>
    <xf numFmtId="10" fontId="32" fillId="47" borderId="9" xfId="50" applyFill="1">
      <alignment horizontal="right" vertical="center"/>
    </xf>
    <xf numFmtId="10" fontId="8" fillId="47" borderId="9" xfId="62" applyFill="1" applyAlignment="1">
      <alignment horizontal="right" vertical="center"/>
    </xf>
    <xf numFmtId="4" fontId="8" fillId="47" borderId="9" xfId="60" applyFill="1">
      <alignment horizontal="right" vertical="center"/>
    </xf>
    <xf numFmtId="3" fontId="8" fillId="51" borderId="9" xfId="55" applyFill="1">
      <alignment horizontal="right" vertical="center"/>
    </xf>
    <xf numFmtId="4" fontId="8" fillId="51" borderId="9" xfId="60" applyFill="1">
      <alignment horizontal="right" vertical="center"/>
    </xf>
    <xf numFmtId="10" fontId="8" fillId="51" borderId="9" xfId="62" applyFill="1">
      <alignment vertical="center"/>
    </xf>
    <xf numFmtId="0" fontId="13" fillId="51" borderId="9" xfId="51" applyFill="1">
      <alignment horizontal="left" vertical="center" wrapText="1"/>
    </xf>
    <xf numFmtId="0" fontId="13" fillId="51" borderId="9" xfId="52" applyFill="1">
      <alignment horizontal="center" vertical="center" wrapText="1"/>
    </xf>
    <xf numFmtId="0" fontId="13" fillId="51" borderId="9" xfId="52" applyFill="1" applyBorder="1">
      <alignment horizontal="center" vertical="center" wrapText="1"/>
    </xf>
    <xf numFmtId="0" fontId="1" fillId="0" borderId="0" xfId="1" applyFont="1" applyFill="1" applyAlignment="1">
      <alignment horizontal="center"/>
    </xf>
    <xf numFmtId="4" fontId="8" fillId="57" borderId="9" xfId="60" applyFill="1">
      <alignment horizontal="right" vertical="center"/>
    </xf>
    <xf numFmtId="3" fontId="8" fillId="0" borderId="9" xfId="68">
      <alignment horizontal="right" vertical="center"/>
    </xf>
    <xf numFmtId="166" fontId="8" fillId="57" borderId="9" xfId="64" applyFill="1">
      <alignment horizontal="right" vertical="center"/>
    </xf>
    <xf numFmtId="1" fontId="16" fillId="11" borderId="9" xfId="69">
      <alignment vertical="center"/>
    </xf>
    <xf numFmtId="3" fontId="8" fillId="58" borderId="9" xfId="68" applyFill="1">
      <alignment horizontal="right" vertical="center"/>
    </xf>
    <xf numFmtId="4" fontId="8" fillId="59" borderId="9" xfId="60" quotePrefix="1" applyFill="1">
      <alignment horizontal="right" vertical="center"/>
    </xf>
    <xf numFmtId="3" fontId="8" fillId="58" borderId="9" xfId="55" applyFill="1">
      <alignment horizontal="right" vertical="center"/>
    </xf>
    <xf numFmtId="0" fontId="13" fillId="60" borderId="9" xfId="51" applyFill="1">
      <alignment horizontal="left" vertical="center" wrapText="1"/>
    </xf>
    <xf numFmtId="0" fontId="13" fillId="61" borderId="9" xfId="51" applyFill="1">
      <alignment horizontal="left" vertical="center" wrapText="1"/>
    </xf>
    <xf numFmtId="0" fontId="13" fillId="62" borderId="9" xfId="51" applyFill="1">
      <alignment horizontal="left" vertical="center" wrapText="1"/>
    </xf>
    <xf numFmtId="0" fontId="13" fillId="63" borderId="9" xfId="51" applyFill="1" applyAlignment="1">
      <alignment horizontal="left" vertical="top" wrapText="1"/>
    </xf>
    <xf numFmtId="0" fontId="13" fillId="56" borderId="9" xfId="51" applyFill="1" applyAlignment="1">
      <alignment horizontal="left" vertical="top" wrapText="1"/>
    </xf>
    <xf numFmtId="0" fontId="13" fillId="58" borderId="9" xfId="51" applyFill="1">
      <alignment horizontal="left" vertical="center" wrapText="1"/>
    </xf>
    <xf numFmtId="0" fontId="13" fillId="57" borderId="9" xfId="51" applyFill="1">
      <alignment horizontal="left" vertical="center" wrapText="1"/>
    </xf>
    <xf numFmtId="0" fontId="13" fillId="59" borderId="9" xfId="51" applyFill="1">
      <alignment horizontal="left" vertical="center" wrapText="1"/>
    </xf>
    <xf numFmtId="0" fontId="13" fillId="64" borderId="9" xfId="51" applyFill="1">
      <alignment horizontal="left" vertical="center" wrapText="1"/>
    </xf>
    <xf numFmtId="0" fontId="13" fillId="65" borderId="9" xfId="51" applyFill="1">
      <alignment horizontal="left" vertical="center" wrapText="1"/>
    </xf>
    <xf numFmtId="3" fontId="35" fillId="0" borderId="0" xfId="0" applyFont="1" applyAlignment="1">
      <alignment horizontal="left" vertical="top"/>
    </xf>
    <xf numFmtId="3" fontId="35" fillId="0" borderId="0" xfId="0" applyFont="1" applyAlignment="1">
      <alignment horizontal="center" vertical="top"/>
    </xf>
    <xf numFmtId="3" fontId="8" fillId="0" borderId="9" xfId="68" quotePrefix="1">
      <alignment horizontal="right" vertical="center"/>
    </xf>
    <xf numFmtId="3" fontId="8" fillId="52" borderId="9" xfId="68" applyFill="1">
      <alignment horizontal="right" vertical="center"/>
    </xf>
    <xf numFmtId="167" fontId="8" fillId="0" borderId="9" xfId="65">
      <alignment horizontal="right" vertical="center"/>
    </xf>
    <xf numFmtId="1" fontId="16" fillId="11" borderId="9" xfId="69" applyAlignment="1">
      <alignment horizontal="right" vertical="center"/>
    </xf>
    <xf numFmtId="14" fontId="36" fillId="0" borderId="0" xfId="0" applyNumberFormat="1" applyFont="1" applyAlignment="1">
      <alignment vertical="center"/>
    </xf>
    <xf numFmtId="1" fontId="36" fillId="0" borderId="0" xfId="0" applyNumberFormat="1" applyFont="1" applyAlignment="1">
      <alignment vertical="center" wrapText="1"/>
    </xf>
    <xf numFmtId="2" fontId="16" fillId="0" borderId="9" xfId="70" applyFill="1">
      <alignment vertical="center"/>
    </xf>
    <xf numFmtId="10" fontId="8" fillId="0" borderId="9" xfId="71" applyFill="1" applyAlignment="1">
      <alignment horizontal="right" vertical="center"/>
    </xf>
    <xf numFmtId="3" fontId="8" fillId="0" borderId="0" xfId="1" applyNumberFormat="1"/>
    <xf numFmtId="3" fontId="4" fillId="0" borderId="0" xfId="0" applyFont="1" applyAlignment="1"/>
    <xf numFmtId="10" fontId="8" fillId="54" borderId="9" xfId="62" applyFill="1">
      <alignment vertical="center"/>
    </xf>
    <xf numFmtId="10" fontId="8" fillId="56" borderId="9" xfId="62" applyFill="1">
      <alignment vertical="center"/>
    </xf>
    <xf numFmtId="1" fontId="31" fillId="4" borderId="9" xfId="3" quotePrefix="1" applyFill="1">
      <alignment horizontal="center" vertical="center" wrapText="1"/>
    </xf>
    <xf numFmtId="3" fontId="8" fillId="0" borderId="0" xfId="0" applyFont="1" applyFill="1" applyAlignment="1"/>
    <xf numFmtId="3" fontId="3" fillId="0" borderId="0" xfId="53" applyFill="1">
      <alignment horizontal="left" vertical="center"/>
    </xf>
    <xf numFmtId="1" fontId="6" fillId="0" borderId="0" xfId="3" applyFont="1" applyFill="1" applyBorder="1" applyAlignment="1">
      <alignment horizontal="left" vertical="top" wrapText="1"/>
    </xf>
    <xf numFmtId="1" fontId="13" fillId="0" borderId="0" xfId="3" applyFont="1" applyFill="1" applyBorder="1" applyAlignment="1">
      <alignment horizontal="left" vertical="top" wrapText="1"/>
    </xf>
    <xf numFmtId="3" fontId="6" fillId="0" borderId="0" xfId="0" applyFont="1" applyFill="1" applyAlignment="1">
      <alignment horizontal="left" vertical="top" wrapText="1"/>
    </xf>
    <xf numFmtId="3" fontId="10" fillId="0" borderId="0" xfId="0" applyFont="1" applyFill="1" applyAlignment="1">
      <alignment horizontal="center"/>
    </xf>
    <xf numFmtId="3" fontId="0" fillId="0" borderId="0" xfId="0" applyFill="1" applyAlignment="1">
      <alignment horizontal="center"/>
    </xf>
    <xf numFmtId="0" fontId="13" fillId="0" borderId="9" xfId="52" applyFont="1" applyFill="1">
      <alignment horizontal="center" vertical="center" wrapText="1"/>
    </xf>
    <xf numFmtId="0" fontId="13" fillId="52" borderId="9" xfId="52" applyFill="1" applyBorder="1">
      <alignment horizontal="center" vertical="center" wrapText="1"/>
    </xf>
    <xf numFmtId="0" fontId="4" fillId="0" borderId="0" xfId="67">
      <alignment vertical="center"/>
    </xf>
    <xf numFmtId="0" fontId="13" fillId="0" borderId="9" xfId="72">
      <alignment horizontal="left" vertical="center" wrapText="1"/>
    </xf>
    <xf numFmtId="0" fontId="13" fillId="0" borderId="9" xfId="73">
      <alignment horizontal="center" vertical="center" wrapText="1"/>
    </xf>
    <xf numFmtId="0" fontId="13" fillId="0" borderId="9" xfId="72" applyAlignment="1">
      <alignment horizontal="center" vertical="center" wrapText="1"/>
    </xf>
    <xf numFmtId="167" fontId="8" fillId="49" borderId="9" xfId="65" applyFill="1">
      <alignment horizontal="right" vertical="center"/>
    </xf>
    <xf numFmtId="167" fontId="8" fillId="46" borderId="9" xfId="65" applyFill="1">
      <alignment horizontal="right" vertical="center"/>
    </xf>
    <xf numFmtId="1" fontId="7" fillId="0" borderId="0" xfId="0" applyNumberFormat="1" applyFont="1" applyFill="1" applyAlignment="1">
      <alignment horizontal="right" vertical="top" shrinkToFit="1"/>
    </xf>
    <xf numFmtId="0" fontId="13" fillId="0" borderId="9" xfId="52" applyFill="1" applyAlignment="1">
      <alignment horizontal="center" vertical="top" wrapText="1"/>
    </xf>
    <xf numFmtId="168" fontId="8" fillId="0" borderId="9" xfId="74">
      <alignment horizontal="right" vertical="center"/>
    </xf>
    <xf numFmtId="0" fontId="13" fillId="0" borderId="9" xfId="51" applyBorder="1">
      <alignment horizontal="left" vertical="center" wrapText="1"/>
    </xf>
    <xf numFmtId="168" fontId="8" fillId="0" borderId="9" xfId="74" applyFill="1">
      <alignment horizontal="right" vertical="center"/>
    </xf>
    <xf numFmtId="3" fontId="0" fillId="0" borderId="0" xfId="0" applyBorder="1">
      <alignment horizontal="right" vertical="center"/>
    </xf>
    <xf numFmtId="1" fontId="8" fillId="65" borderId="9" xfId="66" applyFill="1">
      <alignment horizontal="right" vertical="center"/>
    </xf>
    <xf numFmtId="3" fontId="8" fillId="65" borderId="9" xfId="55" applyFill="1">
      <alignment horizontal="right" vertical="center"/>
    </xf>
    <xf numFmtId="0" fontId="13" fillId="66" borderId="9" xfId="51" applyFill="1">
      <alignment horizontal="left" vertical="center" wrapText="1"/>
    </xf>
    <xf numFmtId="0" fontId="13" fillId="51" borderId="0" xfId="52" applyFill="1" applyBorder="1">
      <alignment horizontal="center" vertical="center" wrapText="1"/>
    </xf>
    <xf numFmtId="0" fontId="3" fillId="0" borderId="0" xfId="1" applyFont="1" applyAlignment="1">
      <alignment horizontal="center" vertical="center"/>
    </xf>
    <xf numFmtId="10" fontId="8" fillId="0" borderId="9" xfId="71" applyAlignment="1">
      <alignment horizontal="right" vertical="center"/>
    </xf>
    <xf numFmtId="168" fontId="8" fillId="49" borderId="9" xfId="74" applyFill="1">
      <alignment horizontal="right" vertical="center"/>
    </xf>
    <xf numFmtId="10" fontId="8" fillId="54" borderId="9" xfId="71" applyFill="1" applyAlignment="1">
      <alignment vertical="center"/>
    </xf>
    <xf numFmtId="10" fontId="8" fillId="47" borderId="9" xfId="71" applyFill="1" applyAlignment="1">
      <alignment horizontal="right" vertical="center"/>
    </xf>
    <xf numFmtId="1" fontId="16" fillId="0" borderId="9" xfId="4" applyFill="1">
      <alignment horizontal="center" vertical="center"/>
    </xf>
    <xf numFmtId="10" fontId="8" fillId="0" borderId="9" xfId="71" applyFill="1" applyAlignment="1">
      <alignment vertical="center"/>
    </xf>
    <xf numFmtId="3" fontId="33" fillId="2" borderId="0" xfId="0" applyFont="1" applyFill="1">
      <alignment horizontal="right" vertical="center"/>
    </xf>
    <xf numFmtId="10" fontId="8" fillId="2" borderId="9" xfId="62" applyFill="1" applyAlignment="1">
      <alignment horizontal="right" vertical="center"/>
    </xf>
    <xf numFmtId="0" fontId="13" fillId="2" borderId="9" xfId="51" applyFill="1">
      <alignment horizontal="left" vertical="center" wrapText="1"/>
    </xf>
  </cellXfs>
  <cellStyles count="75">
    <cellStyle name="20% - Accent1" xfId="27" builtinId="30" hidden="1" customBuiltin="1"/>
    <cellStyle name="20% - Accent2" xfId="31" builtinId="34" hidden="1"/>
    <cellStyle name="20% - Accent3" xfId="35" builtinId="38" hidden="1"/>
    <cellStyle name="20% - Accent4" xfId="39" builtinId="42" hidden="1"/>
    <cellStyle name="20% - Accent5" xfId="43" builtinId="46" hidden="1"/>
    <cellStyle name="20% - Accent6" xfId="47" builtinId="50" hidden="1"/>
    <cellStyle name="40% - Accent1" xfId="28" builtinId="31" hidden="1"/>
    <cellStyle name="40% - Accent2" xfId="32" builtinId="35" hidden="1"/>
    <cellStyle name="40% - Accent3" xfId="36" builtinId="39" hidden="1"/>
    <cellStyle name="40% - Accent4" xfId="40" builtinId="43" hidden="1"/>
    <cellStyle name="40% - Accent5" xfId="44" builtinId="47" hidden="1"/>
    <cellStyle name="40% - Accent6" xfId="48" builtinId="51" hidden="1"/>
    <cellStyle name="60% - Accent1" xfId="29" builtinId="32" hidden="1"/>
    <cellStyle name="60% - Accent2" xfId="33" builtinId="36" hidden="1"/>
    <cellStyle name="60% - Accent3" xfId="37" builtinId="40" hidden="1"/>
    <cellStyle name="60% - Accent4" xfId="41" builtinId="44" hidden="1"/>
    <cellStyle name="60% - Accent5" xfId="45" builtinId="48" hidden="1"/>
    <cellStyle name="60% - Accent6" xfId="49" builtinId="52" hidden="1"/>
    <cellStyle name="Accent1" xfId="26" builtinId="29" hidden="1"/>
    <cellStyle name="Accent2" xfId="30" builtinId="33" hidden="1"/>
    <cellStyle name="Accent3" xfId="34" builtinId="37" hidden="1"/>
    <cellStyle name="Accent4" xfId="38" builtinId="41" hidden="1"/>
    <cellStyle name="Accent5" xfId="42" builtinId="45" hidden="1"/>
    <cellStyle name="Accent6" xfId="46" builtinId="49" hidden="1"/>
    <cellStyle name="Bad" xfId="17" builtinId="27" hidden="1"/>
    <cellStyle name="Check Cell" xfId="22" builtinId="23" customBuiltin="1"/>
    <cellStyle name="Comma" xfId="6" builtinId="3" hidden="1"/>
    <cellStyle name="Comma [0]" xfId="7" builtinId="6" hidden="1"/>
    <cellStyle name="Currency" xfId="8" builtinId="4" hidden="1"/>
    <cellStyle name="Currency [0]" xfId="9" builtinId="7" hidden="1"/>
    <cellStyle name="Decimal-1" xfId="65" xr:uid="{C8931A78-FB14-3D4F-901B-F7C12B81B6F3}"/>
    <cellStyle name="Decimal-10" xfId="74" xr:uid="{80602BF3-B534-3D45-92A1-094D7DF7A37E}"/>
    <cellStyle name="Decimal-2" xfId="60" xr:uid="{FD73ACC0-CF21-6249-AA2A-C53B7A8A9314}"/>
    <cellStyle name="Decimal-4" xfId="64" xr:uid="{DAC3F0D5-9BB6-5A4B-9B1C-40F73BE44C22}"/>
    <cellStyle name="Decimal-6" xfId="58" xr:uid="{1A7B7947-19CD-F544-99E1-7E4E90E0BA01}"/>
    <cellStyle name="Estimated" xfId="4" xr:uid="{38062CB6-EF4B-CF41-85AF-D72FF9707668}"/>
    <cellStyle name="Estimated 2" xfId="63" xr:uid="{5BF314D0-337D-B649-BB09-64F1F7BE6868}"/>
    <cellStyle name="Estimated 2 2" xfId="70" xr:uid="{7AD5213F-B7F9-484D-8164-E3B46A55BFFC}"/>
    <cellStyle name="Estimated 3" xfId="69" xr:uid="{C1969BB6-CE29-824F-B001-9F85081DE8BC}"/>
    <cellStyle name="Explanatory Text" xfId="24" builtinId="53" hidden="1"/>
    <cellStyle name="Good" xfId="16" builtinId="26" hidden="1"/>
    <cellStyle name="Heading 1" xfId="12" builtinId="16" hidden="1"/>
    <cellStyle name="Heading 2" xfId="13" builtinId="17" hidden="1"/>
    <cellStyle name="Heading 3" xfId="14" builtinId="18" hidden="1"/>
    <cellStyle name="Heading 4" xfId="15" builtinId="19" hidden="1"/>
    <cellStyle name="Hyperlink" xfId="2" builtinId="8" hidden="1"/>
    <cellStyle name="Hyperlink" xfId="54" builtinId="8" hidden="1"/>
    <cellStyle name="Input" xfId="19" builtinId="20" hidden="1"/>
    <cellStyle name="Linked Cell" xfId="21" builtinId="24" hidden="1"/>
    <cellStyle name="Neutral" xfId="18" builtinId="28" hidden="1"/>
    <cellStyle name="Normal" xfId="0" builtinId="0" customBuiltin="1"/>
    <cellStyle name="Normal 2" xfId="1" xr:uid="{6518068D-7F63-BB47-8624-9E754A647162}"/>
    <cellStyle name="Normal 3" xfId="3" xr:uid="{FD7BBF8A-3A79-CC46-92E9-540F981CCC7D}"/>
    <cellStyle name="Note" xfId="23" builtinId="10" hidden="1"/>
    <cellStyle name="Number" xfId="55" xr:uid="{5C13E065-72F8-3E45-9DB1-A89D31B8B255}"/>
    <cellStyle name="Number 2" xfId="66" xr:uid="{9B4ACCDF-2292-974E-8BD7-BAB4BBE13D15}"/>
    <cellStyle name="Number 2 2" xfId="68" xr:uid="{C9A508CD-5D8F-7443-B61D-BA82F0CA6457}"/>
    <cellStyle name="Output" xfId="20" builtinId="21" hidden="1"/>
    <cellStyle name="Percent" xfId="10" builtinId="5" hidden="1" customBuiltin="1"/>
    <cellStyle name="Percent" xfId="50" builtinId="5" customBuiltin="1"/>
    <cellStyle name="Percent-2" xfId="62" xr:uid="{CEF023CF-0BA2-6F46-9A6F-AEBCFAC5033A}"/>
    <cellStyle name="Percent-2 2" xfId="71" xr:uid="{587FAC94-D4DB-704A-9C36-C0D23D55B9CA}"/>
    <cellStyle name="Sub-title" xfId="56" xr:uid="{515D02F9-C424-0749-A2F2-AE42248D9FF3}"/>
    <cellStyle name="Sub-title 2" xfId="61" xr:uid="{BC4B7918-62BB-2142-AD99-8DCCA0673185}"/>
    <cellStyle name="Sub-title 2 2" xfId="67" xr:uid="{15D71190-1824-184B-81CF-D31D39E4FFC6}"/>
    <cellStyle name="Text Centre" xfId="52" xr:uid="{EF003E5B-098A-5F4E-91C9-5340529FBA44}"/>
    <cellStyle name="Text Centre 2" xfId="73" xr:uid="{CAF78680-282B-C04B-B262-A221EB671290}"/>
    <cellStyle name="Text Left" xfId="51" xr:uid="{4561F0F6-4880-BA48-899A-5D67000CD77E}"/>
    <cellStyle name="Text Left 2" xfId="72" xr:uid="{59BE8406-ED95-4449-BCAF-6B89BB3062B5}"/>
    <cellStyle name="Text Right" xfId="57" xr:uid="{30D929E0-F7E1-414C-82D5-3CF792823DD5}"/>
    <cellStyle name="Title" xfId="11" builtinId="15" hidden="1"/>
    <cellStyle name="Title" xfId="53" builtinId="15" customBuiltin="1"/>
    <cellStyle name="Title 2" xfId="59" xr:uid="{DBBD6E6C-6CC1-E24C-ADE7-93003EC0FFC3}"/>
    <cellStyle name="Total" xfId="25" builtinId="25" hidden="1"/>
    <cellStyle name="Warning Text" xfId="5" builtinId="11" hidden="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rrected%20-%20LCA%20Round%201%20IRs%20-%20Master%20Ver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ome/Files/UoT-PhD/Research/00-References/Alberta/Transmission/SLIVER%20model%20inputs%20-%20AB-4-2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ome/Files/UoT-PhD/Research/00-Inventory/210410-Upddate/210410-NB-DataInventor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ome/Files/Camerado/WPC-PumpedHydro/210420-PumpedStorageHydroProjects-Tex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Questions"/>
      <sheetName val="Selection"/>
    </sheetNames>
    <sheetDataSet>
      <sheetData sheetId="0"/>
      <sheetData sheetId="1"/>
      <sheetData sheetId="2">
        <row r="2">
          <cell r="A2" t="str">
            <v>Round 1</v>
          </cell>
          <cell r="F2" t="str">
            <v>Yes</v>
          </cell>
          <cell r="I2" t="str">
            <v>aboriginal relations</v>
          </cell>
        </row>
        <row r="3">
          <cell r="A3" t="str">
            <v>Round 2</v>
          </cell>
          <cell r="F3" t="str">
            <v>No</v>
          </cell>
          <cell r="I3" t="str">
            <v>access (transmission)</v>
          </cell>
        </row>
        <row r="4">
          <cell r="I4" t="str">
            <v>biomass</v>
          </cell>
        </row>
        <row r="5">
          <cell r="I5" t="str">
            <v>Bipole III</v>
          </cell>
        </row>
        <row r="6">
          <cell r="I6" t="str">
            <v>capital costs</v>
          </cell>
        </row>
        <row r="7">
          <cell r="I7" t="str">
            <v>carbon/GHG emissions</v>
          </cell>
        </row>
        <row r="8">
          <cell r="I8" t="str">
            <v>caribou</v>
          </cell>
        </row>
        <row r="9">
          <cell r="A9" t="str">
            <v>BF</v>
          </cell>
          <cell r="I9" t="str">
            <v>climate change</v>
          </cell>
        </row>
        <row r="10">
          <cell r="A10" t="str">
            <v>CAC</v>
          </cell>
          <cell r="I10" t="str">
            <v>combined cycle combustion turbine</v>
          </cell>
        </row>
        <row r="11">
          <cell r="A11" t="str">
            <v>CS</v>
          </cell>
          <cell r="I11" t="str">
            <v>Conawapa</v>
          </cell>
        </row>
        <row r="12">
          <cell r="A12" t="str">
            <v>DBP</v>
          </cell>
          <cell r="I12" t="str">
            <v>concerns of First Nations</v>
          </cell>
        </row>
        <row r="13">
          <cell r="A13" t="str">
            <v>DP</v>
          </cell>
          <cell r="I13" t="str">
            <v>cultural effects</v>
          </cell>
        </row>
        <row r="14">
          <cell r="A14" t="str">
            <v>ERA</v>
          </cell>
          <cell r="I14" t="str">
            <v>cumulative effects</v>
          </cell>
        </row>
        <row r="15">
          <cell r="A15" t="str">
            <v>GAC</v>
          </cell>
          <cell r="I15" t="str">
            <v>customers (export markets)</v>
          </cell>
        </row>
        <row r="16">
          <cell r="A16" t="str">
            <v>GD</v>
          </cell>
          <cell r="I16" t="str">
            <v>debt-equity ratio</v>
          </cell>
        </row>
        <row r="17">
          <cell r="A17" t="str">
            <v>JG</v>
          </cell>
          <cell r="I17" t="str">
            <v>demand side management</v>
          </cell>
        </row>
        <row r="18">
          <cell r="A18" t="str">
            <v>JT</v>
          </cell>
          <cell r="I18" t="str">
            <v>drought (risk)</v>
          </cell>
        </row>
        <row r="19">
          <cell r="A19" t="str">
            <v>KP</v>
          </cell>
          <cell r="I19" t="str">
            <v>DSM</v>
          </cell>
        </row>
        <row r="20">
          <cell r="A20" t="str">
            <v>LCA</v>
          </cell>
          <cell r="I20" t="str">
            <v>economics of change (risk)</v>
          </cell>
        </row>
        <row r="21">
          <cell r="A21" t="str">
            <v>MIPUG</v>
          </cell>
          <cell r="I21" t="str">
            <v>emerging energies</v>
          </cell>
        </row>
        <row r="22">
          <cell r="A22" t="str">
            <v>MKO</v>
          </cell>
          <cell r="I22" t="str">
            <v>environmental impacts</v>
          </cell>
        </row>
        <row r="23">
          <cell r="A23" t="str">
            <v>MMF</v>
          </cell>
          <cell r="I23" t="str">
            <v>environmental protection plans</v>
          </cell>
        </row>
        <row r="24">
          <cell r="A24" t="str">
            <v>MNP</v>
          </cell>
          <cell r="I24" t="str">
            <v>export contract</v>
          </cell>
        </row>
        <row r="25">
          <cell r="A25" t="str">
            <v>MPA</v>
          </cell>
          <cell r="I25" t="str">
            <v>export markets</v>
          </cell>
        </row>
        <row r="26">
          <cell r="A26" t="str">
            <v>PE</v>
          </cell>
          <cell r="I26" t="str">
            <v>geothermal</v>
          </cell>
        </row>
        <row r="27">
          <cell r="A27" t="str">
            <v>POT</v>
          </cell>
          <cell r="I27" t="str">
            <v>green house gas</v>
          </cell>
        </row>
        <row r="28">
          <cell r="A28" t="str">
            <v>PUB</v>
          </cell>
          <cell r="I28" t="str">
            <v>hurdle rate policy</v>
          </cell>
        </row>
        <row r="29">
          <cell r="A29" t="str">
            <v>RT</v>
          </cell>
          <cell r="I29" t="str">
            <v>Internal Rate of Return</v>
          </cell>
        </row>
        <row r="30">
          <cell r="A30" t="str">
            <v>TYP</v>
          </cell>
          <cell r="I30" t="str">
            <v>Keeyask</v>
          </cell>
        </row>
        <row r="31">
          <cell r="A31" t="str">
            <v>WK</v>
          </cell>
          <cell r="I31" t="str">
            <v>Kyoto protocol</v>
          </cell>
        </row>
        <row r="32">
          <cell r="I32" t="str">
            <v>Levelized Cost</v>
          </cell>
        </row>
        <row r="33">
          <cell r="I33" t="str">
            <v>levelized cost</v>
          </cell>
        </row>
        <row r="34">
          <cell r="I34" t="str">
            <v>long term contracts</v>
          </cell>
        </row>
        <row r="35">
          <cell r="I35" t="str">
            <v>macro-environmental</v>
          </cell>
        </row>
        <row r="36">
          <cell r="I36" t="str">
            <v>market and transmission risks</v>
          </cell>
        </row>
        <row r="37">
          <cell r="I37" t="str">
            <v>Minnesota-Manitoba Transmission Line</v>
          </cell>
        </row>
        <row r="38">
          <cell r="I38" t="str">
            <v>mitigation of adverse effects</v>
          </cell>
        </row>
        <row r="39">
          <cell r="I39" t="str">
            <v>natural gas</v>
          </cell>
        </row>
        <row r="40">
          <cell r="I40" t="str">
            <v>non-utility generation</v>
          </cell>
        </row>
        <row r="41">
          <cell r="I41" t="str">
            <v>NPV</v>
          </cell>
        </row>
        <row r="42">
          <cell r="I42" t="str">
            <v>O and M costs</v>
          </cell>
        </row>
        <row r="43">
          <cell r="I43" t="str">
            <v>partnership agreements</v>
          </cell>
        </row>
        <row r="44">
          <cell r="I44" t="str">
            <v>price forecasts</v>
          </cell>
        </row>
        <row r="45">
          <cell r="I45" t="str">
            <v>project benefits</v>
          </cell>
        </row>
        <row r="46">
          <cell r="I46" t="str">
            <v>project licensing</v>
          </cell>
        </row>
        <row r="47">
          <cell r="I47" t="str">
            <v>rate impacts</v>
          </cell>
        </row>
        <row r="48">
          <cell r="I48" t="str">
            <v>shale gas</v>
          </cell>
        </row>
        <row r="49">
          <cell r="I49" t="str">
            <v>short term contracts</v>
          </cell>
        </row>
        <row r="50">
          <cell r="I50" t="str">
            <v>socio-economic</v>
          </cell>
        </row>
        <row r="51">
          <cell r="I51" t="str">
            <v>solar</v>
          </cell>
        </row>
        <row r="52">
          <cell r="I52" t="str">
            <v>sturgeon</v>
          </cell>
        </row>
        <row r="53">
          <cell r="I53" t="str">
            <v>sunk costs</v>
          </cell>
        </row>
        <row r="54">
          <cell r="I54" t="str">
            <v>supply side efficiency enhancements</v>
          </cell>
        </row>
        <row r="55">
          <cell r="I55" t="str">
            <v>sustainable development</v>
          </cell>
        </row>
        <row r="56">
          <cell r="I56" t="str">
            <v>transmission reliability</v>
          </cell>
        </row>
        <row r="57">
          <cell r="I57" t="str">
            <v>variability of revenues (export markets)</v>
          </cell>
        </row>
        <row r="58">
          <cell r="I58" t="str">
            <v>wind</v>
          </cell>
        </row>
        <row r="59">
          <cell r="I59" t="str">
            <v>wind costs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stem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I-Ca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5528-9E5E-E042-95BA-BBC077D6679A}">
  <sheetPr codeName="Sheet1"/>
  <dimension ref="A1:C28"/>
  <sheetViews>
    <sheetView workbookViewId="0">
      <selection activeCell="B19" sqref="B19"/>
    </sheetView>
  </sheetViews>
  <sheetFormatPr defaultColWidth="10.83203125" defaultRowHeight="15.7"/>
  <cols>
    <col min="1" max="1" width="4.83203125" style="10" customWidth="1"/>
    <col min="2" max="2" width="21.6640625" style="10" customWidth="1"/>
    <col min="3" max="3" width="10.83203125" style="10"/>
    <col min="4" max="16384" width="10.83203125" style="52"/>
  </cols>
  <sheetData>
    <row r="1" spans="1:3" s="21" customFormat="1" ht="20.7">
      <c r="A1" s="21" t="s">
        <v>79</v>
      </c>
      <c r="B1" s="21" t="s">
        <v>35</v>
      </c>
    </row>
    <row r="2" spans="1:3" s="10" customFormat="1"/>
    <row r="3" spans="1:3" s="13" customFormat="1" ht="18">
      <c r="B3" s="2" t="s">
        <v>818</v>
      </c>
      <c r="C3" s="2" t="s">
        <v>815</v>
      </c>
    </row>
    <row r="4" spans="1:3" s="13" customFormat="1" ht="18">
      <c r="B4" s="2" t="s">
        <v>816</v>
      </c>
      <c r="C4" s="2" t="s">
        <v>817</v>
      </c>
    </row>
    <row r="5" spans="1:3" s="13" customFormat="1" ht="18">
      <c r="B5" s="2" t="s">
        <v>903</v>
      </c>
      <c r="C5" s="2" t="s">
        <v>904</v>
      </c>
    </row>
    <row r="6" spans="1:3" s="13" customFormat="1" ht="18">
      <c r="B6" s="2" t="s">
        <v>479</v>
      </c>
      <c r="C6" s="2" t="s">
        <v>480</v>
      </c>
    </row>
    <row r="7" spans="1:3" s="13" customFormat="1" ht="18">
      <c r="B7" s="2" t="s">
        <v>481</v>
      </c>
      <c r="C7" s="2" t="s">
        <v>482</v>
      </c>
    </row>
    <row r="8" spans="1:3" s="13" customFormat="1" ht="18">
      <c r="B8" s="2" t="s">
        <v>483</v>
      </c>
      <c r="C8" s="2" t="s">
        <v>484</v>
      </c>
    </row>
    <row r="9" spans="1:3" s="13" customFormat="1" ht="18">
      <c r="B9" s="2" t="s">
        <v>485</v>
      </c>
      <c r="C9" s="2" t="s">
        <v>486</v>
      </c>
    </row>
    <row r="10" spans="1:3" s="13" customFormat="1" ht="18">
      <c r="B10" s="2" t="s">
        <v>22</v>
      </c>
      <c r="C10" s="2" t="s">
        <v>34</v>
      </c>
    </row>
    <row r="11" spans="1:3" s="13" customFormat="1" ht="18">
      <c r="B11" s="13" t="s">
        <v>1162</v>
      </c>
      <c r="C11" s="13" t="s">
        <v>1163</v>
      </c>
    </row>
    <row r="12" spans="1:3" s="13" customFormat="1" ht="18">
      <c r="B12" s="13" t="s">
        <v>1164</v>
      </c>
      <c r="C12" s="13" t="s">
        <v>1165</v>
      </c>
    </row>
    <row r="13" spans="1:3" s="13" customFormat="1" ht="18">
      <c r="B13" s="2" t="s">
        <v>59</v>
      </c>
      <c r="C13" s="2" t="s">
        <v>60</v>
      </c>
    </row>
    <row r="14" spans="1:3" s="50" customFormat="1" ht="18">
      <c r="A14" s="13"/>
      <c r="B14" s="2" t="s">
        <v>487</v>
      </c>
      <c r="C14" s="2" t="s">
        <v>488</v>
      </c>
    </row>
    <row r="15" spans="1:3" s="50" customFormat="1" ht="18">
      <c r="A15" s="13"/>
      <c r="B15" s="2" t="s">
        <v>489</v>
      </c>
      <c r="C15" s="2" t="s">
        <v>490</v>
      </c>
    </row>
    <row r="16" spans="1:3" s="13" customFormat="1" ht="18">
      <c r="B16" s="2" t="s">
        <v>491</v>
      </c>
      <c r="C16" s="2" t="s">
        <v>492</v>
      </c>
    </row>
    <row r="17" spans="1:3" s="13" customFormat="1" ht="18">
      <c r="B17" s="2" t="s">
        <v>493</v>
      </c>
      <c r="C17" s="2" t="s">
        <v>494</v>
      </c>
    </row>
    <row r="18" spans="1:3" s="13" customFormat="1" ht="18">
      <c r="B18" s="2" t="s">
        <v>495</v>
      </c>
      <c r="C18" s="2" t="s">
        <v>496</v>
      </c>
    </row>
    <row r="19" spans="1:3" s="13" customFormat="1" ht="18">
      <c r="B19" s="13" t="s">
        <v>872</v>
      </c>
      <c r="C19" s="13" t="s">
        <v>873</v>
      </c>
    </row>
    <row r="20" spans="1:3" s="13" customFormat="1" ht="18"/>
    <row r="21" spans="1:3" s="50" customFormat="1" ht="18">
      <c r="A21" s="13"/>
      <c r="B21" s="65"/>
      <c r="C21" s="2" t="s">
        <v>497</v>
      </c>
    </row>
    <row r="22" spans="1:3" s="50" customFormat="1" ht="18">
      <c r="A22" s="13"/>
      <c r="B22" s="67"/>
      <c r="C22" s="2" t="s">
        <v>905</v>
      </c>
    </row>
    <row r="23" spans="1:3" s="50" customFormat="1" ht="18">
      <c r="A23" s="13"/>
      <c r="B23" s="66"/>
      <c r="C23" s="2" t="s">
        <v>498</v>
      </c>
    </row>
    <row r="24" spans="1:3" s="50" customFormat="1" ht="18">
      <c r="A24" s="13"/>
      <c r="B24" s="234">
        <v>27</v>
      </c>
      <c r="C24" s="2" t="s">
        <v>76</v>
      </c>
    </row>
    <row r="25" spans="1:3" s="50" customFormat="1" ht="18">
      <c r="A25" s="13"/>
      <c r="B25" s="13"/>
      <c r="C25" s="2" t="s">
        <v>906</v>
      </c>
    </row>
    <row r="26" spans="1:3" s="50" customFormat="1" ht="18">
      <c r="A26" s="13"/>
      <c r="B26" s="13"/>
      <c r="C26" s="2"/>
    </row>
    <row r="27" spans="1:3" s="50" customFormat="1" ht="18">
      <c r="A27" s="13"/>
      <c r="B27" s="2" t="s">
        <v>499</v>
      </c>
      <c r="C27" s="13"/>
    </row>
    <row r="28" spans="1:3" ht="18">
      <c r="B28" s="2" t="s">
        <v>478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D792-2C26-E24A-B7CF-9A9128F2BEAF}">
  <dimension ref="A1:AK33"/>
  <sheetViews>
    <sheetView zoomScaleNormal="100" workbookViewId="0">
      <pane xSplit="3" ySplit="3" topLeftCell="D7" activePane="bottomRight" state="frozen"/>
      <selection pane="topRight" activeCell="C1" sqref="C1"/>
      <selection pane="bottomLeft" activeCell="A2" sqref="A2"/>
      <selection pane="bottomRight" activeCell="A19" sqref="A19"/>
    </sheetView>
  </sheetViews>
  <sheetFormatPr defaultColWidth="10.83203125" defaultRowHeight="18"/>
  <cols>
    <col min="1" max="1" width="4.83203125" style="2" customWidth="1"/>
    <col min="2" max="2" width="63.5" style="2" customWidth="1"/>
    <col min="3" max="3" width="13.5" style="152" customWidth="1"/>
    <col min="4" max="4" width="121.83203125" style="153" customWidth="1"/>
    <col min="5" max="5" width="133.83203125" style="154" customWidth="1"/>
    <col min="6" max="7" width="57.6640625" style="154" customWidth="1"/>
    <col min="8" max="8" width="100.83203125" style="154" customWidth="1"/>
    <col min="9" max="16384" width="10.83203125" style="2"/>
  </cols>
  <sheetData>
    <row r="1" spans="1:8" s="21" customFormat="1" ht="20.7">
      <c r="A1" s="21" t="s">
        <v>79</v>
      </c>
      <c r="B1" s="21" t="s">
        <v>578</v>
      </c>
    </row>
    <row r="2" spans="1:8" s="158" customFormat="1" ht="15.7"/>
    <row r="3" spans="1:8" s="155" customFormat="1" ht="20.7">
      <c r="B3" s="17" t="s">
        <v>579</v>
      </c>
      <c r="C3" s="17" t="s">
        <v>580</v>
      </c>
      <c r="D3" s="17" t="s">
        <v>581</v>
      </c>
      <c r="E3" s="17" t="s">
        <v>582</v>
      </c>
      <c r="F3" s="17" t="s">
        <v>583</v>
      </c>
      <c r="G3" s="17" t="s">
        <v>584</v>
      </c>
      <c r="H3" s="17" t="s">
        <v>46</v>
      </c>
    </row>
    <row r="4" spans="1:8">
      <c r="B4" s="187" t="s">
        <v>585</v>
      </c>
      <c r="C4" s="149">
        <v>2020</v>
      </c>
      <c r="D4" s="183" t="s">
        <v>781</v>
      </c>
      <c r="E4" s="183" t="s">
        <v>782</v>
      </c>
      <c r="F4" s="183"/>
      <c r="G4" s="183" t="s">
        <v>783</v>
      </c>
      <c r="H4" s="183"/>
    </row>
    <row r="5" spans="1:8">
      <c r="B5" s="188" t="s">
        <v>784</v>
      </c>
      <c r="C5" s="149">
        <v>2019</v>
      </c>
      <c r="D5" s="183" t="s">
        <v>785</v>
      </c>
      <c r="E5" s="183" t="s">
        <v>786</v>
      </c>
      <c r="F5" s="183"/>
      <c r="G5" s="183" t="s">
        <v>783</v>
      </c>
      <c r="H5" s="183"/>
    </row>
    <row r="6" spans="1:8" s="156" customFormat="1">
      <c r="B6" s="175" t="s">
        <v>592</v>
      </c>
      <c r="C6" s="47">
        <v>2019</v>
      </c>
      <c r="D6" s="18" t="s">
        <v>593</v>
      </c>
      <c r="E6" s="18" t="s">
        <v>594</v>
      </c>
      <c r="F6" s="18"/>
      <c r="G6" s="18"/>
      <c r="H6" s="18"/>
    </row>
    <row r="7" spans="1:8">
      <c r="B7" s="176" t="s">
        <v>595</v>
      </c>
      <c r="C7" s="47">
        <v>2020</v>
      </c>
      <c r="D7" s="18"/>
      <c r="E7" s="18"/>
      <c r="F7" s="18"/>
      <c r="G7" s="18"/>
      <c r="H7" s="18"/>
    </row>
    <row r="8" spans="1:8">
      <c r="B8" s="177" t="s">
        <v>596</v>
      </c>
      <c r="C8" s="47"/>
      <c r="D8" s="18"/>
      <c r="E8" s="18"/>
      <c r="F8" s="18"/>
      <c r="G8" s="18"/>
      <c r="H8" s="18"/>
    </row>
    <row r="9" spans="1:8">
      <c r="B9" s="219"/>
      <c r="C9" s="47"/>
      <c r="D9" s="18"/>
      <c r="E9" s="18"/>
      <c r="F9" s="18"/>
      <c r="G9" s="18"/>
      <c r="H9" s="18"/>
    </row>
    <row r="10" spans="1:8">
      <c r="B10" s="220"/>
      <c r="C10" s="47"/>
      <c r="D10" s="18"/>
      <c r="E10" s="18"/>
      <c r="F10" s="18"/>
      <c r="G10" s="18"/>
      <c r="H10" s="18"/>
    </row>
    <row r="11" spans="1:8">
      <c r="B11" s="221"/>
      <c r="C11" s="47"/>
      <c r="D11" s="18"/>
      <c r="E11" s="18"/>
      <c r="F11" s="18"/>
      <c r="G11" s="18"/>
      <c r="H11" s="18"/>
    </row>
    <row r="12" spans="1:8">
      <c r="B12" s="188"/>
      <c r="C12" s="47"/>
      <c r="D12" s="18"/>
      <c r="E12" s="18"/>
      <c r="F12" s="18"/>
      <c r="G12" s="18"/>
      <c r="H12" s="18"/>
    </row>
    <row r="13" spans="1:8">
      <c r="B13" s="187"/>
      <c r="C13" s="47"/>
      <c r="D13" s="18"/>
      <c r="E13" s="18"/>
      <c r="F13" s="18"/>
      <c r="G13" s="18"/>
      <c r="H13" s="18"/>
    </row>
    <row r="14" spans="1:8">
      <c r="B14" s="222"/>
      <c r="C14" s="47"/>
      <c r="D14" s="18"/>
      <c r="E14" s="18"/>
      <c r="F14" s="18"/>
      <c r="G14" s="18"/>
      <c r="H14" s="18"/>
    </row>
    <row r="15" spans="1:8">
      <c r="B15" s="223"/>
      <c r="C15" s="47"/>
      <c r="D15" s="18"/>
      <c r="E15" s="18"/>
      <c r="F15" s="18"/>
      <c r="G15" s="18"/>
      <c r="H15" s="18"/>
    </row>
    <row r="16" spans="1:8" s="156" customFormat="1">
      <c r="B16" s="157" t="s">
        <v>93</v>
      </c>
      <c r="C16" s="47">
        <v>2019</v>
      </c>
      <c r="D16" s="18" t="s">
        <v>787</v>
      </c>
      <c r="E16" s="18" t="s">
        <v>597</v>
      </c>
      <c r="F16" s="18"/>
      <c r="G16" s="18" t="s">
        <v>598</v>
      </c>
      <c r="H16" s="18"/>
    </row>
    <row r="17" spans="1:37">
      <c r="B17" s="164" t="s">
        <v>93</v>
      </c>
      <c r="C17" s="47">
        <v>2020</v>
      </c>
      <c r="D17" s="18" t="s">
        <v>801</v>
      </c>
      <c r="E17" s="18" t="s">
        <v>790</v>
      </c>
      <c r="F17" s="18"/>
      <c r="G17" s="18" t="s">
        <v>598</v>
      </c>
      <c r="H17" s="18"/>
    </row>
    <row r="18" spans="1:37">
      <c r="B18" s="165" t="s">
        <v>586</v>
      </c>
      <c r="C18" s="47">
        <v>2019</v>
      </c>
      <c r="D18" s="18" t="s">
        <v>587</v>
      </c>
      <c r="E18" s="18" t="s">
        <v>588</v>
      </c>
      <c r="F18" s="18"/>
      <c r="G18" s="18" t="s">
        <v>589</v>
      </c>
      <c r="H18" s="18"/>
    </row>
    <row r="19" spans="1:37" s="156" customFormat="1">
      <c r="A19" s="276"/>
      <c r="B19" s="166" t="s">
        <v>93</v>
      </c>
      <c r="C19" s="47">
        <v>2018</v>
      </c>
      <c r="D19" s="18" t="s">
        <v>600</v>
      </c>
      <c r="E19" s="18" t="s">
        <v>601</v>
      </c>
      <c r="F19" s="18"/>
      <c r="G19" s="18" t="s">
        <v>598</v>
      </c>
      <c r="H19" s="18"/>
    </row>
    <row r="20" spans="1:37" s="156" customFormat="1">
      <c r="B20" s="167" t="s">
        <v>93</v>
      </c>
      <c r="C20" s="47">
        <v>2017</v>
      </c>
      <c r="D20" s="18" t="s">
        <v>602</v>
      </c>
      <c r="E20" s="18" t="s">
        <v>603</v>
      </c>
      <c r="F20" s="18"/>
      <c r="G20" s="18" t="s">
        <v>598</v>
      </c>
      <c r="H20" s="18"/>
    </row>
    <row r="21" spans="1:37" s="156" customFormat="1">
      <c r="B21" s="168" t="s">
        <v>604</v>
      </c>
      <c r="C21" s="47">
        <v>2016</v>
      </c>
      <c r="D21" s="18" t="s">
        <v>605</v>
      </c>
      <c r="E21" s="18" t="s">
        <v>606</v>
      </c>
      <c r="F21" s="18"/>
      <c r="G21" s="18" t="s">
        <v>598</v>
      </c>
      <c r="H21" s="18"/>
    </row>
    <row r="22" spans="1:37" s="52" customFormat="1">
      <c r="B22" s="169" t="s">
        <v>585</v>
      </c>
      <c r="C22" s="47">
        <v>2018</v>
      </c>
      <c r="D22" s="18" t="s">
        <v>590</v>
      </c>
      <c r="E22" s="18" t="s">
        <v>591</v>
      </c>
      <c r="F22" s="18"/>
      <c r="G22" s="18" t="s">
        <v>598</v>
      </c>
      <c r="H22" s="18"/>
      <c r="K22" s="2"/>
      <c r="L22" s="2"/>
      <c r="M22" s="2"/>
      <c r="N22" s="2"/>
      <c r="O22" s="2"/>
      <c r="P22" s="2"/>
      <c r="Q22" s="2"/>
      <c r="R22" s="2"/>
      <c r="S22" s="28"/>
    </row>
    <row r="23" spans="1:37" s="156" customFormat="1">
      <c r="B23" s="170" t="s">
        <v>1166</v>
      </c>
      <c r="C23" s="47">
        <v>2009</v>
      </c>
      <c r="D23" s="18" t="s">
        <v>1168</v>
      </c>
      <c r="E23" s="18" t="s">
        <v>1167</v>
      </c>
      <c r="F23" s="18"/>
      <c r="G23" s="18" t="s">
        <v>1169</v>
      </c>
      <c r="H23" s="18"/>
    </row>
    <row r="24" spans="1:37">
      <c r="B24" s="171" t="s">
        <v>93</v>
      </c>
      <c r="C24" s="47">
        <v>2019</v>
      </c>
      <c r="D24" s="18" t="s">
        <v>607</v>
      </c>
      <c r="E24" s="18" t="s">
        <v>608</v>
      </c>
      <c r="F24" s="18"/>
      <c r="G24" s="18" t="s">
        <v>598</v>
      </c>
      <c r="H24" s="18"/>
    </row>
    <row r="25" spans="1:37">
      <c r="B25" s="172" t="s">
        <v>797</v>
      </c>
      <c r="C25" s="47">
        <v>2015</v>
      </c>
      <c r="D25" s="18" t="s">
        <v>798</v>
      </c>
      <c r="E25" s="18" t="s">
        <v>800</v>
      </c>
      <c r="F25" s="18" t="s">
        <v>799</v>
      </c>
      <c r="G25" s="18" t="s">
        <v>598</v>
      </c>
      <c r="H25" s="18"/>
    </row>
    <row r="26" spans="1:37">
      <c r="B26" s="173" t="s">
        <v>609</v>
      </c>
      <c r="C26" s="47">
        <v>2019</v>
      </c>
      <c r="D26" s="18" t="s">
        <v>610</v>
      </c>
      <c r="E26" s="18" t="s">
        <v>611</v>
      </c>
      <c r="F26" s="18"/>
      <c r="G26" s="18" t="s">
        <v>598</v>
      </c>
      <c r="H26" s="18"/>
    </row>
    <row r="27" spans="1:37">
      <c r="B27" s="174" t="s">
        <v>1484</v>
      </c>
      <c r="C27" s="47">
        <v>2005</v>
      </c>
      <c r="D27" s="18" t="s">
        <v>806</v>
      </c>
      <c r="E27" s="18" t="s">
        <v>807</v>
      </c>
      <c r="F27" s="18"/>
      <c r="G27" s="18" t="s">
        <v>598</v>
      </c>
      <c r="H27" s="18"/>
    </row>
    <row r="28" spans="1:37">
      <c r="B28" s="224" t="s">
        <v>874</v>
      </c>
      <c r="C28" s="47">
        <v>2017</v>
      </c>
      <c r="D28" s="18" t="s">
        <v>875</v>
      </c>
      <c r="E28" s="18"/>
      <c r="F28" s="18"/>
      <c r="G28" s="18"/>
      <c r="H28" s="18"/>
    </row>
    <row r="29" spans="1:37">
      <c r="B29" s="225" t="s">
        <v>876</v>
      </c>
      <c r="C29" s="47">
        <v>2017</v>
      </c>
      <c r="D29" s="18" t="s">
        <v>877</v>
      </c>
      <c r="E29" s="18" t="s">
        <v>878</v>
      </c>
      <c r="F29" s="18"/>
      <c r="G29" s="18"/>
      <c r="H29" s="18"/>
    </row>
    <row r="30" spans="1:37">
      <c r="B30" s="226" t="s">
        <v>879</v>
      </c>
      <c r="C30" s="47">
        <v>1979</v>
      </c>
      <c r="D30" s="18" t="s">
        <v>880</v>
      </c>
      <c r="E30" s="18" t="s">
        <v>881</v>
      </c>
      <c r="F30" s="18"/>
      <c r="G30" s="18"/>
      <c r="H30" s="18"/>
    </row>
    <row r="31" spans="1:37">
      <c r="B31" s="227"/>
      <c r="C31" s="47"/>
      <c r="D31" s="18"/>
      <c r="E31" s="18"/>
      <c r="F31" s="18"/>
      <c r="G31" s="18"/>
      <c r="H31" s="18"/>
    </row>
    <row r="32" spans="1:37">
      <c r="B32" s="267"/>
      <c r="C32" s="47"/>
      <c r="D32" s="18"/>
      <c r="E32" s="18"/>
      <c r="F32" s="18"/>
      <c r="G32" s="18"/>
      <c r="H32" s="18"/>
      <c r="J32" s="158"/>
      <c r="K32" s="44"/>
      <c r="L32" s="29"/>
      <c r="M32" s="44"/>
      <c r="N32" s="44"/>
      <c r="O32" s="44"/>
      <c r="P32" s="44"/>
      <c r="Q32" s="29"/>
      <c r="R32" s="44"/>
      <c r="S32" s="44"/>
      <c r="T32" s="28"/>
      <c r="U32" s="28"/>
      <c r="V32" s="33"/>
      <c r="W32" s="33"/>
      <c r="Y32" s="15"/>
      <c r="AF32" s="5"/>
      <c r="AJ32" s="158"/>
      <c r="AK32" s="158"/>
    </row>
    <row r="33" spans="2:8">
      <c r="B33" s="228" t="s">
        <v>1529</v>
      </c>
      <c r="C33" s="47">
        <v>2021</v>
      </c>
      <c r="D33" s="18" t="s">
        <v>1530</v>
      </c>
      <c r="E33" s="18" t="s">
        <v>1531</v>
      </c>
      <c r="F33" s="18"/>
      <c r="G33" s="18" t="s">
        <v>1532</v>
      </c>
      <c r="H33" s="18"/>
    </row>
  </sheetData>
  <autoFilter ref="B3:H3" xr:uid="{4394770A-2345-D74B-BD81-DB7567B27015}">
    <sortState xmlns:xlrd2="http://schemas.microsoft.com/office/spreadsheetml/2017/richdata2" ref="B4:H206">
      <sortCondition ref="G3:G206"/>
    </sortState>
  </autoFilter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A4AA-4CD0-0C4E-8554-B1FE35529D47}">
  <sheetPr codeName="Sheet3"/>
  <dimension ref="A1:BD940"/>
  <sheetViews>
    <sheetView tabSelected="1" workbookViewId="0">
      <pane xSplit="2" ySplit="3" topLeftCell="G41" activePane="bottomRight" state="frozen"/>
      <selection activeCell="AW23" sqref="AW23"/>
      <selection pane="topRight" activeCell="AW23" sqref="AW23"/>
      <selection pane="bottomLeft" activeCell="AW23" sqref="AW23"/>
      <selection pane="bottomRight" activeCell="A2" sqref="A2:XFD2"/>
    </sheetView>
  </sheetViews>
  <sheetFormatPr defaultColWidth="10.83203125" defaultRowHeight="18"/>
  <cols>
    <col min="1" max="1" width="4.83203125" style="2" customWidth="1"/>
    <col min="2" max="2" width="53.5" style="2" customWidth="1"/>
    <col min="3" max="3" width="24.83203125" style="93" customWidth="1"/>
    <col min="4" max="4" width="50.83203125" style="2" customWidth="1"/>
    <col min="5" max="5" width="30.83203125" style="5" customWidth="1"/>
    <col min="6" max="7" width="20.83203125" style="52" customWidth="1"/>
    <col min="8" max="9" width="20.83203125" style="14" customWidth="1"/>
    <col min="10" max="10" width="50.83203125" style="58" customWidth="1"/>
    <col min="11" max="11" width="30.83203125" style="58" customWidth="1"/>
    <col min="12" max="12" width="12.83203125" style="158" customWidth="1"/>
    <col min="13" max="14" width="12.83203125" style="5" customWidth="1"/>
    <col min="15" max="15" width="4.83203125" style="52" customWidth="1"/>
    <col min="16" max="16" width="24.83203125" style="5" customWidth="1"/>
    <col min="17" max="17" width="24.83203125" style="115" customWidth="1"/>
    <col min="18" max="18" width="10.83203125" style="2"/>
    <col min="19" max="19" width="14.83203125" style="93" customWidth="1"/>
    <col min="20" max="20" width="13.83203125" style="2" customWidth="1"/>
    <col min="21" max="22" width="16.83203125" style="2" customWidth="1"/>
    <col min="23" max="23" width="10.83203125" style="2" customWidth="1"/>
    <col min="24" max="24" width="4.83203125" style="15" customWidth="1"/>
    <col min="25" max="25" width="14.33203125" style="2" customWidth="1"/>
    <col min="26" max="26" width="10.83203125" style="2" customWidth="1"/>
    <col min="27" max="29" width="10.83203125" style="2"/>
    <col min="30" max="30" width="10.83203125" style="52"/>
    <col min="31" max="31" width="13.1640625" style="52" customWidth="1"/>
    <col min="32" max="33" width="16.83203125" style="2" customWidth="1"/>
    <col min="34" max="34" width="10.83203125" style="5"/>
    <col min="35" max="36" width="10.83203125" style="2"/>
    <col min="37" max="37" width="17.6640625" style="2" customWidth="1"/>
    <col min="38" max="38" width="19.33203125" style="2" customWidth="1"/>
    <col min="39" max="39" width="4.83203125" style="2" customWidth="1"/>
    <col min="40" max="44" width="10.83203125" style="2"/>
    <col min="45" max="45" width="4.83203125" style="93" customWidth="1"/>
    <col min="46" max="46" width="82.83203125" style="93" customWidth="1"/>
    <col min="47" max="47" width="90.83203125" style="2" customWidth="1"/>
    <col min="48" max="16384" width="10.83203125" style="2"/>
  </cols>
  <sheetData>
    <row r="1" spans="1:47" ht="20.7">
      <c r="A1" s="21" t="s">
        <v>79</v>
      </c>
      <c r="B1" s="21" t="s">
        <v>149</v>
      </c>
      <c r="C1" s="245"/>
      <c r="D1" s="24"/>
      <c r="K1" s="126"/>
      <c r="P1" s="69" t="s">
        <v>40</v>
      </c>
      <c r="Q1" s="141"/>
      <c r="R1" s="26"/>
      <c r="S1" s="160"/>
      <c r="T1" s="26"/>
      <c r="Y1" s="127" t="s">
        <v>41</v>
      </c>
      <c r="AD1" s="49"/>
      <c r="AE1" s="49"/>
      <c r="AL1" s="26"/>
      <c r="AN1" s="127" t="s">
        <v>50</v>
      </c>
      <c r="AP1" s="25"/>
      <c r="AR1" s="25"/>
      <c r="AS1" s="211"/>
    </row>
    <row r="2" spans="1:47" s="8" customFormat="1" ht="54">
      <c r="A2" s="3"/>
      <c r="B2" s="23" t="s">
        <v>18</v>
      </c>
      <c r="C2" s="23" t="s">
        <v>928</v>
      </c>
      <c r="D2" s="23" t="s">
        <v>13</v>
      </c>
      <c r="E2" s="23" t="s">
        <v>21</v>
      </c>
      <c r="F2" s="23" t="s">
        <v>14</v>
      </c>
      <c r="G2" s="23" t="s">
        <v>15</v>
      </c>
      <c r="H2" s="23" t="s">
        <v>820</v>
      </c>
      <c r="I2" s="23" t="s">
        <v>821</v>
      </c>
      <c r="J2" s="23" t="s">
        <v>612</v>
      </c>
      <c r="K2" s="23" t="s">
        <v>613</v>
      </c>
      <c r="L2" s="23" t="s">
        <v>822</v>
      </c>
      <c r="M2" s="23" t="s">
        <v>17</v>
      </c>
      <c r="N2" s="23" t="s">
        <v>133</v>
      </c>
      <c r="O2" s="52"/>
      <c r="P2" s="23" t="s">
        <v>474</v>
      </c>
      <c r="Q2" s="23" t="s">
        <v>823</v>
      </c>
      <c r="R2" s="23" t="s">
        <v>16</v>
      </c>
      <c r="S2" s="23" t="s">
        <v>824</v>
      </c>
      <c r="T2" s="23" t="s">
        <v>825</v>
      </c>
      <c r="U2" s="23" t="s">
        <v>536</v>
      </c>
      <c r="V2" s="23" t="s">
        <v>826</v>
      </c>
      <c r="W2" s="23" t="s">
        <v>43</v>
      </c>
      <c r="X2" s="17"/>
      <c r="Y2" s="109" t="s">
        <v>51</v>
      </c>
      <c r="Z2" s="109" t="s">
        <v>142</v>
      </c>
      <c r="AA2" s="109" t="s">
        <v>143</v>
      </c>
      <c r="AB2" s="109" t="s">
        <v>26</v>
      </c>
      <c r="AC2" s="109" t="s">
        <v>27</v>
      </c>
      <c r="AD2" s="109" t="s">
        <v>74</v>
      </c>
      <c r="AE2" s="109" t="s">
        <v>75</v>
      </c>
      <c r="AF2" s="109" t="s">
        <v>36</v>
      </c>
      <c r="AG2" s="109" t="s">
        <v>29</v>
      </c>
      <c r="AH2" s="109" t="s">
        <v>44</v>
      </c>
      <c r="AI2" s="109" t="s">
        <v>33</v>
      </c>
      <c r="AJ2" s="109" t="s">
        <v>827</v>
      </c>
      <c r="AK2" s="109" t="s">
        <v>53</v>
      </c>
      <c r="AL2" s="109" t="s">
        <v>919</v>
      </c>
      <c r="AM2" s="17"/>
      <c r="AN2" s="109" t="s">
        <v>37</v>
      </c>
      <c r="AO2" s="109" t="s">
        <v>828</v>
      </c>
      <c r="AP2" s="109" t="s">
        <v>28</v>
      </c>
      <c r="AQ2" s="109" t="s">
        <v>24</v>
      </c>
      <c r="AR2" s="109" t="s">
        <v>25</v>
      </c>
      <c r="AS2" s="83"/>
      <c r="AT2" s="23" t="s">
        <v>568</v>
      </c>
      <c r="AU2" s="23" t="s">
        <v>46</v>
      </c>
    </row>
    <row r="3" spans="1:47" s="3" customFormat="1" ht="36">
      <c r="B3" s="17"/>
      <c r="C3" s="83"/>
      <c r="D3" s="17"/>
      <c r="E3" s="17"/>
      <c r="F3" s="52"/>
      <c r="G3" s="52"/>
      <c r="H3" s="14"/>
      <c r="I3" s="14"/>
      <c r="J3" s="17"/>
      <c r="K3" s="17"/>
      <c r="L3" s="17" t="s">
        <v>71</v>
      </c>
      <c r="M3" s="17"/>
      <c r="N3" s="17"/>
      <c r="O3" s="52"/>
      <c r="P3" s="17"/>
      <c r="Q3" s="83"/>
      <c r="R3" s="17" t="s">
        <v>19</v>
      </c>
      <c r="S3" s="83"/>
      <c r="T3" s="17" t="s">
        <v>19</v>
      </c>
      <c r="U3" s="17" t="s">
        <v>32</v>
      </c>
      <c r="V3" s="17" t="s">
        <v>20</v>
      </c>
      <c r="W3" s="17"/>
      <c r="X3" s="17"/>
      <c r="Y3" s="17" t="s">
        <v>52</v>
      </c>
      <c r="Z3" s="17" t="s">
        <v>19</v>
      </c>
      <c r="AA3" s="17" t="s">
        <v>19</v>
      </c>
      <c r="AB3" s="17" t="s">
        <v>31</v>
      </c>
      <c r="AC3" s="17" t="s">
        <v>31</v>
      </c>
      <c r="AD3" s="17" t="s">
        <v>30</v>
      </c>
      <c r="AE3" s="17" t="s">
        <v>30</v>
      </c>
      <c r="AF3" s="17" t="s">
        <v>38</v>
      </c>
      <c r="AG3" s="17" t="s">
        <v>38</v>
      </c>
      <c r="AH3" s="17" t="s">
        <v>45</v>
      </c>
      <c r="AI3" s="73" t="s">
        <v>32</v>
      </c>
      <c r="AJ3" s="17" t="s">
        <v>31</v>
      </c>
      <c r="AK3" s="17" t="s">
        <v>32</v>
      </c>
      <c r="AL3" s="17" t="s">
        <v>501</v>
      </c>
      <c r="AM3" s="17"/>
      <c r="AN3" s="17" t="s">
        <v>39</v>
      </c>
      <c r="AO3" s="17" t="s">
        <v>23</v>
      </c>
      <c r="AP3" s="17" t="s">
        <v>39</v>
      </c>
      <c r="AQ3" s="134" t="s">
        <v>502</v>
      </c>
      <c r="AR3" s="17" t="s">
        <v>23</v>
      </c>
      <c r="AS3" s="83"/>
      <c r="AT3" s="83"/>
      <c r="AU3" s="17"/>
    </row>
    <row r="4" spans="1:47" s="15" customFormat="1">
      <c r="B4" s="105" t="s">
        <v>380</v>
      </c>
      <c r="C4" s="47" t="s">
        <v>1514</v>
      </c>
      <c r="D4" s="105" t="s">
        <v>382</v>
      </c>
      <c r="E4" s="105" t="s">
        <v>380</v>
      </c>
      <c r="F4" s="106">
        <v>47.992441999999997</v>
      </c>
      <c r="G4" s="106">
        <v>-66.721182999999996</v>
      </c>
      <c r="H4" s="47" t="s">
        <v>560</v>
      </c>
      <c r="I4" s="47" t="s">
        <v>598</v>
      </c>
      <c r="J4" s="103" t="s">
        <v>1092</v>
      </c>
      <c r="K4" s="47" t="s">
        <v>1261</v>
      </c>
      <c r="L4" s="102">
        <v>138</v>
      </c>
      <c r="M4" s="140">
        <v>2010</v>
      </c>
      <c r="N4" s="91">
        <v>2100</v>
      </c>
      <c r="O4" s="52"/>
      <c r="P4" s="19" t="s">
        <v>551</v>
      </c>
      <c r="Q4" s="98" t="s">
        <v>1539</v>
      </c>
      <c r="R4" s="139">
        <v>21</v>
      </c>
      <c r="S4" s="241">
        <f>System!$C$9</f>
        <v>0.95</v>
      </c>
      <c r="T4" s="196">
        <f t="shared" ref="T4:T49" si="0">R4*S4</f>
        <v>19.95</v>
      </c>
      <c r="U4" s="199">
        <f>System!$D$9</f>
        <v>0.45</v>
      </c>
      <c r="V4" s="200">
        <f t="shared" ref="V4:V49" si="1">R4*24*365*U4/1000</f>
        <v>82.781999999999996</v>
      </c>
      <c r="W4" s="91">
        <v>1</v>
      </c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97"/>
      <c r="AT4" s="94"/>
      <c r="AU4" s="94"/>
    </row>
    <row r="5" spans="1:47" s="104" customFormat="1">
      <c r="B5" s="101" t="s">
        <v>695</v>
      </c>
      <c r="C5" s="47" t="s">
        <v>1525</v>
      </c>
      <c r="D5" s="101" t="s">
        <v>382</v>
      </c>
      <c r="E5" s="101" t="s">
        <v>695</v>
      </c>
      <c r="F5" s="110">
        <v>46.004241</v>
      </c>
      <c r="G5" s="110">
        <v>-67.231316000000007</v>
      </c>
      <c r="H5" s="47" t="s">
        <v>560</v>
      </c>
      <c r="I5" s="47" t="s">
        <v>598</v>
      </c>
      <c r="J5" s="103" t="s">
        <v>1102</v>
      </c>
      <c r="K5" s="47" t="s">
        <v>1345</v>
      </c>
      <c r="L5" s="102">
        <v>138</v>
      </c>
      <c r="M5" s="140">
        <v>2015</v>
      </c>
      <c r="N5" s="91">
        <v>2100</v>
      </c>
      <c r="O5" s="52"/>
      <c r="P5" s="19" t="s">
        <v>551</v>
      </c>
      <c r="Q5" s="98" t="s">
        <v>1539</v>
      </c>
      <c r="R5" s="139">
        <v>26</v>
      </c>
      <c r="S5" s="241">
        <f>System!$C$9</f>
        <v>0.95</v>
      </c>
      <c r="T5" s="196">
        <f t="shared" si="0"/>
        <v>24.7</v>
      </c>
      <c r="U5" s="199">
        <f>System!$D$9</f>
        <v>0.45</v>
      </c>
      <c r="V5" s="200">
        <f t="shared" si="1"/>
        <v>102.492</v>
      </c>
      <c r="W5" s="91">
        <v>1</v>
      </c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97"/>
      <c r="AT5" s="94"/>
      <c r="AU5" s="94"/>
    </row>
    <row r="6" spans="1:47" s="15" customFormat="1">
      <c r="B6" s="105" t="s">
        <v>381</v>
      </c>
      <c r="C6" s="47" t="s">
        <v>1516</v>
      </c>
      <c r="D6" s="105" t="s">
        <v>403</v>
      </c>
      <c r="E6" s="105" t="s">
        <v>99</v>
      </c>
      <c r="F6" s="106">
        <v>45.258923000000003</v>
      </c>
      <c r="G6" s="106">
        <v>-66.094539100000006</v>
      </c>
      <c r="H6" s="47" t="s">
        <v>560</v>
      </c>
      <c r="I6" s="47" t="s">
        <v>598</v>
      </c>
      <c r="J6" s="103" t="s">
        <v>1049</v>
      </c>
      <c r="K6" s="47" t="s">
        <v>1442</v>
      </c>
      <c r="L6" s="102">
        <v>69</v>
      </c>
      <c r="M6" s="140">
        <v>2010</v>
      </c>
      <c r="N6" s="91">
        <v>2100</v>
      </c>
      <c r="O6" s="52"/>
      <c r="P6" s="19" t="s">
        <v>551</v>
      </c>
      <c r="Q6" s="98" t="s">
        <v>1539</v>
      </c>
      <c r="R6" s="139">
        <v>33</v>
      </c>
      <c r="S6" s="241">
        <f>System!$C$9</f>
        <v>0.95</v>
      </c>
      <c r="T6" s="196">
        <f t="shared" si="0"/>
        <v>31.349999999999998</v>
      </c>
      <c r="U6" s="199">
        <f>System!$D$9</f>
        <v>0.45</v>
      </c>
      <c r="V6" s="200">
        <f t="shared" si="1"/>
        <v>130.08600000000001</v>
      </c>
      <c r="W6" s="91">
        <v>1</v>
      </c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97"/>
      <c r="AT6" s="94"/>
      <c r="AU6" s="18"/>
    </row>
    <row r="7" spans="1:47" s="15" customFormat="1">
      <c r="B7" s="90" t="s">
        <v>417</v>
      </c>
      <c r="C7" s="47" t="s">
        <v>1513</v>
      </c>
      <c r="D7" s="90" t="s">
        <v>1486</v>
      </c>
      <c r="E7" s="90" t="s">
        <v>1535</v>
      </c>
      <c r="F7" s="106">
        <v>47.370167000000002</v>
      </c>
      <c r="G7" s="106">
        <v>-68.331786399999999</v>
      </c>
      <c r="H7" s="47" t="s">
        <v>560</v>
      </c>
      <c r="I7" s="47" t="s">
        <v>598</v>
      </c>
      <c r="J7" s="103" t="s">
        <v>1003</v>
      </c>
      <c r="K7" s="47" t="s">
        <v>1257</v>
      </c>
      <c r="L7" s="102">
        <v>69</v>
      </c>
      <c r="M7" s="91">
        <v>1996</v>
      </c>
      <c r="N7" s="91">
        <v>2100</v>
      </c>
      <c r="O7" s="52"/>
      <c r="P7" s="19" t="s">
        <v>551</v>
      </c>
      <c r="Q7" s="98" t="s">
        <v>1539</v>
      </c>
      <c r="R7" s="139">
        <v>39</v>
      </c>
      <c r="S7" s="241">
        <f>System!$C$9</f>
        <v>0.95</v>
      </c>
      <c r="T7" s="196">
        <f t="shared" si="0"/>
        <v>37.049999999999997</v>
      </c>
      <c r="U7" s="199">
        <f>System!$D$9</f>
        <v>0.45</v>
      </c>
      <c r="V7" s="200">
        <f t="shared" si="1"/>
        <v>153.738</v>
      </c>
      <c r="W7" s="91">
        <v>1</v>
      </c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97"/>
      <c r="AT7" s="94"/>
      <c r="AU7" s="18" t="s">
        <v>1489</v>
      </c>
    </row>
    <row r="8" spans="1:47" s="15" customFormat="1">
      <c r="B8" s="90" t="s">
        <v>82</v>
      </c>
      <c r="C8" s="47" t="s">
        <v>1509</v>
      </c>
      <c r="D8" s="90" t="s">
        <v>93</v>
      </c>
      <c r="E8" s="90" t="s">
        <v>82</v>
      </c>
      <c r="F8" s="110">
        <v>47.890293999999997</v>
      </c>
      <c r="G8" s="110">
        <v>-65.872703999999999</v>
      </c>
      <c r="H8" s="47" t="s">
        <v>560</v>
      </c>
      <c r="I8" s="47" t="s">
        <v>598</v>
      </c>
      <c r="J8" s="103" t="s">
        <v>211</v>
      </c>
      <c r="K8" s="47" t="s">
        <v>1376</v>
      </c>
      <c r="L8" s="102">
        <v>138</v>
      </c>
      <c r="M8" s="209">
        <v>1993</v>
      </c>
      <c r="N8" s="20">
        <v>2041</v>
      </c>
      <c r="O8" s="52"/>
      <c r="P8" s="19" t="s">
        <v>552</v>
      </c>
      <c r="Q8" s="98" t="s">
        <v>537</v>
      </c>
      <c r="R8" s="125">
        <v>466</v>
      </c>
      <c r="S8" s="241">
        <f>System!$C$4</f>
        <v>0.9</v>
      </c>
      <c r="T8" s="196">
        <f t="shared" si="0"/>
        <v>419.40000000000003</v>
      </c>
      <c r="U8" s="194">
        <f>System!$D$4</f>
        <v>0.65</v>
      </c>
      <c r="V8" s="195">
        <f t="shared" si="1"/>
        <v>2653.404</v>
      </c>
      <c r="W8" s="71">
        <v>1</v>
      </c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97"/>
      <c r="AT8" s="94"/>
      <c r="AU8" s="18"/>
    </row>
    <row r="9" spans="1:47" s="15" customFormat="1">
      <c r="B9" s="90" t="s">
        <v>405</v>
      </c>
      <c r="C9" s="47" t="s">
        <v>1175</v>
      </c>
      <c r="D9" s="90" t="s">
        <v>93</v>
      </c>
      <c r="E9" s="90" t="s">
        <v>87</v>
      </c>
      <c r="F9" s="110">
        <v>47.071041000000001</v>
      </c>
      <c r="G9" s="110">
        <v>-65.454081000000002</v>
      </c>
      <c r="H9" s="47" t="s">
        <v>560</v>
      </c>
      <c r="I9" s="47" t="s">
        <v>598</v>
      </c>
      <c r="J9" s="103" t="s">
        <v>229</v>
      </c>
      <c r="K9" s="47" t="s">
        <v>1385</v>
      </c>
      <c r="L9" s="102">
        <v>230</v>
      </c>
      <c r="M9" s="209">
        <v>1991</v>
      </c>
      <c r="N9" s="20">
        <v>2031</v>
      </c>
      <c r="O9" s="52"/>
      <c r="P9" s="19" t="s">
        <v>788</v>
      </c>
      <c r="Q9" s="98" t="s">
        <v>538</v>
      </c>
      <c r="R9" s="125">
        <v>99</v>
      </c>
      <c r="S9" s="241">
        <f>System!$C$6</f>
        <v>0.78</v>
      </c>
      <c r="T9" s="196">
        <f t="shared" si="0"/>
        <v>77.22</v>
      </c>
      <c r="U9" s="203">
        <f>System!$D$6</f>
        <v>0.01</v>
      </c>
      <c r="V9" s="204">
        <f t="shared" si="1"/>
        <v>8.6723999999999997</v>
      </c>
      <c r="W9" s="71">
        <v>4</v>
      </c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97"/>
      <c r="AT9" s="94"/>
      <c r="AU9" s="90" t="s">
        <v>150</v>
      </c>
    </row>
    <row r="10" spans="1:47" s="15" customFormat="1">
      <c r="B10" s="90" t="s">
        <v>406</v>
      </c>
      <c r="C10" s="47" t="s">
        <v>1182</v>
      </c>
      <c r="D10" s="90" t="s">
        <v>93</v>
      </c>
      <c r="E10" s="90" t="s">
        <v>87</v>
      </c>
      <c r="F10" s="110">
        <v>47.071041000000001</v>
      </c>
      <c r="G10" s="110">
        <v>-65.454081000000002</v>
      </c>
      <c r="H10" s="47" t="s">
        <v>560</v>
      </c>
      <c r="I10" s="47" t="s">
        <v>598</v>
      </c>
      <c r="J10" s="103" t="s">
        <v>229</v>
      </c>
      <c r="K10" s="47" t="s">
        <v>1385</v>
      </c>
      <c r="L10" s="102">
        <v>230</v>
      </c>
      <c r="M10" s="209">
        <v>1991</v>
      </c>
      <c r="N10" s="20">
        <v>2031</v>
      </c>
      <c r="O10" s="52"/>
      <c r="P10" s="19" t="s">
        <v>788</v>
      </c>
      <c r="Q10" s="98" t="s">
        <v>538</v>
      </c>
      <c r="R10" s="125">
        <v>99</v>
      </c>
      <c r="S10" s="241">
        <f>System!$C$6</f>
        <v>0.78</v>
      </c>
      <c r="T10" s="196">
        <f t="shared" si="0"/>
        <v>77.22</v>
      </c>
      <c r="U10" s="203">
        <f>System!$D$6</f>
        <v>0.01</v>
      </c>
      <c r="V10" s="204">
        <f t="shared" si="1"/>
        <v>8.6723999999999997</v>
      </c>
      <c r="W10" s="71">
        <v>4</v>
      </c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97"/>
      <c r="AT10" s="94"/>
      <c r="AU10" s="90" t="s">
        <v>150</v>
      </c>
    </row>
    <row r="11" spans="1:47" s="15" customFormat="1">
      <c r="B11" s="90" t="s">
        <v>407</v>
      </c>
      <c r="C11" s="47" t="s">
        <v>1188</v>
      </c>
      <c r="D11" s="90" t="s">
        <v>93</v>
      </c>
      <c r="E11" s="90" t="s">
        <v>87</v>
      </c>
      <c r="F11" s="110">
        <v>47.071041000000001</v>
      </c>
      <c r="G11" s="110">
        <v>-65.454081000000002</v>
      </c>
      <c r="H11" s="47" t="s">
        <v>560</v>
      </c>
      <c r="I11" s="47" t="s">
        <v>598</v>
      </c>
      <c r="J11" s="103" t="s">
        <v>229</v>
      </c>
      <c r="K11" s="47" t="s">
        <v>1385</v>
      </c>
      <c r="L11" s="102">
        <v>230</v>
      </c>
      <c r="M11" s="209">
        <v>1991</v>
      </c>
      <c r="N11" s="20">
        <v>2031</v>
      </c>
      <c r="O11" s="52"/>
      <c r="P11" s="19" t="s">
        <v>788</v>
      </c>
      <c r="Q11" s="98" t="s">
        <v>538</v>
      </c>
      <c r="R11" s="125">
        <v>99</v>
      </c>
      <c r="S11" s="241">
        <f>System!$C$6</f>
        <v>0.78</v>
      </c>
      <c r="T11" s="196">
        <f t="shared" si="0"/>
        <v>77.22</v>
      </c>
      <c r="U11" s="203">
        <f>System!$D$6</f>
        <v>0.01</v>
      </c>
      <c r="V11" s="204">
        <f t="shared" si="1"/>
        <v>8.6723999999999997</v>
      </c>
      <c r="W11" s="71">
        <v>4</v>
      </c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97"/>
      <c r="AT11" s="94"/>
      <c r="AU11" s="90" t="s">
        <v>150</v>
      </c>
    </row>
    <row r="12" spans="1:47" s="15" customFormat="1">
      <c r="B12" s="90" t="s">
        <v>408</v>
      </c>
      <c r="C12" s="47" t="s">
        <v>1191</v>
      </c>
      <c r="D12" s="90" t="s">
        <v>93</v>
      </c>
      <c r="E12" s="90" t="s">
        <v>87</v>
      </c>
      <c r="F12" s="110">
        <v>47.071041000000001</v>
      </c>
      <c r="G12" s="110">
        <v>-65.454081000000002</v>
      </c>
      <c r="H12" s="47" t="s">
        <v>560</v>
      </c>
      <c r="I12" s="47" t="s">
        <v>598</v>
      </c>
      <c r="J12" s="103" t="s">
        <v>229</v>
      </c>
      <c r="K12" s="47" t="s">
        <v>1385</v>
      </c>
      <c r="L12" s="102">
        <v>230</v>
      </c>
      <c r="M12" s="209">
        <v>1991</v>
      </c>
      <c r="N12" s="20">
        <v>2031</v>
      </c>
      <c r="O12" s="52"/>
      <c r="P12" s="19" t="s">
        <v>788</v>
      </c>
      <c r="Q12" s="98" t="s">
        <v>538</v>
      </c>
      <c r="R12" s="125">
        <v>99</v>
      </c>
      <c r="S12" s="241">
        <f>System!$C$6</f>
        <v>0.78</v>
      </c>
      <c r="T12" s="196">
        <f t="shared" si="0"/>
        <v>77.22</v>
      </c>
      <c r="U12" s="203">
        <f>System!$D$6</f>
        <v>0.01</v>
      </c>
      <c r="V12" s="204">
        <f t="shared" si="1"/>
        <v>8.6723999999999997</v>
      </c>
      <c r="W12" s="71">
        <v>4</v>
      </c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97"/>
      <c r="AT12" s="94"/>
      <c r="AU12" s="90" t="s">
        <v>150</v>
      </c>
    </row>
    <row r="13" spans="1:47" s="15" customFormat="1">
      <c r="B13" s="90" t="s">
        <v>411</v>
      </c>
      <c r="C13" s="47" t="s">
        <v>1523</v>
      </c>
      <c r="D13" s="90" t="s">
        <v>93</v>
      </c>
      <c r="E13" s="90" t="s">
        <v>81</v>
      </c>
      <c r="F13" s="110">
        <v>45.068688999999999</v>
      </c>
      <c r="G13" s="110">
        <v>-66.454336999999995</v>
      </c>
      <c r="H13" s="47" t="s">
        <v>560</v>
      </c>
      <c r="I13" s="47" t="s">
        <v>598</v>
      </c>
      <c r="J13" s="103" t="s">
        <v>300</v>
      </c>
      <c r="K13" s="47" t="s">
        <v>1387</v>
      </c>
      <c r="L13" s="102">
        <v>345</v>
      </c>
      <c r="M13" s="209">
        <v>1983</v>
      </c>
      <c r="N13" s="91">
        <v>2100</v>
      </c>
      <c r="O13" s="52"/>
      <c r="P13" s="19" t="s">
        <v>788</v>
      </c>
      <c r="Q13" s="98" t="s">
        <v>538</v>
      </c>
      <c r="R13" s="125">
        <v>5</v>
      </c>
      <c r="S13" s="241">
        <f>System!$C$6</f>
        <v>0.78</v>
      </c>
      <c r="T13" s="196">
        <f t="shared" si="0"/>
        <v>3.9000000000000004</v>
      </c>
      <c r="U13" s="203">
        <f>System!$D$6</f>
        <v>0.01</v>
      </c>
      <c r="V13" s="204">
        <f t="shared" si="1"/>
        <v>0.438</v>
      </c>
      <c r="W13" s="71">
        <v>1</v>
      </c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97"/>
      <c r="AT13" s="94"/>
      <c r="AU13" s="18" t="s">
        <v>1485</v>
      </c>
    </row>
    <row r="14" spans="1:47" s="15" customFormat="1">
      <c r="B14" s="90" t="s">
        <v>88</v>
      </c>
      <c r="C14" s="47" t="s">
        <v>1527</v>
      </c>
      <c r="D14" s="90" t="s">
        <v>93</v>
      </c>
      <c r="E14" s="90" t="s">
        <v>88</v>
      </c>
      <c r="F14" s="110">
        <v>47.626322000000002</v>
      </c>
      <c r="G14" s="110">
        <v>-64.953989000000007</v>
      </c>
      <c r="H14" s="47" t="s">
        <v>560</v>
      </c>
      <c r="I14" s="47" t="s">
        <v>598</v>
      </c>
      <c r="J14" s="103" t="s">
        <v>224</v>
      </c>
      <c r="K14" s="47" t="s">
        <v>1390</v>
      </c>
      <c r="L14" s="102">
        <v>69</v>
      </c>
      <c r="M14" s="210">
        <v>1991</v>
      </c>
      <c r="N14" s="20">
        <v>2031</v>
      </c>
      <c r="O14" s="52"/>
      <c r="P14" s="19" t="s">
        <v>788</v>
      </c>
      <c r="Q14" s="98" t="s">
        <v>538</v>
      </c>
      <c r="R14" s="125">
        <v>99</v>
      </c>
      <c r="S14" s="241">
        <f>System!$C$6</f>
        <v>0.78</v>
      </c>
      <c r="T14" s="196">
        <f t="shared" si="0"/>
        <v>77.22</v>
      </c>
      <c r="U14" s="203">
        <f>System!$D$6</f>
        <v>0.01</v>
      </c>
      <c r="V14" s="204">
        <f t="shared" si="1"/>
        <v>8.6723999999999997</v>
      </c>
      <c r="W14" s="71">
        <v>1</v>
      </c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97"/>
      <c r="AT14" s="94"/>
      <c r="AU14" s="90" t="s">
        <v>150</v>
      </c>
    </row>
    <row r="15" spans="1:47" s="15" customFormat="1">
      <c r="B15" s="90" t="s">
        <v>384</v>
      </c>
      <c r="C15" s="47" t="s">
        <v>1170</v>
      </c>
      <c r="D15" s="90" t="s">
        <v>93</v>
      </c>
      <c r="E15" s="90" t="s">
        <v>100</v>
      </c>
      <c r="F15" s="106">
        <v>46.542821500000002</v>
      </c>
      <c r="G15" s="106">
        <v>-67.668708899999999</v>
      </c>
      <c r="H15" s="47" t="s">
        <v>560</v>
      </c>
      <c r="I15" s="47" t="s">
        <v>598</v>
      </c>
      <c r="J15" s="103" t="s">
        <v>649</v>
      </c>
      <c r="K15" s="47" t="s">
        <v>1375</v>
      </c>
      <c r="L15" s="102">
        <v>138</v>
      </c>
      <c r="M15" s="209">
        <v>1957</v>
      </c>
      <c r="N15" s="91">
        <v>2100</v>
      </c>
      <c r="O15" s="52"/>
      <c r="P15" s="19" t="s">
        <v>420</v>
      </c>
      <c r="Q15" s="98" t="s">
        <v>539</v>
      </c>
      <c r="R15" s="125">
        <v>36</v>
      </c>
      <c r="S15" s="241">
        <f>System!$C$12</f>
        <v>0.95</v>
      </c>
      <c r="T15" s="196">
        <f t="shared" si="0"/>
        <v>34.199999999999996</v>
      </c>
      <c r="U15" s="203">
        <v>0.46</v>
      </c>
      <c r="V15" s="204">
        <f t="shared" si="1"/>
        <v>145.06560000000002</v>
      </c>
      <c r="W15" s="71">
        <v>3</v>
      </c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97"/>
      <c r="AT15" s="94"/>
      <c r="AU15" s="18"/>
    </row>
    <row r="16" spans="1:47" s="15" customFormat="1">
      <c r="B16" s="90" t="s">
        <v>385</v>
      </c>
      <c r="C16" s="47" t="s">
        <v>1177</v>
      </c>
      <c r="D16" s="90" t="s">
        <v>93</v>
      </c>
      <c r="E16" s="90" t="s">
        <v>100</v>
      </c>
      <c r="F16" s="106">
        <v>46.542821500000002</v>
      </c>
      <c r="G16" s="106">
        <v>-67.668708899999999</v>
      </c>
      <c r="H16" s="47" t="s">
        <v>560</v>
      </c>
      <c r="I16" s="47" t="s">
        <v>598</v>
      </c>
      <c r="J16" s="103" t="s">
        <v>649</v>
      </c>
      <c r="K16" s="47" t="s">
        <v>1375</v>
      </c>
      <c r="L16" s="102">
        <v>138</v>
      </c>
      <c r="M16" s="209">
        <v>1957</v>
      </c>
      <c r="N16" s="91">
        <v>2100</v>
      </c>
      <c r="O16" s="52"/>
      <c r="P16" s="19" t="s">
        <v>420</v>
      </c>
      <c r="Q16" s="98" t="s">
        <v>539</v>
      </c>
      <c r="R16" s="125">
        <v>36</v>
      </c>
      <c r="S16" s="241">
        <f>System!$C$12</f>
        <v>0.95</v>
      </c>
      <c r="T16" s="196">
        <f t="shared" si="0"/>
        <v>34.199999999999996</v>
      </c>
      <c r="U16" s="203">
        <v>0.46</v>
      </c>
      <c r="V16" s="204">
        <f t="shared" si="1"/>
        <v>145.06560000000002</v>
      </c>
      <c r="W16" s="71">
        <v>3</v>
      </c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97"/>
      <c r="AT16" s="94"/>
      <c r="AU16" s="18"/>
    </row>
    <row r="17" spans="2:47" s="15" customFormat="1">
      <c r="B17" s="90" t="s">
        <v>386</v>
      </c>
      <c r="C17" s="47" t="s">
        <v>1184</v>
      </c>
      <c r="D17" s="90" t="s">
        <v>93</v>
      </c>
      <c r="E17" s="90" t="s">
        <v>100</v>
      </c>
      <c r="F17" s="106">
        <v>46.542821500000002</v>
      </c>
      <c r="G17" s="106">
        <v>-67.668708899999999</v>
      </c>
      <c r="H17" s="47" t="s">
        <v>560</v>
      </c>
      <c r="I17" s="47" t="s">
        <v>598</v>
      </c>
      <c r="J17" s="103" t="s">
        <v>649</v>
      </c>
      <c r="K17" s="47" t="s">
        <v>1375</v>
      </c>
      <c r="L17" s="102">
        <v>138</v>
      </c>
      <c r="M17" s="209">
        <v>1957</v>
      </c>
      <c r="N17" s="91">
        <v>2100</v>
      </c>
      <c r="O17" s="52"/>
      <c r="P17" s="19" t="s">
        <v>420</v>
      </c>
      <c r="Q17" s="98" t="s">
        <v>539</v>
      </c>
      <c r="R17" s="125">
        <v>41</v>
      </c>
      <c r="S17" s="241">
        <f>System!$C$12</f>
        <v>0.95</v>
      </c>
      <c r="T17" s="196">
        <f t="shared" si="0"/>
        <v>38.949999999999996</v>
      </c>
      <c r="U17" s="203">
        <v>0.46</v>
      </c>
      <c r="V17" s="204">
        <f t="shared" si="1"/>
        <v>165.21360000000001</v>
      </c>
      <c r="W17" s="71">
        <v>3</v>
      </c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97"/>
      <c r="AT17" s="94"/>
      <c r="AU17" s="18"/>
    </row>
    <row r="18" spans="2:47" s="15" customFormat="1">
      <c r="B18" s="90" t="s">
        <v>390</v>
      </c>
      <c r="C18" s="47" t="s">
        <v>1172</v>
      </c>
      <c r="D18" s="90" t="s">
        <v>93</v>
      </c>
      <c r="E18" s="90" t="s">
        <v>100</v>
      </c>
      <c r="F18" s="106">
        <v>47.042932100000002</v>
      </c>
      <c r="G18" s="106">
        <v>-67.736865899999998</v>
      </c>
      <c r="H18" s="47" t="s">
        <v>560</v>
      </c>
      <c r="I18" s="47" t="s">
        <v>598</v>
      </c>
      <c r="J18" s="103" t="s">
        <v>178</v>
      </c>
      <c r="K18" s="47" t="s">
        <v>1379</v>
      </c>
      <c r="L18" s="102">
        <v>138</v>
      </c>
      <c r="M18" s="209">
        <v>1928</v>
      </c>
      <c r="N18" s="91">
        <v>2100</v>
      </c>
      <c r="O18" s="52"/>
      <c r="P18" s="19" t="s">
        <v>420</v>
      </c>
      <c r="Q18" s="98" t="s">
        <v>539</v>
      </c>
      <c r="R18" s="125">
        <v>16</v>
      </c>
      <c r="S18" s="241">
        <f>System!$C$12</f>
        <v>0.95</v>
      </c>
      <c r="T18" s="196">
        <f t="shared" si="0"/>
        <v>15.2</v>
      </c>
      <c r="U18" s="203">
        <v>0.76</v>
      </c>
      <c r="V18" s="204">
        <f t="shared" si="1"/>
        <v>106.52160000000001</v>
      </c>
      <c r="W18" s="71">
        <v>4</v>
      </c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97"/>
      <c r="AT18" s="94"/>
      <c r="AU18" s="18"/>
    </row>
    <row r="19" spans="2:47" s="15" customFormat="1">
      <c r="B19" s="90" t="s">
        <v>391</v>
      </c>
      <c r="C19" s="47" t="s">
        <v>1179</v>
      </c>
      <c r="D19" s="90" t="s">
        <v>93</v>
      </c>
      <c r="E19" s="90" t="s">
        <v>100</v>
      </c>
      <c r="F19" s="106">
        <v>47.042932100000002</v>
      </c>
      <c r="G19" s="106">
        <v>-67.736865899999998</v>
      </c>
      <c r="H19" s="47" t="s">
        <v>560</v>
      </c>
      <c r="I19" s="47" t="s">
        <v>598</v>
      </c>
      <c r="J19" s="103" t="s">
        <v>178</v>
      </c>
      <c r="K19" s="47" t="s">
        <v>1379</v>
      </c>
      <c r="L19" s="102">
        <v>138</v>
      </c>
      <c r="M19" s="209">
        <v>1928</v>
      </c>
      <c r="N19" s="91">
        <v>2100</v>
      </c>
      <c r="O19" s="52"/>
      <c r="P19" s="19" t="s">
        <v>420</v>
      </c>
      <c r="Q19" s="98" t="s">
        <v>539</v>
      </c>
      <c r="R19" s="125">
        <v>16</v>
      </c>
      <c r="S19" s="241">
        <f>System!$C$12</f>
        <v>0.95</v>
      </c>
      <c r="T19" s="196">
        <f t="shared" si="0"/>
        <v>15.2</v>
      </c>
      <c r="U19" s="203">
        <v>0.76</v>
      </c>
      <c r="V19" s="204">
        <f t="shared" si="1"/>
        <v>106.52160000000001</v>
      </c>
      <c r="W19" s="71">
        <v>4</v>
      </c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97"/>
      <c r="AT19" s="94"/>
      <c r="AU19" s="18"/>
    </row>
    <row r="20" spans="2:47" s="15" customFormat="1">
      <c r="B20" s="90" t="s">
        <v>392</v>
      </c>
      <c r="C20" s="47" t="s">
        <v>1186</v>
      </c>
      <c r="D20" s="90" t="s">
        <v>93</v>
      </c>
      <c r="E20" s="90" t="s">
        <v>100</v>
      </c>
      <c r="F20" s="106">
        <v>47.042932100000002</v>
      </c>
      <c r="G20" s="106">
        <v>-67.736865899999998</v>
      </c>
      <c r="H20" s="47" t="s">
        <v>560</v>
      </c>
      <c r="I20" s="47" t="s">
        <v>598</v>
      </c>
      <c r="J20" s="103" t="s">
        <v>178</v>
      </c>
      <c r="K20" s="47" t="s">
        <v>1379</v>
      </c>
      <c r="L20" s="102">
        <v>138</v>
      </c>
      <c r="M20" s="209">
        <v>1928</v>
      </c>
      <c r="N20" s="91">
        <v>2100</v>
      </c>
      <c r="O20" s="52"/>
      <c r="P20" s="19" t="s">
        <v>420</v>
      </c>
      <c r="Q20" s="98" t="s">
        <v>539</v>
      </c>
      <c r="R20" s="125">
        <v>16</v>
      </c>
      <c r="S20" s="241">
        <f>System!$C$12</f>
        <v>0.95</v>
      </c>
      <c r="T20" s="196">
        <f t="shared" si="0"/>
        <v>15.2</v>
      </c>
      <c r="U20" s="203">
        <v>0.76</v>
      </c>
      <c r="V20" s="204">
        <f t="shared" si="1"/>
        <v>106.52160000000001</v>
      </c>
      <c r="W20" s="71">
        <v>4</v>
      </c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97"/>
      <c r="AT20" s="94"/>
      <c r="AU20" s="18"/>
    </row>
    <row r="21" spans="2:47" s="15" customFormat="1">
      <c r="B21" s="90" t="s">
        <v>393</v>
      </c>
      <c r="C21" s="47" t="s">
        <v>1189</v>
      </c>
      <c r="D21" s="90" t="s">
        <v>93</v>
      </c>
      <c r="E21" s="90" t="s">
        <v>100</v>
      </c>
      <c r="F21" s="106">
        <v>47.042932100000002</v>
      </c>
      <c r="G21" s="106">
        <v>-67.736865899999998</v>
      </c>
      <c r="H21" s="47" t="s">
        <v>560</v>
      </c>
      <c r="I21" s="47" t="s">
        <v>598</v>
      </c>
      <c r="J21" s="103" t="s">
        <v>178</v>
      </c>
      <c r="K21" s="47" t="s">
        <v>1379</v>
      </c>
      <c r="L21" s="102">
        <v>138</v>
      </c>
      <c r="M21" s="209">
        <v>1928</v>
      </c>
      <c r="N21" s="91">
        <v>2100</v>
      </c>
      <c r="O21" s="52"/>
      <c r="P21" s="19" t="s">
        <v>420</v>
      </c>
      <c r="Q21" s="98" t="s">
        <v>539</v>
      </c>
      <c r="R21" s="125">
        <v>16</v>
      </c>
      <c r="S21" s="241">
        <f>System!$C$12</f>
        <v>0.95</v>
      </c>
      <c r="T21" s="196">
        <f t="shared" si="0"/>
        <v>15.2</v>
      </c>
      <c r="U21" s="203">
        <v>0.79002148804727379</v>
      </c>
      <c r="V21" s="204">
        <f t="shared" si="1"/>
        <v>110.72941176470589</v>
      </c>
      <c r="W21" s="71">
        <v>4</v>
      </c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97"/>
      <c r="AT21" s="94"/>
      <c r="AU21" s="18"/>
    </row>
    <row r="22" spans="2:47" s="15" customFormat="1">
      <c r="B22" s="90" t="s">
        <v>396</v>
      </c>
      <c r="C22" s="47" t="s">
        <v>1174</v>
      </c>
      <c r="D22" s="90" t="s">
        <v>93</v>
      </c>
      <c r="E22" s="90" t="s">
        <v>100</v>
      </c>
      <c r="F22" s="106">
        <v>45.955078700000001</v>
      </c>
      <c r="G22" s="106">
        <v>-66.866526300000004</v>
      </c>
      <c r="H22" s="47" t="s">
        <v>560</v>
      </c>
      <c r="I22" s="47" t="s">
        <v>598</v>
      </c>
      <c r="J22" s="103" t="s">
        <v>297</v>
      </c>
      <c r="K22" s="47" t="s">
        <v>1384</v>
      </c>
      <c r="L22" s="102">
        <v>345</v>
      </c>
      <c r="M22" s="209">
        <v>1968</v>
      </c>
      <c r="N22" s="91">
        <v>2100</v>
      </c>
      <c r="O22" s="52"/>
      <c r="P22" s="19" t="s">
        <v>420</v>
      </c>
      <c r="Q22" s="98" t="s">
        <v>539</v>
      </c>
      <c r="R22" s="125">
        <v>109</v>
      </c>
      <c r="S22" s="241">
        <f>System!$C$12</f>
        <v>0.95</v>
      </c>
      <c r="T22" s="196">
        <f t="shared" si="0"/>
        <v>103.55</v>
      </c>
      <c r="U22" s="203">
        <v>0.28000000000000003</v>
      </c>
      <c r="V22" s="204">
        <f t="shared" si="1"/>
        <v>267.35520000000002</v>
      </c>
      <c r="W22" s="71">
        <v>6</v>
      </c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97"/>
      <c r="AT22" s="94"/>
      <c r="AU22" s="18"/>
    </row>
    <row r="23" spans="2:47" s="15" customFormat="1">
      <c r="B23" s="90" t="s">
        <v>397</v>
      </c>
      <c r="C23" s="47" t="s">
        <v>1181</v>
      </c>
      <c r="D23" s="90" t="s">
        <v>93</v>
      </c>
      <c r="E23" s="90" t="s">
        <v>100</v>
      </c>
      <c r="F23" s="106">
        <v>45.955078700000001</v>
      </c>
      <c r="G23" s="106">
        <v>-66.866526300000004</v>
      </c>
      <c r="H23" s="47" t="s">
        <v>560</v>
      </c>
      <c r="I23" s="47" t="s">
        <v>598</v>
      </c>
      <c r="J23" s="103" t="s">
        <v>297</v>
      </c>
      <c r="K23" s="47" t="s">
        <v>1384</v>
      </c>
      <c r="L23" s="102">
        <v>345</v>
      </c>
      <c r="M23" s="209">
        <v>1968</v>
      </c>
      <c r="N23" s="91">
        <v>2100</v>
      </c>
      <c r="O23" s="52"/>
      <c r="P23" s="19" t="s">
        <v>420</v>
      </c>
      <c r="Q23" s="98" t="s">
        <v>539</v>
      </c>
      <c r="R23" s="125">
        <v>109</v>
      </c>
      <c r="S23" s="241">
        <f>System!$C$12</f>
        <v>0.95</v>
      </c>
      <c r="T23" s="196">
        <f t="shared" si="0"/>
        <v>103.55</v>
      </c>
      <c r="U23" s="203">
        <v>0.28000000000000003</v>
      </c>
      <c r="V23" s="204">
        <f t="shared" si="1"/>
        <v>267.35520000000002</v>
      </c>
      <c r="W23" s="71">
        <v>6</v>
      </c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97"/>
      <c r="AT23" s="94"/>
      <c r="AU23" s="18"/>
    </row>
    <row r="24" spans="2:47" s="15" customFormat="1">
      <c r="B24" s="90" t="s">
        <v>398</v>
      </c>
      <c r="C24" s="47" t="s">
        <v>1187</v>
      </c>
      <c r="D24" s="90" t="s">
        <v>93</v>
      </c>
      <c r="E24" s="90" t="s">
        <v>100</v>
      </c>
      <c r="F24" s="106">
        <v>45.955078700000001</v>
      </c>
      <c r="G24" s="106">
        <v>-66.866526300000004</v>
      </c>
      <c r="H24" s="47" t="s">
        <v>560</v>
      </c>
      <c r="I24" s="47" t="s">
        <v>598</v>
      </c>
      <c r="J24" s="103" t="s">
        <v>297</v>
      </c>
      <c r="K24" s="47" t="s">
        <v>1384</v>
      </c>
      <c r="L24" s="102">
        <v>345</v>
      </c>
      <c r="M24" s="209">
        <v>1968</v>
      </c>
      <c r="N24" s="91">
        <v>2100</v>
      </c>
      <c r="O24" s="52"/>
      <c r="P24" s="19" t="s">
        <v>420</v>
      </c>
      <c r="Q24" s="98" t="s">
        <v>539</v>
      </c>
      <c r="R24" s="125">
        <v>109</v>
      </c>
      <c r="S24" s="241">
        <f>System!$C$12</f>
        <v>0.95</v>
      </c>
      <c r="T24" s="196">
        <f t="shared" si="0"/>
        <v>103.55</v>
      </c>
      <c r="U24" s="203">
        <v>0.28000000000000003</v>
      </c>
      <c r="V24" s="204">
        <f t="shared" si="1"/>
        <v>267.35520000000002</v>
      </c>
      <c r="W24" s="71">
        <v>6</v>
      </c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97"/>
      <c r="AT24" s="94"/>
      <c r="AU24" s="18"/>
    </row>
    <row r="25" spans="2:47" s="15" customFormat="1">
      <c r="B25" s="90" t="s">
        <v>399</v>
      </c>
      <c r="C25" s="47" t="s">
        <v>1190</v>
      </c>
      <c r="D25" s="90" t="s">
        <v>93</v>
      </c>
      <c r="E25" s="90" t="s">
        <v>100</v>
      </c>
      <c r="F25" s="106">
        <v>45.955078700000001</v>
      </c>
      <c r="G25" s="106">
        <v>-66.866526300000004</v>
      </c>
      <c r="H25" s="47" t="s">
        <v>560</v>
      </c>
      <c r="I25" s="47" t="s">
        <v>598</v>
      </c>
      <c r="J25" s="103" t="s">
        <v>297</v>
      </c>
      <c r="K25" s="47" t="s">
        <v>1384</v>
      </c>
      <c r="L25" s="102">
        <v>345</v>
      </c>
      <c r="M25" s="209">
        <v>1968</v>
      </c>
      <c r="N25" s="91">
        <v>2100</v>
      </c>
      <c r="O25" s="52"/>
      <c r="P25" s="19" t="s">
        <v>420</v>
      </c>
      <c r="Q25" s="98" t="s">
        <v>539</v>
      </c>
      <c r="R25" s="125">
        <v>115</v>
      </c>
      <c r="S25" s="241">
        <f>System!$C$12</f>
        <v>0.95</v>
      </c>
      <c r="T25" s="196">
        <f t="shared" si="0"/>
        <v>109.25</v>
      </c>
      <c r="U25" s="203">
        <v>0.28000000000000003</v>
      </c>
      <c r="V25" s="204">
        <f t="shared" si="1"/>
        <v>282.072</v>
      </c>
      <c r="W25" s="71">
        <v>6</v>
      </c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97"/>
      <c r="AT25" s="94"/>
      <c r="AU25" s="18"/>
    </row>
    <row r="26" spans="2:47" s="15" customFormat="1">
      <c r="B26" s="90" t="s">
        <v>400</v>
      </c>
      <c r="C26" s="47" t="s">
        <v>1192</v>
      </c>
      <c r="D26" s="90" t="s">
        <v>93</v>
      </c>
      <c r="E26" s="90" t="s">
        <v>100</v>
      </c>
      <c r="F26" s="106">
        <v>45.955078700000001</v>
      </c>
      <c r="G26" s="106">
        <v>-66.866526300000004</v>
      </c>
      <c r="H26" s="47" t="s">
        <v>560</v>
      </c>
      <c r="I26" s="47" t="s">
        <v>598</v>
      </c>
      <c r="J26" s="103" t="s">
        <v>297</v>
      </c>
      <c r="K26" s="47" t="s">
        <v>1384</v>
      </c>
      <c r="L26" s="102">
        <v>345</v>
      </c>
      <c r="M26" s="209">
        <v>1968</v>
      </c>
      <c r="N26" s="91">
        <v>2100</v>
      </c>
      <c r="O26" s="52"/>
      <c r="P26" s="19" t="s">
        <v>420</v>
      </c>
      <c r="Q26" s="98" t="s">
        <v>539</v>
      </c>
      <c r="R26" s="125">
        <v>112</v>
      </c>
      <c r="S26" s="241">
        <f>System!$C$12</f>
        <v>0.95</v>
      </c>
      <c r="T26" s="196">
        <f t="shared" si="0"/>
        <v>106.39999999999999</v>
      </c>
      <c r="U26" s="203">
        <v>0.28000000000000003</v>
      </c>
      <c r="V26" s="204">
        <f t="shared" si="1"/>
        <v>274.71360000000004</v>
      </c>
      <c r="W26" s="71">
        <v>6</v>
      </c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97"/>
      <c r="AT26" s="94"/>
      <c r="AU26" s="18"/>
    </row>
    <row r="27" spans="2:47" s="15" customFormat="1">
      <c r="B27" s="90" t="s">
        <v>401</v>
      </c>
      <c r="C27" s="47" t="s">
        <v>1193</v>
      </c>
      <c r="D27" s="90" t="s">
        <v>93</v>
      </c>
      <c r="E27" s="90" t="s">
        <v>100</v>
      </c>
      <c r="F27" s="106">
        <v>45.955078700000001</v>
      </c>
      <c r="G27" s="106">
        <v>-66.866526300000004</v>
      </c>
      <c r="H27" s="47" t="s">
        <v>560</v>
      </c>
      <c r="I27" s="47" t="s">
        <v>598</v>
      </c>
      <c r="J27" s="103" t="s">
        <v>297</v>
      </c>
      <c r="K27" s="47" t="s">
        <v>1384</v>
      </c>
      <c r="L27" s="102">
        <v>345</v>
      </c>
      <c r="M27" s="209">
        <v>1968</v>
      </c>
      <c r="N27" s="91">
        <v>2100</v>
      </c>
      <c r="O27" s="52"/>
      <c r="P27" s="19" t="s">
        <v>420</v>
      </c>
      <c r="Q27" s="98" t="s">
        <v>539</v>
      </c>
      <c r="R27" s="125">
        <v>112</v>
      </c>
      <c r="S27" s="241">
        <f>System!$C$12</f>
        <v>0.95</v>
      </c>
      <c r="T27" s="196">
        <f t="shared" si="0"/>
        <v>106.39999999999999</v>
      </c>
      <c r="U27" s="203">
        <v>0.28000000000000003</v>
      </c>
      <c r="V27" s="204">
        <f t="shared" si="1"/>
        <v>274.71360000000004</v>
      </c>
      <c r="W27" s="71">
        <v>6</v>
      </c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97"/>
      <c r="AT27" s="94"/>
      <c r="AU27" s="18"/>
    </row>
    <row r="28" spans="2:47" s="15" customFormat="1">
      <c r="B28" s="90" t="s">
        <v>415</v>
      </c>
      <c r="C28" s="47" t="s">
        <v>1176</v>
      </c>
      <c r="D28" s="90" t="s">
        <v>93</v>
      </c>
      <c r="E28" s="90" t="s">
        <v>101</v>
      </c>
      <c r="F28" s="106">
        <v>46.780139200000001</v>
      </c>
      <c r="G28" s="106">
        <v>-67.695258100000004</v>
      </c>
      <c r="H28" s="47" t="s">
        <v>560</v>
      </c>
      <c r="I28" s="47" t="s">
        <v>598</v>
      </c>
      <c r="J28" s="103" t="s">
        <v>181</v>
      </c>
      <c r="K28" s="47" t="s">
        <v>1391</v>
      </c>
      <c r="L28" s="102">
        <v>138</v>
      </c>
      <c r="M28" s="209">
        <v>1953</v>
      </c>
      <c r="N28" s="91">
        <v>2100</v>
      </c>
      <c r="O28" s="52"/>
      <c r="P28" s="19" t="s">
        <v>420</v>
      </c>
      <c r="Q28" s="98" t="s">
        <v>539</v>
      </c>
      <c r="R28" s="125">
        <v>10</v>
      </c>
      <c r="S28" s="241">
        <f>System!$C$12</f>
        <v>0.95</v>
      </c>
      <c r="T28" s="196">
        <f t="shared" si="0"/>
        <v>9.5</v>
      </c>
      <c r="U28" s="203">
        <v>0.55000000000000004</v>
      </c>
      <c r="V28" s="204">
        <f t="shared" si="1"/>
        <v>48.180000000000007</v>
      </c>
      <c r="W28" s="71">
        <v>2</v>
      </c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97"/>
      <c r="AT28" s="94"/>
      <c r="AU28" s="18"/>
    </row>
    <row r="29" spans="2:47" s="15" customFormat="1">
      <c r="B29" s="90" t="s">
        <v>416</v>
      </c>
      <c r="C29" s="47" t="s">
        <v>1183</v>
      </c>
      <c r="D29" s="90" t="s">
        <v>93</v>
      </c>
      <c r="E29" s="90" t="s">
        <v>101</v>
      </c>
      <c r="F29" s="106">
        <v>46.780139200000001</v>
      </c>
      <c r="G29" s="106">
        <v>-67.695258100000004</v>
      </c>
      <c r="H29" s="47" t="s">
        <v>560</v>
      </c>
      <c r="I29" s="47" t="s">
        <v>598</v>
      </c>
      <c r="J29" s="103" t="s">
        <v>181</v>
      </c>
      <c r="K29" s="47" t="s">
        <v>1391</v>
      </c>
      <c r="L29" s="102">
        <v>138</v>
      </c>
      <c r="M29" s="209">
        <v>1953</v>
      </c>
      <c r="N29" s="91">
        <v>2100</v>
      </c>
      <c r="O29" s="52"/>
      <c r="P29" s="19" t="s">
        <v>420</v>
      </c>
      <c r="Q29" s="98" t="s">
        <v>539</v>
      </c>
      <c r="R29" s="125">
        <v>10</v>
      </c>
      <c r="S29" s="241">
        <f>System!$C$12</f>
        <v>0.95</v>
      </c>
      <c r="T29" s="196">
        <f t="shared" si="0"/>
        <v>9.5</v>
      </c>
      <c r="U29" s="203">
        <v>0.55000000000000004</v>
      </c>
      <c r="V29" s="204">
        <f t="shared" si="1"/>
        <v>48.180000000000007</v>
      </c>
      <c r="W29" s="71">
        <v>2</v>
      </c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97"/>
      <c r="AT29" s="94"/>
      <c r="AU29" s="18"/>
    </row>
    <row r="30" spans="2:47" s="15" customFormat="1">
      <c r="B30" s="208" t="s">
        <v>402</v>
      </c>
      <c r="C30" s="47" t="s">
        <v>1511</v>
      </c>
      <c r="D30" s="208" t="s">
        <v>1484</v>
      </c>
      <c r="E30" s="208" t="s">
        <v>107</v>
      </c>
      <c r="F30" s="106">
        <v>47.3625647</v>
      </c>
      <c r="G30" s="106">
        <v>-68.323632500000002</v>
      </c>
      <c r="H30" s="47" t="s">
        <v>560</v>
      </c>
      <c r="I30" s="47" t="s">
        <v>598</v>
      </c>
      <c r="J30" s="103" t="s">
        <v>1003</v>
      </c>
      <c r="K30" s="47" t="s">
        <v>1257</v>
      </c>
      <c r="L30" s="102">
        <v>69</v>
      </c>
      <c r="M30" s="209">
        <v>1917</v>
      </c>
      <c r="N30" s="91">
        <v>2100</v>
      </c>
      <c r="O30" s="52"/>
      <c r="P30" s="19" t="s">
        <v>423</v>
      </c>
      <c r="Q30" s="98" t="s">
        <v>540</v>
      </c>
      <c r="R30" s="206">
        <v>3.8</v>
      </c>
      <c r="S30" s="241">
        <f>System!$C$12</f>
        <v>0.95</v>
      </c>
      <c r="T30" s="196">
        <f t="shared" si="0"/>
        <v>3.61</v>
      </c>
      <c r="U30" s="207">
        <v>0.6</v>
      </c>
      <c r="V30" s="206">
        <f t="shared" si="1"/>
        <v>19.972799999999996</v>
      </c>
      <c r="W30" s="205">
        <v>2</v>
      </c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97"/>
      <c r="AT30" s="94"/>
      <c r="AU30" s="18" t="s">
        <v>1487</v>
      </c>
    </row>
    <row r="31" spans="2:47" s="15" customFormat="1">
      <c r="B31" s="90" t="s">
        <v>409</v>
      </c>
      <c r="C31" s="47" t="s">
        <v>1520</v>
      </c>
      <c r="D31" s="90" t="s">
        <v>93</v>
      </c>
      <c r="E31" s="90" t="s">
        <v>103</v>
      </c>
      <c r="F31" s="106">
        <v>45.1754848</v>
      </c>
      <c r="G31" s="106">
        <v>-67.292871399999996</v>
      </c>
      <c r="H31" s="47" t="s">
        <v>560</v>
      </c>
      <c r="I31" s="47" t="s">
        <v>598</v>
      </c>
      <c r="J31" s="103" t="s">
        <v>368</v>
      </c>
      <c r="K31" s="47" t="s">
        <v>1386</v>
      </c>
      <c r="L31" s="102">
        <v>69</v>
      </c>
      <c r="M31" s="209">
        <v>1911</v>
      </c>
      <c r="N31" s="91">
        <v>2100</v>
      </c>
      <c r="O31" s="52"/>
      <c r="P31" s="19" t="s">
        <v>423</v>
      </c>
      <c r="Q31" s="98" t="s">
        <v>540</v>
      </c>
      <c r="R31" s="125">
        <v>4</v>
      </c>
      <c r="S31" s="241">
        <f>System!$C$12</f>
        <v>0.95</v>
      </c>
      <c r="T31" s="196">
        <f t="shared" si="0"/>
        <v>3.8</v>
      </c>
      <c r="U31" s="203">
        <v>0.61</v>
      </c>
      <c r="V31" s="204">
        <f t="shared" si="1"/>
        <v>21.374399999999998</v>
      </c>
      <c r="W31" s="71">
        <v>1</v>
      </c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97"/>
      <c r="AT31" s="94"/>
      <c r="AU31" s="18"/>
    </row>
    <row r="32" spans="2:47" s="15" customFormat="1">
      <c r="B32" s="90" t="s">
        <v>410</v>
      </c>
      <c r="C32" s="47" t="s">
        <v>1521</v>
      </c>
      <c r="D32" s="90" t="s">
        <v>93</v>
      </c>
      <c r="E32" s="90" t="s">
        <v>102</v>
      </c>
      <c r="F32" s="106">
        <v>47.4055271</v>
      </c>
      <c r="G32" s="106">
        <v>-65.791821999999996</v>
      </c>
      <c r="H32" s="47" t="s">
        <v>560</v>
      </c>
      <c r="I32" s="47" t="s">
        <v>598</v>
      </c>
      <c r="J32" s="103" t="s">
        <v>981</v>
      </c>
      <c r="K32" s="47" t="s">
        <v>1313</v>
      </c>
      <c r="L32" s="102">
        <v>138</v>
      </c>
      <c r="M32" s="209">
        <v>1921</v>
      </c>
      <c r="N32" s="91">
        <v>2100</v>
      </c>
      <c r="O32" s="52"/>
      <c r="P32" s="19" t="s">
        <v>423</v>
      </c>
      <c r="Q32" s="98" t="s">
        <v>540</v>
      </c>
      <c r="R32" s="125">
        <v>11</v>
      </c>
      <c r="S32" s="241">
        <f>System!$C$12</f>
        <v>0.95</v>
      </c>
      <c r="T32" s="196">
        <f t="shared" si="0"/>
        <v>10.45</v>
      </c>
      <c r="U32" s="203">
        <v>0.57999999999999996</v>
      </c>
      <c r="V32" s="204">
        <f t="shared" si="1"/>
        <v>55.888799999999996</v>
      </c>
      <c r="W32" s="71">
        <v>1</v>
      </c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97"/>
      <c r="AT32" s="94"/>
      <c r="AU32" s="18"/>
    </row>
    <row r="33" spans="2:47" s="15" customFormat="1">
      <c r="B33" s="208" t="s">
        <v>661</v>
      </c>
      <c r="C33" s="47" t="s">
        <v>1512</v>
      </c>
      <c r="D33" s="208" t="s">
        <v>1484</v>
      </c>
      <c r="E33" s="208" t="s">
        <v>108</v>
      </c>
      <c r="F33" s="106">
        <v>47.468431199999998</v>
      </c>
      <c r="G33" s="106">
        <v>-68.235350400000002</v>
      </c>
      <c r="H33" s="47" t="s">
        <v>560</v>
      </c>
      <c r="I33" s="47" t="s">
        <v>598</v>
      </c>
      <c r="J33" s="103" t="s">
        <v>1003</v>
      </c>
      <c r="K33" s="47" t="s">
        <v>1257</v>
      </c>
      <c r="L33" s="102">
        <v>69</v>
      </c>
      <c r="M33" s="209">
        <v>1911</v>
      </c>
      <c r="N33" s="91">
        <v>2100</v>
      </c>
      <c r="O33" s="52"/>
      <c r="P33" s="19" t="s">
        <v>423</v>
      </c>
      <c r="Q33" s="98" t="s">
        <v>540</v>
      </c>
      <c r="R33" s="206">
        <v>3</v>
      </c>
      <c r="S33" s="241">
        <f>System!$C$12</f>
        <v>0.95</v>
      </c>
      <c r="T33" s="196">
        <f t="shared" si="0"/>
        <v>2.8499999999999996</v>
      </c>
      <c r="U33" s="190">
        <f>System!$D$12</f>
        <v>0.35</v>
      </c>
      <c r="V33" s="139">
        <f t="shared" si="1"/>
        <v>9.1980000000000004</v>
      </c>
      <c r="W33" s="205">
        <v>3</v>
      </c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97"/>
      <c r="AT33" s="94"/>
      <c r="AU33" s="18" t="s">
        <v>1488</v>
      </c>
    </row>
    <row r="34" spans="2:47" s="15" customFormat="1">
      <c r="B34" s="90" t="s">
        <v>413</v>
      </c>
      <c r="C34" s="47" t="s">
        <v>1524</v>
      </c>
      <c r="D34" s="90" t="s">
        <v>93</v>
      </c>
      <c r="E34" s="90" t="s">
        <v>101</v>
      </c>
      <c r="F34" s="106">
        <v>47.265986900000001</v>
      </c>
      <c r="G34" s="106">
        <v>-67.243427100000005</v>
      </c>
      <c r="H34" s="47" t="s">
        <v>560</v>
      </c>
      <c r="I34" s="47" t="s">
        <v>598</v>
      </c>
      <c r="J34" s="103" t="s">
        <v>190</v>
      </c>
      <c r="K34" s="47" t="s">
        <v>1388</v>
      </c>
      <c r="L34" s="102">
        <v>69</v>
      </c>
      <c r="M34" s="210">
        <v>1965</v>
      </c>
      <c r="N34" s="91">
        <v>2100</v>
      </c>
      <c r="O34" s="52"/>
      <c r="P34" s="19" t="s">
        <v>423</v>
      </c>
      <c r="Q34" s="98" t="s">
        <v>540</v>
      </c>
      <c r="R34" s="125">
        <v>9</v>
      </c>
      <c r="S34" s="241">
        <f>System!$C$12</f>
        <v>0.95</v>
      </c>
      <c r="T34" s="196">
        <f t="shared" si="0"/>
        <v>8.5499999999999989</v>
      </c>
      <c r="U34" s="203">
        <v>0.22</v>
      </c>
      <c r="V34" s="204">
        <f t="shared" si="1"/>
        <v>17.344799999999999</v>
      </c>
      <c r="W34" s="71">
        <v>1</v>
      </c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97"/>
      <c r="AT34" s="94"/>
      <c r="AU34" s="18"/>
    </row>
    <row r="35" spans="2:47" s="104" customFormat="1">
      <c r="B35" s="90" t="s">
        <v>414</v>
      </c>
      <c r="C35" s="47" t="s">
        <v>1526</v>
      </c>
      <c r="D35" s="90" t="s">
        <v>98</v>
      </c>
      <c r="E35" s="90" t="s">
        <v>106</v>
      </c>
      <c r="F35" s="106">
        <v>45.128286500000002</v>
      </c>
      <c r="G35" s="106">
        <v>-66.827915099999998</v>
      </c>
      <c r="H35" s="47" t="s">
        <v>560</v>
      </c>
      <c r="I35" s="47" t="s">
        <v>598</v>
      </c>
      <c r="J35" s="19" t="s">
        <v>374</v>
      </c>
      <c r="K35" s="47" t="s">
        <v>1389</v>
      </c>
      <c r="L35" s="102">
        <v>69</v>
      </c>
      <c r="M35" s="252">
        <v>1900</v>
      </c>
      <c r="N35" s="91">
        <v>2100</v>
      </c>
      <c r="O35" s="52"/>
      <c r="P35" s="19" t="s">
        <v>423</v>
      </c>
      <c r="Q35" s="98" t="s">
        <v>540</v>
      </c>
      <c r="R35" s="125">
        <v>15</v>
      </c>
      <c r="S35" s="241">
        <f>System!$C$12</f>
        <v>0.95</v>
      </c>
      <c r="T35" s="196">
        <f t="shared" si="0"/>
        <v>14.25</v>
      </c>
      <c r="U35" s="190">
        <f>System!$D$12</f>
        <v>0.35</v>
      </c>
      <c r="V35" s="139">
        <f t="shared" si="1"/>
        <v>45.99</v>
      </c>
      <c r="W35" s="178">
        <v>2</v>
      </c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97"/>
      <c r="AT35" s="94" t="s">
        <v>805</v>
      </c>
      <c r="AU35" s="18" t="s">
        <v>376</v>
      </c>
    </row>
    <row r="36" spans="2:47" s="15" customFormat="1">
      <c r="B36" s="138" t="s">
        <v>927</v>
      </c>
      <c r="C36" s="47" t="s">
        <v>1528</v>
      </c>
      <c r="D36" s="90" t="s">
        <v>378</v>
      </c>
      <c r="E36" s="90" t="s">
        <v>166</v>
      </c>
      <c r="F36" s="106">
        <v>46.809749799999999</v>
      </c>
      <c r="G36" s="106">
        <v>-67.766485299999999</v>
      </c>
      <c r="H36" s="47" t="s">
        <v>560</v>
      </c>
      <c r="I36" s="47" t="s">
        <v>598</v>
      </c>
      <c r="J36" s="103" t="s">
        <v>1467</v>
      </c>
      <c r="K36" s="47" t="s">
        <v>1468</v>
      </c>
      <c r="L36" s="102">
        <v>138</v>
      </c>
      <c r="M36" s="91">
        <v>1923</v>
      </c>
      <c r="N36" s="91">
        <v>2100</v>
      </c>
      <c r="O36" s="52"/>
      <c r="P36" s="19" t="s">
        <v>423</v>
      </c>
      <c r="Q36" s="98" t="s">
        <v>540</v>
      </c>
      <c r="R36" s="125">
        <v>35</v>
      </c>
      <c r="S36" s="241">
        <f>System!$C$12</f>
        <v>0.95</v>
      </c>
      <c r="T36" s="196">
        <f t="shared" si="0"/>
        <v>33.25</v>
      </c>
      <c r="U36" s="190">
        <f>System!$D$12</f>
        <v>0.35</v>
      </c>
      <c r="V36" s="139">
        <f t="shared" si="1"/>
        <v>107.31</v>
      </c>
      <c r="W36" s="71">
        <v>5</v>
      </c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97"/>
      <c r="AT36" s="94"/>
      <c r="AU36" s="18" t="s">
        <v>379</v>
      </c>
    </row>
    <row r="37" spans="2:47" s="15" customFormat="1">
      <c r="B37" s="90" t="s">
        <v>383</v>
      </c>
      <c r="C37" s="47" t="s">
        <v>1508</v>
      </c>
      <c r="D37" s="90" t="s">
        <v>93</v>
      </c>
      <c r="E37" s="90" t="s">
        <v>99</v>
      </c>
      <c r="F37" s="106">
        <v>47.992728300000003</v>
      </c>
      <c r="G37" s="106">
        <v>-66.722524100000001</v>
      </c>
      <c r="H37" s="47" t="s">
        <v>560</v>
      </c>
      <c r="I37" s="47" t="s">
        <v>598</v>
      </c>
      <c r="J37" s="103" t="s">
        <v>1142</v>
      </c>
      <c r="K37" s="47" t="s">
        <v>1374</v>
      </c>
      <c r="L37" s="102">
        <v>138</v>
      </c>
      <c r="M37" s="91">
        <v>1999</v>
      </c>
      <c r="N37" s="20">
        <v>2027</v>
      </c>
      <c r="O37" s="52"/>
      <c r="P37" s="19" t="s">
        <v>419</v>
      </c>
      <c r="Q37" s="98" t="s">
        <v>1536</v>
      </c>
      <c r="R37" s="125">
        <v>290</v>
      </c>
      <c r="S37" s="241">
        <f>System!$C$7</f>
        <v>0.73</v>
      </c>
      <c r="T37" s="196">
        <f t="shared" si="0"/>
        <v>211.7</v>
      </c>
      <c r="U37" s="199">
        <f>System!$D$7</f>
        <v>0.2</v>
      </c>
      <c r="V37" s="200">
        <f t="shared" si="1"/>
        <v>508.08</v>
      </c>
      <c r="W37" s="71">
        <v>1</v>
      </c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97"/>
      <c r="AT37" s="94"/>
      <c r="AU37" s="18" t="s">
        <v>1195</v>
      </c>
    </row>
    <row r="38" spans="2:47" s="15" customFormat="1">
      <c r="B38" s="90" t="s">
        <v>394</v>
      </c>
      <c r="C38" s="47" t="s">
        <v>1173</v>
      </c>
      <c r="D38" s="90" t="s">
        <v>97</v>
      </c>
      <c r="E38" s="90" t="s">
        <v>99</v>
      </c>
      <c r="F38" s="110">
        <v>45.284199999999998</v>
      </c>
      <c r="G38" s="110">
        <v>-66.009444000000002</v>
      </c>
      <c r="H38" s="47" t="s">
        <v>560</v>
      </c>
      <c r="I38" s="47" t="s">
        <v>598</v>
      </c>
      <c r="J38" s="103" t="s">
        <v>373</v>
      </c>
      <c r="K38" s="47" t="s">
        <v>1381</v>
      </c>
      <c r="L38" s="102">
        <v>138</v>
      </c>
      <c r="M38" s="159">
        <v>2004</v>
      </c>
      <c r="N38" s="20">
        <v>2025</v>
      </c>
      <c r="O38" s="52"/>
      <c r="P38" s="19" t="s">
        <v>422</v>
      </c>
      <c r="Q38" s="98" t="s">
        <v>1536</v>
      </c>
      <c r="R38" s="125">
        <v>49</v>
      </c>
      <c r="S38" s="241">
        <f>System!$C$7</f>
        <v>0.73</v>
      </c>
      <c r="T38" s="196">
        <f t="shared" si="0"/>
        <v>35.769999999999996</v>
      </c>
      <c r="U38" s="199">
        <f>System!$D$7</f>
        <v>0.2</v>
      </c>
      <c r="V38" s="200">
        <f t="shared" si="1"/>
        <v>85.847999999999999</v>
      </c>
      <c r="W38" s="71">
        <v>2</v>
      </c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97"/>
      <c r="AT38" s="94" t="s">
        <v>599</v>
      </c>
      <c r="AU38" s="90" t="s">
        <v>369</v>
      </c>
    </row>
    <row r="39" spans="2:47" s="15" customFormat="1">
      <c r="B39" s="90" t="s">
        <v>395</v>
      </c>
      <c r="C39" s="47" t="s">
        <v>1180</v>
      </c>
      <c r="D39" s="90" t="s">
        <v>97</v>
      </c>
      <c r="E39" s="90" t="s">
        <v>99</v>
      </c>
      <c r="F39" s="110">
        <v>45.284199999999998</v>
      </c>
      <c r="G39" s="110">
        <v>-66.009444000000002</v>
      </c>
      <c r="H39" s="47" t="s">
        <v>560</v>
      </c>
      <c r="I39" s="47" t="s">
        <v>598</v>
      </c>
      <c r="J39" s="103" t="s">
        <v>373</v>
      </c>
      <c r="K39" s="47" t="s">
        <v>1381</v>
      </c>
      <c r="L39" s="102">
        <v>138</v>
      </c>
      <c r="M39" s="159">
        <v>2004</v>
      </c>
      <c r="N39" s="20">
        <v>2025</v>
      </c>
      <c r="O39" s="52"/>
      <c r="P39" s="19" t="s">
        <v>422</v>
      </c>
      <c r="Q39" s="98" t="s">
        <v>1536</v>
      </c>
      <c r="R39" s="125">
        <v>49</v>
      </c>
      <c r="S39" s="241">
        <f>System!$C$7</f>
        <v>0.73</v>
      </c>
      <c r="T39" s="196">
        <f t="shared" si="0"/>
        <v>35.769999999999996</v>
      </c>
      <c r="U39" s="199">
        <f>System!$D$7</f>
        <v>0.2</v>
      </c>
      <c r="V39" s="200">
        <f t="shared" si="1"/>
        <v>85.847999999999999</v>
      </c>
      <c r="W39" s="71">
        <v>2</v>
      </c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97"/>
      <c r="AT39" s="94" t="s">
        <v>599</v>
      </c>
      <c r="AU39" s="90" t="s">
        <v>369</v>
      </c>
    </row>
    <row r="40" spans="2:47" s="104" customFormat="1">
      <c r="B40" s="90" t="s">
        <v>89</v>
      </c>
      <c r="C40" s="47" t="s">
        <v>1515</v>
      </c>
      <c r="D40" s="90" t="s">
        <v>93</v>
      </c>
      <c r="E40" s="90" t="s">
        <v>89</v>
      </c>
      <c r="F40" s="110">
        <v>44.722394000000001</v>
      </c>
      <c r="G40" s="110">
        <v>-66.823886000000002</v>
      </c>
      <c r="H40" s="47" t="s">
        <v>560</v>
      </c>
      <c r="I40" s="47" t="s">
        <v>598</v>
      </c>
      <c r="J40" s="103" t="s">
        <v>309</v>
      </c>
      <c r="K40" s="47" t="s">
        <v>1380</v>
      </c>
      <c r="L40" s="102">
        <v>69</v>
      </c>
      <c r="M40" s="210">
        <v>1989</v>
      </c>
      <c r="N40" s="20">
        <v>2026</v>
      </c>
      <c r="O40" s="52"/>
      <c r="P40" s="19" t="s">
        <v>424</v>
      </c>
      <c r="Q40" s="98" t="s">
        <v>1537</v>
      </c>
      <c r="R40" s="125">
        <v>28</v>
      </c>
      <c r="S40" s="241">
        <f>System!$C$6</f>
        <v>0.78</v>
      </c>
      <c r="T40" s="196">
        <f t="shared" si="0"/>
        <v>21.84</v>
      </c>
      <c r="U40" s="199">
        <f>System!$D$8</f>
        <v>0.01</v>
      </c>
      <c r="V40" s="200">
        <f t="shared" si="1"/>
        <v>2.4528000000000003</v>
      </c>
      <c r="W40" s="71">
        <v>1</v>
      </c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97"/>
      <c r="AT40" s="94"/>
      <c r="AU40" s="18"/>
    </row>
    <row r="41" spans="2:47" s="15" customFormat="1" ht="36">
      <c r="B41" s="74" t="s">
        <v>1533</v>
      </c>
      <c r="C41" s="47" t="s">
        <v>1534</v>
      </c>
      <c r="D41" s="74" t="s">
        <v>93</v>
      </c>
      <c r="E41" s="74" t="s">
        <v>1143</v>
      </c>
      <c r="F41" s="110">
        <v>46.205068549493703</v>
      </c>
      <c r="G41" s="110">
        <v>-63.757450644197398</v>
      </c>
      <c r="H41" s="47" t="s">
        <v>560</v>
      </c>
      <c r="I41" s="47" t="s">
        <v>598</v>
      </c>
      <c r="J41" s="19" t="s">
        <v>1501</v>
      </c>
      <c r="K41" s="47" t="s">
        <v>766</v>
      </c>
      <c r="L41" s="102">
        <v>345</v>
      </c>
      <c r="M41" s="210">
        <v>1983</v>
      </c>
      <c r="N41" s="91">
        <v>2100</v>
      </c>
      <c r="O41" s="52"/>
      <c r="P41" s="19" t="s">
        <v>80</v>
      </c>
      <c r="Q41" s="98" t="s">
        <v>541</v>
      </c>
      <c r="R41" s="125">
        <v>-30</v>
      </c>
      <c r="S41" s="242">
        <f>System!$C$10</f>
        <v>0.9</v>
      </c>
      <c r="T41" s="197">
        <f t="shared" si="0"/>
        <v>-27</v>
      </c>
      <c r="U41" s="191">
        <f>System!$D$10</f>
        <v>0.9</v>
      </c>
      <c r="V41" s="139">
        <f t="shared" si="1"/>
        <v>-236.52</v>
      </c>
      <c r="W41" s="71">
        <v>1</v>
      </c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97"/>
      <c r="AT41" s="94"/>
      <c r="AU41" s="74" t="s">
        <v>1194</v>
      </c>
    </row>
    <row r="42" spans="2:47" s="15" customFormat="1">
      <c r="B42" s="90" t="s">
        <v>412</v>
      </c>
      <c r="C42" s="47" t="s">
        <v>1522</v>
      </c>
      <c r="D42" s="90" t="s">
        <v>93</v>
      </c>
      <c r="E42" s="90" t="s">
        <v>81</v>
      </c>
      <c r="F42" s="110">
        <v>45.068688999999999</v>
      </c>
      <c r="G42" s="110">
        <v>-66.454336999999995</v>
      </c>
      <c r="H42" s="47" t="s">
        <v>560</v>
      </c>
      <c r="I42" s="47" t="s">
        <v>598</v>
      </c>
      <c r="J42" s="103" t="s">
        <v>300</v>
      </c>
      <c r="K42" s="47" t="s">
        <v>1387</v>
      </c>
      <c r="L42" s="102">
        <v>345</v>
      </c>
      <c r="M42" s="210">
        <v>1983</v>
      </c>
      <c r="N42" s="91">
        <v>2100</v>
      </c>
      <c r="O42" s="158"/>
      <c r="P42" s="19" t="s">
        <v>80</v>
      </c>
      <c r="Q42" s="98" t="s">
        <v>541</v>
      </c>
      <c r="R42" s="125">
        <v>660</v>
      </c>
      <c r="S42" s="242">
        <f>System!$C$10</f>
        <v>0.9</v>
      </c>
      <c r="T42" s="197">
        <f t="shared" si="0"/>
        <v>594</v>
      </c>
      <c r="U42" s="191">
        <f>System!$D$10</f>
        <v>0.9</v>
      </c>
      <c r="V42" s="139">
        <f t="shared" si="1"/>
        <v>5203.4399999999996</v>
      </c>
      <c r="W42" s="71">
        <v>1</v>
      </c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97"/>
      <c r="AT42" s="94"/>
      <c r="AU42" s="18"/>
    </row>
    <row r="43" spans="2:47" s="15" customFormat="1">
      <c r="B43" s="90" t="s">
        <v>388</v>
      </c>
      <c r="C43" s="47" t="s">
        <v>1171</v>
      </c>
      <c r="D43" s="90" t="s">
        <v>93</v>
      </c>
      <c r="E43" s="90" t="s">
        <v>99</v>
      </c>
      <c r="F43" s="110">
        <v>45.154026999999999</v>
      </c>
      <c r="G43" s="110">
        <v>-66.201931999999999</v>
      </c>
      <c r="H43" s="47" t="s">
        <v>560</v>
      </c>
      <c r="I43" s="47" t="s">
        <v>598</v>
      </c>
      <c r="J43" s="103" t="s">
        <v>279</v>
      </c>
      <c r="K43" s="47" t="s">
        <v>1378</v>
      </c>
      <c r="L43" s="102">
        <v>345</v>
      </c>
      <c r="M43" s="209">
        <v>1976</v>
      </c>
      <c r="N43" s="20">
        <v>2041</v>
      </c>
      <c r="O43" s="52"/>
      <c r="P43" s="20" t="s">
        <v>421</v>
      </c>
      <c r="Q43" s="98" t="s">
        <v>538</v>
      </c>
      <c r="R43" s="125">
        <v>324</v>
      </c>
      <c r="S43" s="241">
        <f>System!$C$5</f>
        <v>0.73</v>
      </c>
      <c r="T43" s="196">
        <f t="shared" si="0"/>
        <v>236.51999999999998</v>
      </c>
      <c r="U43" s="199">
        <f>System!$D$5</f>
        <v>0.04</v>
      </c>
      <c r="V43" s="200">
        <f t="shared" si="1"/>
        <v>113.5296</v>
      </c>
      <c r="W43" s="71">
        <v>3</v>
      </c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97"/>
      <c r="AT43" s="94"/>
      <c r="AU43" s="94"/>
    </row>
    <row r="44" spans="2:47" s="15" customFormat="1">
      <c r="B44" s="90" t="s">
        <v>389</v>
      </c>
      <c r="C44" s="47" t="s">
        <v>1178</v>
      </c>
      <c r="D44" s="90" t="s">
        <v>93</v>
      </c>
      <c r="E44" s="90" t="s">
        <v>99</v>
      </c>
      <c r="F44" s="110">
        <v>45.154026999999999</v>
      </c>
      <c r="G44" s="110">
        <v>-66.201931999999999</v>
      </c>
      <c r="H44" s="47" t="s">
        <v>560</v>
      </c>
      <c r="I44" s="47" t="s">
        <v>598</v>
      </c>
      <c r="J44" s="103" t="s">
        <v>279</v>
      </c>
      <c r="K44" s="47" t="s">
        <v>1378</v>
      </c>
      <c r="L44" s="102">
        <v>345</v>
      </c>
      <c r="M44" s="268">
        <v>1976</v>
      </c>
      <c r="N44" s="20">
        <v>2041</v>
      </c>
      <c r="O44" s="52"/>
      <c r="P44" s="20" t="s">
        <v>421</v>
      </c>
      <c r="Q44" s="98" t="s">
        <v>538</v>
      </c>
      <c r="R44" s="125">
        <v>324</v>
      </c>
      <c r="S44" s="241">
        <f>System!$C$5</f>
        <v>0.73</v>
      </c>
      <c r="T44" s="196">
        <f t="shared" si="0"/>
        <v>236.51999999999998</v>
      </c>
      <c r="U44" s="199">
        <f>System!$D$5</f>
        <v>0.04</v>
      </c>
      <c r="V44" s="200">
        <f t="shared" si="1"/>
        <v>113.5296</v>
      </c>
      <c r="W44" s="71">
        <v>3</v>
      </c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97"/>
      <c r="AT44" s="94"/>
      <c r="AU44" s="94"/>
    </row>
    <row r="45" spans="2:47" s="15" customFormat="1">
      <c r="B45" s="90" t="s">
        <v>387</v>
      </c>
      <c r="C45" s="47" t="s">
        <v>1185</v>
      </c>
      <c r="D45" s="90" t="s">
        <v>93</v>
      </c>
      <c r="E45" s="90" t="s">
        <v>99</v>
      </c>
      <c r="F45" s="110">
        <v>45.154026999999999</v>
      </c>
      <c r="G45" s="110">
        <v>-66.201931999999999</v>
      </c>
      <c r="H45" s="47" t="s">
        <v>560</v>
      </c>
      <c r="I45" s="47" t="s">
        <v>598</v>
      </c>
      <c r="J45" s="103" t="s">
        <v>279</v>
      </c>
      <c r="K45" s="47" t="s">
        <v>1378</v>
      </c>
      <c r="L45" s="102">
        <v>345</v>
      </c>
      <c r="M45" s="210">
        <v>1976</v>
      </c>
      <c r="N45" s="20">
        <v>2041</v>
      </c>
      <c r="O45" s="52"/>
      <c r="P45" s="20" t="s">
        <v>421</v>
      </c>
      <c r="Q45" s="98" t="s">
        <v>538</v>
      </c>
      <c r="R45" s="125">
        <v>324</v>
      </c>
      <c r="S45" s="241">
        <f>System!$C$5</f>
        <v>0.73</v>
      </c>
      <c r="T45" s="196">
        <f t="shared" si="0"/>
        <v>236.51999999999998</v>
      </c>
      <c r="U45" s="199">
        <f>System!$D$5</f>
        <v>0.04</v>
      </c>
      <c r="V45" s="200">
        <f t="shared" si="1"/>
        <v>113.5296</v>
      </c>
      <c r="W45" s="71">
        <v>3</v>
      </c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97"/>
      <c r="AT45" s="94"/>
      <c r="AU45" s="94"/>
    </row>
    <row r="46" spans="2:47" s="15" customFormat="1">
      <c r="B46" s="90" t="s">
        <v>91</v>
      </c>
      <c r="C46" s="47" t="s">
        <v>1510</v>
      </c>
      <c r="D46" s="90" t="s">
        <v>95</v>
      </c>
      <c r="E46" s="90" t="s">
        <v>109</v>
      </c>
      <c r="F46" s="106">
        <v>47.507138099999999</v>
      </c>
      <c r="G46" s="106">
        <v>-66.413513300000005</v>
      </c>
      <c r="H46" s="47" t="s">
        <v>560</v>
      </c>
      <c r="I46" s="47" t="s">
        <v>598</v>
      </c>
      <c r="J46" s="99" t="s">
        <v>372</v>
      </c>
      <c r="K46" s="47" t="s">
        <v>1377</v>
      </c>
      <c r="L46" s="102">
        <v>138</v>
      </c>
      <c r="M46" s="91">
        <v>2009</v>
      </c>
      <c r="N46" s="91">
        <v>2100</v>
      </c>
      <c r="O46" s="52"/>
      <c r="P46" s="19" t="s">
        <v>425</v>
      </c>
      <c r="Q46" s="98" t="s">
        <v>542</v>
      </c>
      <c r="R46" s="139">
        <v>99</v>
      </c>
      <c r="S46" s="186">
        <f>System!$C$13</f>
        <v>0.21</v>
      </c>
      <c r="T46" s="122">
        <f t="shared" si="0"/>
        <v>20.79</v>
      </c>
      <c r="U46" s="192">
        <f>System!$D$13</f>
        <v>0.35199999999999998</v>
      </c>
      <c r="V46" s="198">
        <f t="shared" si="1"/>
        <v>305.26847999999995</v>
      </c>
      <c r="W46" s="71" t="s">
        <v>151</v>
      </c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97"/>
      <c r="AT46" s="94"/>
      <c r="AU46" s="94"/>
    </row>
    <row r="47" spans="2:47" s="15" customFormat="1">
      <c r="B47" s="90" t="s">
        <v>90</v>
      </c>
      <c r="C47" s="47" t="s">
        <v>1517</v>
      </c>
      <c r="D47" s="90" t="s">
        <v>94</v>
      </c>
      <c r="E47" s="90" t="s">
        <v>104</v>
      </c>
      <c r="F47" s="106">
        <v>45.8193591</v>
      </c>
      <c r="G47" s="106">
        <v>-64.889430899999994</v>
      </c>
      <c r="H47" s="47" t="s">
        <v>560</v>
      </c>
      <c r="I47" s="47" t="s">
        <v>598</v>
      </c>
      <c r="J47" s="99" t="s">
        <v>370</v>
      </c>
      <c r="K47" s="47" t="s">
        <v>1382</v>
      </c>
      <c r="L47" s="100">
        <v>138</v>
      </c>
      <c r="M47" s="91">
        <v>2010</v>
      </c>
      <c r="N47" s="91">
        <v>2100</v>
      </c>
      <c r="O47" s="52"/>
      <c r="P47" s="19" t="s">
        <v>425</v>
      </c>
      <c r="Q47" s="98" t="s">
        <v>542</v>
      </c>
      <c r="R47" s="139">
        <v>167</v>
      </c>
      <c r="S47" s="186">
        <f>System!$C$13</f>
        <v>0.21</v>
      </c>
      <c r="T47" s="122">
        <f t="shared" si="0"/>
        <v>35.07</v>
      </c>
      <c r="U47" s="192">
        <f>System!$D$13</f>
        <v>0.35199999999999998</v>
      </c>
      <c r="V47" s="198">
        <f t="shared" si="1"/>
        <v>514.94783999999993</v>
      </c>
      <c r="W47" s="71" t="s">
        <v>151</v>
      </c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97"/>
      <c r="AT47" s="94"/>
      <c r="AU47" s="94"/>
    </row>
    <row r="48" spans="2:47" s="15" customFormat="1">
      <c r="B48" s="90" t="s">
        <v>92</v>
      </c>
      <c r="C48" s="47" t="s">
        <v>1519</v>
      </c>
      <c r="D48" s="90" t="s">
        <v>96</v>
      </c>
      <c r="E48" s="90" t="s">
        <v>105</v>
      </c>
      <c r="F48" s="106">
        <v>47.849375700000003</v>
      </c>
      <c r="G48" s="106">
        <v>-64.618654399999997</v>
      </c>
      <c r="H48" s="47" t="s">
        <v>560</v>
      </c>
      <c r="I48" s="47" t="s">
        <v>598</v>
      </c>
      <c r="J48" s="99" t="s">
        <v>371</v>
      </c>
      <c r="K48" s="47" t="s">
        <v>1383</v>
      </c>
      <c r="L48" s="100">
        <v>69</v>
      </c>
      <c r="M48" s="91">
        <v>2011</v>
      </c>
      <c r="N48" s="91">
        <v>2100</v>
      </c>
      <c r="O48" s="52"/>
      <c r="P48" s="19" t="s">
        <v>425</v>
      </c>
      <c r="Q48" s="98" t="s">
        <v>542</v>
      </c>
      <c r="R48" s="139">
        <v>45</v>
      </c>
      <c r="S48" s="186">
        <f>System!$C$13</f>
        <v>0.21</v>
      </c>
      <c r="T48" s="122">
        <f t="shared" si="0"/>
        <v>9.4499999999999993</v>
      </c>
      <c r="U48" s="192">
        <f>System!$D$13</f>
        <v>0.35199999999999998</v>
      </c>
      <c r="V48" s="198">
        <f t="shared" si="1"/>
        <v>138.75839999999999</v>
      </c>
      <c r="W48" s="71" t="s">
        <v>151</v>
      </c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97"/>
      <c r="AT48" s="94"/>
      <c r="AU48" s="94"/>
    </row>
    <row r="49" spans="1:56" s="15" customFormat="1">
      <c r="B49" s="90" t="s">
        <v>693</v>
      </c>
      <c r="C49" s="47" t="s">
        <v>1518</v>
      </c>
      <c r="D49" s="90" t="s">
        <v>694</v>
      </c>
      <c r="E49" s="90" t="s">
        <v>104</v>
      </c>
      <c r="F49" s="110">
        <v>45.674683000000002</v>
      </c>
      <c r="G49" s="110">
        <v>-64.830984000000001</v>
      </c>
      <c r="H49" s="47" t="s">
        <v>560</v>
      </c>
      <c r="I49" s="47" t="s">
        <v>598</v>
      </c>
      <c r="J49" s="99" t="s">
        <v>370</v>
      </c>
      <c r="K49" s="47" t="s">
        <v>1382</v>
      </c>
      <c r="L49" s="100">
        <v>138</v>
      </c>
      <c r="M49" s="19">
        <v>2020</v>
      </c>
      <c r="N49" s="91">
        <v>2100</v>
      </c>
      <c r="O49" s="158"/>
      <c r="P49" s="19" t="s">
        <v>425</v>
      </c>
      <c r="Q49" s="98" t="s">
        <v>542</v>
      </c>
      <c r="R49" s="139">
        <v>18</v>
      </c>
      <c r="S49" s="186">
        <f>System!$C$13</f>
        <v>0.21</v>
      </c>
      <c r="T49" s="122">
        <f t="shared" si="0"/>
        <v>3.78</v>
      </c>
      <c r="U49" s="192">
        <f>System!$D$13</f>
        <v>0.35199999999999998</v>
      </c>
      <c r="V49" s="198">
        <f t="shared" si="1"/>
        <v>55.503359999999994</v>
      </c>
      <c r="W49" s="71" t="s">
        <v>151</v>
      </c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97"/>
      <c r="AT49" s="94"/>
      <c r="AU49" s="94"/>
    </row>
    <row r="50" spans="1:56" s="15" customFormat="1" ht="15.7">
      <c r="B50" s="6"/>
      <c r="C50" s="246"/>
      <c r="D50" s="6"/>
      <c r="E50" s="6"/>
      <c r="H50" s="104"/>
      <c r="I50" s="104"/>
      <c r="J50" s="158"/>
      <c r="K50" s="158"/>
      <c r="L50" s="158"/>
      <c r="M50" s="37"/>
      <c r="N50" s="37"/>
      <c r="O50" s="52"/>
      <c r="P50" s="7"/>
      <c r="Q50" s="142"/>
      <c r="R50" s="144"/>
      <c r="S50" s="161"/>
      <c r="T50" s="28"/>
      <c r="U50" s="36"/>
      <c r="V50" s="36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14"/>
      <c r="AT50" s="14"/>
      <c r="AU50" s="52"/>
    </row>
    <row r="51" spans="1:56">
      <c r="A51" s="69" t="s">
        <v>550</v>
      </c>
      <c r="B51" s="11"/>
      <c r="C51" s="247"/>
      <c r="D51" s="11"/>
      <c r="E51" s="11"/>
      <c r="F51" s="2"/>
      <c r="G51" s="2"/>
      <c r="H51" s="93"/>
      <c r="I51" s="93"/>
      <c r="J51" s="158"/>
      <c r="K51" s="158"/>
      <c r="M51" s="43"/>
      <c r="N51" s="43"/>
      <c r="P51" s="12"/>
      <c r="Q51" s="143"/>
      <c r="R51" s="38"/>
      <c r="S51" s="147"/>
      <c r="T51" s="38"/>
      <c r="U51" s="41"/>
      <c r="V51" s="41"/>
      <c r="X51" s="52"/>
      <c r="Y51" s="52"/>
      <c r="Z51" s="52"/>
      <c r="AA51" s="52"/>
      <c r="AB51" s="52"/>
      <c r="AC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14"/>
      <c r="AT51" s="14"/>
      <c r="AU51" s="52"/>
    </row>
    <row r="52" spans="1:56">
      <c r="B52" s="50"/>
      <c r="C52" s="95"/>
      <c r="E52" s="2"/>
      <c r="J52" s="158"/>
      <c r="K52" s="158"/>
      <c r="R52" s="38"/>
      <c r="S52" s="147"/>
      <c r="T52" s="38"/>
      <c r="X52" s="52"/>
      <c r="AD52" s="2"/>
      <c r="AE52" s="2"/>
      <c r="AH52" s="2"/>
    </row>
    <row r="53" spans="1:56">
      <c r="A53" s="69" t="s">
        <v>545</v>
      </c>
      <c r="B53" s="11"/>
      <c r="C53" s="247"/>
      <c r="D53" s="11"/>
      <c r="E53" s="44"/>
      <c r="F53" s="44"/>
      <c r="G53" s="44"/>
      <c r="H53" s="44"/>
      <c r="I53" s="44"/>
      <c r="J53" s="158"/>
      <c r="K53" s="158"/>
      <c r="M53" s="44"/>
      <c r="N53" s="44"/>
      <c r="O53" s="44"/>
      <c r="P53" s="44"/>
      <c r="Q53" s="44"/>
      <c r="R53" s="158"/>
      <c r="S53" s="158"/>
      <c r="T53" s="44"/>
      <c r="U53" s="28"/>
      <c r="V53" s="44"/>
      <c r="W53" s="28"/>
      <c r="X53" s="45"/>
      <c r="AD53" s="2"/>
      <c r="AE53" s="2"/>
      <c r="AH53" s="2"/>
      <c r="AS53" s="2"/>
      <c r="AT53" s="2"/>
    </row>
    <row r="54" spans="1:56" s="158" customFormat="1">
      <c r="A54" s="2" t="s">
        <v>546</v>
      </c>
      <c r="C54" s="14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>
      <c r="A55" s="2" t="s">
        <v>547</v>
      </c>
      <c r="B55" s="6"/>
      <c r="C55" s="246"/>
      <c r="D55" s="6"/>
      <c r="E55" s="44"/>
      <c r="F55" s="44"/>
      <c r="G55" s="44"/>
      <c r="H55" s="44"/>
      <c r="I55" s="44"/>
      <c r="J55" s="158"/>
      <c r="K55" s="158"/>
      <c r="M55" s="44"/>
      <c r="N55" s="44"/>
      <c r="O55" s="44"/>
      <c r="P55" s="44"/>
      <c r="Q55" s="44"/>
      <c r="R55" s="158"/>
      <c r="S55" s="158"/>
      <c r="T55" s="44"/>
      <c r="U55" s="28"/>
      <c r="V55" s="44"/>
      <c r="W55" s="28"/>
      <c r="X55" s="46"/>
      <c r="AD55" s="2"/>
      <c r="AE55" s="2"/>
      <c r="AH55" s="2"/>
      <c r="AS55" s="2"/>
      <c r="AT55" s="2"/>
    </row>
    <row r="56" spans="1:56">
      <c r="A56" s="2" t="s">
        <v>882</v>
      </c>
      <c r="B56" s="6"/>
      <c r="C56" s="246"/>
      <c r="D56" s="6"/>
      <c r="E56" s="44"/>
      <c r="F56" s="44"/>
      <c r="G56" s="44"/>
      <c r="H56" s="44"/>
      <c r="I56" s="44"/>
      <c r="J56" s="158"/>
      <c r="K56" s="158"/>
      <c r="M56" s="44"/>
      <c r="N56" s="44"/>
      <c r="O56" s="44"/>
      <c r="P56" s="44"/>
      <c r="Q56" s="44"/>
      <c r="R56" s="158"/>
      <c r="S56" s="158"/>
      <c r="T56" s="44"/>
      <c r="U56" s="28"/>
      <c r="V56" s="44"/>
      <c r="W56" s="28"/>
      <c r="X56" s="46"/>
      <c r="AD56" s="2"/>
      <c r="AE56" s="2"/>
      <c r="AH56" s="2"/>
      <c r="AS56" s="2"/>
      <c r="AT56" s="2"/>
    </row>
    <row r="57" spans="1:56">
      <c r="A57" s="2" t="s">
        <v>548</v>
      </c>
      <c r="B57" s="6"/>
      <c r="C57" s="246"/>
      <c r="D57" s="6"/>
      <c r="E57" s="44"/>
      <c r="F57" s="44"/>
      <c r="G57" s="44"/>
      <c r="H57" s="44"/>
      <c r="I57" s="44"/>
      <c r="J57" s="158"/>
      <c r="K57" s="158"/>
      <c r="M57" s="44"/>
      <c r="N57" s="44"/>
      <c r="O57" s="44"/>
      <c r="P57" s="44"/>
      <c r="Q57" s="44"/>
      <c r="R57" s="158"/>
      <c r="S57" s="158"/>
      <c r="T57" s="44"/>
      <c r="U57" s="28"/>
      <c r="V57" s="44"/>
      <c r="W57" s="28"/>
      <c r="X57" s="46"/>
      <c r="AD57" s="2"/>
      <c r="AE57" s="2"/>
      <c r="AH57" s="2"/>
      <c r="AS57" s="2"/>
      <c r="AT57" s="2"/>
    </row>
    <row r="58" spans="1:56">
      <c r="A58" s="137" t="s">
        <v>883</v>
      </c>
      <c r="D58" s="11"/>
      <c r="E58" s="11"/>
      <c r="F58" s="38"/>
      <c r="G58" s="2"/>
      <c r="H58" s="2"/>
      <c r="I58" s="2"/>
      <c r="J58" s="158"/>
      <c r="K58" s="158"/>
      <c r="M58" s="43"/>
      <c r="N58" s="43"/>
      <c r="O58" s="43"/>
      <c r="P58" s="40"/>
      <c r="Q58" s="40"/>
      <c r="R58" s="40"/>
      <c r="S58" s="40"/>
      <c r="T58" s="12"/>
      <c r="U58" s="12"/>
      <c r="V58" s="12"/>
      <c r="W58" s="12"/>
      <c r="X58" s="38"/>
      <c r="AD58" s="2"/>
      <c r="AE58" s="2"/>
      <c r="AH58" s="2"/>
      <c r="AS58" s="2"/>
      <c r="AT58" s="2"/>
    </row>
    <row r="59" spans="1:56">
      <c r="A59" s="2" t="s">
        <v>549</v>
      </c>
      <c r="B59" s="13"/>
      <c r="C59" s="244"/>
      <c r="D59" s="13"/>
      <c r="E59" s="13"/>
      <c r="F59" s="13"/>
      <c r="G59" s="42"/>
      <c r="H59" s="42"/>
      <c r="I59" s="42"/>
      <c r="J59" s="158"/>
      <c r="K59" s="158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D59" s="2"/>
      <c r="AE59" s="2"/>
      <c r="AH59" s="2"/>
      <c r="AS59" s="2"/>
      <c r="AT59" s="2"/>
    </row>
    <row r="60" spans="1:56">
      <c r="E60" s="2"/>
      <c r="F60" s="2"/>
      <c r="G60" s="2"/>
      <c r="H60" s="2"/>
      <c r="I60" s="2"/>
      <c r="J60" s="158"/>
      <c r="K60" s="158"/>
      <c r="M60" s="2"/>
      <c r="N60" s="25"/>
      <c r="O60" s="5"/>
      <c r="P60" s="13"/>
      <c r="Q60" s="2"/>
      <c r="S60" s="2"/>
      <c r="W60" s="158"/>
      <c r="X60" s="158"/>
      <c r="AD60" s="2"/>
      <c r="AE60" s="2"/>
      <c r="AH60" s="2"/>
      <c r="AS60" s="2"/>
      <c r="AT60" s="2"/>
    </row>
    <row r="61" spans="1:56">
      <c r="B61" s="31"/>
      <c r="C61" s="248"/>
      <c r="D61" s="31"/>
      <c r="E61" s="44"/>
      <c r="F61" s="28"/>
      <c r="G61" s="2"/>
      <c r="H61" s="2"/>
      <c r="I61" s="2"/>
      <c r="J61" s="158"/>
      <c r="K61" s="158"/>
      <c r="M61" s="44"/>
      <c r="N61" s="44"/>
      <c r="O61" s="29"/>
      <c r="P61" s="2"/>
      <c r="Q61" s="2"/>
      <c r="S61" s="2"/>
      <c r="X61" s="2"/>
      <c r="Y61" s="92"/>
      <c r="Z61" s="158"/>
      <c r="AA61" s="28"/>
      <c r="AC61" s="158"/>
      <c r="AD61" s="2"/>
      <c r="AE61" s="2"/>
      <c r="AH61" s="158"/>
      <c r="AI61" s="158"/>
      <c r="AS61" s="2"/>
      <c r="AT61" s="2"/>
    </row>
    <row r="62" spans="1:56">
      <c r="B62" s="31"/>
      <c r="C62" s="248"/>
      <c r="D62" s="31"/>
      <c r="F62" s="28"/>
      <c r="G62" s="2"/>
      <c r="H62" s="2"/>
      <c r="I62" s="2"/>
      <c r="J62" s="158"/>
      <c r="K62" s="158"/>
      <c r="M62" s="44"/>
      <c r="N62" s="44"/>
      <c r="O62" s="29"/>
      <c r="P62" s="2"/>
      <c r="Q62" s="2"/>
      <c r="S62" s="2"/>
      <c r="X62" s="2"/>
      <c r="Y62" s="92"/>
      <c r="Z62" s="158"/>
      <c r="AA62" s="28"/>
      <c r="AC62" s="158"/>
      <c r="AD62" s="2"/>
      <c r="AE62" s="2"/>
      <c r="AH62" s="158"/>
      <c r="AI62" s="158"/>
      <c r="AS62" s="2"/>
      <c r="AT62" s="2"/>
    </row>
    <row r="63" spans="1:56">
      <c r="B63" s="31"/>
      <c r="C63" s="248"/>
      <c r="D63" s="31"/>
      <c r="F63" s="28"/>
      <c r="G63" s="2"/>
      <c r="H63" s="2"/>
      <c r="I63" s="2"/>
      <c r="J63" s="158"/>
      <c r="K63" s="158"/>
      <c r="O63" s="29"/>
      <c r="P63" s="2"/>
      <c r="Q63" s="2"/>
      <c r="S63" s="2"/>
      <c r="X63" s="33"/>
      <c r="Y63" s="92"/>
      <c r="Z63" s="158"/>
      <c r="AA63" s="28"/>
      <c r="AC63" s="158"/>
      <c r="AD63" s="2"/>
      <c r="AE63" s="2"/>
      <c r="AH63" s="158"/>
      <c r="AI63" s="158"/>
      <c r="AJ63" s="4"/>
      <c r="AM63" s="4"/>
      <c r="AS63" s="2"/>
      <c r="AT63" s="2"/>
    </row>
    <row r="64" spans="1:56">
      <c r="B64" s="31"/>
      <c r="C64" s="248"/>
      <c r="D64" s="31"/>
      <c r="E64" s="44"/>
      <c r="F64" s="28"/>
      <c r="G64" s="2"/>
      <c r="H64" s="2"/>
      <c r="I64" s="2"/>
      <c r="J64" s="158"/>
      <c r="K64" s="158"/>
      <c r="O64" s="29"/>
      <c r="P64" s="2"/>
      <c r="Q64" s="2"/>
      <c r="S64" s="2"/>
      <c r="X64" s="2"/>
      <c r="Y64" s="92"/>
      <c r="Z64" s="158"/>
      <c r="AA64" s="28"/>
      <c r="AC64" s="158"/>
      <c r="AD64" s="2"/>
      <c r="AE64" s="2"/>
      <c r="AH64" s="158"/>
      <c r="AI64" s="158"/>
      <c r="AJ64" s="4"/>
      <c r="AM64" s="4"/>
      <c r="AS64" s="2"/>
      <c r="AT64" s="2"/>
    </row>
    <row r="65" spans="1:46">
      <c r="B65" s="31"/>
      <c r="C65" s="248"/>
      <c r="D65" s="31"/>
      <c r="E65" s="44"/>
      <c r="F65" s="5"/>
      <c r="G65" s="5"/>
      <c r="H65" s="5"/>
      <c r="I65" s="158"/>
      <c r="J65" s="158"/>
      <c r="K65" s="158"/>
      <c r="L65" s="44"/>
      <c r="M65" s="44"/>
      <c r="N65" s="44"/>
      <c r="O65" s="44"/>
      <c r="Q65" s="45"/>
      <c r="R65" s="45"/>
      <c r="S65" s="45"/>
      <c r="T65" s="45"/>
      <c r="U65" s="45"/>
      <c r="V65" s="45"/>
      <c r="X65" s="2"/>
      <c r="Y65" s="5"/>
      <c r="AB65" s="50"/>
      <c r="AD65" s="2"/>
      <c r="AE65" s="2"/>
      <c r="AH65" s="50"/>
      <c r="AK65" s="158"/>
      <c r="AM65" s="4"/>
      <c r="AS65" s="2"/>
      <c r="AT65" s="2"/>
    </row>
    <row r="66" spans="1:46" s="158" customFormat="1">
      <c r="A66" s="2"/>
      <c r="B66" s="31"/>
      <c r="C66" s="248"/>
      <c r="D66" s="31"/>
      <c r="E66" s="49"/>
      <c r="F66" s="5"/>
      <c r="G66" s="5"/>
      <c r="H66" s="5"/>
      <c r="L66" s="44"/>
      <c r="M66" s="44"/>
      <c r="N66" s="5"/>
      <c r="P66" s="44"/>
      <c r="Y66" s="49"/>
      <c r="AB66" s="50"/>
      <c r="AH66" s="50"/>
      <c r="AM66" s="2"/>
      <c r="AQ66" s="2"/>
      <c r="AR66" s="2"/>
      <c r="AS66" s="2"/>
    </row>
    <row r="67" spans="1:46" s="158" customFormat="1">
      <c r="A67" s="2"/>
      <c r="B67" s="31"/>
      <c r="C67" s="248"/>
      <c r="D67" s="31"/>
      <c r="E67" s="49"/>
      <c r="F67" s="5"/>
      <c r="G67" s="5"/>
      <c r="H67" s="5"/>
      <c r="N67" s="44"/>
      <c r="P67" s="44"/>
      <c r="Y67" s="49"/>
      <c r="AB67" s="50"/>
      <c r="AH67" s="50"/>
      <c r="AM67" s="2"/>
      <c r="AQ67" s="2"/>
      <c r="AR67" s="2"/>
      <c r="AS67" s="2"/>
    </row>
    <row r="68" spans="1:46" s="158" customFormat="1">
      <c r="A68" s="2"/>
      <c r="B68" s="31"/>
      <c r="C68" s="248"/>
      <c r="D68" s="31"/>
      <c r="E68" s="49"/>
      <c r="F68" s="5"/>
      <c r="G68" s="5"/>
      <c r="H68" s="5"/>
      <c r="N68" s="44"/>
      <c r="Y68" s="49"/>
      <c r="AB68" s="50"/>
      <c r="AH68" s="50"/>
      <c r="AM68" s="2"/>
      <c r="AQ68" s="2"/>
      <c r="AR68" s="2"/>
      <c r="AS68" s="2"/>
    </row>
    <row r="69" spans="1:46">
      <c r="B69" s="31"/>
      <c r="C69" s="248"/>
      <c r="D69" s="31"/>
      <c r="E69" s="44"/>
      <c r="J69" s="158"/>
      <c r="K69" s="158"/>
      <c r="M69" s="44"/>
      <c r="N69" s="44"/>
      <c r="P69" s="44"/>
      <c r="Q69" s="117"/>
      <c r="R69" s="28"/>
      <c r="S69" s="162"/>
      <c r="T69" s="28"/>
      <c r="U69" s="33"/>
      <c r="V69" s="33"/>
      <c r="X69" s="52"/>
      <c r="Y69" s="52"/>
      <c r="Z69" s="52"/>
      <c r="AA69" s="52"/>
      <c r="AB69" s="52"/>
      <c r="AC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14"/>
    </row>
    <row r="70" spans="1:46">
      <c r="B70" s="31"/>
      <c r="C70" s="248"/>
      <c r="D70" s="31"/>
      <c r="E70" s="44"/>
      <c r="J70" s="158"/>
      <c r="K70" s="158"/>
      <c r="M70" s="44"/>
      <c r="N70" s="44"/>
      <c r="P70" s="44"/>
      <c r="Q70" s="117"/>
      <c r="R70" s="28"/>
      <c r="S70" s="162"/>
      <c r="T70" s="28"/>
      <c r="U70" s="33"/>
      <c r="V70" s="33"/>
      <c r="X70" s="52"/>
      <c r="Y70" s="52"/>
      <c r="Z70" s="52"/>
      <c r="AA70" s="52"/>
      <c r="AB70" s="52"/>
      <c r="AC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14"/>
    </row>
    <row r="71" spans="1:46">
      <c r="B71" s="31"/>
      <c r="C71" s="248"/>
      <c r="D71" s="31"/>
      <c r="E71" s="44"/>
      <c r="J71" s="158"/>
      <c r="K71" s="158"/>
      <c r="M71" s="44"/>
      <c r="N71" s="44"/>
      <c r="P71" s="44"/>
      <c r="Q71" s="117"/>
      <c r="R71" s="28"/>
      <c r="S71" s="162"/>
      <c r="T71" s="28"/>
      <c r="U71" s="46"/>
      <c r="V71" s="46"/>
      <c r="X71" s="52"/>
      <c r="Y71" s="52"/>
      <c r="Z71" s="52"/>
      <c r="AA71" s="52"/>
      <c r="AB71" s="52"/>
      <c r="AC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14"/>
    </row>
    <row r="72" spans="1:46">
      <c r="B72" s="31"/>
      <c r="C72" s="248"/>
      <c r="D72" s="31"/>
      <c r="E72" s="44"/>
      <c r="J72" s="158"/>
      <c r="K72" s="158"/>
      <c r="M72" s="44"/>
      <c r="N72" s="44"/>
      <c r="P72" s="44"/>
      <c r="Q72" s="117"/>
      <c r="R72" s="28"/>
      <c r="S72" s="162"/>
      <c r="T72" s="28"/>
      <c r="U72" s="33"/>
      <c r="V72" s="33"/>
      <c r="X72" s="52"/>
      <c r="Y72" s="52"/>
      <c r="Z72" s="52"/>
      <c r="AA72" s="52"/>
      <c r="AB72" s="52"/>
      <c r="AC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14"/>
    </row>
    <row r="73" spans="1:46">
      <c r="B73" s="31"/>
      <c r="C73" s="248"/>
      <c r="D73" s="31"/>
      <c r="E73" s="44"/>
      <c r="J73" s="158"/>
      <c r="K73" s="158"/>
      <c r="M73" s="44"/>
      <c r="N73" s="44"/>
      <c r="P73" s="44"/>
      <c r="Q73" s="117"/>
      <c r="R73" s="28"/>
      <c r="S73" s="162"/>
      <c r="T73" s="28"/>
      <c r="U73" s="33"/>
      <c r="V73" s="33"/>
      <c r="X73" s="52"/>
      <c r="Y73" s="52"/>
      <c r="Z73" s="52"/>
      <c r="AA73" s="52"/>
      <c r="AB73" s="52"/>
      <c r="AC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14"/>
    </row>
    <row r="74" spans="1:46">
      <c r="B74" s="31"/>
      <c r="C74" s="248"/>
      <c r="D74" s="31"/>
      <c r="E74" s="44"/>
      <c r="J74" s="158"/>
      <c r="K74" s="158"/>
      <c r="M74" s="44"/>
      <c r="N74" s="44"/>
      <c r="P74" s="44"/>
      <c r="Q74" s="117"/>
      <c r="R74" s="28"/>
      <c r="S74" s="162"/>
      <c r="T74" s="28"/>
      <c r="U74" s="33"/>
      <c r="V74" s="33"/>
      <c r="X74" s="52"/>
      <c r="Y74" s="52"/>
      <c r="Z74" s="52"/>
      <c r="AA74" s="52"/>
      <c r="AB74" s="52"/>
      <c r="AC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14"/>
    </row>
    <row r="75" spans="1:46">
      <c r="B75" s="52"/>
      <c r="C75" s="14"/>
      <c r="J75" s="158"/>
      <c r="K75" s="158"/>
      <c r="M75" s="44"/>
      <c r="N75" s="44"/>
      <c r="R75" s="28"/>
      <c r="S75" s="162"/>
      <c r="T75" s="28"/>
      <c r="X75" s="52"/>
      <c r="Y75" s="52"/>
      <c r="Z75" s="52"/>
      <c r="AA75" s="52"/>
      <c r="AB75" s="52"/>
      <c r="AC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14"/>
    </row>
    <row r="76" spans="1:46">
      <c r="B76" s="15"/>
      <c r="C76" s="104"/>
      <c r="J76" s="158"/>
      <c r="K76" s="158"/>
      <c r="R76" s="28"/>
      <c r="S76" s="162"/>
      <c r="T76" s="28"/>
      <c r="X76" s="52"/>
      <c r="Y76" s="52"/>
      <c r="Z76" s="52"/>
      <c r="AA76" s="52"/>
      <c r="AB76" s="52"/>
      <c r="AC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14"/>
    </row>
    <row r="77" spans="1:46">
      <c r="B77" s="31"/>
      <c r="C77" s="248"/>
      <c r="D77" s="31"/>
      <c r="E77" s="44"/>
      <c r="J77" s="158"/>
      <c r="K77" s="158"/>
      <c r="P77" s="44"/>
      <c r="Q77" s="117"/>
      <c r="R77" s="28"/>
      <c r="S77" s="162"/>
      <c r="T77" s="28"/>
      <c r="U77" s="33"/>
      <c r="V77" s="33"/>
      <c r="X77" s="52"/>
      <c r="Y77" s="92"/>
      <c r="Z77" s="52"/>
      <c r="AA77" s="28"/>
      <c r="AB77" s="52"/>
      <c r="AC77" s="52"/>
      <c r="AG77" s="35"/>
      <c r="AH77" s="49"/>
    </row>
    <row r="78" spans="1:46">
      <c r="B78" s="31"/>
      <c r="C78" s="248"/>
      <c r="D78" s="31"/>
      <c r="E78" s="44"/>
      <c r="J78" s="158"/>
      <c r="K78" s="158"/>
      <c r="M78" s="44"/>
      <c r="N78" s="44"/>
      <c r="P78" s="44"/>
      <c r="Q78" s="117"/>
      <c r="R78" s="28"/>
      <c r="S78" s="162"/>
      <c r="T78" s="28"/>
      <c r="U78" s="33"/>
      <c r="V78" s="33"/>
      <c r="X78" s="52"/>
      <c r="Y78" s="92"/>
      <c r="Z78" s="52"/>
      <c r="AA78" s="28"/>
      <c r="AB78" s="52"/>
      <c r="AC78" s="52"/>
      <c r="AG78" s="35"/>
      <c r="AH78" s="49"/>
    </row>
    <row r="79" spans="1:46">
      <c r="B79" s="31"/>
      <c r="C79" s="248"/>
      <c r="D79" s="31"/>
      <c r="E79" s="44"/>
      <c r="J79" s="158"/>
      <c r="K79" s="158"/>
      <c r="M79" s="44"/>
      <c r="N79" s="44"/>
      <c r="P79" s="44"/>
      <c r="Q79" s="117"/>
      <c r="R79" s="28"/>
      <c r="S79" s="162"/>
      <c r="T79" s="28"/>
      <c r="U79" s="46"/>
      <c r="V79" s="46"/>
      <c r="X79" s="52"/>
      <c r="Y79" s="52"/>
      <c r="Z79" s="49"/>
      <c r="AA79" s="52"/>
      <c r="AB79" s="52"/>
      <c r="AC79" s="52"/>
      <c r="AF79" s="52"/>
      <c r="AG79" s="52"/>
      <c r="AH79" s="52"/>
      <c r="AI79" s="52"/>
      <c r="AJ79" s="52"/>
      <c r="AK79" s="52"/>
      <c r="AL79" s="52"/>
      <c r="AO79" s="52"/>
      <c r="AP79" s="52"/>
      <c r="AQ79" s="52"/>
      <c r="AR79" s="52"/>
      <c r="AS79" s="14"/>
    </row>
    <row r="80" spans="1:46">
      <c r="B80" s="31"/>
      <c r="C80" s="248"/>
      <c r="D80" s="31"/>
      <c r="E80" s="44"/>
      <c r="J80" s="158"/>
      <c r="K80" s="158"/>
      <c r="M80" s="44"/>
      <c r="N80" s="44"/>
      <c r="P80" s="44"/>
      <c r="Q80" s="117"/>
      <c r="R80" s="28"/>
      <c r="S80" s="162"/>
      <c r="T80" s="28"/>
      <c r="U80" s="46"/>
      <c r="V80" s="46"/>
      <c r="X80" s="52"/>
      <c r="Y80" s="92"/>
      <c r="Z80" s="52"/>
      <c r="AA80" s="28"/>
      <c r="AB80" s="52"/>
      <c r="AC80" s="52"/>
      <c r="AG80" s="35"/>
      <c r="AH80" s="49"/>
    </row>
    <row r="81" spans="2:47">
      <c r="B81" s="31"/>
      <c r="C81" s="248"/>
      <c r="D81" s="31"/>
      <c r="E81" s="44"/>
      <c r="J81" s="158"/>
      <c r="K81" s="158"/>
      <c r="M81" s="44"/>
      <c r="N81" s="44"/>
      <c r="P81" s="44"/>
      <c r="Q81" s="117"/>
      <c r="R81" s="28"/>
      <c r="S81" s="162"/>
      <c r="T81" s="28"/>
      <c r="U81" s="45"/>
      <c r="V81" s="45"/>
      <c r="X81" s="52"/>
      <c r="Y81" s="130"/>
      <c r="Z81" s="130"/>
      <c r="AA81" s="130"/>
      <c r="AB81" s="130"/>
      <c r="AC81" s="130"/>
      <c r="AD81" s="130"/>
      <c r="AE81" s="130"/>
      <c r="AF81" s="13"/>
      <c r="AG81" s="13"/>
      <c r="AH81" s="130"/>
      <c r="AI81" s="130"/>
      <c r="AJ81" s="13"/>
      <c r="AK81" s="13"/>
      <c r="AL81" s="13"/>
      <c r="AM81" s="13"/>
      <c r="AN81" s="13"/>
    </row>
    <row r="82" spans="2:47">
      <c r="B82" s="31"/>
      <c r="C82" s="248"/>
      <c r="D82" s="31"/>
      <c r="E82" s="44"/>
      <c r="J82" s="158"/>
      <c r="K82" s="158"/>
      <c r="M82" s="44"/>
      <c r="N82" s="44"/>
      <c r="P82" s="44"/>
      <c r="Q82" s="117"/>
      <c r="R82" s="28"/>
      <c r="S82" s="162"/>
      <c r="T82" s="28"/>
      <c r="U82" s="45"/>
      <c r="V82" s="45"/>
      <c r="X82" s="52"/>
      <c r="Y82" s="130"/>
      <c r="Z82" s="130"/>
      <c r="AA82" s="130"/>
      <c r="AB82" s="130"/>
      <c r="AC82" s="130"/>
      <c r="AD82" s="130"/>
      <c r="AE82" s="130"/>
      <c r="AF82" s="13"/>
      <c r="AG82" s="13"/>
      <c r="AH82" s="130"/>
      <c r="AI82" s="130"/>
      <c r="AJ82" s="13"/>
      <c r="AK82" s="13"/>
      <c r="AL82" s="13"/>
      <c r="AM82" s="13"/>
      <c r="AN82" s="13"/>
    </row>
    <row r="83" spans="2:47">
      <c r="B83" s="31"/>
      <c r="C83" s="248"/>
      <c r="D83" s="31"/>
      <c r="E83" s="44"/>
      <c r="J83" s="158"/>
      <c r="K83" s="158"/>
      <c r="M83" s="44"/>
      <c r="N83" s="44"/>
      <c r="P83" s="44"/>
      <c r="Q83" s="117"/>
      <c r="R83" s="28"/>
      <c r="S83" s="162"/>
      <c r="T83" s="28"/>
      <c r="U83" s="33"/>
      <c r="V83" s="33"/>
      <c r="X83" s="52"/>
      <c r="Y83" s="130"/>
      <c r="Z83" s="130"/>
      <c r="AA83" s="130"/>
      <c r="AB83" s="130"/>
      <c r="AC83" s="130"/>
      <c r="AD83" s="130"/>
      <c r="AE83" s="130"/>
      <c r="AF83" s="13"/>
      <c r="AG83" s="13"/>
      <c r="AH83" s="130"/>
      <c r="AI83" s="130"/>
      <c r="AJ83" s="13"/>
      <c r="AK83" s="13"/>
      <c r="AL83" s="13"/>
      <c r="AM83" s="13"/>
      <c r="AN83" s="13"/>
    </row>
    <row r="84" spans="2:47">
      <c r="B84" s="31"/>
      <c r="C84" s="248"/>
      <c r="D84" s="31"/>
      <c r="E84" s="44"/>
      <c r="J84" s="158"/>
      <c r="K84" s="158"/>
      <c r="M84" s="44"/>
      <c r="N84" s="44"/>
      <c r="P84" s="44"/>
      <c r="Q84" s="117"/>
      <c r="R84" s="28"/>
      <c r="S84" s="162"/>
      <c r="T84" s="28"/>
      <c r="U84" s="46"/>
      <c r="V84" s="46"/>
      <c r="X84" s="52"/>
      <c r="Y84" s="92"/>
      <c r="Z84" s="52"/>
      <c r="AA84" s="28"/>
      <c r="AB84" s="52"/>
      <c r="AC84" s="52"/>
      <c r="AG84" s="35"/>
      <c r="AH84" s="49"/>
    </row>
    <row r="85" spans="2:47">
      <c r="B85" s="15"/>
      <c r="C85" s="104"/>
      <c r="J85" s="158"/>
      <c r="K85" s="158"/>
      <c r="M85" s="44"/>
      <c r="N85" s="44"/>
      <c r="R85" s="28"/>
      <c r="S85" s="162"/>
      <c r="T85" s="28"/>
      <c r="X85" s="52"/>
      <c r="Y85" s="52"/>
      <c r="Z85" s="28"/>
      <c r="AA85" s="52"/>
      <c r="AC85" s="52"/>
      <c r="AD85" s="2"/>
      <c r="AE85" s="2"/>
      <c r="AH85" s="52"/>
      <c r="AI85" s="52"/>
    </row>
    <row r="86" spans="2:47">
      <c r="B86" s="31"/>
      <c r="C86" s="248"/>
      <c r="D86" s="31"/>
      <c r="E86" s="44"/>
      <c r="J86" s="158"/>
      <c r="K86" s="158"/>
      <c r="P86" s="44"/>
      <c r="Q86" s="117"/>
      <c r="R86" s="28"/>
      <c r="S86" s="162"/>
      <c r="T86" s="28"/>
      <c r="U86" s="45"/>
      <c r="V86" s="45"/>
      <c r="X86" s="52"/>
      <c r="Y86" s="52"/>
      <c r="Z86" s="28"/>
      <c r="AA86" s="52"/>
      <c r="AC86" s="52"/>
      <c r="AD86" s="2"/>
      <c r="AE86" s="2"/>
      <c r="AH86" s="52"/>
      <c r="AI86" s="52"/>
    </row>
    <row r="87" spans="2:47">
      <c r="B87" s="31"/>
      <c r="C87" s="248"/>
      <c r="D87" s="31"/>
      <c r="E87" s="44"/>
      <c r="J87" s="158"/>
      <c r="K87" s="158"/>
      <c r="M87" s="44"/>
      <c r="N87" s="44"/>
      <c r="P87" s="44"/>
      <c r="Q87" s="117"/>
      <c r="R87" s="28"/>
      <c r="S87" s="162"/>
      <c r="T87" s="28"/>
      <c r="U87" s="46"/>
      <c r="V87" s="46"/>
      <c r="X87" s="52"/>
      <c r="Y87" s="52"/>
      <c r="Z87" s="28"/>
      <c r="AA87" s="52"/>
      <c r="AC87" s="52"/>
      <c r="AD87" s="2"/>
      <c r="AE87" s="2"/>
      <c r="AH87" s="52"/>
      <c r="AI87" s="52"/>
      <c r="AM87" s="4"/>
      <c r="AT87" s="104"/>
      <c r="AU87" s="15"/>
    </row>
    <row r="88" spans="2:47">
      <c r="B88" s="31"/>
      <c r="C88" s="248"/>
      <c r="D88" s="31"/>
      <c r="E88" s="44"/>
      <c r="J88" s="158"/>
      <c r="K88" s="158"/>
      <c r="M88" s="44"/>
      <c r="N88" s="44"/>
      <c r="P88" s="44"/>
      <c r="Q88" s="117"/>
      <c r="R88" s="28"/>
      <c r="S88" s="162"/>
      <c r="T88" s="28"/>
      <c r="U88" s="45"/>
      <c r="V88" s="45"/>
      <c r="X88" s="52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95"/>
    </row>
    <row r="89" spans="2:47">
      <c r="B89" s="31"/>
      <c r="C89" s="248"/>
      <c r="D89" s="31"/>
      <c r="E89" s="44"/>
      <c r="J89" s="158"/>
      <c r="K89" s="158"/>
      <c r="M89" s="44"/>
      <c r="N89" s="44"/>
      <c r="P89" s="44"/>
      <c r="Q89" s="117"/>
      <c r="R89" s="28"/>
      <c r="S89" s="162"/>
      <c r="T89" s="28"/>
      <c r="U89" s="46"/>
      <c r="V89" s="46"/>
      <c r="X89" s="52"/>
      <c r="Y89" s="52"/>
      <c r="Z89" s="28"/>
      <c r="AA89" s="52"/>
      <c r="AC89" s="52"/>
      <c r="AD89" s="2"/>
      <c r="AE89" s="2"/>
      <c r="AH89" s="52"/>
      <c r="AI89" s="52"/>
    </row>
    <row r="90" spans="2:47">
      <c r="B90" s="31"/>
      <c r="C90" s="248"/>
      <c r="D90" s="31"/>
      <c r="E90" s="44"/>
      <c r="J90" s="158"/>
      <c r="K90" s="158"/>
      <c r="M90" s="44"/>
      <c r="N90" s="44"/>
      <c r="P90" s="44"/>
      <c r="Q90" s="117"/>
      <c r="R90" s="28"/>
      <c r="S90" s="162"/>
      <c r="T90" s="28"/>
      <c r="U90" s="46"/>
      <c r="V90" s="46"/>
      <c r="X90" s="34"/>
      <c r="Y90" s="52"/>
      <c r="Z90" s="28"/>
      <c r="AA90" s="52"/>
      <c r="AC90" s="52"/>
      <c r="AD90" s="2"/>
      <c r="AE90" s="2"/>
      <c r="AH90" s="52"/>
      <c r="AI90" s="52"/>
    </row>
    <row r="91" spans="2:47">
      <c r="B91" s="31"/>
      <c r="C91" s="248"/>
      <c r="D91" s="31"/>
      <c r="E91" s="44"/>
      <c r="J91" s="158"/>
      <c r="K91" s="158"/>
      <c r="M91" s="44"/>
      <c r="N91" s="44"/>
      <c r="P91" s="44"/>
      <c r="Q91" s="117"/>
      <c r="R91" s="28"/>
      <c r="S91" s="162"/>
      <c r="T91" s="28"/>
      <c r="U91" s="45"/>
      <c r="V91" s="45"/>
      <c r="X91" s="34"/>
      <c r="Y91" s="52"/>
      <c r="Z91" s="28"/>
      <c r="AA91" s="52"/>
      <c r="AC91" s="52"/>
      <c r="AD91" s="2"/>
      <c r="AE91" s="2"/>
      <c r="AH91" s="52"/>
      <c r="AI91" s="52"/>
    </row>
    <row r="92" spans="2:47">
      <c r="B92" s="31"/>
      <c r="C92" s="248"/>
      <c r="D92" s="31"/>
      <c r="E92" s="44"/>
      <c r="J92" s="158"/>
      <c r="K92" s="158"/>
      <c r="M92" s="44"/>
      <c r="N92" s="44"/>
      <c r="P92" s="44"/>
      <c r="Q92" s="117"/>
      <c r="R92" s="28"/>
      <c r="S92" s="162"/>
      <c r="T92" s="28"/>
      <c r="U92" s="33"/>
      <c r="V92" s="33"/>
      <c r="X92" s="52"/>
      <c r="Y92" s="52"/>
      <c r="Z92" s="28"/>
      <c r="AA92" s="52"/>
      <c r="AC92" s="52"/>
      <c r="AD92" s="2"/>
      <c r="AE92" s="2"/>
      <c r="AH92" s="52"/>
      <c r="AI92" s="52"/>
      <c r="AM92" s="4"/>
    </row>
    <row r="93" spans="2:47">
      <c r="B93" s="31"/>
      <c r="C93" s="248"/>
      <c r="D93" s="31"/>
      <c r="E93" s="44"/>
      <c r="J93" s="158"/>
      <c r="K93" s="158"/>
      <c r="M93" s="44"/>
      <c r="N93" s="44"/>
      <c r="P93" s="44"/>
      <c r="Q93" s="117"/>
      <c r="R93" s="28"/>
      <c r="S93" s="162"/>
      <c r="T93" s="28"/>
      <c r="U93" s="33"/>
      <c r="V93" s="33"/>
      <c r="X93" s="34"/>
      <c r="Y93" s="52"/>
      <c r="Z93" s="28"/>
      <c r="AA93" s="52"/>
      <c r="AC93" s="52"/>
      <c r="AD93" s="2"/>
      <c r="AE93" s="2"/>
      <c r="AH93" s="52"/>
      <c r="AI93" s="52"/>
      <c r="AM93" s="4"/>
    </row>
    <row r="94" spans="2:47">
      <c r="B94" s="31"/>
      <c r="C94" s="248"/>
      <c r="D94" s="31"/>
      <c r="E94" s="44"/>
      <c r="J94" s="158"/>
      <c r="K94" s="158"/>
      <c r="M94" s="44"/>
      <c r="N94" s="44"/>
      <c r="P94" s="44"/>
      <c r="Q94" s="117"/>
      <c r="R94" s="28"/>
      <c r="S94" s="162"/>
      <c r="T94" s="28"/>
      <c r="U94" s="33"/>
      <c r="V94" s="33"/>
      <c r="X94" s="13"/>
      <c r="Y94" s="52"/>
      <c r="Z94" s="52"/>
      <c r="AA94" s="52"/>
      <c r="AB94" s="52"/>
      <c r="AC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14"/>
    </row>
    <row r="95" spans="2:47">
      <c r="B95" s="31"/>
      <c r="C95" s="248"/>
      <c r="D95" s="31"/>
      <c r="E95" s="44"/>
      <c r="J95" s="158"/>
      <c r="K95" s="158"/>
      <c r="M95" s="44"/>
      <c r="N95" s="44"/>
      <c r="P95" s="44"/>
      <c r="Q95" s="117"/>
      <c r="R95" s="28"/>
      <c r="S95" s="162"/>
      <c r="T95" s="28"/>
      <c r="U95" s="33"/>
      <c r="V95" s="33"/>
      <c r="X95" s="13"/>
      <c r="Y95" s="52"/>
      <c r="Z95" s="52"/>
      <c r="AA95" s="52"/>
      <c r="AB95" s="52"/>
      <c r="AC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14"/>
    </row>
    <row r="96" spans="2:47">
      <c r="B96" s="31"/>
      <c r="C96" s="248"/>
      <c r="D96" s="31"/>
      <c r="E96" s="44"/>
      <c r="J96" s="158"/>
      <c r="K96" s="158"/>
      <c r="M96" s="44"/>
      <c r="N96" s="44"/>
      <c r="P96" s="44"/>
      <c r="Q96" s="117"/>
      <c r="R96" s="28"/>
      <c r="S96" s="162"/>
      <c r="T96" s="28"/>
      <c r="U96" s="33"/>
      <c r="V96" s="33"/>
      <c r="X96" s="13"/>
      <c r="Y96" s="52"/>
      <c r="Z96" s="52"/>
      <c r="AA96" s="52"/>
      <c r="AB96" s="52"/>
      <c r="AC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14"/>
    </row>
    <row r="97" spans="2:45">
      <c r="B97" s="31"/>
      <c r="C97" s="248"/>
      <c r="D97" s="31"/>
      <c r="E97" s="44"/>
      <c r="J97" s="158"/>
      <c r="K97" s="158"/>
      <c r="M97" s="44"/>
      <c r="N97" s="44"/>
      <c r="P97" s="44"/>
      <c r="Q97" s="117"/>
      <c r="R97" s="28"/>
      <c r="S97" s="162"/>
      <c r="T97" s="28"/>
      <c r="U97" s="45"/>
      <c r="V97" s="45"/>
      <c r="X97" s="34"/>
      <c r="Y97" s="52"/>
      <c r="Z97" s="52"/>
      <c r="AA97" s="52"/>
      <c r="AB97" s="52"/>
      <c r="AC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14"/>
    </row>
    <row r="98" spans="2:45">
      <c r="B98" s="31"/>
      <c r="C98" s="248"/>
      <c r="D98" s="31"/>
      <c r="E98" s="44"/>
      <c r="J98" s="158"/>
      <c r="K98" s="158"/>
      <c r="M98" s="44"/>
      <c r="N98" s="44"/>
      <c r="P98" s="44"/>
      <c r="Q98" s="117"/>
      <c r="R98" s="28"/>
      <c r="S98" s="162"/>
      <c r="T98" s="28"/>
      <c r="U98" s="46"/>
      <c r="V98" s="46"/>
      <c r="X98" s="35"/>
      <c r="Y98" s="52"/>
      <c r="Z98" s="28"/>
      <c r="AA98" s="52"/>
      <c r="AC98" s="52"/>
      <c r="AD98" s="2"/>
      <c r="AE98" s="2"/>
      <c r="AH98" s="52"/>
      <c r="AI98" s="52"/>
    </row>
    <row r="99" spans="2:45">
      <c r="B99" s="52"/>
      <c r="C99" s="14"/>
      <c r="J99" s="158"/>
      <c r="K99" s="158"/>
      <c r="M99" s="44"/>
      <c r="N99" s="44"/>
      <c r="R99" s="28"/>
      <c r="S99" s="162"/>
      <c r="T99" s="28"/>
      <c r="X99" s="35"/>
      <c r="Y99" s="52"/>
      <c r="Z99" s="28"/>
      <c r="AA99" s="52"/>
      <c r="AC99" s="52"/>
      <c r="AD99" s="2"/>
      <c r="AE99" s="2"/>
      <c r="AH99" s="52"/>
      <c r="AI99" s="52"/>
    </row>
    <row r="100" spans="2:45">
      <c r="B100" s="52"/>
      <c r="C100" s="14"/>
      <c r="J100" s="158"/>
      <c r="K100" s="158"/>
      <c r="R100" s="28"/>
      <c r="S100" s="162"/>
      <c r="T100" s="28"/>
      <c r="X100" s="35"/>
      <c r="Y100" s="52"/>
      <c r="Z100" s="28"/>
      <c r="AA100" s="52"/>
      <c r="AC100" s="52"/>
      <c r="AD100" s="2"/>
      <c r="AE100" s="2"/>
      <c r="AH100" s="52"/>
      <c r="AI100" s="52"/>
    </row>
    <row r="101" spans="2:45">
      <c r="B101" s="31"/>
      <c r="C101" s="248"/>
      <c r="D101" s="31"/>
      <c r="E101" s="44"/>
      <c r="J101" s="158"/>
      <c r="K101" s="158"/>
      <c r="P101" s="44"/>
      <c r="Q101" s="117"/>
      <c r="R101" s="28"/>
      <c r="S101" s="162"/>
      <c r="T101" s="28"/>
      <c r="U101" s="46"/>
      <c r="V101" s="46"/>
      <c r="X101" s="50"/>
      <c r="Y101" s="52"/>
      <c r="Z101" s="28"/>
      <c r="AA101" s="52"/>
      <c r="AC101" s="52"/>
      <c r="AD101" s="2"/>
      <c r="AE101" s="2"/>
      <c r="AH101" s="52"/>
      <c r="AI101" s="52"/>
      <c r="AQ101" s="15"/>
    </row>
    <row r="102" spans="2:45">
      <c r="B102" s="31"/>
      <c r="C102" s="248"/>
      <c r="D102" s="31"/>
      <c r="E102" s="44"/>
      <c r="J102" s="158"/>
      <c r="K102" s="158"/>
      <c r="M102" s="44"/>
      <c r="N102" s="44"/>
      <c r="P102" s="44"/>
      <c r="Q102" s="117"/>
      <c r="R102" s="28"/>
      <c r="S102" s="162"/>
      <c r="T102" s="28"/>
      <c r="U102" s="33"/>
      <c r="V102" s="33"/>
      <c r="X102" s="35"/>
      <c r="Y102" s="52"/>
      <c r="Z102" s="28"/>
      <c r="AA102" s="52"/>
      <c r="AC102" s="52"/>
      <c r="AD102" s="2"/>
      <c r="AE102" s="2"/>
      <c r="AH102" s="52"/>
      <c r="AI102" s="52"/>
    </row>
    <row r="103" spans="2:45">
      <c r="B103" s="31"/>
      <c r="C103" s="248"/>
      <c r="D103" s="31"/>
      <c r="E103" s="44"/>
      <c r="J103" s="158"/>
      <c r="K103" s="158"/>
      <c r="M103" s="44"/>
      <c r="N103" s="44"/>
      <c r="P103" s="44"/>
      <c r="Q103" s="117"/>
      <c r="R103" s="28"/>
      <c r="S103" s="162"/>
      <c r="T103" s="28"/>
      <c r="U103" s="45"/>
      <c r="V103" s="45"/>
      <c r="X103" s="35"/>
      <c r="Z103" s="5"/>
      <c r="AE103" s="2"/>
      <c r="AH103" s="2"/>
      <c r="AI103" s="52"/>
      <c r="AJ103" s="52"/>
    </row>
    <row r="104" spans="2:45">
      <c r="B104" s="15"/>
      <c r="C104" s="104"/>
      <c r="J104" s="158"/>
      <c r="K104" s="158"/>
      <c r="M104" s="44"/>
      <c r="N104" s="44"/>
      <c r="R104" s="28"/>
      <c r="S104" s="162"/>
      <c r="T104" s="28"/>
      <c r="X104" s="35"/>
      <c r="Z104" s="5"/>
      <c r="AE104" s="2"/>
      <c r="AH104" s="2"/>
      <c r="AI104" s="52"/>
      <c r="AJ104" s="52"/>
    </row>
    <row r="105" spans="2:45">
      <c r="B105" s="31"/>
      <c r="C105" s="248"/>
      <c r="D105" s="31"/>
      <c r="E105" s="44"/>
      <c r="J105" s="158"/>
      <c r="K105" s="158"/>
      <c r="P105" s="44"/>
      <c r="Q105" s="117"/>
      <c r="R105" s="28"/>
      <c r="S105" s="162"/>
      <c r="T105" s="28"/>
      <c r="U105" s="45"/>
      <c r="V105" s="45"/>
      <c r="X105" s="35"/>
      <c r="Y105" s="52"/>
      <c r="Z105" s="52"/>
      <c r="AA105" s="52"/>
      <c r="AB105" s="52"/>
      <c r="AC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14"/>
    </row>
    <row r="106" spans="2:45">
      <c r="B106" s="52"/>
      <c r="C106" s="14"/>
      <c r="J106" s="158"/>
      <c r="K106" s="158"/>
      <c r="M106" s="44"/>
      <c r="N106" s="44"/>
      <c r="R106" s="28"/>
      <c r="S106" s="162"/>
      <c r="T106" s="28"/>
      <c r="X106" s="35"/>
      <c r="Y106" s="52"/>
      <c r="Z106" s="52"/>
      <c r="AA106" s="52"/>
      <c r="AB106" s="52"/>
      <c r="AC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14"/>
    </row>
    <row r="107" spans="2:45">
      <c r="B107" s="52"/>
      <c r="C107" s="14"/>
      <c r="J107" s="158"/>
      <c r="K107" s="158"/>
      <c r="R107" s="28"/>
      <c r="S107" s="162"/>
      <c r="T107" s="28"/>
      <c r="X107" s="52"/>
      <c r="Y107" s="92"/>
      <c r="Z107" s="52"/>
      <c r="AA107" s="28"/>
      <c r="AB107" s="52"/>
      <c r="AC107" s="52"/>
      <c r="AG107" s="35"/>
      <c r="AH107" s="49"/>
    </row>
    <row r="108" spans="2:45">
      <c r="B108" s="52"/>
      <c r="C108" s="14"/>
      <c r="J108" s="158"/>
      <c r="K108" s="158"/>
      <c r="R108" s="28"/>
      <c r="S108" s="162"/>
      <c r="T108" s="28"/>
      <c r="X108" s="52"/>
      <c r="Y108" s="92"/>
      <c r="Z108" s="52"/>
      <c r="AA108" s="28"/>
      <c r="AB108" s="52"/>
      <c r="AC108" s="52"/>
      <c r="AG108" s="35"/>
      <c r="AH108" s="49"/>
    </row>
    <row r="109" spans="2:45">
      <c r="B109" s="31"/>
      <c r="C109" s="248"/>
      <c r="D109" s="31"/>
      <c r="E109" s="44"/>
      <c r="J109" s="158"/>
      <c r="K109" s="158"/>
      <c r="P109" s="44"/>
      <c r="Q109" s="117"/>
      <c r="R109" s="28"/>
      <c r="S109" s="162"/>
      <c r="T109" s="28"/>
      <c r="U109" s="46"/>
      <c r="V109" s="46"/>
      <c r="X109" s="52"/>
      <c r="Y109" s="92"/>
      <c r="Z109" s="52"/>
      <c r="AA109" s="28"/>
      <c r="AB109" s="52"/>
      <c r="AC109" s="52"/>
      <c r="AG109" s="35"/>
      <c r="AH109" s="49"/>
    </row>
    <row r="110" spans="2:45">
      <c r="B110" s="31"/>
      <c r="C110" s="248"/>
      <c r="D110" s="31"/>
      <c r="E110" s="44"/>
      <c r="J110" s="158"/>
      <c r="K110" s="158"/>
      <c r="M110" s="44"/>
      <c r="N110" s="44"/>
      <c r="P110" s="44"/>
      <c r="Q110" s="117"/>
      <c r="R110" s="28"/>
      <c r="S110" s="162"/>
      <c r="T110" s="28"/>
      <c r="U110" s="45"/>
      <c r="V110" s="45"/>
      <c r="X110" s="52"/>
      <c r="Y110" s="92"/>
      <c r="Z110" s="52"/>
      <c r="AA110" s="28"/>
      <c r="AB110" s="52"/>
      <c r="AC110" s="52"/>
      <c r="AG110" s="35"/>
      <c r="AH110" s="49"/>
    </row>
    <row r="111" spans="2:45">
      <c r="B111" s="31"/>
      <c r="C111" s="248"/>
      <c r="D111" s="31"/>
      <c r="E111" s="44"/>
      <c r="J111" s="158"/>
      <c r="K111" s="158"/>
      <c r="M111" s="44"/>
      <c r="N111" s="44"/>
      <c r="P111" s="44"/>
      <c r="Q111" s="117"/>
      <c r="R111" s="28"/>
      <c r="S111" s="162"/>
      <c r="T111" s="28"/>
      <c r="U111" s="46"/>
      <c r="V111" s="46"/>
      <c r="X111" s="35"/>
      <c r="Y111" s="92"/>
      <c r="Z111" s="52"/>
      <c r="AA111" s="28"/>
      <c r="AB111" s="52"/>
      <c r="AC111" s="52"/>
      <c r="AD111" s="50"/>
      <c r="AE111" s="50"/>
      <c r="AG111" s="35"/>
      <c r="AH111" s="49"/>
    </row>
    <row r="112" spans="2:45">
      <c r="B112" s="31"/>
      <c r="C112" s="248"/>
      <c r="D112" s="31"/>
      <c r="E112" s="44"/>
      <c r="J112" s="158"/>
      <c r="K112" s="158"/>
      <c r="M112" s="44"/>
      <c r="N112" s="44"/>
      <c r="P112" s="44"/>
      <c r="Q112" s="117"/>
      <c r="R112" s="28"/>
      <c r="S112" s="162"/>
      <c r="T112" s="28"/>
      <c r="U112" s="46"/>
      <c r="V112" s="46"/>
      <c r="X112" s="35"/>
      <c r="Y112" s="92"/>
      <c r="Z112" s="52"/>
      <c r="AA112" s="28"/>
      <c r="AB112" s="52"/>
      <c r="AC112" s="52"/>
      <c r="AD112" s="50"/>
      <c r="AE112" s="50"/>
      <c r="AG112" s="35"/>
      <c r="AH112" s="49"/>
    </row>
    <row r="113" spans="2:45">
      <c r="B113" s="31"/>
      <c r="C113" s="248"/>
      <c r="D113" s="31"/>
      <c r="E113" s="44"/>
      <c r="J113" s="158"/>
      <c r="K113" s="158"/>
      <c r="M113" s="44"/>
      <c r="N113" s="44"/>
      <c r="P113" s="44"/>
      <c r="Q113" s="117"/>
      <c r="R113" s="28"/>
      <c r="S113" s="162"/>
      <c r="T113" s="28"/>
      <c r="U113" s="33"/>
      <c r="V113" s="33"/>
      <c r="X113" s="35"/>
      <c r="AD113" s="50"/>
      <c r="AE113" s="50"/>
    </row>
    <row r="114" spans="2:45">
      <c r="B114" s="31"/>
      <c r="C114" s="248"/>
      <c r="D114" s="31"/>
      <c r="E114" s="44"/>
      <c r="J114" s="158"/>
      <c r="K114" s="158"/>
      <c r="M114" s="44"/>
      <c r="N114" s="44"/>
      <c r="P114" s="44"/>
      <c r="Q114" s="117"/>
      <c r="R114" s="28"/>
      <c r="S114" s="162"/>
      <c r="T114" s="28"/>
      <c r="U114" s="46"/>
      <c r="V114" s="46"/>
      <c r="X114" s="35"/>
      <c r="Y114" s="52"/>
      <c r="Z114" s="52"/>
      <c r="AA114" s="52"/>
      <c r="AB114" s="52"/>
      <c r="AC114" s="52"/>
      <c r="AD114" s="50"/>
      <c r="AE114" s="50"/>
      <c r="AF114" s="52"/>
      <c r="AG114" s="52"/>
      <c r="AH114" s="49"/>
      <c r="AI114" s="52"/>
      <c r="AJ114" s="52"/>
      <c r="AK114" s="52"/>
      <c r="AL114" s="52"/>
      <c r="AM114" s="52"/>
      <c r="AO114" s="52"/>
      <c r="AP114" s="52"/>
      <c r="AQ114" s="52"/>
      <c r="AR114" s="52"/>
      <c r="AS114" s="14"/>
    </row>
    <row r="115" spans="2:45">
      <c r="B115" s="31"/>
      <c r="C115" s="248"/>
      <c r="D115" s="31"/>
      <c r="E115" s="44"/>
      <c r="J115" s="158"/>
      <c r="K115" s="158"/>
      <c r="M115" s="44"/>
      <c r="N115" s="44"/>
      <c r="P115" s="44"/>
      <c r="Q115" s="117"/>
      <c r="R115" s="28"/>
      <c r="S115" s="162"/>
      <c r="T115" s="28"/>
      <c r="U115" s="33"/>
      <c r="V115" s="33"/>
      <c r="X115" s="35"/>
      <c r="Y115" s="52"/>
      <c r="Z115" s="52"/>
      <c r="AA115" s="52"/>
      <c r="AB115" s="52"/>
      <c r="AC115" s="52"/>
      <c r="AD115" s="50"/>
      <c r="AE115" s="50"/>
      <c r="AF115" s="52"/>
      <c r="AG115" s="52"/>
      <c r="AH115" s="49"/>
      <c r="AI115" s="52"/>
      <c r="AJ115" s="52"/>
      <c r="AK115" s="52"/>
      <c r="AL115" s="52"/>
      <c r="AM115" s="52"/>
      <c r="AO115" s="52"/>
      <c r="AP115" s="52"/>
      <c r="AQ115" s="52"/>
      <c r="AR115" s="52"/>
      <c r="AS115" s="14"/>
    </row>
    <row r="116" spans="2:45">
      <c r="B116" s="31"/>
      <c r="C116" s="248"/>
      <c r="D116" s="31"/>
      <c r="E116" s="44"/>
      <c r="J116" s="158"/>
      <c r="K116" s="158"/>
      <c r="M116" s="44"/>
      <c r="N116" s="44"/>
      <c r="P116" s="44"/>
      <c r="Q116" s="117"/>
      <c r="R116" s="28"/>
      <c r="S116" s="162"/>
      <c r="T116" s="28"/>
      <c r="U116" s="46"/>
      <c r="V116" s="46"/>
      <c r="X116" s="2"/>
      <c r="Y116" s="52"/>
      <c r="Z116" s="52"/>
      <c r="AA116" s="52"/>
      <c r="AB116" s="52"/>
      <c r="AC116" s="52"/>
      <c r="AD116" s="50"/>
      <c r="AE116" s="50"/>
      <c r="AF116" s="52"/>
      <c r="AG116" s="52"/>
      <c r="AH116" s="49"/>
      <c r="AI116" s="52"/>
      <c r="AJ116" s="52"/>
      <c r="AK116" s="52"/>
      <c r="AL116" s="52"/>
      <c r="AM116" s="52"/>
      <c r="AO116" s="52"/>
      <c r="AP116" s="52"/>
      <c r="AQ116" s="52"/>
      <c r="AR116" s="52"/>
      <c r="AS116" s="14"/>
    </row>
    <row r="117" spans="2:45">
      <c r="B117" s="31"/>
      <c r="C117" s="248"/>
      <c r="D117" s="31"/>
      <c r="E117" s="44"/>
      <c r="J117" s="158"/>
      <c r="K117" s="158"/>
      <c r="M117" s="44"/>
      <c r="N117" s="44"/>
      <c r="P117" s="44"/>
      <c r="Q117" s="117"/>
      <c r="R117" s="28"/>
      <c r="S117" s="162"/>
      <c r="T117" s="28"/>
      <c r="U117" s="45"/>
      <c r="V117" s="45"/>
      <c r="X117" s="2"/>
      <c r="Y117" s="52"/>
      <c r="Z117" s="52"/>
      <c r="AA117" s="52"/>
      <c r="AB117" s="52"/>
      <c r="AC117" s="52"/>
      <c r="AF117" s="52"/>
      <c r="AG117" s="52"/>
      <c r="AH117" s="49"/>
      <c r="AI117" s="52"/>
      <c r="AJ117" s="52"/>
      <c r="AK117" s="52"/>
      <c r="AL117" s="52"/>
      <c r="AM117" s="52"/>
      <c r="AN117" s="15"/>
      <c r="AO117" s="52"/>
      <c r="AP117" s="52"/>
      <c r="AQ117" s="52"/>
      <c r="AR117" s="52"/>
      <c r="AS117" s="14"/>
    </row>
    <row r="118" spans="2:45">
      <c r="B118" s="31"/>
      <c r="C118" s="248"/>
      <c r="D118" s="31"/>
      <c r="E118" s="44"/>
      <c r="J118" s="158"/>
      <c r="K118" s="158"/>
      <c r="M118" s="44"/>
      <c r="N118" s="44"/>
      <c r="P118" s="44"/>
      <c r="Q118" s="117"/>
      <c r="R118" s="28"/>
      <c r="S118" s="162"/>
      <c r="T118" s="28"/>
      <c r="U118" s="46"/>
      <c r="V118" s="46"/>
      <c r="X118" s="52"/>
      <c r="Y118" s="52"/>
      <c r="Z118" s="52"/>
      <c r="AA118" s="52"/>
      <c r="AB118" s="52"/>
      <c r="AC118" s="52"/>
      <c r="AD118" s="50"/>
      <c r="AE118" s="50"/>
      <c r="AF118" s="52"/>
      <c r="AG118" s="52"/>
      <c r="AH118" s="49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14"/>
    </row>
    <row r="119" spans="2:45">
      <c r="B119" s="31"/>
      <c r="C119" s="248"/>
      <c r="D119" s="31"/>
      <c r="E119" s="44"/>
      <c r="J119" s="158"/>
      <c r="K119" s="158"/>
      <c r="M119" s="44"/>
      <c r="N119" s="44"/>
      <c r="P119" s="44"/>
      <c r="Q119" s="117"/>
      <c r="R119" s="28"/>
      <c r="S119" s="162"/>
      <c r="T119" s="28"/>
      <c r="U119" s="33"/>
      <c r="V119" s="33"/>
      <c r="X119" s="52"/>
      <c r="AD119" s="50"/>
      <c r="AE119" s="50"/>
      <c r="AN119" s="52"/>
    </row>
    <row r="120" spans="2:45">
      <c r="B120" s="31"/>
      <c r="C120" s="248"/>
      <c r="D120" s="31"/>
      <c r="E120" s="44"/>
      <c r="J120" s="158"/>
      <c r="K120" s="158"/>
      <c r="M120" s="44"/>
      <c r="N120" s="44"/>
      <c r="P120" s="44"/>
      <c r="Q120" s="117"/>
      <c r="R120" s="28"/>
      <c r="S120" s="162"/>
      <c r="T120" s="28"/>
      <c r="U120" s="33"/>
      <c r="V120" s="33"/>
      <c r="X120" s="34"/>
      <c r="AD120" s="64"/>
      <c r="AE120" s="64"/>
      <c r="AN120" s="52"/>
    </row>
    <row r="121" spans="2:45">
      <c r="B121" s="31"/>
      <c r="C121" s="248"/>
      <c r="D121" s="31"/>
      <c r="E121" s="44"/>
      <c r="J121" s="158"/>
      <c r="K121" s="158"/>
      <c r="M121" s="44"/>
      <c r="N121" s="44"/>
      <c r="P121" s="44"/>
      <c r="Q121" s="117"/>
      <c r="R121" s="28"/>
      <c r="S121" s="162"/>
      <c r="T121" s="28"/>
      <c r="U121" s="46"/>
      <c r="V121" s="46"/>
      <c r="X121" s="34"/>
      <c r="AD121" s="64"/>
      <c r="AE121" s="64"/>
    </row>
    <row r="122" spans="2:45">
      <c r="B122" s="31"/>
      <c r="C122" s="248"/>
      <c r="D122" s="31"/>
      <c r="E122" s="44"/>
      <c r="J122" s="158"/>
      <c r="K122" s="158"/>
      <c r="M122" s="44"/>
      <c r="N122" s="44"/>
      <c r="P122" s="44"/>
      <c r="Q122" s="117"/>
      <c r="R122" s="28"/>
      <c r="S122" s="162"/>
      <c r="T122" s="28"/>
      <c r="U122" s="33"/>
      <c r="V122" s="33"/>
      <c r="X122" s="34"/>
      <c r="AD122" s="50"/>
      <c r="AE122" s="50"/>
    </row>
    <row r="123" spans="2:45">
      <c r="B123" s="31"/>
      <c r="C123" s="248"/>
      <c r="D123" s="31"/>
      <c r="E123" s="44"/>
      <c r="J123" s="158"/>
      <c r="K123" s="158"/>
      <c r="M123" s="44"/>
      <c r="N123" s="44"/>
      <c r="P123" s="44"/>
      <c r="Q123" s="117"/>
      <c r="R123" s="28"/>
      <c r="S123" s="162"/>
      <c r="T123" s="28"/>
      <c r="U123" s="45"/>
      <c r="V123" s="45"/>
      <c r="X123" s="34"/>
    </row>
    <row r="124" spans="2:45">
      <c r="B124" s="52"/>
      <c r="C124" s="14"/>
      <c r="J124" s="158"/>
      <c r="K124" s="158"/>
      <c r="M124" s="44"/>
      <c r="N124" s="44"/>
      <c r="R124" s="28"/>
      <c r="S124" s="162"/>
      <c r="T124" s="28"/>
      <c r="X124" s="34"/>
    </row>
    <row r="125" spans="2:45">
      <c r="B125" s="31"/>
      <c r="C125" s="248"/>
      <c r="D125" s="31"/>
      <c r="E125" s="44"/>
      <c r="J125" s="158"/>
      <c r="K125" s="158"/>
      <c r="P125" s="44"/>
      <c r="Q125" s="117"/>
      <c r="R125" s="28"/>
      <c r="S125" s="162"/>
      <c r="T125" s="28"/>
      <c r="U125" s="33"/>
      <c r="V125" s="33"/>
      <c r="X125" s="34"/>
    </row>
    <row r="126" spans="2:45">
      <c r="B126" s="31"/>
      <c r="C126" s="248"/>
      <c r="D126" s="31"/>
      <c r="E126" s="44"/>
      <c r="J126" s="158"/>
      <c r="K126" s="158"/>
      <c r="M126" s="44"/>
      <c r="N126" s="44"/>
      <c r="P126" s="44"/>
      <c r="Q126" s="117"/>
      <c r="R126" s="28"/>
      <c r="S126" s="162"/>
      <c r="T126" s="28"/>
      <c r="U126" s="33"/>
      <c r="V126" s="33"/>
    </row>
    <row r="127" spans="2:45">
      <c r="B127" s="31"/>
      <c r="C127" s="248"/>
      <c r="D127" s="31"/>
      <c r="E127" s="44"/>
      <c r="J127" s="158"/>
      <c r="K127" s="158"/>
      <c r="M127" s="44"/>
      <c r="N127" s="44"/>
      <c r="P127" s="44"/>
      <c r="Q127" s="117"/>
      <c r="R127" s="28"/>
      <c r="S127" s="162"/>
      <c r="T127" s="28"/>
      <c r="U127" s="37"/>
      <c r="V127" s="37"/>
      <c r="X127" s="52"/>
    </row>
    <row r="128" spans="2:45">
      <c r="B128" s="31"/>
      <c r="C128" s="248"/>
      <c r="D128" s="31"/>
      <c r="E128" s="44"/>
      <c r="J128" s="158"/>
      <c r="K128" s="158"/>
      <c r="M128" s="44"/>
      <c r="N128" s="44"/>
      <c r="P128" s="44"/>
      <c r="Q128" s="117"/>
      <c r="R128" s="28"/>
      <c r="S128" s="162"/>
      <c r="T128" s="28"/>
      <c r="U128" s="33"/>
      <c r="V128" s="33"/>
      <c r="X128" s="52"/>
    </row>
    <row r="129" spans="2:24">
      <c r="B129" s="31"/>
      <c r="C129" s="248"/>
      <c r="D129" s="31"/>
      <c r="E129" s="44"/>
      <c r="J129" s="158"/>
      <c r="K129" s="158"/>
      <c r="M129" s="44"/>
      <c r="N129" s="44"/>
      <c r="P129" s="44"/>
      <c r="Q129" s="117"/>
      <c r="R129" s="28"/>
      <c r="S129" s="162"/>
      <c r="T129" s="28"/>
      <c r="U129" s="45"/>
      <c r="V129" s="45"/>
      <c r="X129" s="52"/>
    </row>
    <row r="130" spans="2:24">
      <c r="B130" s="31"/>
      <c r="C130" s="248"/>
      <c r="D130" s="31"/>
      <c r="E130" s="44"/>
      <c r="J130" s="158"/>
      <c r="K130" s="158"/>
      <c r="M130" s="44"/>
      <c r="N130" s="44"/>
      <c r="P130" s="44"/>
      <c r="Q130" s="117"/>
      <c r="R130" s="28"/>
      <c r="S130" s="162"/>
      <c r="T130" s="28"/>
      <c r="U130" s="45"/>
      <c r="V130" s="45"/>
      <c r="X130" s="52"/>
    </row>
    <row r="131" spans="2:24">
      <c r="B131" s="31"/>
      <c r="C131" s="248"/>
      <c r="D131" s="31"/>
      <c r="E131" s="44"/>
      <c r="J131" s="158"/>
      <c r="K131" s="158"/>
      <c r="M131" s="44"/>
      <c r="N131" s="44"/>
      <c r="P131" s="44"/>
      <c r="Q131" s="117"/>
      <c r="R131" s="28"/>
      <c r="S131" s="162"/>
      <c r="T131" s="28"/>
      <c r="U131" s="33"/>
      <c r="V131" s="33"/>
      <c r="X131" s="52"/>
    </row>
    <row r="132" spans="2:24">
      <c r="B132" s="31"/>
      <c r="C132" s="248"/>
      <c r="D132" s="31"/>
      <c r="E132" s="44"/>
      <c r="J132" s="158"/>
      <c r="K132" s="158"/>
      <c r="M132" s="44"/>
      <c r="N132" s="44"/>
      <c r="P132" s="44"/>
      <c r="Q132" s="117"/>
      <c r="R132" s="28"/>
      <c r="S132" s="162"/>
      <c r="T132" s="28"/>
      <c r="U132" s="33"/>
      <c r="V132" s="33"/>
    </row>
    <row r="133" spans="2:24">
      <c r="B133" s="31"/>
      <c r="C133" s="248"/>
      <c r="D133" s="31"/>
      <c r="E133" s="44"/>
      <c r="J133" s="158"/>
      <c r="K133" s="158"/>
      <c r="M133" s="44"/>
      <c r="N133" s="44"/>
      <c r="P133" s="44"/>
      <c r="Q133" s="117"/>
      <c r="R133" s="28"/>
      <c r="S133" s="162"/>
      <c r="T133" s="28"/>
      <c r="U133" s="46"/>
      <c r="V133" s="46"/>
    </row>
    <row r="134" spans="2:24">
      <c r="B134" s="15"/>
      <c r="C134" s="104"/>
      <c r="J134" s="158"/>
      <c r="K134" s="158"/>
      <c r="M134" s="44"/>
      <c r="N134" s="44"/>
      <c r="R134" s="28"/>
      <c r="S134" s="162"/>
      <c r="T134" s="28"/>
    </row>
    <row r="135" spans="2:24">
      <c r="B135" s="31"/>
      <c r="C135" s="248"/>
      <c r="D135" s="31"/>
      <c r="E135" s="44"/>
      <c r="J135" s="158"/>
      <c r="K135" s="158"/>
      <c r="P135" s="44"/>
      <c r="Q135" s="117"/>
      <c r="R135" s="28"/>
      <c r="S135" s="162"/>
      <c r="T135" s="28"/>
      <c r="U135" s="46"/>
      <c r="V135" s="46"/>
    </row>
    <row r="136" spans="2:24">
      <c r="B136" s="31"/>
      <c r="C136" s="248"/>
      <c r="D136" s="31"/>
      <c r="E136" s="44"/>
      <c r="J136" s="158"/>
      <c r="K136" s="158"/>
      <c r="M136" s="44"/>
      <c r="N136" s="44"/>
      <c r="P136" s="44"/>
      <c r="Q136" s="117"/>
      <c r="R136" s="28"/>
      <c r="S136" s="162"/>
      <c r="T136" s="28"/>
      <c r="U136" s="33"/>
      <c r="V136" s="33"/>
    </row>
    <row r="137" spans="2:24">
      <c r="B137" s="31"/>
      <c r="C137" s="248"/>
      <c r="D137" s="31"/>
      <c r="E137" s="44"/>
      <c r="J137" s="158"/>
      <c r="K137" s="158"/>
      <c r="M137" s="44"/>
      <c r="N137" s="44"/>
      <c r="P137" s="44"/>
      <c r="Q137" s="117"/>
      <c r="R137" s="28"/>
      <c r="S137" s="162"/>
      <c r="T137" s="28"/>
      <c r="U137" s="33"/>
      <c r="V137" s="33"/>
    </row>
    <row r="138" spans="2:24">
      <c r="B138" s="31"/>
      <c r="C138" s="248"/>
      <c r="D138" s="31"/>
      <c r="E138" s="44"/>
      <c r="J138" s="158"/>
      <c r="K138" s="158"/>
      <c r="M138" s="44"/>
      <c r="N138" s="44"/>
      <c r="P138" s="44"/>
      <c r="Q138" s="117"/>
      <c r="R138" s="28"/>
      <c r="S138" s="162"/>
      <c r="T138" s="28"/>
      <c r="U138" s="45"/>
      <c r="V138" s="45"/>
    </row>
    <row r="139" spans="2:24">
      <c r="B139" s="31"/>
      <c r="C139" s="248"/>
      <c r="D139" s="31"/>
      <c r="E139" s="44"/>
      <c r="J139" s="158"/>
      <c r="K139" s="158"/>
      <c r="M139" s="44"/>
      <c r="N139" s="44"/>
      <c r="P139" s="44"/>
      <c r="Q139" s="117"/>
      <c r="R139" s="28"/>
      <c r="S139" s="162"/>
      <c r="T139" s="28"/>
      <c r="U139" s="45"/>
      <c r="V139" s="45"/>
    </row>
    <row r="140" spans="2:24">
      <c r="B140" s="31"/>
      <c r="C140" s="248"/>
      <c r="D140" s="31"/>
      <c r="E140" s="44"/>
      <c r="J140" s="158"/>
      <c r="K140" s="158"/>
      <c r="M140" s="44"/>
      <c r="N140" s="44"/>
      <c r="P140" s="44"/>
      <c r="Q140" s="117"/>
      <c r="R140" s="28"/>
      <c r="S140" s="162"/>
      <c r="T140" s="28"/>
      <c r="U140" s="46"/>
      <c r="V140" s="46"/>
    </row>
    <row r="141" spans="2:24">
      <c r="B141" s="52"/>
      <c r="C141" s="14"/>
      <c r="J141" s="158"/>
      <c r="K141" s="158"/>
      <c r="M141" s="44"/>
      <c r="N141" s="44"/>
      <c r="R141" s="28"/>
      <c r="S141" s="162"/>
      <c r="T141" s="28"/>
    </row>
    <row r="142" spans="2:24">
      <c r="B142" s="31"/>
      <c r="C142" s="248"/>
      <c r="D142" s="31"/>
      <c r="E142" s="44"/>
      <c r="J142" s="158"/>
      <c r="K142" s="158"/>
      <c r="P142" s="44"/>
      <c r="Q142" s="117"/>
      <c r="R142" s="28"/>
      <c r="S142" s="162"/>
      <c r="T142" s="28"/>
      <c r="U142" s="45"/>
      <c r="V142" s="45"/>
    </row>
    <row r="143" spans="2:24">
      <c r="B143" s="31"/>
      <c r="C143" s="248"/>
      <c r="D143" s="31"/>
      <c r="E143" s="44"/>
      <c r="J143" s="158"/>
      <c r="K143" s="158"/>
      <c r="M143" s="44"/>
      <c r="N143" s="44"/>
      <c r="P143" s="44"/>
      <c r="Q143" s="117"/>
      <c r="R143" s="28"/>
      <c r="S143" s="162"/>
      <c r="T143" s="28"/>
      <c r="U143" s="33"/>
      <c r="V143" s="33"/>
    </row>
    <row r="144" spans="2:24">
      <c r="B144" s="52"/>
      <c r="C144" s="14"/>
      <c r="J144" s="158"/>
      <c r="K144" s="158"/>
      <c r="M144" s="44"/>
      <c r="N144" s="44"/>
      <c r="R144" s="28"/>
      <c r="S144" s="162"/>
      <c r="T144" s="28"/>
    </row>
    <row r="145" spans="2:22">
      <c r="B145" s="52"/>
      <c r="C145" s="14"/>
      <c r="J145" s="158"/>
      <c r="K145" s="158"/>
      <c r="R145" s="28"/>
      <c r="S145" s="162"/>
      <c r="T145" s="28"/>
    </row>
    <row r="146" spans="2:22">
      <c r="B146" s="31"/>
      <c r="C146" s="248"/>
      <c r="D146" s="31"/>
      <c r="E146" s="44"/>
      <c r="J146" s="158"/>
      <c r="K146" s="158"/>
      <c r="P146" s="44"/>
      <c r="Q146" s="117"/>
      <c r="R146" s="28"/>
      <c r="S146" s="162"/>
      <c r="T146" s="28"/>
      <c r="U146" s="33"/>
      <c r="V146" s="33"/>
    </row>
    <row r="147" spans="2:22">
      <c r="B147" s="31"/>
      <c r="C147" s="248"/>
      <c r="D147" s="31"/>
      <c r="E147" s="44"/>
      <c r="J147" s="158"/>
      <c r="K147" s="158"/>
      <c r="M147" s="44"/>
      <c r="N147" s="44"/>
      <c r="P147" s="44"/>
      <c r="Q147" s="117"/>
      <c r="R147" s="28"/>
      <c r="S147" s="162"/>
      <c r="T147" s="28"/>
      <c r="U147" s="33"/>
      <c r="V147" s="33"/>
    </row>
    <row r="148" spans="2:22">
      <c r="B148" s="31"/>
      <c r="C148" s="248"/>
      <c r="D148" s="31"/>
      <c r="E148" s="44"/>
      <c r="J148" s="158"/>
      <c r="K148" s="158"/>
      <c r="M148" s="44"/>
      <c r="N148" s="44"/>
      <c r="P148" s="44"/>
      <c r="Q148" s="117"/>
      <c r="R148" s="28"/>
      <c r="S148" s="162"/>
      <c r="T148" s="28"/>
      <c r="U148" s="33"/>
      <c r="V148" s="33"/>
    </row>
    <row r="149" spans="2:22">
      <c r="B149" s="31"/>
      <c r="C149" s="248"/>
      <c r="D149" s="31"/>
      <c r="E149" s="44"/>
      <c r="J149" s="158"/>
      <c r="K149" s="158"/>
      <c r="M149" s="44"/>
      <c r="N149" s="44"/>
      <c r="P149" s="44"/>
      <c r="Q149" s="117"/>
      <c r="R149" s="28"/>
      <c r="S149" s="162"/>
      <c r="T149" s="28"/>
      <c r="U149" s="46"/>
      <c r="V149" s="46"/>
    </row>
    <row r="150" spans="2:22">
      <c r="B150" s="31"/>
      <c r="C150" s="248"/>
      <c r="D150" s="31"/>
      <c r="E150" s="44"/>
      <c r="J150" s="158"/>
      <c r="K150" s="158"/>
      <c r="M150" s="44"/>
      <c r="N150" s="44"/>
      <c r="P150" s="44"/>
      <c r="Q150" s="117"/>
      <c r="R150" s="28"/>
      <c r="S150" s="162"/>
      <c r="T150" s="28"/>
      <c r="U150" s="33"/>
      <c r="V150" s="33"/>
    </row>
    <row r="151" spans="2:22">
      <c r="B151" s="31"/>
      <c r="C151" s="248"/>
      <c r="D151" s="31"/>
      <c r="E151" s="44"/>
      <c r="J151" s="158"/>
      <c r="K151" s="158"/>
      <c r="M151" s="44"/>
      <c r="N151" s="44"/>
      <c r="P151" s="44"/>
      <c r="Q151" s="117"/>
      <c r="R151" s="28"/>
      <c r="S151" s="162"/>
      <c r="T151" s="28"/>
      <c r="U151" s="33"/>
      <c r="V151" s="33"/>
    </row>
    <row r="152" spans="2:22">
      <c r="B152" s="52"/>
      <c r="C152" s="14"/>
      <c r="J152" s="158"/>
      <c r="K152" s="158"/>
      <c r="M152" s="44"/>
      <c r="N152" s="44"/>
      <c r="R152" s="28"/>
      <c r="S152" s="162"/>
      <c r="T152" s="28"/>
    </row>
    <row r="153" spans="2:22">
      <c r="B153" s="52"/>
      <c r="C153" s="14"/>
      <c r="J153" s="158"/>
      <c r="K153" s="158"/>
      <c r="R153" s="28"/>
      <c r="S153" s="162"/>
      <c r="T153" s="28"/>
    </row>
    <row r="154" spans="2:22">
      <c r="B154" s="31"/>
      <c r="C154" s="248"/>
      <c r="D154" s="31"/>
      <c r="E154" s="44"/>
      <c r="J154" s="158"/>
      <c r="K154" s="158"/>
      <c r="P154" s="44"/>
      <c r="Q154" s="117"/>
      <c r="R154" s="28"/>
      <c r="S154" s="162"/>
      <c r="T154" s="28"/>
      <c r="U154" s="46"/>
      <c r="V154" s="46"/>
    </row>
    <row r="155" spans="2:22">
      <c r="B155" s="31"/>
      <c r="C155" s="248"/>
      <c r="D155" s="31"/>
      <c r="E155" s="44"/>
      <c r="J155" s="158"/>
      <c r="K155" s="158"/>
      <c r="M155" s="44"/>
      <c r="N155" s="44"/>
      <c r="P155" s="44"/>
      <c r="Q155" s="117"/>
      <c r="R155" s="28"/>
      <c r="S155" s="162"/>
      <c r="T155" s="28"/>
      <c r="U155" s="45"/>
      <c r="V155" s="45"/>
    </row>
    <row r="156" spans="2:22">
      <c r="B156" s="15"/>
      <c r="C156" s="104"/>
      <c r="J156" s="158"/>
      <c r="K156" s="158"/>
      <c r="M156" s="44"/>
      <c r="N156" s="44"/>
      <c r="R156" s="28"/>
      <c r="S156" s="162"/>
      <c r="T156" s="28"/>
    </row>
    <row r="157" spans="2:22">
      <c r="B157" s="31"/>
      <c r="C157" s="248"/>
      <c r="D157" s="31"/>
      <c r="E157" s="44"/>
      <c r="J157" s="158"/>
      <c r="K157" s="158"/>
      <c r="P157" s="44"/>
      <c r="Q157" s="117"/>
      <c r="R157" s="28"/>
      <c r="S157" s="162"/>
      <c r="T157" s="28"/>
      <c r="U157" s="33"/>
      <c r="V157" s="33"/>
    </row>
    <row r="158" spans="2:22">
      <c r="B158" s="31"/>
      <c r="C158" s="248"/>
      <c r="D158" s="31"/>
      <c r="E158" s="44"/>
      <c r="J158" s="158"/>
      <c r="K158" s="158"/>
      <c r="M158" s="44"/>
      <c r="N158" s="44"/>
      <c r="P158" s="44"/>
      <c r="Q158" s="117"/>
      <c r="R158" s="28"/>
      <c r="S158" s="162"/>
      <c r="T158" s="28"/>
      <c r="U158" s="46"/>
      <c r="V158" s="46"/>
    </row>
    <row r="159" spans="2:22">
      <c r="B159" s="31"/>
      <c r="C159" s="248"/>
      <c r="D159" s="31"/>
      <c r="E159" s="44"/>
      <c r="J159" s="158"/>
      <c r="K159" s="158"/>
      <c r="M159" s="44"/>
      <c r="N159" s="44"/>
      <c r="P159" s="44"/>
      <c r="Q159" s="117"/>
      <c r="R159" s="28"/>
      <c r="S159" s="162"/>
      <c r="T159" s="28"/>
      <c r="U159" s="46"/>
      <c r="V159" s="46"/>
    </row>
    <row r="160" spans="2:22">
      <c r="B160" s="31"/>
      <c r="C160" s="248"/>
      <c r="D160" s="31"/>
      <c r="E160" s="44"/>
      <c r="J160" s="158"/>
      <c r="K160" s="158"/>
      <c r="M160" s="44"/>
      <c r="N160" s="44"/>
      <c r="P160" s="44"/>
      <c r="Q160" s="117"/>
      <c r="R160" s="28"/>
      <c r="S160" s="162"/>
      <c r="T160" s="28"/>
      <c r="U160" s="45"/>
      <c r="V160" s="45"/>
    </row>
    <row r="161" spans="2:47">
      <c r="B161" s="31"/>
      <c r="C161" s="248"/>
      <c r="D161" s="31"/>
      <c r="E161" s="44"/>
      <c r="J161" s="158"/>
      <c r="K161" s="158"/>
      <c r="M161" s="44"/>
      <c r="N161" s="44"/>
      <c r="P161" s="44"/>
      <c r="Q161" s="117"/>
      <c r="R161" s="28"/>
      <c r="S161" s="162"/>
      <c r="T161" s="28"/>
      <c r="U161" s="46"/>
      <c r="V161" s="46"/>
    </row>
    <row r="162" spans="2:47">
      <c r="B162" s="31"/>
      <c r="C162" s="248"/>
      <c r="D162" s="31"/>
      <c r="E162" s="44"/>
      <c r="J162" s="158"/>
      <c r="K162" s="158"/>
      <c r="M162" s="44"/>
      <c r="N162" s="44"/>
      <c r="P162" s="44"/>
      <c r="Q162" s="117"/>
      <c r="R162" s="28"/>
      <c r="S162" s="162"/>
      <c r="T162" s="28"/>
      <c r="U162" s="46"/>
      <c r="V162" s="46"/>
    </row>
    <row r="163" spans="2:47">
      <c r="B163" s="31"/>
      <c r="C163" s="248"/>
      <c r="D163" s="31"/>
      <c r="E163" s="44"/>
      <c r="J163" s="158"/>
      <c r="K163" s="158"/>
      <c r="M163" s="44"/>
      <c r="N163" s="44"/>
      <c r="P163" s="44"/>
      <c r="Q163" s="117"/>
      <c r="R163" s="28"/>
      <c r="S163" s="162"/>
      <c r="T163" s="28"/>
      <c r="U163" s="33"/>
      <c r="V163" s="33"/>
    </row>
    <row r="164" spans="2:47">
      <c r="B164" s="52"/>
      <c r="C164" s="14"/>
      <c r="J164" s="158"/>
      <c r="K164" s="158"/>
      <c r="M164" s="44"/>
      <c r="N164" s="44"/>
      <c r="R164" s="28"/>
      <c r="S164" s="162"/>
      <c r="T164" s="28"/>
    </row>
    <row r="165" spans="2:47">
      <c r="B165" s="31"/>
      <c r="C165" s="248"/>
      <c r="D165" s="31"/>
      <c r="E165" s="44"/>
      <c r="J165" s="158"/>
      <c r="K165" s="158"/>
      <c r="P165" s="44"/>
      <c r="Q165" s="117"/>
      <c r="R165" s="28"/>
      <c r="S165" s="162"/>
      <c r="T165" s="28"/>
      <c r="U165" s="45"/>
      <c r="V165" s="45"/>
    </row>
    <row r="166" spans="2:47">
      <c r="B166" s="52"/>
      <c r="C166" s="14"/>
      <c r="J166" s="158"/>
      <c r="K166" s="158"/>
      <c r="M166" s="44"/>
      <c r="N166" s="44"/>
      <c r="R166" s="28"/>
      <c r="S166" s="162"/>
      <c r="T166" s="28"/>
    </row>
    <row r="167" spans="2:47">
      <c r="B167" s="31"/>
      <c r="C167" s="248"/>
      <c r="D167" s="31"/>
      <c r="E167" s="44"/>
      <c r="J167" s="158"/>
      <c r="K167" s="158"/>
      <c r="P167" s="44"/>
      <c r="Q167" s="117"/>
      <c r="R167" s="28"/>
      <c r="S167" s="162"/>
      <c r="T167" s="28"/>
      <c r="U167" s="33"/>
      <c r="V167" s="33"/>
    </row>
    <row r="168" spans="2:47">
      <c r="B168" s="52"/>
      <c r="C168" s="14"/>
      <c r="J168" s="158"/>
      <c r="K168" s="158"/>
      <c r="M168" s="44"/>
      <c r="N168" s="44"/>
      <c r="R168" s="28"/>
      <c r="S168" s="162"/>
      <c r="T168" s="28"/>
    </row>
    <row r="169" spans="2:47">
      <c r="B169" s="31"/>
      <c r="C169" s="248"/>
      <c r="D169" s="31"/>
      <c r="E169" s="44"/>
      <c r="J169" s="158"/>
      <c r="K169" s="158"/>
      <c r="P169" s="44"/>
      <c r="Q169" s="117"/>
      <c r="R169" s="28"/>
      <c r="S169" s="162"/>
      <c r="T169" s="28"/>
      <c r="U169" s="45"/>
      <c r="V169" s="45"/>
    </row>
    <row r="170" spans="2:47">
      <c r="B170" s="31"/>
      <c r="C170" s="248"/>
      <c r="D170" s="31"/>
      <c r="E170" s="44"/>
      <c r="J170" s="158"/>
      <c r="K170" s="158"/>
      <c r="M170" s="44"/>
      <c r="N170" s="44"/>
      <c r="P170" s="44"/>
      <c r="Q170" s="117"/>
      <c r="R170" s="28"/>
      <c r="S170" s="162"/>
      <c r="T170" s="28"/>
      <c r="U170" s="33"/>
      <c r="V170" s="33"/>
      <c r="AT170" s="104"/>
      <c r="AU170" s="15"/>
    </row>
    <row r="171" spans="2:47">
      <c r="B171" s="31"/>
      <c r="C171" s="248"/>
      <c r="D171" s="31"/>
      <c r="E171" s="44"/>
      <c r="J171" s="158"/>
      <c r="K171" s="158"/>
      <c r="M171" s="44"/>
      <c r="N171" s="44"/>
      <c r="P171" s="44"/>
      <c r="Q171" s="117"/>
      <c r="R171" s="28"/>
      <c r="S171" s="162"/>
      <c r="T171" s="28"/>
      <c r="U171" s="45"/>
      <c r="V171" s="45"/>
    </row>
    <row r="172" spans="2:47">
      <c r="B172" s="31"/>
      <c r="C172" s="248"/>
      <c r="D172" s="31"/>
      <c r="E172" s="44"/>
      <c r="J172" s="158"/>
      <c r="K172" s="158"/>
      <c r="M172" s="44"/>
      <c r="N172" s="44"/>
      <c r="P172" s="44"/>
      <c r="Q172" s="117"/>
      <c r="R172" s="28"/>
      <c r="S172" s="162"/>
      <c r="T172" s="28"/>
      <c r="U172" s="46"/>
      <c r="V172" s="46"/>
    </row>
    <row r="173" spans="2:47">
      <c r="B173" s="31"/>
      <c r="C173" s="248"/>
      <c r="D173" s="31"/>
      <c r="E173" s="44"/>
      <c r="J173" s="158"/>
      <c r="K173" s="158"/>
      <c r="M173" s="44"/>
      <c r="N173" s="44"/>
      <c r="P173" s="44"/>
      <c r="Q173" s="117"/>
      <c r="R173" s="28"/>
      <c r="S173" s="162"/>
      <c r="T173" s="28"/>
      <c r="U173" s="46"/>
      <c r="V173" s="46"/>
    </row>
    <row r="174" spans="2:47">
      <c r="B174" s="31"/>
      <c r="C174" s="248"/>
      <c r="D174" s="31"/>
      <c r="E174" s="44"/>
      <c r="J174" s="158"/>
      <c r="K174" s="158"/>
      <c r="M174" s="44"/>
      <c r="N174" s="44"/>
      <c r="P174" s="44"/>
      <c r="Q174" s="117"/>
      <c r="R174" s="28"/>
      <c r="S174" s="162"/>
      <c r="T174" s="28"/>
      <c r="U174" s="46"/>
      <c r="V174" s="46"/>
    </row>
    <row r="175" spans="2:47">
      <c r="B175" s="31"/>
      <c r="C175" s="248"/>
      <c r="D175" s="31"/>
      <c r="E175" s="44"/>
      <c r="J175" s="158"/>
      <c r="K175" s="158"/>
      <c r="M175" s="44"/>
      <c r="N175" s="44"/>
      <c r="P175" s="44"/>
      <c r="Q175" s="117"/>
      <c r="R175" s="28"/>
      <c r="S175" s="162"/>
      <c r="T175" s="28"/>
      <c r="U175" s="46"/>
      <c r="V175" s="46"/>
    </row>
    <row r="176" spans="2:47">
      <c r="B176" s="31"/>
      <c r="C176" s="248"/>
      <c r="D176" s="31"/>
      <c r="E176" s="44"/>
      <c r="J176" s="158"/>
      <c r="K176" s="158"/>
      <c r="M176" s="44"/>
      <c r="N176" s="44"/>
      <c r="P176" s="44"/>
      <c r="Q176" s="117"/>
      <c r="R176" s="28"/>
      <c r="S176" s="162"/>
      <c r="T176" s="28"/>
      <c r="U176" s="33"/>
      <c r="V176" s="33"/>
    </row>
    <row r="177" spans="2:47">
      <c r="B177" s="31"/>
      <c r="C177" s="248"/>
      <c r="D177" s="31"/>
      <c r="E177" s="44"/>
      <c r="J177" s="158"/>
      <c r="K177" s="158"/>
      <c r="M177" s="44"/>
      <c r="N177" s="44"/>
      <c r="P177" s="44"/>
      <c r="Q177" s="117"/>
      <c r="R177" s="28"/>
      <c r="S177" s="162"/>
      <c r="T177" s="28"/>
      <c r="U177" s="45"/>
      <c r="V177" s="45"/>
    </row>
    <row r="178" spans="2:47">
      <c r="B178" s="31"/>
      <c r="C178" s="248"/>
      <c r="D178" s="31"/>
      <c r="E178" s="44"/>
      <c r="J178" s="158"/>
      <c r="K178" s="158"/>
      <c r="M178" s="44"/>
      <c r="N178" s="44"/>
      <c r="P178" s="44"/>
      <c r="Q178" s="117"/>
      <c r="R178" s="28"/>
      <c r="S178" s="162"/>
      <c r="T178" s="28"/>
      <c r="U178" s="33"/>
      <c r="V178" s="33"/>
    </row>
    <row r="179" spans="2:47">
      <c r="B179" s="31"/>
      <c r="C179" s="248"/>
      <c r="D179" s="31"/>
      <c r="E179" s="44"/>
      <c r="J179" s="158"/>
      <c r="K179" s="158"/>
      <c r="M179" s="44"/>
      <c r="N179" s="44"/>
      <c r="P179" s="44"/>
      <c r="Q179" s="117"/>
      <c r="R179" s="28"/>
      <c r="S179" s="162"/>
      <c r="T179" s="28"/>
      <c r="U179" s="33"/>
      <c r="V179" s="33"/>
    </row>
    <row r="180" spans="2:47">
      <c r="B180" s="31"/>
      <c r="C180" s="248"/>
      <c r="D180" s="31"/>
      <c r="E180" s="44"/>
      <c r="J180" s="158"/>
      <c r="K180" s="158"/>
      <c r="M180" s="44"/>
      <c r="N180" s="44"/>
      <c r="P180" s="44"/>
      <c r="Q180" s="117"/>
      <c r="R180" s="28"/>
      <c r="S180" s="162"/>
      <c r="T180" s="28"/>
      <c r="U180" s="33"/>
      <c r="V180" s="33"/>
    </row>
    <row r="181" spans="2:47">
      <c r="B181" s="31"/>
      <c r="C181" s="248"/>
      <c r="D181" s="31"/>
      <c r="E181" s="44"/>
      <c r="J181" s="158"/>
      <c r="K181" s="158"/>
      <c r="M181" s="44"/>
      <c r="N181" s="44"/>
      <c r="P181" s="44"/>
      <c r="Q181" s="117"/>
      <c r="R181" s="28"/>
      <c r="S181" s="162"/>
      <c r="T181" s="28"/>
      <c r="U181" s="33"/>
      <c r="V181" s="33"/>
    </row>
    <row r="182" spans="2:47">
      <c r="B182" s="31"/>
      <c r="C182" s="248"/>
      <c r="D182" s="31"/>
      <c r="E182" s="44"/>
      <c r="J182" s="158"/>
      <c r="K182" s="158"/>
      <c r="M182" s="44"/>
      <c r="N182" s="44"/>
      <c r="P182" s="44"/>
      <c r="Q182" s="117"/>
      <c r="R182" s="28"/>
      <c r="S182" s="162"/>
      <c r="T182" s="28"/>
      <c r="U182" s="33"/>
      <c r="V182" s="33"/>
      <c r="AT182" s="14"/>
      <c r="AU182" s="52"/>
    </row>
    <row r="183" spans="2:47">
      <c r="B183" s="31"/>
      <c r="C183" s="248"/>
      <c r="D183" s="31"/>
      <c r="E183" s="44"/>
      <c r="J183" s="158"/>
      <c r="K183" s="158"/>
      <c r="M183" s="44"/>
      <c r="N183" s="44"/>
      <c r="P183" s="44"/>
      <c r="Q183" s="117"/>
      <c r="R183" s="28"/>
      <c r="S183" s="162"/>
      <c r="T183" s="28"/>
      <c r="U183" s="45"/>
      <c r="V183" s="45"/>
      <c r="AT183" s="14"/>
      <c r="AU183" s="52"/>
    </row>
    <row r="184" spans="2:47">
      <c r="B184" s="31"/>
      <c r="C184" s="248"/>
      <c r="D184" s="31"/>
      <c r="E184" s="44"/>
      <c r="J184" s="158"/>
      <c r="K184" s="158"/>
      <c r="M184" s="44"/>
      <c r="N184" s="44"/>
      <c r="P184" s="44"/>
      <c r="Q184" s="117"/>
      <c r="R184" s="28"/>
      <c r="S184" s="162"/>
      <c r="T184" s="28"/>
      <c r="U184" s="45"/>
      <c r="V184" s="45"/>
      <c r="AT184" s="14"/>
      <c r="AU184" s="52"/>
    </row>
    <row r="185" spans="2:47">
      <c r="B185" s="52"/>
      <c r="C185" s="14"/>
      <c r="J185" s="158"/>
      <c r="K185" s="158"/>
      <c r="M185" s="44"/>
      <c r="N185" s="44"/>
      <c r="R185" s="28"/>
      <c r="S185" s="162"/>
      <c r="T185" s="28"/>
      <c r="AT185" s="14"/>
      <c r="AU185" s="52"/>
    </row>
    <row r="186" spans="2:47">
      <c r="B186" s="52"/>
      <c r="C186" s="14"/>
      <c r="J186" s="158"/>
      <c r="K186" s="158"/>
      <c r="R186" s="28"/>
      <c r="S186" s="162"/>
      <c r="T186" s="28"/>
      <c r="AT186" s="14"/>
      <c r="AU186" s="52"/>
    </row>
    <row r="187" spans="2:47">
      <c r="B187" s="31"/>
      <c r="C187" s="248"/>
      <c r="D187" s="31"/>
      <c r="E187" s="44"/>
      <c r="J187" s="158"/>
      <c r="K187" s="158"/>
      <c r="P187" s="44"/>
      <c r="Q187" s="117"/>
      <c r="R187" s="28"/>
      <c r="S187" s="162"/>
      <c r="T187" s="28"/>
      <c r="U187" s="33"/>
      <c r="V187" s="33"/>
    </row>
    <row r="188" spans="2:47">
      <c r="B188" s="52"/>
      <c r="C188" s="14"/>
      <c r="J188" s="158"/>
      <c r="K188" s="158"/>
      <c r="M188" s="44"/>
      <c r="N188" s="44"/>
      <c r="R188" s="28"/>
      <c r="S188" s="162"/>
      <c r="T188" s="28"/>
    </row>
    <row r="189" spans="2:47">
      <c r="B189" s="31"/>
      <c r="C189" s="248"/>
      <c r="D189" s="31"/>
      <c r="E189" s="44"/>
      <c r="J189" s="158"/>
      <c r="K189" s="158"/>
      <c r="P189" s="44"/>
      <c r="Q189" s="117"/>
      <c r="R189" s="28"/>
      <c r="S189" s="162"/>
      <c r="T189" s="28"/>
      <c r="U189" s="45"/>
      <c r="V189" s="45"/>
    </row>
    <row r="190" spans="2:47">
      <c r="B190" s="52"/>
      <c r="C190" s="14"/>
      <c r="J190" s="158"/>
      <c r="K190" s="158"/>
      <c r="M190" s="44"/>
      <c r="N190" s="44"/>
      <c r="R190" s="28"/>
      <c r="S190" s="162"/>
      <c r="T190" s="28"/>
    </row>
    <row r="191" spans="2:47">
      <c r="B191" s="31"/>
      <c r="C191" s="248"/>
      <c r="D191" s="31"/>
      <c r="E191" s="44"/>
      <c r="J191" s="158"/>
      <c r="K191" s="158"/>
      <c r="P191" s="44"/>
      <c r="Q191" s="117"/>
      <c r="R191" s="28"/>
      <c r="S191" s="162"/>
      <c r="T191" s="28"/>
      <c r="U191" s="45"/>
      <c r="V191" s="45"/>
    </row>
    <row r="192" spans="2:47">
      <c r="B192" s="31"/>
      <c r="C192" s="248"/>
      <c r="D192" s="31"/>
      <c r="E192" s="44"/>
      <c r="J192" s="158"/>
      <c r="K192" s="158"/>
      <c r="M192" s="44"/>
      <c r="N192" s="44"/>
      <c r="P192" s="44"/>
      <c r="Q192" s="117"/>
      <c r="R192" s="45"/>
      <c r="S192" s="163"/>
      <c r="T192" s="45"/>
      <c r="U192" s="45"/>
      <c r="V192" s="45"/>
    </row>
    <row r="193" spans="1:47" s="52" customFormat="1">
      <c r="A193" s="48" t="s">
        <v>145</v>
      </c>
      <c r="C193" s="14"/>
      <c r="E193" s="49"/>
      <c r="H193" s="14"/>
      <c r="I193" s="14"/>
      <c r="J193" s="158"/>
      <c r="K193" s="158"/>
      <c r="L193" s="158"/>
      <c r="M193" s="44"/>
      <c r="N193" s="44"/>
      <c r="Q193" s="14"/>
      <c r="S193" s="14"/>
      <c r="X193" s="15"/>
      <c r="Y193" s="2"/>
      <c r="Z193" s="2"/>
      <c r="AA193" s="2"/>
      <c r="AB193" s="2"/>
      <c r="AC193" s="2"/>
      <c r="AF193" s="2"/>
      <c r="AG193" s="2"/>
      <c r="AH193" s="5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93"/>
      <c r="AT193" s="93"/>
      <c r="AU193" s="2"/>
    </row>
    <row r="194" spans="1:47" s="52" customFormat="1">
      <c r="A194" s="50" t="s">
        <v>146</v>
      </c>
      <c r="C194" s="14"/>
      <c r="E194" s="49"/>
      <c r="H194" s="14"/>
      <c r="I194" s="14"/>
      <c r="J194" s="158"/>
      <c r="K194" s="158"/>
      <c r="L194" s="158"/>
      <c r="Q194" s="14"/>
      <c r="S194" s="14"/>
      <c r="X194" s="15"/>
      <c r="Y194" s="2"/>
      <c r="Z194" s="2"/>
      <c r="AA194" s="2"/>
      <c r="AB194" s="2"/>
      <c r="AC194" s="2"/>
      <c r="AF194" s="2"/>
      <c r="AG194" s="2"/>
      <c r="AH194" s="5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93"/>
      <c r="AT194" s="93"/>
      <c r="AU194" s="2"/>
    </row>
    <row r="195" spans="1:47" s="52" customFormat="1">
      <c r="A195" s="50" t="s">
        <v>147</v>
      </c>
      <c r="C195" s="14"/>
      <c r="E195" s="49"/>
      <c r="H195" s="14"/>
      <c r="I195" s="14"/>
      <c r="J195" s="158"/>
      <c r="K195" s="158"/>
      <c r="L195" s="158"/>
      <c r="Q195" s="14"/>
      <c r="S195" s="14"/>
      <c r="X195" s="15"/>
      <c r="Y195" s="2"/>
      <c r="Z195" s="2"/>
      <c r="AA195" s="2"/>
      <c r="AB195" s="2"/>
      <c r="AC195" s="2"/>
      <c r="AF195" s="2"/>
      <c r="AG195" s="2"/>
      <c r="AH195" s="5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93"/>
      <c r="AT195" s="93"/>
      <c r="AU195" s="2"/>
    </row>
    <row r="196" spans="1:47" s="52" customFormat="1">
      <c r="A196" s="50"/>
      <c r="C196" s="14"/>
      <c r="E196" s="49"/>
      <c r="H196" s="14"/>
      <c r="I196" s="14"/>
      <c r="J196" s="158"/>
      <c r="K196" s="158"/>
      <c r="L196" s="158"/>
      <c r="Q196" s="14"/>
      <c r="S196" s="14"/>
      <c r="X196" s="15"/>
      <c r="Y196" s="2"/>
      <c r="Z196" s="2"/>
      <c r="AA196" s="2"/>
      <c r="AB196" s="2"/>
      <c r="AC196" s="2"/>
      <c r="AF196" s="2"/>
      <c r="AG196" s="2"/>
      <c r="AH196" s="5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93"/>
      <c r="AT196" s="93"/>
      <c r="AU196" s="2"/>
    </row>
    <row r="197" spans="1:47" s="52" customFormat="1">
      <c r="A197" s="51"/>
      <c r="C197" s="14"/>
      <c r="E197" s="49"/>
      <c r="H197" s="14"/>
      <c r="I197" s="14"/>
      <c r="J197" s="158"/>
      <c r="K197" s="158"/>
      <c r="L197" s="158"/>
      <c r="Q197" s="14"/>
      <c r="S197" s="14"/>
      <c r="X197" s="15"/>
      <c r="Y197" s="2"/>
      <c r="Z197" s="2"/>
      <c r="AA197" s="2"/>
      <c r="AB197" s="2"/>
      <c r="AC197" s="2"/>
      <c r="AF197" s="2"/>
      <c r="AG197" s="2"/>
      <c r="AH197" s="5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93"/>
      <c r="AT197" s="93"/>
      <c r="AU197" s="2"/>
    </row>
    <row r="198" spans="1:47">
      <c r="J198" s="158"/>
      <c r="K198" s="158"/>
      <c r="M198" s="52"/>
      <c r="N198" s="52"/>
    </row>
    <row r="199" spans="1:47">
      <c r="A199" s="26" t="s">
        <v>148</v>
      </c>
      <c r="J199" s="158"/>
      <c r="K199" s="158"/>
    </row>
    <row r="200" spans="1:47">
      <c r="A200" s="52"/>
      <c r="J200" s="158"/>
      <c r="K200" s="158"/>
    </row>
    <row r="201" spans="1:47">
      <c r="A201" s="52"/>
      <c r="J201" s="158"/>
      <c r="K201" s="158"/>
    </row>
    <row r="202" spans="1:47">
      <c r="A202" s="52"/>
      <c r="J202" s="158"/>
      <c r="K202" s="158"/>
    </row>
    <row r="203" spans="1:47">
      <c r="A203" s="52"/>
      <c r="J203" s="158"/>
      <c r="K203" s="158"/>
    </row>
    <row r="204" spans="1:47">
      <c r="A204" s="52"/>
      <c r="J204" s="158"/>
      <c r="K204" s="158"/>
    </row>
    <row r="205" spans="1:47">
      <c r="A205" s="15"/>
      <c r="J205" s="158"/>
      <c r="K205" s="158"/>
    </row>
    <row r="206" spans="1:47">
      <c r="A206" s="15"/>
      <c r="J206" s="158"/>
      <c r="K206" s="158"/>
    </row>
    <row r="207" spans="1:47">
      <c r="A207" s="15"/>
      <c r="J207" s="158"/>
      <c r="K207" s="158"/>
    </row>
    <row r="208" spans="1:47">
      <c r="J208" s="158"/>
      <c r="K208" s="158"/>
    </row>
    <row r="209" spans="10:11">
      <c r="J209" s="158"/>
      <c r="K209" s="158"/>
    </row>
    <row r="210" spans="10:11">
      <c r="J210" s="158"/>
      <c r="K210" s="158"/>
    </row>
    <row r="211" spans="10:11">
      <c r="J211" s="158"/>
      <c r="K211" s="158"/>
    </row>
    <row r="212" spans="10:11">
      <c r="J212" s="158"/>
      <c r="K212" s="158"/>
    </row>
    <row r="213" spans="10:11">
      <c r="J213" s="158"/>
      <c r="K213" s="158"/>
    </row>
    <row r="214" spans="10:11">
      <c r="J214" s="158"/>
      <c r="K214" s="158"/>
    </row>
    <row r="215" spans="10:11">
      <c r="J215" s="158"/>
      <c r="K215" s="158"/>
    </row>
    <row r="216" spans="10:11">
      <c r="J216" s="158"/>
      <c r="K216" s="158"/>
    </row>
    <row r="217" spans="10:11">
      <c r="J217" s="158"/>
      <c r="K217" s="158"/>
    </row>
    <row r="218" spans="10:11">
      <c r="J218" s="158"/>
      <c r="K218" s="158"/>
    </row>
    <row r="219" spans="10:11">
      <c r="J219" s="158"/>
      <c r="K219" s="158"/>
    </row>
    <row r="220" spans="10:11">
      <c r="J220" s="158"/>
      <c r="K220" s="158"/>
    </row>
    <row r="221" spans="10:11">
      <c r="J221" s="158"/>
      <c r="K221" s="158"/>
    </row>
    <row r="222" spans="10:11">
      <c r="J222" s="158"/>
      <c r="K222" s="158"/>
    </row>
    <row r="223" spans="10:11">
      <c r="J223" s="158"/>
      <c r="K223" s="158"/>
    </row>
    <row r="224" spans="10:11">
      <c r="J224" s="158"/>
      <c r="K224" s="158"/>
    </row>
    <row r="225" spans="10:11">
      <c r="J225" s="158"/>
      <c r="K225" s="158"/>
    </row>
    <row r="226" spans="10:11">
      <c r="J226" s="158"/>
      <c r="K226" s="158"/>
    </row>
    <row r="227" spans="10:11">
      <c r="J227" s="158"/>
      <c r="K227" s="158"/>
    </row>
    <row r="228" spans="10:11">
      <c r="J228" s="158"/>
      <c r="K228" s="158"/>
    </row>
    <row r="229" spans="10:11">
      <c r="J229" s="158"/>
      <c r="K229" s="158"/>
    </row>
    <row r="230" spans="10:11">
      <c r="J230" s="158"/>
      <c r="K230" s="158"/>
    </row>
    <row r="231" spans="10:11">
      <c r="J231" s="158"/>
      <c r="K231" s="158"/>
    </row>
    <row r="232" spans="10:11">
      <c r="J232" s="158"/>
      <c r="K232" s="158"/>
    </row>
    <row r="233" spans="10:11">
      <c r="J233" s="158"/>
      <c r="K233" s="158"/>
    </row>
    <row r="234" spans="10:11">
      <c r="J234" s="158"/>
      <c r="K234" s="158"/>
    </row>
    <row r="235" spans="10:11">
      <c r="J235" s="158"/>
      <c r="K235" s="158"/>
    </row>
    <row r="236" spans="10:11">
      <c r="J236" s="158"/>
      <c r="K236" s="158"/>
    </row>
    <row r="237" spans="10:11">
      <c r="J237" s="158"/>
      <c r="K237" s="158"/>
    </row>
    <row r="238" spans="10:11">
      <c r="J238" s="158"/>
      <c r="K238" s="158"/>
    </row>
    <row r="239" spans="10:11">
      <c r="J239" s="158"/>
      <c r="K239" s="158"/>
    </row>
    <row r="240" spans="10:11">
      <c r="J240" s="158"/>
      <c r="K240" s="158"/>
    </row>
    <row r="241" spans="10:11">
      <c r="J241" s="158"/>
      <c r="K241" s="158"/>
    </row>
    <row r="242" spans="10:11">
      <c r="J242" s="158"/>
      <c r="K242" s="158"/>
    </row>
    <row r="243" spans="10:11">
      <c r="J243" s="158"/>
      <c r="K243" s="158"/>
    </row>
    <row r="244" spans="10:11">
      <c r="J244" s="158"/>
      <c r="K244" s="158"/>
    </row>
    <row r="245" spans="10:11">
      <c r="J245" s="158"/>
      <c r="K245" s="158"/>
    </row>
    <row r="246" spans="10:11">
      <c r="J246" s="158"/>
      <c r="K246" s="158"/>
    </row>
    <row r="247" spans="10:11">
      <c r="J247" s="158"/>
      <c r="K247" s="158"/>
    </row>
    <row r="248" spans="10:11">
      <c r="J248" s="158"/>
      <c r="K248" s="158"/>
    </row>
    <row r="249" spans="10:11">
      <c r="J249" s="158"/>
      <c r="K249" s="158"/>
    </row>
    <row r="250" spans="10:11">
      <c r="J250" s="158"/>
      <c r="K250" s="158"/>
    </row>
    <row r="251" spans="10:11">
      <c r="J251" s="158"/>
      <c r="K251" s="158"/>
    </row>
    <row r="252" spans="10:11">
      <c r="J252" s="158"/>
      <c r="K252" s="158"/>
    </row>
    <row r="253" spans="10:11">
      <c r="J253" s="158"/>
      <c r="K253" s="158"/>
    </row>
    <row r="254" spans="10:11">
      <c r="J254" s="158"/>
      <c r="K254" s="158"/>
    </row>
    <row r="255" spans="10:11">
      <c r="J255" s="158"/>
      <c r="K255" s="158"/>
    </row>
    <row r="256" spans="10:11">
      <c r="J256" s="158"/>
      <c r="K256" s="158"/>
    </row>
    <row r="257" spans="10:11">
      <c r="J257" s="158"/>
      <c r="K257" s="158"/>
    </row>
    <row r="258" spans="10:11">
      <c r="J258" s="158"/>
      <c r="K258" s="158"/>
    </row>
    <row r="259" spans="10:11">
      <c r="J259" s="158"/>
      <c r="K259" s="158"/>
    </row>
    <row r="260" spans="10:11">
      <c r="J260" s="158"/>
      <c r="K260" s="158"/>
    </row>
    <row r="261" spans="10:11">
      <c r="J261" s="158"/>
      <c r="K261" s="158"/>
    </row>
    <row r="262" spans="10:11">
      <c r="J262" s="158"/>
      <c r="K262" s="158"/>
    </row>
    <row r="263" spans="10:11">
      <c r="J263" s="158"/>
      <c r="K263" s="158"/>
    </row>
    <row r="264" spans="10:11">
      <c r="J264" s="158"/>
      <c r="K264" s="158"/>
    </row>
    <row r="265" spans="10:11">
      <c r="J265" s="158"/>
      <c r="K265" s="158"/>
    </row>
    <row r="266" spans="10:11">
      <c r="J266" s="158"/>
      <c r="K266" s="158"/>
    </row>
    <row r="267" spans="10:11">
      <c r="J267" s="158"/>
      <c r="K267" s="158"/>
    </row>
    <row r="268" spans="10:11">
      <c r="J268" s="158"/>
      <c r="K268" s="158"/>
    </row>
    <row r="269" spans="10:11">
      <c r="J269" s="158"/>
      <c r="K269" s="158"/>
    </row>
    <row r="270" spans="10:11">
      <c r="J270" s="158"/>
      <c r="K270" s="158"/>
    </row>
    <row r="271" spans="10:11">
      <c r="J271" s="158"/>
      <c r="K271" s="158"/>
    </row>
    <row r="272" spans="10:11">
      <c r="J272" s="158"/>
      <c r="K272" s="158"/>
    </row>
    <row r="273" spans="10:11">
      <c r="J273" s="158"/>
      <c r="K273" s="158"/>
    </row>
    <row r="274" spans="10:11">
      <c r="J274" s="158"/>
      <c r="K274" s="158"/>
    </row>
    <row r="275" spans="10:11">
      <c r="J275" s="158"/>
      <c r="K275" s="158"/>
    </row>
    <row r="276" spans="10:11">
      <c r="J276" s="158"/>
      <c r="K276" s="158"/>
    </row>
    <row r="277" spans="10:11">
      <c r="J277" s="158"/>
      <c r="K277" s="158"/>
    </row>
    <row r="278" spans="10:11">
      <c r="J278" s="158"/>
      <c r="K278" s="158"/>
    </row>
    <row r="279" spans="10:11">
      <c r="J279" s="158"/>
      <c r="K279" s="158"/>
    </row>
    <row r="280" spans="10:11">
      <c r="J280" s="158"/>
      <c r="K280" s="158"/>
    </row>
    <row r="281" spans="10:11">
      <c r="J281" s="158"/>
      <c r="K281" s="158"/>
    </row>
    <row r="282" spans="10:11">
      <c r="J282" s="158"/>
      <c r="K282" s="158"/>
    </row>
    <row r="283" spans="10:11">
      <c r="J283" s="158"/>
      <c r="K283" s="158"/>
    </row>
    <row r="284" spans="10:11">
      <c r="J284" s="158"/>
      <c r="K284" s="158"/>
    </row>
    <row r="285" spans="10:11">
      <c r="J285" s="158"/>
      <c r="K285" s="158"/>
    </row>
    <row r="286" spans="10:11">
      <c r="J286" s="158"/>
      <c r="K286" s="158"/>
    </row>
    <row r="287" spans="10:11">
      <c r="J287" s="158"/>
      <c r="K287" s="158"/>
    </row>
    <row r="288" spans="10:11">
      <c r="J288" s="158"/>
      <c r="K288" s="158"/>
    </row>
    <row r="289" spans="10:11">
      <c r="J289" s="158"/>
      <c r="K289" s="158"/>
    </row>
    <row r="290" spans="10:11">
      <c r="J290" s="158"/>
      <c r="K290" s="158"/>
    </row>
    <row r="291" spans="10:11">
      <c r="J291" s="158"/>
      <c r="K291" s="158"/>
    </row>
    <row r="292" spans="10:11">
      <c r="J292" s="158"/>
      <c r="K292" s="158"/>
    </row>
    <row r="293" spans="10:11">
      <c r="J293" s="158"/>
      <c r="K293" s="158"/>
    </row>
    <row r="294" spans="10:11">
      <c r="J294" s="158"/>
      <c r="K294" s="158"/>
    </row>
    <row r="295" spans="10:11">
      <c r="J295" s="158"/>
      <c r="K295" s="158"/>
    </row>
    <row r="296" spans="10:11">
      <c r="J296" s="158"/>
      <c r="K296" s="158"/>
    </row>
    <row r="297" spans="10:11">
      <c r="J297" s="158"/>
      <c r="K297" s="158"/>
    </row>
    <row r="298" spans="10:11">
      <c r="J298" s="158"/>
      <c r="K298" s="158"/>
    </row>
    <row r="299" spans="10:11">
      <c r="J299" s="158"/>
      <c r="K299" s="158"/>
    </row>
    <row r="300" spans="10:11">
      <c r="J300" s="158"/>
      <c r="K300" s="158"/>
    </row>
    <row r="301" spans="10:11">
      <c r="J301" s="158"/>
      <c r="K301" s="158"/>
    </row>
    <row r="302" spans="10:11">
      <c r="J302" s="158"/>
      <c r="K302" s="158"/>
    </row>
    <row r="303" spans="10:11">
      <c r="J303" s="158"/>
      <c r="K303" s="158"/>
    </row>
    <row r="304" spans="10:11">
      <c r="J304" s="158"/>
      <c r="K304" s="158"/>
    </row>
    <row r="305" spans="10:11">
      <c r="J305" s="158"/>
      <c r="K305" s="158"/>
    </row>
    <row r="306" spans="10:11">
      <c r="J306" s="158"/>
      <c r="K306" s="158"/>
    </row>
    <row r="307" spans="10:11">
      <c r="J307" s="158"/>
      <c r="K307" s="158"/>
    </row>
    <row r="308" spans="10:11">
      <c r="J308" s="158"/>
      <c r="K308" s="158"/>
    </row>
    <row r="309" spans="10:11">
      <c r="J309" s="158"/>
      <c r="K309" s="158"/>
    </row>
    <row r="310" spans="10:11">
      <c r="J310" s="158"/>
      <c r="K310" s="158"/>
    </row>
    <row r="311" spans="10:11">
      <c r="J311" s="158"/>
      <c r="K311" s="158"/>
    </row>
    <row r="312" spans="10:11">
      <c r="J312" s="158"/>
      <c r="K312" s="158"/>
    </row>
    <row r="313" spans="10:11">
      <c r="J313" s="158"/>
      <c r="K313" s="158"/>
    </row>
    <row r="314" spans="10:11">
      <c r="J314" s="158"/>
      <c r="K314" s="158"/>
    </row>
    <row r="315" spans="10:11">
      <c r="J315" s="158"/>
      <c r="K315" s="158"/>
    </row>
    <row r="316" spans="10:11">
      <c r="J316" s="158"/>
      <c r="K316" s="158"/>
    </row>
    <row r="317" spans="10:11">
      <c r="J317" s="158"/>
      <c r="K317" s="158"/>
    </row>
    <row r="318" spans="10:11">
      <c r="J318" s="158"/>
      <c r="K318" s="158"/>
    </row>
    <row r="319" spans="10:11">
      <c r="J319" s="158"/>
      <c r="K319" s="158"/>
    </row>
    <row r="320" spans="10:11">
      <c r="J320" s="158"/>
      <c r="K320" s="158"/>
    </row>
    <row r="321" spans="10:11">
      <c r="J321" s="158"/>
      <c r="K321" s="158"/>
    </row>
    <row r="322" spans="10:11">
      <c r="J322" s="158"/>
      <c r="K322" s="158"/>
    </row>
    <row r="323" spans="10:11">
      <c r="J323" s="158"/>
      <c r="K323" s="158"/>
    </row>
    <row r="324" spans="10:11">
      <c r="J324" s="158"/>
      <c r="K324" s="158"/>
    </row>
    <row r="325" spans="10:11">
      <c r="J325" s="158"/>
      <c r="K325" s="158"/>
    </row>
    <row r="326" spans="10:11">
      <c r="J326" s="158"/>
      <c r="K326" s="158"/>
    </row>
    <row r="327" spans="10:11">
      <c r="J327" s="158"/>
      <c r="K327" s="158"/>
    </row>
    <row r="328" spans="10:11">
      <c r="J328" s="158"/>
      <c r="K328" s="158"/>
    </row>
    <row r="329" spans="10:11">
      <c r="J329" s="158"/>
      <c r="K329" s="158"/>
    </row>
    <row r="330" spans="10:11">
      <c r="J330" s="158"/>
      <c r="K330" s="158"/>
    </row>
    <row r="331" spans="10:11">
      <c r="J331" s="158"/>
      <c r="K331" s="158"/>
    </row>
    <row r="332" spans="10:11">
      <c r="J332" s="158"/>
      <c r="K332" s="158"/>
    </row>
    <row r="333" spans="10:11">
      <c r="J333" s="158"/>
      <c r="K333" s="158"/>
    </row>
    <row r="334" spans="10:11">
      <c r="J334" s="158"/>
      <c r="K334" s="158"/>
    </row>
    <row r="335" spans="10:11">
      <c r="J335" s="158"/>
      <c r="K335" s="158"/>
    </row>
    <row r="336" spans="10:11">
      <c r="J336" s="158"/>
      <c r="K336" s="158"/>
    </row>
    <row r="337" spans="10:11">
      <c r="J337" s="158"/>
      <c r="K337" s="158"/>
    </row>
    <row r="338" spans="10:11">
      <c r="J338" s="158"/>
      <c r="K338" s="158"/>
    </row>
    <row r="339" spans="10:11">
      <c r="J339" s="158"/>
      <c r="K339" s="158"/>
    </row>
    <row r="340" spans="10:11">
      <c r="J340" s="158"/>
      <c r="K340" s="158"/>
    </row>
    <row r="341" spans="10:11">
      <c r="J341" s="158"/>
      <c r="K341" s="158"/>
    </row>
    <row r="342" spans="10:11">
      <c r="J342" s="158"/>
      <c r="K342" s="158"/>
    </row>
    <row r="343" spans="10:11">
      <c r="J343" s="158"/>
      <c r="K343" s="158"/>
    </row>
    <row r="344" spans="10:11">
      <c r="J344" s="158"/>
      <c r="K344" s="158"/>
    </row>
    <row r="345" spans="10:11">
      <c r="J345" s="158"/>
      <c r="K345" s="158"/>
    </row>
    <row r="346" spans="10:11">
      <c r="J346" s="158"/>
      <c r="K346" s="158"/>
    </row>
    <row r="347" spans="10:11">
      <c r="J347" s="158"/>
      <c r="K347" s="158"/>
    </row>
    <row r="348" spans="10:11">
      <c r="J348" s="158"/>
      <c r="K348" s="158"/>
    </row>
    <row r="349" spans="10:11">
      <c r="J349" s="158"/>
      <c r="K349" s="158"/>
    </row>
    <row r="350" spans="10:11">
      <c r="J350" s="158"/>
      <c r="K350" s="158"/>
    </row>
    <row r="351" spans="10:11">
      <c r="J351" s="158"/>
      <c r="K351" s="158"/>
    </row>
    <row r="352" spans="10:11">
      <c r="J352" s="158"/>
      <c r="K352" s="158"/>
    </row>
    <row r="353" spans="10:11">
      <c r="J353" s="158"/>
      <c r="K353" s="158"/>
    </row>
    <row r="354" spans="10:11">
      <c r="J354" s="158"/>
      <c r="K354" s="158"/>
    </row>
    <row r="355" spans="10:11">
      <c r="J355" s="158"/>
      <c r="K355" s="158"/>
    </row>
    <row r="356" spans="10:11">
      <c r="J356" s="158"/>
      <c r="K356" s="158"/>
    </row>
    <row r="357" spans="10:11">
      <c r="J357" s="158"/>
      <c r="K357" s="158"/>
    </row>
    <row r="358" spans="10:11">
      <c r="J358" s="158"/>
      <c r="K358" s="158"/>
    </row>
    <row r="359" spans="10:11">
      <c r="J359" s="158"/>
      <c r="K359" s="158"/>
    </row>
    <row r="360" spans="10:11">
      <c r="J360" s="158"/>
      <c r="K360" s="158"/>
    </row>
    <row r="361" spans="10:11">
      <c r="J361" s="158"/>
      <c r="K361" s="158"/>
    </row>
    <row r="362" spans="10:11">
      <c r="J362" s="158"/>
      <c r="K362" s="158"/>
    </row>
    <row r="363" spans="10:11">
      <c r="J363" s="158"/>
      <c r="K363" s="158"/>
    </row>
    <row r="364" spans="10:11">
      <c r="J364" s="158"/>
      <c r="K364" s="158"/>
    </row>
    <row r="365" spans="10:11">
      <c r="J365" s="158"/>
      <c r="K365" s="158"/>
    </row>
    <row r="366" spans="10:11">
      <c r="J366" s="158"/>
      <c r="K366" s="158"/>
    </row>
    <row r="367" spans="10:11">
      <c r="J367" s="158"/>
      <c r="K367" s="158"/>
    </row>
    <row r="368" spans="10:11">
      <c r="J368" s="158"/>
      <c r="K368" s="158"/>
    </row>
    <row r="369" spans="10:11">
      <c r="J369" s="158"/>
      <c r="K369" s="158"/>
    </row>
    <row r="370" spans="10:11">
      <c r="J370" s="158"/>
      <c r="K370" s="158"/>
    </row>
    <row r="371" spans="10:11">
      <c r="J371" s="158"/>
      <c r="K371" s="158"/>
    </row>
    <row r="372" spans="10:11">
      <c r="J372" s="158"/>
      <c r="K372" s="158"/>
    </row>
    <row r="373" spans="10:11">
      <c r="J373" s="158"/>
      <c r="K373" s="158"/>
    </row>
    <row r="374" spans="10:11">
      <c r="J374" s="158"/>
      <c r="K374" s="158"/>
    </row>
    <row r="375" spans="10:11">
      <c r="J375" s="158"/>
      <c r="K375" s="158"/>
    </row>
    <row r="376" spans="10:11">
      <c r="J376" s="158"/>
      <c r="K376" s="158"/>
    </row>
    <row r="377" spans="10:11">
      <c r="J377" s="158"/>
      <c r="K377" s="158"/>
    </row>
    <row r="378" spans="10:11">
      <c r="J378" s="158"/>
      <c r="K378" s="158"/>
    </row>
    <row r="379" spans="10:11">
      <c r="J379" s="158"/>
      <c r="K379" s="158"/>
    </row>
    <row r="380" spans="10:11">
      <c r="J380" s="158"/>
      <c r="K380" s="158"/>
    </row>
    <row r="381" spans="10:11">
      <c r="J381" s="158"/>
      <c r="K381" s="158"/>
    </row>
    <row r="382" spans="10:11">
      <c r="J382" s="158"/>
      <c r="K382" s="158"/>
    </row>
    <row r="383" spans="10:11">
      <c r="J383" s="158"/>
      <c r="K383" s="158"/>
    </row>
    <row r="384" spans="10:11">
      <c r="J384" s="158"/>
      <c r="K384" s="158"/>
    </row>
    <row r="385" spans="10:11">
      <c r="J385" s="158"/>
      <c r="K385" s="158"/>
    </row>
    <row r="386" spans="10:11">
      <c r="J386" s="158"/>
      <c r="K386" s="158"/>
    </row>
    <row r="387" spans="10:11">
      <c r="J387" s="158"/>
      <c r="K387" s="158"/>
    </row>
    <row r="388" spans="10:11">
      <c r="J388" s="158"/>
      <c r="K388" s="158"/>
    </row>
    <row r="389" spans="10:11">
      <c r="J389" s="158"/>
      <c r="K389" s="158"/>
    </row>
    <row r="390" spans="10:11">
      <c r="J390" s="158"/>
      <c r="K390" s="158"/>
    </row>
    <row r="391" spans="10:11">
      <c r="J391" s="158"/>
      <c r="K391" s="158"/>
    </row>
    <row r="392" spans="10:11">
      <c r="J392" s="158"/>
      <c r="K392" s="158"/>
    </row>
    <row r="393" spans="10:11">
      <c r="J393" s="158"/>
      <c r="K393" s="158"/>
    </row>
    <row r="394" spans="10:11">
      <c r="J394" s="158"/>
      <c r="K394" s="158"/>
    </row>
    <row r="395" spans="10:11">
      <c r="J395" s="158"/>
      <c r="K395" s="158"/>
    </row>
    <row r="396" spans="10:11">
      <c r="J396" s="158"/>
      <c r="K396" s="158"/>
    </row>
    <row r="397" spans="10:11">
      <c r="J397" s="158"/>
      <c r="K397" s="158"/>
    </row>
    <row r="398" spans="10:11">
      <c r="J398" s="158"/>
      <c r="K398" s="158"/>
    </row>
    <row r="399" spans="10:11">
      <c r="J399" s="158"/>
      <c r="K399" s="158"/>
    </row>
    <row r="400" spans="10:11">
      <c r="J400" s="158"/>
      <c r="K400" s="158"/>
    </row>
    <row r="401" spans="10:11">
      <c r="J401" s="158"/>
      <c r="K401" s="158"/>
    </row>
    <row r="402" spans="10:11">
      <c r="J402" s="158"/>
      <c r="K402" s="158"/>
    </row>
    <row r="403" spans="10:11">
      <c r="J403" s="158"/>
      <c r="K403" s="158"/>
    </row>
    <row r="404" spans="10:11">
      <c r="J404" s="158"/>
      <c r="K404" s="158"/>
    </row>
    <row r="405" spans="10:11">
      <c r="J405" s="158"/>
      <c r="K405" s="158"/>
    </row>
    <row r="406" spans="10:11">
      <c r="J406" s="158"/>
      <c r="K406" s="158"/>
    </row>
    <row r="407" spans="10:11">
      <c r="J407" s="158"/>
      <c r="K407" s="158"/>
    </row>
    <row r="408" spans="10:11">
      <c r="J408" s="158"/>
      <c r="K408" s="158"/>
    </row>
    <row r="409" spans="10:11">
      <c r="J409" s="158"/>
      <c r="K409" s="158"/>
    </row>
    <row r="410" spans="10:11">
      <c r="J410" s="158"/>
      <c r="K410" s="158"/>
    </row>
    <row r="411" spans="10:11">
      <c r="J411" s="158"/>
      <c r="K411" s="158"/>
    </row>
    <row r="412" spans="10:11">
      <c r="J412" s="158"/>
      <c r="K412" s="158"/>
    </row>
    <row r="413" spans="10:11">
      <c r="J413" s="158"/>
      <c r="K413" s="158"/>
    </row>
    <row r="414" spans="10:11">
      <c r="J414" s="158"/>
      <c r="K414" s="158"/>
    </row>
    <row r="415" spans="10:11">
      <c r="J415" s="158"/>
      <c r="K415" s="158"/>
    </row>
    <row r="416" spans="10:11">
      <c r="J416" s="158"/>
      <c r="K416" s="158"/>
    </row>
    <row r="417" spans="10:11">
      <c r="J417" s="158"/>
      <c r="K417" s="158"/>
    </row>
    <row r="418" spans="10:11">
      <c r="J418" s="158"/>
      <c r="K418" s="158"/>
    </row>
    <row r="419" spans="10:11">
      <c r="J419" s="158"/>
      <c r="K419" s="158"/>
    </row>
    <row r="420" spans="10:11">
      <c r="J420" s="158"/>
      <c r="K420" s="158"/>
    </row>
    <row r="421" spans="10:11">
      <c r="J421" s="158"/>
      <c r="K421" s="158"/>
    </row>
    <row r="422" spans="10:11">
      <c r="J422" s="158"/>
      <c r="K422" s="158"/>
    </row>
    <row r="423" spans="10:11">
      <c r="J423" s="158"/>
      <c r="K423" s="158"/>
    </row>
    <row r="424" spans="10:11">
      <c r="J424" s="158"/>
      <c r="K424" s="158"/>
    </row>
    <row r="425" spans="10:11">
      <c r="J425" s="158"/>
      <c r="K425" s="158"/>
    </row>
    <row r="426" spans="10:11">
      <c r="J426" s="158"/>
      <c r="K426" s="158"/>
    </row>
    <row r="427" spans="10:11">
      <c r="J427" s="158"/>
      <c r="K427" s="158"/>
    </row>
    <row r="428" spans="10:11">
      <c r="J428" s="158"/>
      <c r="K428" s="158"/>
    </row>
    <row r="429" spans="10:11">
      <c r="J429" s="158"/>
      <c r="K429" s="158"/>
    </row>
    <row r="430" spans="10:11">
      <c r="J430" s="158"/>
      <c r="K430" s="158"/>
    </row>
    <row r="431" spans="10:11">
      <c r="J431" s="158"/>
      <c r="K431" s="158"/>
    </row>
    <row r="432" spans="10:11">
      <c r="J432" s="158"/>
      <c r="K432" s="158"/>
    </row>
    <row r="433" spans="10:11">
      <c r="J433" s="158"/>
      <c r="K433" s="158"/>
    </row>
    <row r="434" spans="10:11">
      <c r="J434" s="158"/>
      <c r="K434" s="158"/>
    </row>
    <row r="435" spans="10:11">
      <c r="J435" s="158"/>
      <c r="K435" s="158"/>
    </row>
    <row r="436" spans="10:11">
      <c r="J436" s="158"/>
      <c r="K436" s="158"/>
    </row>
    <row r="437" spans="10:11">
      <c r="J437" s="158"/>
      <c r="K437" s="158"/>
    </row>
    <row r="438" spans="10:11">
      <c r="J438" s="158"/>
      <c r="K438" s="158"/>
    </row>
    <row r="439" spans="10:11">
      <c r="J439" s="158"/>
      <c r="K439" s="158"/>
    </row>
    <row r="440" spans="10:11">
      <c r="J440" s="158"/>
      <c r="K440" s="158"/>
    </row>
    <row r="441" spans="10:11">
      <c r="J441" s="158"/>
      <c r="K441" s="158"/>
    </row>
    <row r="442" spans="10:11">
      <c r="J442" s="158"/>
      <c r="K442" s="158"/>
    </row>
    <row r="443" spans="10:11">
      <c r="J443" s="158"/>
      <c r="K443" s="158"/>
    </row>
    <row r="444" spans="10:11">
      <c r="J444" s="158"/>
      <c r="K444" s="158"/>
    </row>
    <row r="445" spans="10:11">
      <c r="J445" s="158"/>
      <c r="K445" s="158"/>
    </row>
    <row r="446" spans="10:11">
      <c r="J446" s="158"/>
      <c r="K446" s="158"/>
    </row>
    <row r="447" spans="10:11">
      <c r="J447" s="158"/>
      <c r="K447" s="158"/>
    </row>
    <row r="448" spans="10:11">
      <c r="J448" s="158"/>
      <c r="K448" s="158"/>
    </row>
    <row r="449" spans="10:11">
      <c r="J449" s="158"/>
      <c r="K449" s="158"/>
    </row>
    <row r="450" spans="10:11">
      <c r="J450" s="158"/>
      <c r="K450" s="158"/>
    </row>
    <row r="451" spans="10:11">
      <c r="J451" s="158"/>
      <c r="K451" s="158"/>
    </row>
    <row r="452" spans="10:11">
      <c r="J452" s="158"/>
      <c r="K452" s="158"/>
    </row>
    <row r="453" spans="10:11">
      <c r="J453" s="158"/>
      <c r="K453" s="158"/>
    </row>
    <row r="454" spans="10:11">
      <c r="J454" s="158"/>
      <c r="K454" s="158"/>
    </row>
    <row r="455" spans="10:11">
      <c r="J455" s="158"/>
      <c r="K455" s="158"/>
    </row>
    <row r="456" spans="10:11">
      <c r="J456" s="158"/>
      <c r="K456" s="158"/>
    </row>
    <row r="457" spans="10:11">
      <c r="J457" s="158"/>
      <c r="K457" s="158"/>
    </row>
    <row r="458" spans="10:11">
      <c r="J458" s="158"/>
      <c r="K458" s="158"/>
    </row>
    <row r="459" spans="10:11">
      <c r="J459" s="158"/>
      <c r="K459" s="158"/>
    </row>
    <row r="460" spans="10:11">
      <c r="J460" s="158"/>
      <c r="K460" s="158"/>
    </row>
    <row r="461" spans="10:11">
      <c r="J461" s="158"/>
      <c r="K461" s="158"/>
    </row>
    <row r="462" spans="10:11">
      <c r="J462" s="158"/>
      <c r="K462" s="158"/>
    </row>
    <row r="463" spans="10:11">
      <c r="J463" s="158"/>
      <c r="K463" s="158"/>
    </row>
    <row r="464" spans="10:11">
      <c r="J464" s="158"/>
      <c r="K464" s="158"/>
    </row>
    <row r="465" spans="10:11">
      <c r="J465" s="158"/>
      <c r="K465" s="158"/>
    </row>
    <row r="466" spans="10:11">
      <c r="J466" s="158"/>
      <c r="K466" s="158"/>
    </row>
    <row r="467" spans="10:11">
      <c r="J467" s="158"/>
      <c r="K467" s="158"/>
    </row>
    <row r="468" spans="10:11">
      <c r="J468" s="158"/>
      <c r="K468" s="158"/>
    </row>
    <row r="469" spans="10:11">
      <c r="J469" s="158"/>
      <c r="K469" s="158"/>
    </row>
    <row r="470" spans="10:11">
      <c r="J470" s="158"/>
      <c r="K470" s="158"/>
    </row>
    <row r="471" spans="10:11">
      <c r="J471" s="158"/>
      <c r="K471" s="158"/>
    </row>
    <row r="472" spans="10:11">
      <c r="J472" s="158"/>
      <c r="K472" s="158"/>
    </row>
    <row r="473" spans="10:11">
      <c r="J473" s="158"/>
      <c r="K473" s="158"/>
    </row>
    <row r="474" spans="10:11">
      <c r="J474" s="158"/>
      <c r="K474" s="158"/>
    </row>
    <row r="475" spans="10:11">
      <c r="J475" s="158"/>
      <c r="K475" s="158"/>
    </row>
    <row r="476" spans="10:11">
      <c r="J476" s="158"/>
      <c r="K476" s="158"/>
    </row>
    <row r="477" spans="10:11">
      <c r="J477" s="158"/>
      <c r="K477" s="158"/>
    </row>
    <row r="478" spans="10:11">
      <c r="J478" s="158"/>
      <c r="K478" s="158"/>
    </row>
    <row r="479" spans="10:11">
      <c r="J479" s="158"/>
      <c r="K479" s="158"/>
    </row>
    <row r="480" spans="10:11">
      <c r="J480" s="158"/>
      <c r="K480" s="158"/>
    </row>
    <row r="481" spans="10:11">
      <c r="J481" s="158"/>
      <c r="K481" s="158"/>
    </row>
    <row r="482" spans="10:11">
      <c r="J482" s="158"/>
      <c r="K482" s="158"/>
    </row>
    <row r="483" spans="10:11">
      <c r="J483" s="158"/>
      <c r="K483" s="158"/>
    </row>
    <row r="484" spans="10:11">
      <c r="J484" s="158"/>
      <c r="K484" s="158"/>
    </row>
    <row r="485" spans="10:11">
      <c r="J485" s="158"/>
      <c r="K485" s="158"/>
    </row>
    <row r="486" spans="10:11">
      <c r="J486" s="158"/>
      <c r="K486" s="158"/>
    </row>
    <row r="487" spans="10:11">
      <c r="J487" s="158"/>
      <c r="K487" s="158"/>
    </row>
    <row r="488" spans="10:11">
      <c r="J488" s="158"/>
      <c r="K488" s="158"/>
    </row>
    <row r="489" spans="10:11">
      <c r="J489" s="158"/>
      <c r="K489" s="158"/>
    </row>
    <row r="490" spans="10:11">
      <c r="J490" s="158"/>
      <c r="K490" s="158"/>
    </row>
    <row r="491" spans="10:11">
      <c r="J491" s="158"/>
      <c r="K491" s="158"/>
    </row>
    <row r="492" spans="10:11">
      <c r="J492" s="158"/>
      <c r="K492" s="158"/>
    </row>
    <row r="493" spans="10:11">
      <c r="J493" s="158"/>
      <c r="K493" s="158"/>
    </row>
    <row r="494" spans="10:11">
      <c r="J494" s="158"/>
      <c r="K494" s="158"/>
    </row>
    <row r="495" spans="10:11">
      <c r="J495" s="158"/>
      <c r="K495" s="158"/>
    </row>
    <row r="496" spans="10:11">
      <c r="J496" s="158"/>
      <c r="K496" s="158"/>
    </row>
    <row r="497" spans="10:11">
      <c r="J497" s="158"/>
      <c r="K497" s="158"/>
    </row>
    <row r="498" spans="10:11">
      <c r="J498" s="158"/>
      <c r="K498" s="158"/>
    </row>
    <row r="499" spans="10:11">
      <c r="J499" s="158"/>
      <c r="K499" s="158"/>
    </row>
    <row r="500" spans="10:11">
      <c r="J500" s="158"/>
      <c r="K500" s="158"/>
    </row>
    <row r="501" spans="10:11">
      <c r="J501" s="158"/>
      <c r="K501" s="158"/>
    </row>
    <row r="502" spans="10:11">
      <c r="J502" s="158"/>
      <c r="K502" s="158"/>
    </row>
    <row r="503" spans="10:11">
      <c r="J503" s="158"/>
      <c r="K503" s="158"/>
    </row>
    <row r="504" spans="10:11">
      <c r="J504" s="158"/>
      <c r="K504" s="158"/>
    </row>
    <row r="505" spans="10:11">
      <c r="J505" s="158"/>
      <c r="K505" s="158"/>
    </row>
    <row r="506" spans="10:11">
      <c r="J506" s="158"/>
      <c r="K506" s="158"/>
    </row>
    <row r="507" spans="10:11">
      <c r="J507" s="158"/>
      <c r="K507" s="158"/>
    </row>
    <row r="508" spans="10:11">
      <c r="J508" s="158"/>
      <c r="K508" s="158"/>
    </row>
    <row r="509" spans="10:11">
      <c r="J509" s="158"/>
      <c r="K509" s="158"/>
    </row>
    <row r="510" spans="10:11">
      <c r="J510" s="158"/>
      <c r="K510" s="158"/>
    </row>
    <row r="511" spans="10:11">
      <c r="J511" s="158"/>
      <c r="K511" s="158"/>
    </row>
    <row r="512" spans="10:11">
      <c r="J512" s="158"/>
      <c r="K512" s="158"/>
    </row>
    <row r="513" spans="10:11">
      <c r="J513" s="158"/>
      <c r="K513" s="158"/>
    </row>
    <row r="514" spans="10:11">
      <c r="J514" s="158"/>
      <c r="K514" s="158"/>
    </row>
    <row r="515" spans="10:11">
      <c r="J515" s="158"/>
      <c r="K515" s="158"/>
    </row>
    <row r="516" spans="10:11">
      <c r="J516" s="158"/>
      <c r="K516" s="158"/>
    </row>
    <row r="517" spans="10:11">
      <c r="J517" s="158"/>
      <c r="K517" s="158"/>
    </row>
    <row r="518" spans="10:11">
      <c r="J518" s="158"/>
      <c r="K518" s="158"/>
    </row>
    <row r="519" spans="10:11">
      <c r="J519" s="158"/>
      <c r="K519" s="158"/>
    </row>
    <row r="520" spans="10:11">
      <c r="J520" s="158"/>
      <c r="K520" s="158"/>
    </row>
    <row r="521" spans="10:11">
      <c r="J521" s="158"/>
      <c r="K521" s="158"/>
    </row>
    <row r="522" spans="10:11">
      <c r="J522" s="158"/>
      <c r="K522" s="158"/>
    </row>
    <row r="523" spans="10:11">
      <c r="J523" s="158"/>
      <c r="K523" s="158"/>
    </row>
    <row r="524" spans="10:11">
      <c r="J524" s="158"/>
      <c r="K524" s="158"/>
    </row>
    <row r="525" spans="10:11">
      <c r="J525" s="158"/>
      <c r="K525" s="158"/>
    </row>
    <row r="526" spans="10:11">
      <c r="J526" s="158"/>
      <c r="K526" s="158"/>
    </row>
    <row r="527" spans="10:11">
      <c r="J527" s="158"/>
      <c r="K527" s="158"/>
    </row>
    <row r="528" spans="10:11">
      <c r="J528" s="158"/>
      <c r="K528" s="158"/>
    </row>
    <row r="529" spans="10:11">
      <c r="J529" s="158"/>
      <c r="K529" s="158"/>
    </row>
    <row r="530" spans="10:11">
      <c r="J530" s="158"/>
      <c r="K530" s="158"/>
    </row>
    <row r="531" spans="10:11">
      <c r="J531" s="158"/>
      <c r="K531" s="158"/>
    </row>
    <row r="532" spans="10:11">
      <c r="J532" s="158"/>
      <c r="K532" s="158"/>
    </row>
    <row r="533" spans="10:11">
      <c r="J533" s="158"/>
      <c r="K533" s="158"/>
    </row>
    <row r="534" spans="10:11">
      <c r="J534" s="158"/>
      <c r="K534" s="158"/>
    </row>
    <row r="535" spans="10:11">
      <c r="J535" s="158"/>
      <c r="K535" s="158"/>
    </row>
    <row r="536" spans="10:11">
      <c r="J536" s="158"/>
      <c r="K536" s="158"/>
    </row>
    <row r="537" spans="10:11">
      <c r="J537" s="158"/>
      <c r="K537" s="158"/>
    </row>
    <row r="538" spans="10:11">
      <c r="J538" s="158"/>
      <c r="K538" s="158"/>
    </row>
    <row r="539" spans="10:11">
      <c r="J539" s="158"/>
      <c r="K539" s="158"/>
    </row>
    <row r="540" spans="10:11">
      <c r="J540" s="158"/>
      <c r="K540" s="158"/>
    </row>
    <row r="541" spans="10:11">
      <c r="J541" s="158"/>
      <c r="K541" s="158"/>
    </row>
    <row r="542" spans="10:11">
      <c r="J542" s="158"/>
      <c r="K542" s="158"/>
    </row>
    <row r="543" spans="10:11">
      <c r="J543" s="158"/>
      <c r="K543" s="158"/>
    </row>
    <row r="544" spans="10:11">
      <c r="J544" s="158"/>
      <c r="K544" s="158"/>
    </row>
    <row r="545" spans="10:11">
      <c r="J545" s="158"/>
      <c r="K545" s="158"/>
    </row>
    <row r="546" spans="10:11">
      <c r="J546" s="158"/>
      <c r="K546" s="158"/>
    </row>
    <row r="547" spans="10:11">
      <c r="J547" s="158"/>
      <c r="K547" s="158"/>
    </row>
    <row r="548" spans="10:11">
      <c r="J548" s="158"/>
      <c r="K548" s="158"/>
    </row>
    <row r="549" spans="10:11">
      <c r="J549" s="158"/>
      <c r="K549" s="158"/>
    </row>
    <row r="550" spans="10:11">
      <c r="J550" s="158"/>
      <c r="K550" s="158"/>
    </row>
    <row r="551" spans="10:11">
      <c r="J551" s="158"/>
      <c r="K551" s="158"/>
    </row>
    <row r="552" spans="10:11">
      <c r="J552" s="158"/>
      <c r="K552" s="158"/>
    </row>
    <row r="553" spans="10:11">
      <c r="J553" s="158"/>
      <c r="K553" s="158"/>
    </row>
    <row r="554" spans="10:11">
      <c r="J554" s="158"/>
      <c r="K554" s="158"/>
    </row>
    <row r="555" spans="10:11">
      <c r="J555" s="158"/>
      <c r="K555" s="158"/>
    </row>
    <row r="556" spans="10:11">
      <c r="J556" s="158"/>
      <c r="K556" s="158"/>
    </row>
    <row r="557" spans="10:11">
      <c r="J557" s="158"/>
      <c r="K557" s="158"/>
    </row>
    <row r="558" spans="10:11">
      <c r="J558" s="158"/>
      <c r="K558" s="158"/>
    </row>
    <row r="559" spans="10:11">
      <c r="J559" s="158"/>
      <c r="K559" s="158"/>
    </row>
    <row r="560" spans="10:11">
      <c r="J560" s="158"/>
      <c r="K560" s="158"/>
    </row>
    <row r="561" spans="10:11">
      <c r="J561" s="158"/>
      <c r="K561" s="158"/>
    </row>
    <row r="562" spans="10:11">
      <c r="J562" s="158"/>
      <c r="K562" s="158"/>
    </row>
    <row r="563" spans="10:11">
      <c r="J563" s="158"/>
      <c r="K563" s="158"/>
    </row>
    <row r="564" spans="10:11">
      <c r="J564" s="158"/>
      <c r="K564" s="158"/>
    </row>
    <row r="565" spans="10:11">
      <c r="J565" s="158"/>
      <c r="K565" s="158"/>
    </row>
    <row r="566" spans="10:11">
      <c r="J566" s="158"/>
      <c r="K566" s="158"/>
    </row>
    <row r="567" spans="10:11">
      <c r="J567" s="158"/>
      <c r="K567" s="158"/>
    </row>
    <row r="568" spans="10:11">
      <c r="J568" s="158"/>
      <c r="K568" s="158"/>
    </row>
    <row r="569" spans="10:11">
      <c r="J569" s="158"/>
      <c r="K569" s="158"/>
    </row>
    <row r="570" spans="10:11">
      <c r="J570" s="158"/>
      <c r="K570" s="158"/>
    </row>
    <row r="571" spans="10:11">
      <c r="J571" s="158"/>
      <c r="K571" s="158"/>
    </row>
    <row r="572" spans="10:11">
      <c r="J572" s="158"/>
      <c r="K572" s="158"/>
    </row>
    <row r="573" spans="10:11">
      <c r="J573" s="158"/>
      <c r="K573" s="158"/>
    </row>
    <row r="574" spans="10:11">
      <c r="J574" s="158"/>
      <c r="K574" s="158"/>
    </row>
    <row r="575" spans="10:11">
      <c r="J575" s="158"/>
      <c r="K575" s="158"/>
    </row>
    <row r="576" spans="10:11">
      <c r="J576" s="158"/>
      <c r="K576" s="158"/>
    </row>
    <row r="577" spans="10:11">
      <c r="J577" s="158"/>
      <c r="K577" s="158"/>
    </row>
    <row r="578" spans="10:11">
      <c r="J578" s="158"/>
      <c r="K578" s="158"/>
    </row>
    <row r="579" spans="10:11">
      <c r="J579" s="158"/>
      <c r="K579" s="158"/>
    </row>
    <row r="580" spans="10:11">
      <c r="J580" s="158"/>
      <c r="K580" s="158"/>
    </row>
    <row r="581" spans="10:11">
      <c r="J581" s="158"/>
      <c r="K581" s="158"/>
    </row>
    <row r="582" spans="10:11">
      <c r="J582" s="158"/>
      <c r="K582" s="158"/>
    </row>
    <row r="583" spans="10:11">
      <c r="J583" s="158"/>
      <c r="K583" s="158"/>
    </row>
    <row r="584" spans="10:11">
      <c r="J584" s="158"/>
      <c r="K584" s="158"/>
    </row>
    <row r="585" spans="10:11">
      <c r="J585" s="158"/>
      <c r="K585" s="158"/>
    </row>
    <row r="586" spans="10:11">
      <c r="J586" s="158"/>
      <c r="K586" s="158"/>
    </row>
    <row r="587" spans="10:11">
      <c r="J587" s="158"/>
      <c r="K587" s="158"/>
    </row>
    <row r="588" spans="10:11">
      <c r="J588" s="158"/>
      <c r="K588" s="158"/>
    </row>
    <row r="589" spans="10:11">
      <c r="J589" s="158"/>
      <c r="K589" s="158"/>
    </row>
    <row r="590" spans="10:11">
      <c r="J590" s="158"/>
      <c r="K590" s="158"/>
    </row>
    <row r="591" spans="10:11">
      <c r="J591" s="158"/>
      <c r="K591" s="158"/>
    </row>
    <row r="592" spans="10:11">
      <c r="J592" s="158"/>
      <c r="K592" s="158"/>
    </row>
    <row r="593" spans="10:11">
      <c r="J593" s="158"/>
      <c r="K593" s="158"/>
    </row>
    <row r="594" spans="10:11">
      <c r="J594" s="158"/>
      <c r="K594" s="158"/>
    </row>
    <row r="595" spans="10:11">
      <c r="J595" s="158"/>
      <c r="K595" s="158"/>
    </row>
    <row r="596" spans="10:11">
      <c r="J596" s="158"/>
      <c r="K596" s="158"/>
    </row>
    <row r="597" spans="10:11">
      <c r="J597" s="158"/>
      <c r="K597" s="158"/>
    </row>
    <row r="598" spans="10:11">
      <c r="J598" s="158"/>
      <c r="K598" s="158"/>
    </row>
    <row r="599" spans="10:11">
      <c r="J599" s="158"/>
      <c r="K599" s="158"/>
    </row>
    <row r="600" spans="10:11">
      <c r="J600" s="158"/>
      <c r="K600" s="158"/>
    </row>
    <row r="601" spans="10:11">
      <c r="J601" s="158"/>
      <c r="K601" s="158"/>
    </row>
    <row r="602" spans="10:11">
      <c r="J602" s="158"/>
      <c r="K602" s="158"/>
    </row>
    <row r="603" spans="10:11">
      <c r="J603" s="158"/>
      <c r="K603" s="158"/>
    </row>
    <row r="604" spans="10:11">
      <c r="J604" s="158"/>
      <c r="K604" s="158"/>
    </row>
    <row r="605" spans="10:11">
      <c r="J605" s="158"/>
      <c r="K605" s="158"/>
    </row>
    <row r="606" spans="10:11">
      <c r="J606" s="158"/>
      <c r="K606" s="158"/>
    </row>
    <row r="607" spans="10:11">
      <c r="J607" s="158"/>
      <c r="K607" s="158"/>
    </row>
    <row r="608" spans="10:11">
      <c r="J608" s="158"/>
      <c r="K608" s="158"/>
    </row>
    <row r="609" spans="10:11">
      <c r="J609" s="158"/>
      <c r="K609" s="158"/>
    </row>
    <row r="610" spans="10:11">
      <c r="J610" s="158"/>
      <c r="K610" s="158"/>
    </row>
    <row r="611" spans="10:11">
      <c r="J611" s="158"/>
      <c r="K611" s="158"/>
    </row>
    <row r="612" spans="10:11">
      <c r="J612" s="158"/>
      <c r="K612" s="158"/>
    </row>
    <row r="613" spans="10:11">
      <c r="J613" s="158"/>
      <c r="K613" s="158"/>
    </row>
    <row r="614" spans="10:11">
      <c r="J614" s="158"/>
      <c r="K614" s="158"/>
    </row>
    <row r="615" spans="10:11">
      <c r="J615" s="158"/>
      <c r="K615" s="158"/>
    </row>
    <row r="616" spans="10:11">
      <c r="J616" s="158"/>
      <c r="K616" s="158"/>
    </row>
    <row r="617" spans="10:11">
      <c r="J617" s="158"/>
      <c r="K617" s="158"/>
    </row>
    <row r="618" spans="10:11">
      <c r="J618" s="158"/>
      <c r="K618" s="158"/>
    </row>
    <row r="619" spans="10:11">
      <c r="J619" s="158"/>
      <c r="K619" s="158"/>
    </row>
    <row r="620" spans="10:11">
      <c r="J620" s="158"/>
      <c r="K620" s="158"/>
    </row>
    <row r="621" spans="10:11">
      <c r="J621" s="158"/>
      <c r="K621" s="158"/>
    </row>
    <row r="622" spans="10:11">
      <c r="J622" s="158"/>
      <c r="K622" s="158"/>
    </row>
    <row r="623" spans="10:11">
      <c r="J623" s="158"/>
      <c r="K623" s="158"/>
    </row>
    <row r="624" spans="10:11">
      <c r="J624" s="158"/>
      <c r="K624" s="158"/>
    </row>
    <row r="625" spans="10:11">
      <c r="J625" s="158"/>
      <c r="K625" s="158"/>
    </row>
    <row r="626" spans="10:11">
      <c r="J626" s="158"/>
      <c r="K626" s="158"/>
    </row>
    <row r="627" spans="10:11">
      <c r="J627" s="158"/>
      <c r="K627" s="158"/>
    </row>
    <row r="628" spans="10:11">
      <c r="J628" s="158"/>
      <c r="K628" s="158"/>
    </row>
    <row r="629" spans="10:11">
      <c r="J629" s="158"/>
      <c r="K629" s="158"/>
    </row>
    <row r="630" spans="10:11">
      <c r="J630" s="158"/>
      <c r="K630" s="158"/>
    </row>
    <row r="631" spans="10:11">
      <c r="J631" s="158"/>
      <c r="K631" s="158"/>
    </row>
    <row r="632" spans="10:11">
      <c r="J632" s="158"/>
      <c r="K632" s="158"/>
    </row>
    <row r="633" spans="10:11">
      <c r="J633" s="158"/>
      <c r="K633" s="158"/>
    </row>
    <row r="634" spans="10:11">
      <c r="J634" s="158"/>
      <c r="K634" s="158"/>
    </row>
    <row r="635" spans="10:11">
      <c r="J635" s="158"/>
      <c r="K635" s="158"/>
    </row>
    <row r="636" spans="10:11">
      <c r="J636" s="158"/>
      <c r="K636" s="158"/>
    </row>
    <row r="637" spans="10:11">
      <c r="J637" s="158"/>
      <c r="K637" s="158"/>
    </row>
    <row r="638" spans="10:11">
      <c r="J638" s="158"/>
      <c r="K638" s="158"/>
    </row>
    <row r="639" spans="10:11">
      <c r="J639" s="158"/>
      <c r="K639" s="158"/>
    </row>
    <row r="640" spans="10:11">
      <c r="J640" s="158"/>
      <c r="K640" s="158"/>
    </row>
    <row r="641" spans="10:11">
      <c r="J641" s="158"/>
      <c r="K641" s="158"/>
    </row>
    <row r="642" spans="10:11">
      <c r="J642" s="158"/>
      <c r="K642" s="158"/>
    </row>
    <row r="643" spans="10:11">
      <c r="J643" s="158"/>
      <c r="K643" s="158"/>
    </row>
    <row r="644" spans="10:11">
      <c r="J644" s="158"/>
      <c r="K644" s="158"/>
    </row>
    <row r="645" spans="10:11">
      <c r="J645" s="158"/>
      <c r="K645" s="158"/>
    </row>
    <row r="646" spans="10:11">
      <c r="J646" s="158"/>
      <c r="K646" s="158"/>
    </row>
    <row r="647" spans="10:11">
      <c r="J647" s="158"/>
      <c r="K647" s="158"/>
    </row>
    <row r="648" spans="10:11">
      <c r="J648" s="158"/>
      <c r="K648" s="158"/>
    </row>
    <row r="649" spans="10:11">
      <c r="J649" s="158"/>
      <c r="K649" s="158"/>
    </row>
    <row r="650" spans="10:11">
      <c r="J650" s="158"/>
      <c r="K650" s="158"/>
    </row>
    <row r="651" spans="10:11">
      <c r="J651" s="158"/>
      <c r="K651" s="158"/>
    </row>
    <row r="652" spans="10:11">
      <c r="J652" s="158"/>
      <c r="K652" s="158"/>
    </row>
    <row r="653" spans="10:11">
      <c r="J653" s="158"/>
      <c r="K653" s="158"/>
    </row>
    <row r="654" spans="10:11">
      <c r="J654" s="158"/>
      <c r="K654" s="158"/>
    </row>
    <row r="655" spans="10:11">
      <c r="J655" s="158"/>
      <c r="K655" s="158"/>
    </row>
    <row r="656" spans="10:11">
      <c r="J656" s="158"/>
      <c r="K656" s="158"/>
    </row>
    <row r="657" spans="10:11">
      <c r="J657" s="158"/>
      <c r="K657" s="158"/>
    </row>
    <row r="658" spans="10:11">
      <c r="J658" s="158"/>
      <c r="K658" s="158"/>
    </row>
    <row r="659" spans="10:11">
      <c r="J659" s="158"/>
      <c r="K659" s="158"/>
    </row>
    <row r="660" spans="10:11">
      <c r="J660" s="158"/>
      <c r="K660" s="158"/>
    </row>
    <row r="661" spans="10:11">
      <c r="J661" s="158"/>
      <c r="K661" s="158"/>
    </row>
    <row r="662" spans="10:11">
      <c r="J662" s="158"/>
      <c r="K662" s="158"/>
    </row>
    <row r="663" spans="10:11">
      <c r="J663" s="158"/>
      <c r="K663" s="158"/>
    </row>
    <row r="664" spans="10:11">
      <c r="J664" s="158"/>
      <c r="K664" s="158"/>
    </row>
    <row r="665" spans="10:11">
      <c r="J665" s="158"/>
      <c r="K665" s="158"/>
    </row>
    <row r="666" spans="10:11">
      <c r="J666" s="158"/>
      <c r="K666" s="158"/>
    </row>
    <row r="667" spans="10:11">
      <c r="J667" s="158"/>
      <c r="K667" s="158"/>
    </row>
    <row r="668" spans="10:11">
      <c r="J668" s="158"/>
      <c r="K668" s="158"/>
    </row>
    <row r="669" spans="10:11">
      <c r="J669" s="158"/>
      <c r="K669" s="158"/>
    </row>
    <row r="670" spans="10:11">
      <c r="J670" s="158"/>
      <c r="K670" s="158"/>
    </row>
    <row r="671" spans="10:11">
      <c r="J671" s="158"/>
      <c r="K671" s="158"/>
    </row>
    <row r="672" spans="10:11">
      <c r="J672" s="158"/>
      <c r="K672" s="158"/>
    </row>
    <row r="673" spans="10:11">
      <c r="J673" s="158"/>
      <c r="K673" s="158"/>
    </row>
    <row r="674" spans="10:11">
      <c r="J674" s="158"/>
      <c r="K674" s="158"/>
    </row>
    <row r="675" spans="10:11">
      <c r="J675" s="158"/>
      <c r="K675" s="158"/>
    </row>
    <row r="676" spans="10:11">
      <c r="J676" s="158"/>
      <c r="K676" s="158"/>
    </row>
    <row r="677" spans="10:11">
      <c r="J677" s="158"/>
      <c r="K677" s="158"/>
    </row>
    <row r="678" spans="10:11">
      <c r="J678" s="158"/>
      <c r="K678" s="158"/>
    </row>
    <row r="679" spans="10:11">
      <c r="J679" s="158"/>
      <c r="K679" s="158"/>
    </row>
    <row r="680" spans="10:11">
      <c r="J680" s="158"/>
      <c r="K680" s="158"/>
    </row>
    <row r="681" spans="10:11">
      <c r="J681" s="158"/>
      <c r="K681" s="158"/>
    </row>
    <row r="682" spans="10:11">
      <c r="J682" s="158"/>
      <c r="K682" s="158"/>
    </row>
    <row r="683" spans="10:11">
      <c r="J683" s="158"/>
      <c r="K683" s="158"/>
    </row>
    <row r="684" spans="10:11">
      <c r="J684" s="158"/>
      <c r="K684" s="158"/>
    </row>
    <row r="685" spans="10:11">
      <c r="J685" s="158"/>
      <c r="K685" s="158"/>
    </row>
    <row r="686" spans="10:11">
      <c r="J686" s="158"/>
      <c r="K686" s="158"/>
    </row>
    <row r="687" spans="10:11">
      <c r="J687" s="158"/>
      <c r="K687" s="158"/>
    </row>
    <row r="688" spans="10:11">
      <c r="J688" s="158"/>
      <c r="K688" s="158"/>
    </row>
    <row r="689" spans="10:11">
      <c r="J689" s="158"/>
      <c r="K689" s="158"/>
    </row>
    <row r="690" spans="10:11">
      <c r="J690" s="158"/>
      <c r="K690" s="158"/>
    </row>
    <row r="691" spans="10:11">
      <c r="J691" s="158"/>
      <c r="K691" s="158"/>
    </row>
    <row r="692" spans="10:11">
      <c r="J692" s="158"/>
      <c r="K692" s="158"/>
    </row>
    <row r="693" spans="10:11">
      <c r="J693" s="158"/>
      <c r="K693" s="158"/>
    </row>
    <row r="694" spans="10:11">
      <c r="J694" s="158"/>
      <c r="K694" s="158"/>
    </row>
    <row r="695" spans="10:11">
      <c r="J695" s="158"/>
      <c r="K695" s="158"/>
    </row>
    <row r="696" spans="10:11">
      <c r="J696" s="158"/>
      <c r="K696" s="158"/>
    </row>
    <row r="697" spans="10:11">
      <c r="J697" s="158"/>
      <c r="K697" s="158"/>
    </row>
    <row r="698" spans="10:11">
      <c r="J698" s="158"/>
      <c r="K698" s="158"/>
    </row>
    <row r="699" spans="10:11">
      <c r="J699" s="158"/>
      <c r="K699" s="158"/>
    </row>
    <row r="700" spans="10:11">
      <c r="J700" s="158"/>
      <c r="K700" s="158"/>
    </row>
    <row r="701" spans="10:11">
      <c r="J701" s="158"/>
      <c r="K701" s="158"/>
    </row>
    <row r="702" spans="10:11">
      <c r="J702" s="158"/>
      <c r="K702" s="158"/>
    </row>
    <row r="703" spans="10:11">
      <c r="J703" s="158"/>
      <c r="K703" s="158"/>
    </row>
    <row r="704" spans="10:11">
      <c r="J704" s="158"/>
      <c r="K704" s="158"/>
    </row>
    <row r="705" spans="10:11">
      <c r="J705" s="158"/>
      <c r="K705" s="158"/>
    </row>
    <row r="706" spans="10:11">
      <c r="J706" s="158"/>
      <c r="K706" s="158"/>
    </row>
    <row r="707" spans="10:11">
      <c r="J707" s="158"/>
      <c r="K707" s="158"/>
    </row>
    <row r="708" spans="10:11">
      <c r="J708" s="158"/>
      <c r="K708" s="158"/>
    </row>
    <row r="709" spans="10:11">
      <c r="J709" s="158"/>
      <c r="K709" s="158"/>
    </row>
    <row r="710" spans="10:11">
      <c r="J710" s="158"/>
      <c r="K710" s="158"/>
    </row>
    <row r="711" spans="10:11">
      <c r="J711" s="158"/>
      <c r="K711" s="158"/>
    </row>
    <row r="712" spans="10:11">
      <c r="J712" s="158"/>
      <c r="K712" s="158"/>
    </row>
    <row r="713" spans="10:11">
      <c r="J713" s="158"/>
      <c r="K713" s="158"/>
    </row>
    <row r="714" spans="10:11">
      <c r="J714" s="158"/>
      <c r="K714" s="158"/>
    </row>
    <row r="715" spans="10:11">
      <c r="J715" s="158"/>
      <c r="K715" s="158"/>
    </row>
    <row r="716" spans="10:11">
      <c r="J716" s="158"/>
      <c r="K716" s="158"/>
    </row>
    <row r="717" spans="10:11">
      <c r="J717" s="158"/>
      <c r="K717" s="158"/>
    </row>
    <row r="718" spans="10:11">
      <c r="J718" s="158"/>
      <c r="K718" s="158"/>
    </row>
    <row r="719" spans="10:11">
      <c r="J719" s="158"/>
      <c r="K719" s="158"/>
    </row>
    <row r="720" spans="10:11">
      <c r="J720" s="158"/>
      <c r="K720" s="158"/>
    </row>
    <row r="721" spans="10:11">
      <c r="J721" s="158"/>
      <c r="K721" s="158"/>
    </row>
    <row r="722" spans="10:11">
      <c r="J722" s="158"/>
      <c r="K722" s="158"/>
    </row>
    <row r="723" spans="10:11">
      <c r="J723" s="158"/>
      <c r="K723" s="158"/>
    </row>
    <row r="724" spans="10:11">
      <c r="J724" s="158"/>
      <c r="K724" s="158"/>
    </row>
    <row r="725" spans="10:11">
      <c r="J725" s="158"/>
      <c r="K725" s="158"/>
    </row>
    <row r="726" spans="10:11">
      <c r="J726" s="158"/>
      <c r="K726" s="158"/>
    </row>
    <row r="727" spans="10:11">
      <c r="J727" s="158"/>
      <c r="K727" s="158"/>
    </row>
    <row r="728" spans="10:11">
      <c r="J728" s="158"/>
      <c r="K728" s="158"/>
    </row>
    <row r="729" spans="10:11">
      <c r="J729" s="158"/>
      <c r="K729" s="158"/>
    </row>
    <row r="730" spans="10:11">
      <c r="J730" s="158"/>
      <c r="K730" s="158"/>
    </row>
    <row r="731" spans="10:11">
      <c r="J731" s="158"/>
      <c r="K731" s="158"/>
    </row>
    <row r="732" spans="10:11">
      <c r="J732" s="158"/>
      <c r="K732" s="158"/>
    </row>
    <row r="733" spans="10:11">
      <c r="J733" s="158"/>
      <c r="K733" s="158"/>
    </row>
    <row r="734" spans="10:11">
      <c r="J734" s="158"/>
      <c r="K734" s="158"/>
    </row>
    <row r="735" spans="10:11">
      <c r="J735" s="158"/>
      <c r="K735" s="158"/>
    </row>
    <row r="736" spans="10:11">
      <c r="J736" s="158"/>
      <c r="K736" s="158"/>
    </row>
    <row r="737" spans="10:11">
      <c r="J737" s="158"/>
      <c r="K737" s="158"/>
    </row>
    <row r="738" spans="10:11">
      <c r="J738" s="158"/>
      <c r="K738" s="158"/>
    </row>
    <row r="739" spans="10:11">
      <c r="J739" s="158"/>
      <c r="K739" s="158"/>
    </row>
    <row r="740" spans="10:11">
      <c r="J740" s="158"/>
      <c r="K740" s="158"/>
    </row>
    <row r="741" spans="10:11">
      <c r="J741" s="158"/>
      <c r="K741" s="158"/>
    </row>
    <row r="742" spans="10:11">
      <c r="J742" s="158"/>
      <c r="K742" s="158"/>
    </row>
    <row r="743" spans="10:11">
      <c r="J743" s="158"/>
      <c r="K743" s="158"/>
    </row>
    <row r="744" spans="10:11">
      <c r="J744" s="158"/>
      <c r="K744" s="158"/>
    </row>
    <row r="745" spans="10:11">
      <c r="J745" s="158"/>
      <c r="K745" s="158"/>
    </row>
    <row r="746" spans="10:11">
      <c r="J746" s="158"/>
      <c r="K746" s="158"/>
    </row>
    <row r="747" spans="10:11">
      <c r="J747" s="158"/>
      <c r="K747" s="158"/>
    </row>
    <row r="748" spans="10:11">
      <c r="J748" s="158"/>
      <c r="K748" s="158"/>
    </row>
    <row r="749" spans="10:11">
      <c r="J749" s="158"/>
      <c r="K749" s="158"/>
    </row>
    <row r="750" spans="10:11">
      <c r="J750" s="158"/>
      <c r="K750" s="158"/>
    </row>
    <row r="751" spans="10:11">
      <c r="J751" s="158"/>
      <c r="K751" s="158"/>
    </row>
    <row r="752" spans="10:11">
      <c r="J752" s="158"/>
      <c r="K752" s="158"/>
    </row>
    <row r="753" spans="10:11">
      <c r="J753" s="158"/>
      <c r="K753" s="158"/>
    </row>
    <row r="754" spans="10:11">
      <c r="J754" s="158"/>
      <c r="K754" s="158"/>
    </row>
    <row r="755" spans="10:11">
      <c r="J755" s="158"/>
      <c r="K755" s="158"/>
    </row>
    <row r="756" spans="10:11">
      <c r="J756" s="158"/>
      <c r="K756" s="158"/>
    </row>
    <row r="757" spans="10:11">
      <c r="J757" s="158"/>
      <c r="K757" s="158"/>
    </row>
    <row r="758" spans="10:11">
      <c r="J758" s="158"/>
      <c r="K758" s="158"/>
    </row>
    <row r="759" spans="10:11">
      <c r="J759" s="158"/>
      <c r="K759" s="158"/>
    </row>
    <row r="760" spans="10:11">
      <c r="J760" s="158"/>
      <c r="K760" s="158"/>
    </row>
    <row r="761" spans="10:11">
      <c r="J761" s="158"/>
      <c r="K761" s="158"/>
    </row>
    <row r="762" spans="10:11">
      <c r="J762" s="158"/>
      <c r="K762" s="158"/>
    </row>
    <row r="763" spans="10:11">
      <c r="J763" s="158"/>
      <c r="K763" s="158"/>
    </row>
    <row r="764" spans="10:11">
      <c r="J764" s="158"/>
      <c r="K764" s="158"/>
    </row>
    <row r="765" spans="10:11">
      <c r="J765" s="158"/>
      <c r="K765" s="158"/>
    </row>
    <row r="766" spans="10:11">
      <c r="J766" s="158"/>
      <c r="K766" s="158"/>
    </row>
    <row r="767" spans="10:11">
      <c r="J767" s="158"/>
      <c r="K767" s="158"/>
    </row>
    <row r="768" spans="10:11">
      <c r="J768" s="158"/>
      <c r="K768" s="158"/>
    </row>
    <row r="769" spans="10:11">
      <c r="J769" s="158"/>
      <c r="K769" s="158"/>
    </row>
    <row r="770" spans="10:11">
      <c r="J770" s="158"/>
      <c r="K770" s="158"/>
    </row>
    <row r="771" spans="10:11">
      <c r="J771" s="158"/>
      <c r="K771" s="158"/>
    </row>
    <row r="772" spans="10:11">
      <c r="J772" s="158"/>
      <c r="K772" s="158"/>
    </row>
    <row r="773" spans="10:11">
      <c r="J773" s="158"/>
      <c r="K773" s="158"/>
    </row>
    <row r="774" spans="10:11">
      <c r="J774" s="158"/>
      <c r="K774" s="158"/>
    </row>
    <row r="775" spans="10:11">
      <c r="J775" s="158"/>
      <c r="K775" s="158"/>
    </row>
    <row r="776" spans="10:11">
      <c r="J776" s="158"/>
      <c r="K776" s="158"/>
    </row>
    <row r="777" spans="10:11">
      <c r="J777" s="158"/>
      <c r="K777" s="158"/>
    </row>
    <row r="778" spans="10:11">
      <c r="J778" s="158"/>
      <c r="K778" s="158"/>
    </row>
    <row r="779" spans="10:11">
      <c r="J779" s="158"/>
      <c r="K779" s="158"/>
    </row>
    <row r="780" spans="10:11">
      <c r="J780" s="158"/>
      <c r="K780" s="158"/>
    </row>
    <row r="781" spans="10:11">
      <c r="J781" s="158"/>
      <c r="K781" s="158"/>
    </row>
    <row r="782" spans="10:11">
      <c r="J782" s="158"/>
      <c r="K782" s="158"/>
    </row>
    <row r="783" spans="10:11">
      <c r="J783" s="158"/>
      <c r="K783" s="158"/>
    </row>
    <row r="784" spans="10:11">
      <c r="J784" s="158"/>
      <c r="K784" s="158"/>
    </row>
    <row r="785" spans="10:11">
      <c r="J785" s="158"/>
      <c r="K785" s="158"/>
    </row>
    <row r="786" spans="10:11">
      <c r="J786" s="158"/>
      <c r="K786" s="158"/>
    </row>
    <row r="787" spans="10:11">
      <c r="J787" s="158"/>
      <c r="K787" s="158"/>
    </row>
    <row r="788" spans="10:11">
      <c r="J788" s="158"/>
      <c r="K788" s="158"/>
    </row>
    <row r="789" spans="10:11">
      <c r="J789" s="158"/>
      <c r="K789" s="158"/>
    </row>
    <row r="790" spans="10:11">
      <c r="J790" s="158"/>
      <c r="K790" s="158"/>
    </row>
    <row r="791" spans="10:11">
      <c r="J791" s="158"/>
      <c r="K791" s="158"/>
    </row>
    <row r="792" spans="10:11">
      <c r="J792" s="158"/>
      <c r="K792" s="158"/>
    </row>
    <row r="793" spans="10:11">
      <c r="J793" s="158"/>
      <c r="K793" s="158"/>
    </row>
    <row r="794" spans="10:11">
      <c r="J794" s="158"/>
      <c r="K794" s="158"/>
    </row>
    <row r="795" spans="10:11">
      <c r="J795" s="158"/>
      <c r="K795" s="158"/>
    </row>
    <row r="796" spans="10:11">
      <c r="J796" s="158"/>
      <c r="K796" s="158"/>
    </row>
    <row r="797" spans="10:11">
      <c r="J797" s="158"/>
      <c r="K797" s="158"/>
    </row>
    <row r="798" spans="10:11">
      <c r="J798" s="158"/>
      <c r="K798" s="158"/>
    </row>
    <row r="799" spans="10:11">
      <c r="J799" s="158"/>
      <c r="K799" s="158"/>
    </row>
    <row r="800" spans="10:11">
      <c r="J800" s="158"/>
      <c r="K800" s="158"/>
    </row>
    <row r="801" spans="10:11">
      <c r="J801" s="158"/>
      <c r="K801" s="158"/>
    </row>
    <row r="802" spans="10:11">
      <c r="J802" s="158"/>
      <c r="K802" s="158"/>
    </row>
    <row r="803" spans="10:11">
      <c r="J803" s="158"/>
      <c r="K803" s="158"/>
    </row>
    <row r="804" spans="10:11">
      <c r="J804" s="158"/>
      <c r="K804" s="158"/>
    </row>
    <row r="805" spans="10:11">
      <c r="J805" s="158"/>
      <c r="K805" s="158"/>
    </row>
    <row r="806" spans="10:11">
      <c r="J806" s="158"/>
      <c r="K806" s="158"/>
    </row>
    <row r="807" spans="10:11">
      <c r="J807" s="158"/>
      <c r="K807" s="158"/>
    </row>
    <row r="808" spans="10:11">
      <c r="J808" s="158"/>
      <c r="K808" s="158"/>
    </row>
    <row r="809" spans="10:11">
      <c r="J809" s="158"/>
      <c r="K809" s="158"/>
    </row>
    <row r="810" spans="10:11">
      <c r="J810" s="158"/>
      <c r="K810" s="158"/>
    </row>
    <row r="811" spans="10:11">
      <c r="J811" s="158"/>
      <c r="K811" s="158"/>
    </row>
    <row r="812" spans="10:11">
      <c r="J812" s="158"/>
      <c r="K812" s="158"/>
    </row>
    <row r="813" spans="10:11">
      <c r="J813" s="158"/>
      <c r="K813" s="158"/>
    </row>
    <row r="814" spans="10:11">
      <c r="J814" s="158"/>
      <c r="K814" s="158"/>
    </row>
    <row r="815" spans="10:11">
      <c r="J815" s="158"/>
      <c r="K815" s="158"/>
    </row>
    <row r="816" spans="10:11">
      <c r="J816" s="158"/>
      <c r="K816" s="158"/>
    </row>
    <row r="817" spans="10:11">
      <c r="J817" s="158"/>
      <c r="K817" s="158"/>
    </row>
    <row r="818" spans="10:11">
      <c r="J818" s="158"/>
      <c r="K818" s="158"/>
    </row>
    <row r="819" spans="10:11">
      <c r="J819" s="158"/>
      <c r="K819" s="158"/>
    </row>
    <row r="820" spans="10:11">
      <c r="J820" s="158"/>
      <c r="K820" s="158"/>
    </row>
    <row r="821" spans="10:11">
      <c r="J821" s="158"/>
      <c r="K821" s="158"/>
    </row>
    <row r="822" spans="10:11">
      <c r="J822" s="158"/>
      <c r="K822" s="158"/>
    </row>
    <row r="823" spans="10:11">
      <c r="J823" s="158"/>
      <c r="K823" s="158"/>
    </row>
    <row r="824" spans="10:11">
      <c r="J824" s="158"/>
      <c r="K824" s="158"/>
    </row>
    <row r="825" spans="10:11">
      <c r="J825" s="158"/>
      <c r="K825" s="158"/>
    </row>
    <row r="826" spans="10:11">
      <c r="J826" s="158"/>
      <c r="K826" s="158"/>
    </row>
    <row r="827" spans="10:11">
      <c r="J827" s="158"/>
      <c r="K827" s="158"/>
    </row>
    <row r="828" spans="10:11">
      <c r="J828" s="158"/>
      <c r="K828" s="158"/>
    </row>
    <row r="829" spans="10:11">
      <c r="J829" s="158"/>
      <c r="K829" s="158"/>
    </row>
    <row r="830" spans="10:11">
      <c r="J830" s="158"/>
      <c r="K830" s="158"/>
    </row>
    <row r="831" spans="10:11">
      <c r="J831" s="158"/>
      <c r="K831" s="158"/>
    </row>
    <row r="832" spans="10:11">
      <c r="J832" s="158"/>
      <c r="K832" s="158"/>
    </row>
    <row r="833" spans="10:11">
      <c r="J833" s="158"/>
      <c r="K833" s="158"/>
    </row>
    <row r="834" spans="10:11">
      <c r="J834" s="158"/>
      <c r="K834" s="158"/>
    </row>
    <row r="835" spans="10:11">
      <c r="J835" s="158"/>
      <c r="K835" s="158"/>
    </row>
    <row r="836" spans="10:11">
      <c r="J836" s="158"/>
      <c r="K836" s="158"/>
    </row>
    <row r="837" spans="10:11">
      <c r="J837" s="158"/>
      <c r="K837" s="158"/>
    </row>
    <row r="838" spans="10:11">
      <c r="J838" s="158"/>
      <c r="K838" s="158"/>
    </row>
    <row r="839" spans="10:11">
      <c r="J839" s="158"/>
      <c r="K839" s="158"/>
    </row>
    <row r="840" spans="10:11">
      <c r="J840" s="158"/>
      <c r="K840" s="158"/>
    </row>
    <row r="841" spans="10:11">
      <c r="J841" s="158"/>
      <c r="K841" s="158"/>
    </row>
    <row r="842" spans="10:11">
      <c r="J842" s="158"/>
      <c r="K842" s="158"/>
    </row>
    <row r="843" spans="10:11">
      <c r="J843" s="158"/>
      <c r="K843" s="158"/>
    </row>
    <row r="844" spans="10:11">
      <c r="J844" s="158"/>
      <c r="K844" s="158"/>
    </row>
    <row r="845" spans="10:11">
      <c r="J845" s="158"/>
      <c r="K845" s="158"/>
    </row>
    <row r="846" spans="10:11">
      <c r="J846" s="158"/>
      <c r="K846" s="158"/>
    </row>
    <row r="847" spans="10:11">
      <c r="J847" s="158"/>
      <c r="K847" s="158"/>
    </row>
    <row r="848" spans="10:11">
      <c r="J848" s="158"/>
      <c r="K848" s="158"/>
    </row>
    <row r="849" spans="10:11">
      <c r="J849" s="158"/>
      <c r="K849" s="158"/>
    </row>
    <row r="850" spans="10:11">
      <c r="J850" s="158"/>
      <c r="K850" s="158"/>
    </row>
    <row r="851" spans="10:11">
      <c r="J851" s="158"/>
      <c r="K851" s="158"/>
    </row>
    <row r="852" spans="10:11">
      <c r="J852" s="158"/>
      <c r="K852" s="158"/>
    </row>
    <row r="853" spans="10:11">
      <c r="J853" s="158"/>
      <c r="K853" s="158"/>
    </row>
    <row r="854" spans="10:11">
      <c r="J854" s="158"/>
      <c r="K854" s="158"/>
    </row>
    <row r="855" spans="10:11">
      <c r="J855" s="158"/>
      <c r="K855" s="158"/>
    </row>
    <row r="856" spans="10:11">
      <c r="J856" s="158"/>
      <c r="K856" s="158"/>
    </row>
    <row r="857" spans="10:11">
      <c r="J857" s="158"/>
      <c r="K857" s="158"/>
    </row>
    <row r="858" spans="10:11">
      <c r="J858" s="158"/>
      <c r="K858" s="158"/>
    </row>
    <row r="859" spans="10:11">
      <c r="J859" s="158"/>
      <c r="K859" s="158"/>
    </row>
    <row r="860" spans="10:11">
      <c r="J860" s="158"/>
      <c r="K860" s="158"/>
    </row>
    <row r="861" spans="10:11">
      <c r="J861" s="158"/>
      <c r="K861" s="158"/>
    </row>
    <row r="862" spans="10:11">
      <c r="J862" s="158"/>
      <c r="K862" s="158"/>
    </row>
    <row r="863" spans="10:11">
      <c r="J863" s="158"/>
      <c r="K863" s="158"/>
    </row>
    <row r="864" spans="10:11">
      <c r="J864" s="158"/>
      <c r="K864" s="158"/>
    </row>
    <row r="865" spans="10:11">
      <c r="J865" s="158"/>
      <c r="K865" s="158"/>
    </row>
    <row r="866" spans="10:11">
      <c r="J866" s="158"/>
      <c r="K866" s="158"/>
    </row>
    <row r="867" spans="10:11">
      <c r="J867" s="158"/>
      <c r="K867" s="158"/>
    </row>
    <row r="868" spans="10:11">
      <c r="J868" s="158"/>
      <c r="K868" s="158"/>
    </row>
    <row r="869" spans="10:11">
      <c r="J869" s="158"/>
      <c r="K869" s="158"/>
    </row>
    <row r="870" spans="10:11">
      <c r="J870" s="158"/>
      <c r="K870" s="158"/>
    </row>
    <row r="871" spans="10:11">
      <c r="J871" s="158"/>
      <c r="K871" s="158"/>
    </row>
    <row r="872" spans="10:11">
      <c r="J872" s="158"/>
      <c r="K872" s="158"/>
    </row>
    <row r="873" spans="10:11">
      <c r="J873" s="158"/>
      <c r="K873" s="158"/>
    </row>
    <row r="874" spans="10:11">
      <c r="J874" s="158"/>
      <c r="K874" s="158"/>
    </row>
    <row r="875" spans="10:11">
      <c r="J875" s="158"/>
      <c r="K875" s="158"/>
    </row>
    <row r="876" spans="10:11">
      <c r="J876" s="158"/>
      <c r="K876" s="158"/>
    </row>
    <row r="877" spans="10:11">
      <c r="J877" s="158"/>
      <c r="K877" s="158"/>
    </row>
    <row r="878" spans="10:11">
      <c r="J878" s="158"/>
      <c r="K878" s="158"/>
    </row>
    <row r="879" spans="10:11">
      <c r="J879" s="158"/>
      <c r="K879" s="158"/>
    </row>
    <row r="880" spans="10:11">
      <c r="J880" s="158"/>
      <c r="K880" s="158"/>
    </row>
    <row r="881" spans="10:11">
      <c r="J881" s="158"/>
      <c r="K881" s="158"/>
    </row>
    <row r="882" spans="10:11">
      <c r="J882" s="158"/>
      <c r="K882" s="158"/>
    </row>
    <row r="883" spans="10:11">
      <c r="J883" s="158"/>
      <c r="K883" s="158"/>
    </row>
    <row r="884" spans="10:11">
      <c r="J884" s="158"/>
      <c r="K884" s="158"/>
    </row>
    <row r="885" spans="10:11">
      <c r="J885" s="158"/>
      <c r="K885" s="158"/>
    </row>
    <row r="886" spans="10:11">
      <c r="J886" s="158"/>
      <c r="K886" s="158"/>
    </row>
    <row r="887" spans="10:11">
      <c r="J887" s="158"/>
      <c r="K887" s="158"/>
    </row>
    <row r="888" spans="10:11">
      <c r="J888" s="158"/>
      <c r="K888" s="158"/>
    </row>
    <row r="889" spans="10:11">
      <c r="J889" s="158"/>
      <c r="K889" s="158"/>
    </row>
    <row r="890" spans="10:11">
      <c r="J890" s="158"/>
      <c r="K890" s="158"/>
    </row>
    <row r="891" spans="10:11">
      <c r="J891" s="158"/>
      <c r="K891" s="158"/>
    </row>
    <row r="892" spans="10:11">
      <c r="J892" s="158"/>
      <c r="K892" s="158"/>
    </row>
    <row r="893" spans="10:11">
      <c r="J893" s="158"/>
      <c r="K893" s="158"/>
    </row>
    <row r="894" spans="10:11">
      <c r="J894" s="158"/>
      <c r="K894" s="158"/>
    </row>
    <row r="895" spans="10:11">
      <c r="J895" s="158"/>
      <c r="K895" s="158"/>
    </row>
    <row r="896" spans="10:11">
      <c r="J896" s="158"/>
      <c r="K896" s="158"/>
    </row>
    <row r="897" spans="10:11">
      <c r="J897" s="158"/>
      <c r="K897" s="158"/>
    </row>
    <row r="898" spans="10:11">
      <c r="J898" s="158"/>
      <c r="K898" s="158"/>
    </row>
    <row r="899" spans="10:11">
      <c r="J899" s="158"/>
      <c r="K899" s="158"/>
    </row>
    <row r="900" spans="10:11">
      <c r="J900" s="158"/>
      <c r="K900" s="158"/>
    </row>
    <row r="901" spans="10:11">
      <c r="J901" s="158"/>
      <c r="K901" s="158"/>
    </row>
    <row r="902" spans="10:11">
      <c r="J902" s="158"/>
      <c r="K902" s="158"/>
    </row>
    <row r="903" spans="10:11">
      <c r="J903" s="158"/>
      <c r="K903" s="158"/>
    </row>
    <row r="904" spans="10:11">
      <c r="J904" s="158"/>
      <c r="K904" s="158"/>
    </row>
    <row r="905" spans="10:11">
      <c r="J905" s="158"/>
      <c r="K905" s="158"/>
    </row>
    <row r="906" spans="10:11">
      <c r="J906" s="158"/>
      <c r="K906" s="158"/>
    </row>
    <row r="907" spans="10:11">
      <c r="J907" s="158"/>
      <c r="K907" s="158"/>
    </row>
    <row r="908" spans="10:11">
      <c r="J908" s="158"/>
      <c r="K908" s="158"/>
    </row>
    <row r="909" spans="10:11">
      <c r="J909" s="158"/>
      <c r="K909" s="158"/>
    </row>
    <row r="910" spans="10:11">
      <c r="J910" s="158"/>
      <c r="K910" s="158"/>
    </row>
    <row r="911" spans="10:11">
      <c r="J911" s="158"/>
      <c r="K911" s="158"/>
    </row>
    <row r="912" spans="10:11">
      <c r="J912" s="158"/>
      <c r="K912" s="158"/>
    </row>
    <row r="913" spans="10:11">
      <c r="J913" s="158"/>
      <c r="K913" s="158"/>
    </row>
    <row r="914" spans="10:11">
      <c r="J914" s="158"/>
      <c r="K914" s="158"/>
    </row>
    <row r="915" spans="10:11">
      <c r="J915" s="158"/>
      <c r="K915" s="158"/>
    </row>
    <row r="916" spans="10:11">
      <c r="J916" s="158"/>
      <c r="K916" s="158"/>
    </row>
    <row r="917" spans="10:11">
      <c r="J917" s="158"/>
      <c r="K917" s="158"/>
    </row>
    <row r="918" spans="10:11">
      <c r="J918" s="158"/>
      <c r="K918" s="158"/>
    </row>
    <row r="919" spans="10:11">
      <c r="J919" s="158"/>
      <c r="K919" s="158"/>
    </row>
    <row r="920" spans="10:11">
      <c r="J920" s="158"/>
      <c r="K920" s="158"/>
    </row>
    <row r="921" spans="10:11">
      <c r="J921" s="158"/>
      <c r="K921" s="158"/>
    </row>
    <row r="922" spans="10:11">
      <c r="J922" s="158"/>
      <c r="K922" s="158"/>
    </row>
    <row r="923" spans="10:11">
      <c r="J923" s="158"/>
      <c r="K923" s="158"/>
    </row>
    <row r="924" spans="10:11">
      <c r="J924" s="158"/>
      <c r="K924" s="158"/>
    </row>
    <row r="925" spans="10:11">
      <c r="J925" s="158"/>
      <c r="K925" s="158"/>
    </row>
    <row r="926" spans="10:11">
      <c r="J926" s="158"/>
      <c r="K926" s="158"/>
    </row>
    <row r="927" spans="10:11">
      <c r="J927" s="158"/>
      <c r="K927" s="158"/>
    </row>
    <row r="928" spans="10:11">
      <c r="J928" s="158"/>
      <c r="K928" s="158"/>
    </row>
    <row r="929" spans="10:11">
      <c r="J929" s="158"/>
      <c r="K929" s="158"/>
    </row>
    <row r="930" spans="10:11">
      <c r="J930" s="158"/>
      <c r="K930" s="158"/>
    </row>
    <row r="931" spans="10:11">
      <c r="J931" s="158"/>
      <c r="K931" s="158"/>
    </row>
    <row r="932" spans="10:11">
      <c r="J932" s="158"/>
      <c r="K932" s="158"/>
    </row>
    <row r="933" spans="10:11">
      <c r="J933" s="158"/>
      <c r="K933" s="158"/>
    </row>
    <row r="934" spans="10:11">
      <c r="J934" s="158"/>
      <c r="K934" s="158"/>
    </row>
    <row r="935" spans="10:11">
      <c r="J935" s="158"/>
      <c r="K935" s="158"/>
    </row>
    <row r="936" spans="10:11">
      <c r="J936" s="158"/>
      <c r="K936" s="158"/>
    </row>
    <row r="937" spans="10:11">
      <c r="J937" s="158"/>
      <c r="K937" s="158"/>
    </row>
    <row r="938" spans="10:11">
      <c r="J938" s="158"/>
      <c r="K938" s="158"/>
    </row>
    <row r="939" spans="10:11">
      <c r="J939" s="158"/>
      <c r="K939" s="158"/>
    </row>
    <row r="940" spans="10:11">
      <c r="J940" s="158"/>
      <c r="K940" s="158"/>
    </row>
  </sheetData>
  <autoFilter ref="B3:AU3" xr:uid="{46F0EFB5-C0C8-E04D-BFB3-D2A2BA1F6849}">
    <sortState xmlns:xlrd2="http://schemas.microsoft.com/office/spreadsheetml/2017/richdata2" ref="B4:AU49">
      <sortCondition ref="P3:P49"/>
    </sortState>
  </autoFilter>
  <phoneticPr fontId="34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C285-AC6B-EE4C-A3A2-BD9C8E1B02E9}">
  <dimension ref="A1:AF18"/>
  <sheetViews>
    <sheetView zoomScaleNormal="100" workbookViewId="0">
      <pane xSplit="2" ySplit="3" topLeftCell="W4" activePane="bottomRight" state="frozen"/>
      <selection pane="topRight" activeCell="C1" sqref="C1"/>
      <selection pane="bottomLeft" activeCell="A5" sqref="A5"/>
      <selection pane="bottomRight" activeCell="A2" sqref="A2"/>
    </sheetView>
  </sheetViews>
  <sheetFormatPr defaultColWidth="10.83203125" defaultRowHeight="18"/>
  <cols>
    <col min="1" max="1" width="4.83203125" style="2" customWidth="1"/>
    <col min="2" max="3" width="43.83203125" style="2" customWidth="1"/>
    <col min="4" max="4" width="44.6640625" style="2" customWidth="1"/>
    <col min="5" max="5" width="24.83203125" style="5" customWidth="1"/>
    <col min="6" max="7" width="15.83203125" style="158" customWidth="1"/>
    <col min="8" max="9" width="15.83203125" style="5" customWidth="1"/>
    <col min="10" max="11" width="37.83203125" style="158" customWidth="1"/>
    <col min="12" max="12" width="12.83203125" style="2" customWidth="1"/>
    <col min="13" max="14" width="12.83203125" style="5" customWidth="1"/>
    <col min="15" max="15" width="5" style="158" customWidth="1"/>
    <col min="16" max="18" width="24.83203125" style="5" customWidth="1"/>
    <col min="19" max="21" width="12.83203125" style="2" customWidth="1"/>
    <col min="22" max="22" width="20.83203125" style="158" customWidth="1"/>
    <col min="23" max="23" width="16.83203125" style="2" customWidth="1"/>
    <col min="24" max="24" width="4.83203125" style="2" customWidth="1"/>
    <col min="25" max="26" width="15.83203125" style="158" customWidth="1"/>
    <col min="27" max="27" width="17.5" style="2" customWidth="1"/>
    <col min="28" max="28" width="17.33203125" style="158" customWidth="1"/>
    <col min="29" max="29" width="13.5" style="2" customWidth="1"/>
    <col min="30" max="30" width="10.83203125" style="2" customWidth="1"/>
    <col min="31" max="31" width="80" style="2" customWidth="1"/>
    <col min="32" max="32" width="43.33203125" style="2" customWidth="1"/>
    <col min="33" max="16384" width="10.83203125" style="2"/>
  </cols>
  <sheetData>
    <row r="1" spans="1:32" ht="20.7">
      <c r="A1" s="151" t="s">
        <v>79</v>
      </c>
      <c r="B1" s="21" t="s">
        <v>910</v>
      </c>
      <c r="C1" s="21"/>
      <c r="D1" s="24"/>
      <c r="J1" s="21"/>
      <c r="K1" s="21"/>
      <c r="P1" s="253" t="s">
        <v>40</v>
      </c>
      <c r="Q1" s="253"/>
      <c r="R1" s="253"/>
      <c r="S1" s="26"/>
      <c r="T1" s="26"/>
      <c r="U1" s="26"/>
      <c r="Y1" s="253" t="s">
        <v>41</v>
      </c>
      <c r="Z1" s="49"/>
      <c r="AA1" s="253"/>
      <c r="AD1" s="25"/>
      <c r="AE1" s="25"/>
    </row>
    <row r="2" spans="1:32" s="8" customFormat="1" ht="54">
      <c r="A2" s="3"/>
      <c r="B2" s="23" t="s">
        <v>18</v>
      </c>
      <c r="C2" s="23" t="s">
        <v>1147</v>
      </c>
      <c r="D2" s="23" t="s">
        <v>13</v>
      </c>
      <c r="E2" s="23" t="s">
        <v>21</v>
      </c>
      <c r="F2" s="23" t="s">
        <v>14</v>
      </c>
      <c r="G2" s="23" t="s">
        <v>15</v>
      </c>
      <c r="H2" s="23" t="s">
        <v>820</v>
      </c>
      <c r="I2" s="23" t="s">
        <v>821</v>
      </c>
      <c r="J2" s="23" t="s">
        <v>612</v>
      </c>
      <c r="K2" s="23" t="s">
        <v>613</v>
      </c>
      <c r="L2" s="23" t="s">
        <v>822</v>
      </c>
      <c r="M2" s="23" t="s">
        <v>17</v>
      </c>
      <c r="N2" s="23" t="s">
        <v>133</v>
      </c>
      <c r="O2" s="158"/>
      <c r="P2" s="23" t="s">
        <v>474</v>
      </c>
      <c r="Q2" s="23" t="s">
        <v>823</v>
      </c>
      <c r="R2" s="23" t="s">
        <v>911</v>
      </c>
      <c r="S2" s="23" t="s">
        <v>912</v>
      </c>
      <c r="T2" s="23" t="s">
        <v>913</v>
      </c>
      <c r="U2" s="23" t="s">
        <v>914</v>
      </c>
      <c r="V2" s="23" t="s">
        <v>915</v>
      </c>
      <c r="W2" s="23" t="s">
        <v>916</v>
      </c>
      <c r="X2" s="158"/>
      <c r="Y2" s="23" t="s">
        <v>26</v>
      </c>
      <c r="Z2" s="23" t="s">
        <v>27</v>
      </c>
      <c r="AA2" s="23" t="s">
        <v>53</v>
      </c>
      <c r="AB2" s="23" t="s">
        <v>144</v>
      </c>
      <c r="AC2" s="23" t="s">
        <v>24</v>
      </c>
      <c r="AD2" s="23" t="s">
        <v>25</v>
      </c>
      <c r="AE2" s="23" t="s">
        <v>568</v>
      </c>
      <c r="AF2" s="23" t="s">
        <v>46</v>
      </c>
    </row>
    <row r="3" spans="1:32" s="3" customFormat="1">
      <c r="B3" s="17"/>
      <c r="C3" s="17"/>
      <c r="D3" s="17"/>
      <c r="E3" s="17"/>
      <c r="F3" s="158"/>
      <c r="G3" s="158"/>
      <c r="H3" s="17"/>
      <c r="I3" s="17"/>
      <c r="J3" s="158"/>
      <c r="K3" s="158"/>
      <c r="L3" s="17" t="s">
        <v>917</v>
      </c>
      <c r="M3" s="17"/>
      <c r="N3" s="17"/>
      <c r="O3" s="158"/>
      <c r="P3" s="17"/>
      <c r="Q3" s="17"/>
      <c r="R3" s="17"/>
      <c r="S3" s="17" t="s">
        <v>19</v>
      </c>
      <c r="T3" s="17" t="s">
        <v>515</v>
      </c>
      <c r="U3" s="17" t="s">
        <v>918</v>
      </c>
      <c r="V3" s="17"/>
      <c r="W3" s="17" t="s">
        <v>465</v>
      </c>
      <c r="X3" s="158"/>
      <c r="Y3" s="17" t="s">
        <v>31</v>
      </c>
      <c r="Z3" s="17" t="s">
        <v>31</v>
      </c>
      <c r="AA3" s="17" t="s">
        <v>32</v>
      </c>
      <c r="AB3" s="17" t="s">
        <v>501</v>
      </c>
      <c r="AC3" s="134" t="s">
        <v>502</v>
      </c>
      <c r="AD3" s="17" t="s">
        <v>23</v>
      </c>
      <c r="AE3" s="17"/>
      <c r="AF3" s="17"/>
    </row>
    <row r="4" spans="1:32">
      <c r="B4" s="254"/>
      <c r="C4" s="254"/>
      <c r="D4" s="254"/>
      <c r="E4" s="255"/>
      <c r="F4" s="107"/>
      <c r="G4" s="107"/>
      <c r="H4" s="255"/>
      <c r="I4" s="255"/>
      <c r="J4" s="255"/>
      <c r="K4" s="255"/>
      <c r="L4" s="213"/>
      <c r="M4" s="255"/>
      <c r="N4" s="255"/>
      <c r="O4" s="235"/>
      <c r="P4" s="255"/>
      <c r="Q4" s="255"/>
      <c r="R4" s="255"/>
      <c r="S4" s="213"/>
      <c r="T4" s="213"/>
      <c r="U4" s="213"/>
      <c r="V4" s="256"/>
      <c r="W4" s="124"/>
      <c r="X4" s="236"/>
      <c r="Y4" s="213"/>
      <c r="Z4" s="213"/>
      <c r="AA4" s="124"/>
      <c r="AB4" s="213"/>
      <c r="AC4" s="124"/>
      <c r="AD4" s="124"/>
      <c r="AE4" s="254"/>
      <c r="AF4" s="254"/>
    </row>
    <row r="5" spans="1:32">
      <c r="B5" s="254"/>
      <c r="C5" s="254"/>
      <c r="D5" s="254"/>
      <c r="E5" s="255"/>
      <c r="F5" s="107"/>
      <c r="G5" s="107"/>
      <c r="H5" s="255"/>
      <c r="I5" s="255"/>
      <c r="J5" s="255"/>
      <c r="K5" s="255"/>
      <c r="L5" s="213"/>
      <c r="M5" s="255"/>
      <c r="N5" s="255"/>
      <c r="O5" s="235"/>
      <c r="P5" s="255"/>
      <c r="Q5" s="255"/>
      <c r="R5" s="255"/>
      <c r="S5" s="213"/>
      <c r="T5" s="213"/>
      <c r="U5" s="213"/>
      <c r="V5" s="256"/>
      <c r="W5" s="124"/>
      <c r="X5" s="236"/>
      <c r="Y5" s="213"/>
      <c r="Z5" s="213"/>
      <c r="AA5" s="124"/>
      <c r="AB5" s="213"/>
      <c r="AC5" s="124"/>
      <c r="AD5" s="124"/>
      <c r="AE5" s="254"/>
      <c r="AF5" s="254"/>
    </row>
    <row r="6" spans="1:32">
      <c r="B6" s="254"/>
      <c r="C6" s="254"/>
      <c r="D6" s="254"/>
      <c r="E6" s="255"/>
      <c r="F6" s="107"/>
      <c r="G6" s="107"/>
      <c r="H6" s="255"/>
      <c r="I6" s="255"/>
      <c r="J6" s="255"/>
      <c r="K6" s="255"/>
      <c r="L6" s="213"/>
      <c r="M6" s="255"/>
      <c r="N6" s="255"/>
      <c r="O6" s="235"/>
      <c r="P6" s="255"/>
      <c r="Q6" s="255"/>
      <c r="R6" s="255"/>
      <c r="S6" s="213"/>
      <c r="T6" s="213"/>
      <c r="U6" s="213"/>
      <c r="V6" s="256"/>
      <c r="W6" s="124"/>
      <c r="X6" s="236"/>
      <c r="Y6" s="213"/>
      <c r="Z6" s="213"/>
      <c r="AA6" s="124"/>
      <c r="AB6" s="213"/>
      <c r="AC6" s="124"/>
      <c r="AD6" s="124"/>
      <c r="AE6" s="254"/>
      <c r="AF6" s="254"/>
    </row>
    <row r="7" spans="1:32">
      <c r="B7" s="254"/>
      <c r="C7" s="254"/>
      <c r="D7" s="254"/>
      <c r="E7" s="255"/>
      <c r="F7" s="107"/>
      <c r="G7" s="107"/>
      <c r="H7" s="255"/>
      <c r="I7" s="255"/>
      <c r="J7" s="255"/>
      <c r="K7" s="255"/>
      <c r="L7" s="213"/>
      <c r="M7" s="255"/>
      <c r="N7" s="255"/>
      <c r="O7" s="235"/>
      <c r="P7" s="255"/>
      <c r="Q7" s="255"/>
      <c r="R7" s="255"/>
      <c r="S7" s="213"/>
      <c r="T7" s="213"/>
      <c r="U7" s="124"/>
      <c r="V7" s="256"/>
      <c r="W7" s="124"/>
      <c r="X7" s="236"/>
      <c r="Y7" s="124"/>
      <c r="Z7" s="124"/>
      <c r="AA7" s="124"/>
      <c r="AB7" s="213"/>
      <c r="AC7" s="124"/>
      <c r="AD7" s="124"/>
      <c r="AE7" s="254"/>
      <c r="AF7" s="254"/>
    </row>
    <row r="8" spans="1:32">
      <c r="B8" s="254"/>
      <c r="C8" s="254"/>
      <c r="D8" s="254"/>
      <c r="E8" s="255"/>
      <c r="F8" s="107"/>
      <c r="G8" s="107"/>
      <c r="H8" s="255"/>
      <c r="I8" s="255"/>
      <c r="J8" s="255"/>
      <c r="K8" s="255"/>
      <c r="L8" s="213"/>
      <c r="M8" s="255"/>
      <c r="N8" s="255"/>
      <c r="O8" s="235"/>
      <c r="P8" s="255"/>
      <c r="Q8" s="255"/>
      <c r="R8" s="255"/>
      <c r="S8" s="213"/>
      <c r="T8" s="213"/>
      <c r="U8" s="237"/>
      <c r="V8" s="238"/>
      <c r="W8" s="213"/>
      <c r="X8" s="236"/>
      <c r="Y8" s="213"/>
      <c r="Z8" s="213"/>
      <c r="AA8" s="124"/>
      <c r="AB8" s="213"/>
      <c r="AC8" s="124"/>
      <c r="AD8" s="124"/>
      <c r="AE8" s="254"/>
      <c r="AF8" s="254"/>
    </row>
    <row r="9" spans="1:32">
      <c r="E9" s="2"/>
      <c r="H9" s="2"/>
      <c r="I9" s="2"/>
      <c r="M9" s="2"/>
      <c r="N9" s="2"/>
      <c r="O9" s="2"/>
      <c r="P9" s="2"/>
      <c r="Q9" s="2"/>
      <c r="R9" s="2"/>
      <c r="S9" s="239"/>
      <c r="T9" s="239"/>
      <c r="V9" s="2"/>
      <c r="Y9" s="2"/>
      <c r="Z9" s="2"/>
      <c r="AB9" s="2"/>
    </row>
    <row r="10" spans="1:32">
      <c r="D10" s="31"/>
      <c r="E10" s="44"/>
      <c r="F10" s="5"/>
      <c r="G10" s="5"/>
      <c r="L10" s="158"/>
      <c r="M10" s="44"/>
      <c r="N10" s="44"/>
      <c r="S10" s="28"/>
      <c r="T10" s="28"/>
      <c r="U10" s="28"/>
      <c r="W10" s="33"/>
      <c r="X10" s="33"/>
      <c r="Y10" s="2"/>
      <c r="Z10" s="2"/>
      <c r="AA10" s="158"/>
      <c r="AB10" s="2"/>
    </row>
    <row r="11" spans="1:32">
      <c r="A11" s="240" t="s">
        <v>550</v>
      </c>
      <c r="B11" s="13"/>
      <c r="C11" s="13"/>
      <c r="O11" s="5"/>
      <c r="P11" s="44"/>
      <c r="Q11" s="44"/>
      <c r="R11" s="44"/>
      <c r="S11" s="5"/>
      <c r="T11" s="5"/>
      <c r="U11" s="158"/>
      <c r="V11" s="5"/>
      <c r="Y11" s="2"/>
      <c r="Z11" s="2"/>
      <c r="AB11" s="2"/>
    </row>
    <row r="12" spans="1:32" s="158" customFormat="1">
      <c r="A12" s="2"/>
      <c r="P12" s="5"/>
      <c r="Q12" s="5"/>
      <c r="R12" s="5"/>
      <c r="Y12" s="2"/>
      <c r="Z12" s="2"/>
      <c r="AA12" s="2"/>
      <c r="AB12" s="2"/>
      <c r="AC12" s="2"/>
      <c r="AD12" s="2"/>
      <c r="AE12" s="2"/>
      <c r="AF12" s="2"/>
    </row>
    <row r="13" spans="1:32">
      <c r="A13" s="10"/>
      <c r="B13" s="10"/>
      <c r="C13" s="10"/>
      <c r="P13" s="44"/>
      <c r="Q13" s="44"/>
      <c r="R13" s="44"/>
    </row>
    <row r="14" spans="1:32" s="158" customFormat="1">
      <c r="A14" s="2"/>
      <c r="P14" s="44"/>
      <c r="Q14" s="44"/>
      <c r="R14" s="44"/>
      <c r="Y14" s="2"/>
      <c r="Z14" s="2"/>
      <c r="AA14" s="2"/>
      <c r="AB14" s="2"/>
      <c r="AC14" s="2"/>
      <c r="AD14" s="2"/>
      <c r="AE14" s="2"/>
      <c r="AF14" s="2"/>
    </row>
    <row r="15" spans="1:32">
      <c r="B15" s="6"/>
      <c r="C15" s="6"/>
      <c r="D15" s="44"/>
      <c r="E15" s="44"/>
      <c r="F15" s="44"/>
      <c r="H15" s="158"/>
      <c r="I15" s="158"/>
      <c r="L15" s="44"/>
      <c r="M15" s="29"/>
      <c r="N15" s="44"/>
      <c r="O15" s="44"/>
      <c r="P15" s="44"/>
      <c r="Q15" s="44"/>
      <c r="R15" s="44"/>
      <c r="S15" s="158"/>
      <c r="T15" s="158"/>
      <c r="U15" s="44"/>
      <c r="V15" s="28"/>
      <c r="W15" s="28"/>
      <c r="X15" s="46"/>
      <c r="Y15" s="2"/>
      <c r="Z15" s="2"/>
      <c r="AB15" s="2"/>
    </row>
    <row r="16" spans="1:32">
      <c r="B16" s="6"/>
      <c r="C16" s="6"/>
      <c r="D16" s="44"/>
      <c r="E16" s="44"/>
      <c r="F16" s="44"/>
      <c r="H16" s="158"/>
      <c r="I16" s="158"/>
      <c r="L16" s="44"/>
      <c r="M16" s="29"/>
      <c r="N16" s="44"/>
      <c r="O16" s="44"/>
      <c r="P16" s="44"/>
      <c r="Q16" s="44"/>
      <c r="R16" s="44"/>
      <c r="S16" s="158"/>
      <c r="T16" s="158"/>
      <c r="U16" s="44"/>
      <c r="V16" s="28"/>
      <c r="W16" s="28"/>
      <c r="X16" s="46"/>
      <c r="Y16" s="2"/>
      <c r="Z16" s="2"/>
      <c r="AB16" s="2"/>
    </row>
    <row r="17" spans="1:28">
      <c r="A17" s="137"/>
      <c r="D17" s="11"/>
      <c r="E17" s="38"/>
      <c r="F17" s="2"/>
      <c r="G17" s="2"/>
      <c r="H17" s="13"/>
      <c r="I17" s="13"/>
      <c r="L17" s="43"/>
      <c r="M17" s="40"/>
      <c r="N17" s="43"/>
      <c r="O17" s="40"/>
      <c r="P17" s="13"/>
      <c r="Q17" s="13"/>
      <c r="R17" s="13"/>
      <c r="S17" s="40"/>
      <c r="T17" s="40"/>
      <c r="U17" s="12"/>
      <c r="V17" s="12"/>
      <c r="W17" s="12"/>
      <c r="X17" s="38"/>
      <c r="Y17" s="2"/>
      <c r="Z17" s="2"/>
      <c r="AB17" s="2"/>
    </row>
    <row r="18" spans="1:28">
      <c r="E18" s="2"/>
      <c r="F18" s="2"/>
      <c r="G18" s="2"/>
      <c r="H18" s="2"/>
      <c r="I18" s="2"/>
      <c r="M18" s="2"/>
      <c r="O18" s="13"/>
      <c r="V18" s="2"/>
      <c r="W18" s="158"/>
      <c r="X18" s="158"/>
      <c r="Y18" s="2"/>
      <c r="Z18" s="2"/>
      <c r="AB18" s="2"/>
    </row>
  </sheetData>
  <autoFilter ref="B3:AF3" xr:uid="{6D8CD986-3823-2645-84B2-284C80001638}">
    <sortState xmlns:xlrd2="http://schemas.microsoft.com/office/spreadsheetml/2017/richdata2" ref="B4:AF228">
      <sortCondition ref="Q3:Q22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23A6-FF2D-2043-B36C-4BE8CEA26BB7}">
  <sheetPr codeName="Sheet4"/>
  <dimension ref="A1:AY14"/>
  <sheetViews>
    <sheetView topLeftCell="AF1" zoomScaleNormal="100" workbookViewId="0">
      <selection activeCell="AY4" sqref="AY4"/>
    </sheetView>
  </sheetViews>
  <sheetFormatPr defaultColWidth="8.83203125" defaultRowHeight="18"/>
  <cols>
    <col min="1" max="1" width="4.83203125" style="32" customWidth="1"/>
    <col min="2" max="2" width="20.5" style="32" bestFit="1" customWidth="1"/>
    <col min="3" max="3" width="17.5" style="32" customWidth="1"/>
    <col min="4" max="4" width="18.83203125" style="32" bestFit="1" customWidth="1"/>
    <col min="5" max="5" width="18.83203125" style="158" customWidth="1"/>
    <col min="6" max="6" width="15.83203125" style="32" bestFit="1" customWidth="1"/>
    <col min="7" max="7" width="15.83203125" style="158" customWidth="1"/>
    <col min="8" max="8" width="19.1640625" style="32" customWidth="1"/>
    <col min="9" max="9" width="14.1640625" style="158" customWidth="1"/>
    <col min="10" max="10" width="17.5" style="158" customWidth="1"/>
    <col min="11" max="11" width="15.83203125" style="32" bestFit="1" customWidth="1"/>
    <col min="12" max="12" width="14.33203125" style="32" bestFit="1" customWidth="1"/>
    <col min="13" max="13" width="11.6640625" style="2" customWidth="1"/>
    <col min="14" max="14" width="16.6640625" style="32" bestFit="1" customWidth="1"/>
    <col min="15" max="15" width="10.5" style="32" bestFit="1" customWidth="1"/>
    <col min="16" max="16" width="10.83203125" style="32" bestFit="1" customWidth="1"/>
    <col min="17" max="17" width="13.83203125" style="32" customWidth="1"/>
    <col min="18" max="18" width="13.1640625" style="32" bestFit="1" customWidth="1"/>
    <col min="19" max="19" width="13.6640625" style="32" bestFit="1" customWidth="1"/>
    <col min="20" max="20" width="13.1640625" style="32" customWidth="1"/>
    <col min="21" max="21" width="9.6640625" style="32" bestFit="1" customWidth="1"/>
    <col min="22" max="22" width="18.83203125" style="32" bestFit="1" customWidth="1"/>
    <col min="23" max="23" width="23" style="32" customWidth="1"/>
    <col min="24" max="24" width="14.33203125" style="32" bestFit="1" customWidth="1"/>
    <col min="25" max="25" width="18.5" style="32" customWidth="1"/>
    <col min="26" max="26" width="14.33203125" style="32" bestFit="1" customWidth="1"/>
    <col min="27" max="27" width="7.5" style="32" bestFit="1" customWidth="1"/>
    <col min="28" max="33" width="15" style="32" customWidth="1"/>
    <col min="34" max="34" width="13.1640625" style="32" bestFit="1" customWidth="1"/>
    <col min="35" max="35" width="8.6640625" style="32" bestFit="1" customWidth="1"/>
    <col min="36" max="36" width="8.83203125" style="32"/>
    <col min="37" max="48" width="7.5" style="32" bestFit="1" customWidth="1"/>
    <col min="49" max="49" width="7.5" style="14" customWidth="1"/>
    <col min="50" max="50" width="30.83203125" style="14" customWidth="1"/>
    <col min="51" max="51" width="26" style="32" customWidth="1"/>
    <col min="52" max="16384" width="8.83203125" style="32"/>
  </cols>
  <sheetData>
    <row r="1" spans="1:51" s="21" customFormat="1" ht="20.7">
      <c r="A1" s="21" t="s">
        <v>79</v>
      </c>
      <c r="B1" s="21" t="s">
        <v>442</v>
      </c>
      <c r="AB1" s="21" t="s">
        <v>831</v>
      </c>
    </row>
    <row r="2" spans="1:51" s="120" customFormat="1" ht="54">
      <c r="B2" s="23" t="s">
        <v>18</v>
      </c>
      <c r="C2" s="23" t="s">
        <v>474</v>
      </c>
      <c r="D2" s="23" t="s">
        <v>16</v>
      </c>
      <c r="E2" s="23" t="s">
        <v>824</v>
      </c>
      <c r="F2" s="23" t="s">
        <v>825</v>
      </c>
      <c r="G2" s="23" t="s">
        <v>536</v>
      </c>
      <c r="H2" s="23" t="s">
        <v>830</v>
      </c>
      <c r="I2" s="23" t="s">
        <v>43</v>
      </c>
      <c r="J2" s="109" t="s">
        <v>829</v>
      </c>
      <c r="K2" s="109" t="s">
        <v>426</v>
      </c>
      <c r="L2" s="109" t="s">
        <v>427</v>
      </c>
      <c r="M2" s="109" t="s">
        <v>428</v>
      </c>
      <c r="N2" s="109" t="s">
        <v>429</v>
      </c>
      <c r="O2" s="109" t="s">
        <v>430</v>
      </c>
      <c r="P2" s="109" t="s">
        <v>431</v>
      </c>
      <c r="Q2" s="109" t="s">
        <v>432</v>
      </c>
      <c r="R2" s="109" t="s">
        <v>433</v>
      </c>
      <c r="S2" s="109" t="s">
        <v>434</v>
      </c>
      <c r="T2" s="109" t="s">
        <v>435</v>
      </c>
      <c r="U2" s="109" t="s">
        <v>436</v>
      </c>
      <c r="V2" s="109" t="s">
        <v>57</v>
      </c>
      <c r="W2" s="109" t="s">
        <v>437</v>
      </c>
      <c r="X2" s="109" t="s">
        <v>110</v>
      </c>
      <c r="Y2" s="109" t="s">
        <v>438</v>
      </c>
      <c r="Z2" s="109" t="s">
        <v>111</v>
      </c>
      <c r="AA2" s="17"/>
      <c r="AB2" s="109" t="s">
        <v>437</v>
      </c>
      <c r="AC2" s="109" t="s">
        <v>139</v>
      </c>
      <c r="AD2" s="109" t="s">
        <v>138</v>
      </c>
      <c r="AE2" s="109" t="s">
        <v>0</v>
      </c>
      <c r="AF2" s="109" t="s">
        <v>439</v>
      </c>
      <c r="AG2" s="109" t="s">
        <v>440</v>
      </c>
      <c r="AH2" s="109" t="s">
        <v>47</v>
      </c>
      <c r="AI2" s="109" t="s">
        <v>48</v>
      </c>
      <c r="AJ2" s="109" t="s">
        <v>54</v>
      </c>
      <c r="AK2" s="109" t="s">
        <v>4</v>
      </c>
      <c r="AL2" s="109" t="s">
        <v>5</v>
      </c>
      <c r="AM2" s="109" t="s">
        <v>6</v>
      </c>
      <c r="AN2" s="109" t="s">
        <v>7</v>
      </c>
      <c r="AO2" s="109" t="s">
        <v>8</v>
      </c>
      <c r="AP2" s="109" t="s">
        <v>9</v>
      </c>
      <c r="AQ2" s="109" t="s">
        <v>10</v>
      </c>
      <c r="AR2" s="109" t="s">
        <v>11</v>
      </c>
      <c r="AS2" s="109" t="s">
        <v>12</v>
      </c>
      <c r="AT2" s="109" t="s">
        <v>1</v>
      </c>
      <c r="AU2" s="109" t="s">
        <v>2</v>
      </c>
      <c r="AV2" s="109" t="s">
        <v>3</v>
      </c>
      <c r="AW2" s="83"/>
      <c r="AX2" s="23" t="s">
        <v>568</v>
      </c>
      <c r="AY2" s="23" t="s">
        <v>46</v>
      </c>
    </row>
    <row r="3" spans="1:51" s="120" customFormat="1">
      <c r="B3" s="17"/>
      <c r="C3" s="17"/>
      <c r="D3" s="17" t="s">
        <v>19</v>
      </c>
      <c r="E3" s="17"/>
      <c r="F3" s="17" t="s">
        <v>19</v>
      </c>
      <c r="G3" s="17"/>
      <c r="H3" s="17" t="s">
        <v>20</v>
      </c>
      <c r="I3" s="17"/>
      <c r="J3" s="17"/>
      <c r="K3" s="17"/>
      <c r="L3" s="17" t="s">
        <v>49</v>
      </c>
      <c r="M3" s="17" t="s">
        <v>49</v>
      </c>
      <c r="N3" s="17" t="s">
        <v>49</v>
      </c>
      <c r="O3" s="17" t="s">
        <v>49</v>
      </c>
      <c r="P3" s="17" t="s">
        <v>141</v>
      </c>
      <c r="Q3" s="17" t="s">
        <v>141</v>
      </c>
      <c r="R3" s="17" t="s">
        <v>141</v>
      </c>
      <c r="S3" s="17" t="s">
        <v>441</v>
      </c>
      <c r="T3" s="17" t="s">
        <v>31</v>
      </c>
      <c r="U3" s="17"/>
      <c r="V3" s="17" t="s">
        <v>58</v>
      </c>
      <c r="W3" s="17"/>
      <c r="X3" s="17" t="s">
        <v>58</v>
      </c>
      <c r="Y3" s="17"/>
      <c r="Z3" s="17" t="s">
        <v>58</v>
      </c>
      <c r="AA3" s="17"/>
      <c r="AB3" s="17"/>
      <c r="AC3" s="17" t="s">
        <v>49</v>
      </c>
      <c r="AD3" s="17" t="s">
        <v>49</v>
      </c>
      <c r="AE3" s="17" t="s">
        <v>49</v>
      </c>
      <c r="AF3" s="73" t="s">
        <v>49</v>
      </c>
      <c r="AG3" s="17" t="s">
        <v>49</v>
      </c>
      <c r="AH3" s="17" t="s">
        <v>140</v>
      </c>
      <c r="AI3" s="17" t="s">
        <v>140</v>
      </c>
      <c r="AJ3" s="17" t="s">
        <v>140</v>
      </c>
      <c r="AK3" s="17" t="s">
        <v>141</v>
      </c>
      <c r="AL3" s="17" t="s">
        <v>141</v>
      </c>
      <c r="AM3" s="17" t="s">
        <v>141</v>
      </c>
      <c r="AN3" s="17" t="s">
        <v>141</v>
      </c>
      <c r="AO3" s="17" t="s">
        <v>141</v>
      </c>
      <c r="AP3" s="17" t="s">
        <v>141</v>
      </c>
      <c r="AQ3" s="17" t="s">
        <v>141</v>
      </c>
      <c r="AR3" s="17" t="s">
        <v>141</v>
      </c>
      <c r="AS3" s="17" t="s">
        <v>141</v>
      </c>
      <c r="AT3" s="17" t="s">
        <v>141</v>
      </c>
      <c r="AU3" s="17" t="s">
        <v>141</v>
      </c>
      <c r="AV3" s="17" t="s">
        <v>141</v>
      </c>
      <c r="AW3" s="83"/>
      <c r="AX3" s="83"/>
      <c r="AY3" s="17"/>
    </row>
    <row r="4" spans="1:51" s="53" customFormat="1">
      <c r="B4" s="18" t="s">
        <v>83</v>
      </c>
      <c r="C4" s="19" t="s">
        <v>420</v>
      </c>
      <c r="D4" s="125">
        <v>666</v>
      </c>
      <c r="E4" s="241">
        <f>System!$C$12</f>
        <v>0.95</v>
      </c>
      <c r="F4" s="125">
        <f>D4*E4</f>
        <v>632.69999999999993</v>
      </c>
      <c r="G4" s="203">
        <v>0.28000000000000003</v>
      </c>
      <c r="H4" s="204">
        <f t="shared" ref="H4" si="0">D4*24*365*G4/1000</f>
        <v>1633.5648000000001</v>
      </c>
      <c r="I4" s="68">
        <v>6</v>
      </c>
      <c r="J4" s="98"/>
      <c r="K4" s="18"/>
      <c r="L4" s="124"/>
      <c r="M4" s="124"/>
      <c r="N4" s="124"/>
      <c r="O4" s="124"/>
      <c r="P4" s="124"/>
      <c r="Q4" s="124"/>
      <c r="R4" s="124"/>
      <c r="S4" s="124"/>
      <c r="T4" s="124"/>
      <c r="U4" s="47"/>
      <c r="V4" s="75" t="s">
        <v>116</v>
      </c>
      <c r="W4" s="18" t="s">
        <v>100</v>
      </c>
      <c r="X4" s="18"/>
      <c r="Y4" s="18" t="s">
        <v>100</v>
      </c>
      <c r="Z4" s="18"/>
      <c r="AA4" s="17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3"/>
      <c r="AX4" s="123"/>
      <c r="AY4" s="18"/>
    </row>
    <row r="5" spans="1:51" s="53" customFormat="1">
      <c r="B5" s="18" t="s">
        <v>84</v>
      </c>
      <c r="C5" s="19" t="s">
        <v>420</v>
      </c>
      <c r="D5" s="125">
        <v>113</v>
      </c>
      <c r="E5" s="241">
        <f>System!$C$12</f>
        <v>0.95</v>
      </c>
      <c r="F5" s="125">
        <f t="shared" ref="F5:F7" si="1">D5*E5</f>
        <v>107.35</v>
      </c>
      <c r="G5" s="203">
        <v>0.46</v>
      </c>
      <c r="H5" s="204">
        <f t="shared" ref="H5:H7" si="2">D5*24*365*G5/1000</f>
        <v>455.34480000000002</v>
      </c>
      <c r="I5" s="68">
        <v>3</v>
      </c>
      <c r="J5" s="98"/>
      <c r="K5" s="18"/>
      <c r="L5" s="124"/>
      <c r="M5" s="124"/>
      <c r="N5" s="124"/>
      <c r="O5" s="124"/>
      <c r="P5" s="124"/>
      <c r="Q5" s="124"/>
      <c r="R5" s="124"/>
      <c r="S5" s="124"/>
      <c r="T5" s="124"/>
      <c r="U5" s="47"/>
      <c r="V5" s="75" t="s">
        <v>115</v>
      </c>
      <c r="W5" s="18" t="s">
        <v>100</v>
      </c>
      <c r="X5" s="18"/>
      <c r="Y5" s="18" t="s">
        <v>100</v>
      </c>
      <c r="Z5" s="18"/>
      <c r="AA5" s="17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3"/>
      <c r="AX5" s="123"/>
      <c r="AY5" s="18"/>
    </row>
    <row r="6" spans="1:51" s="53" customFormat="1">
      <c r="B6" s="18" t="s">
        <v>85</v>
      </c>
      <c r="C6" s="19" t="s">
        <v>420</v>
      </c>
      <c r="D6" s="125">
        <v>64</v>
      </c>
      <c r="E6" s="241">
        <f>System!$C$12</f>
        <v>0.95</v>
      </c>
      <c r="F6" s="125">
        <f t="shared" si="1"/>
        <v>60.8</v>
      </c>
      <c r="G6" s="203">
        <v>0.76</v>
      </c>
      <c r="H6" s="204">
        <f t="shared" si="2"/>
        <v>426.08640000000003</v>
      </c>
      <c r="I6" s="68">
        <v>4</v>
      </c>
      <c r="J6" s="98"/>
      <c r="K6" s="18"/>
      <c r="L6" s="124"/>
      <c r="M6" s="124"/>
      <c r="N6" s="124"/>
      <c r="O6" s="124"/>
      <c r="P6" s="124"/>
      <c r="Q6" s="124"/>
      <c r="R6" s="124"/>
      <c r="S6" s="124"/>
      <c r="T6" s="124"/>
      <c r="U6" s="47"/>
      <c r="V6" s="75" t="s">
        <v>112</v>
      </c>
      <c r="W6" s="18" t="s">
        <v>100</v>
      </c>
      <c r="X6" s="75" t="s">
        <v>113</v>
      </c>
      <c r="Y6" s="18" t="s">
        <v>100</v>
      </c>
      <c r="Z6" s="75" t="s">
        <v>112</v>
      </c>
      <c r="AA6" s="17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3"/>
      <c r="AX6" s="123"/>
      <c r="AY6" s="18"/>
    </row>
    <row r="7" spans="1:51" s="53" customFormat="1">
      <c r="B7" s="18" t="s">
        <v>86</v>
      </c>
      <c r="C7" s="19" t="s">
        <v>420</v>
      </c>
      <c r="D7" s="125">
        <v>20</v>
      </c>
      <c r="E7" s="241">
        <f>System!$C$12</f>
        <v>0.95</v>
      </c>
      <c r="F7" s="125">
        <f t="shared" si="1"/>
        <v>19</v>
      </c>
      <c r="G7" s="203">
        <v>0.55000000000000004</v>
      </c>
      <c r="H7" s="204">
        <f t="shared" si="2"/>
        <v>96.360000000000014</v>
      </c>
      <c r="I7" s="68">
        <v>2</v>
      </c>
      <c r="J7" s="98"/>
      <c r="K7" s="18"/>
      <c r="L7" s="124"/>
      <c r="M7" s="124"/>
      <c r="N7" s="124"/>
      <c r="O7" s="124"/>
      <c r="P7" s="124"/>
      <c r="Q7" s="124"/>
      <c r="R7" s="124"/>
      <c r="S7" s="124"/>
      <c r="T7" s="124"/>
      <c r="U7" s="47"/>
      <c r="V7" s="75" t="s">
        <v>114</v>
      </c>
      <c r="W7" s="18" t="s">
        <v>101</v>
      </c>
      <c r="X7" s="18"/>
      <c r="Y7" s="18" t="s">
        <v>100</v>
      </c>
      <c r="Z7" s="18"/>
      <c r="AA7" s="17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3"/>
      <c r="AX7" s="123"/>
      <c r="AY7" s="18"/>
    </row>
    <row r="8" spans="1:51" s="126" customFormat="1">
      <c r="B8" s="94"/>
      <c r="C8" s="98"/>
      <c r="D8" s="123"/>
      <c r="E8" s="123"/>
      <c r="F8" s="123"/>
      <c r="G8" s="123"/>
      <c r="H8" s="123"/>
      <c r="I8" s="123"/>
      <c r="J8" s="98"/>
      <c r="K8" s="94"/>
      <c r="L8" s="123"/>
      <c r="M8" s="123"/>
      <c r="N8" s="123"/>
      <c r="O8" s="123"/>
      <c r="P8" s="123"/>
      <c r="Q8" s="123"/>
      <c r="R8" s="123"/>
      <c r="S8" s="123"/>
      <c r="T8" s="123"/>
      <c r="U8" s="98"/>
      <c r="V8" s="97"/>
      <c r="W8" s="94"/>
      <c r="X8" s="94"/>
      <c r="Y8" s="94"/>
      <c r="Z8" s="94"/>
      <c r="AA8" s="17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3"/>
      <c r="AY8" s="18"/>
    </row>
    <row r="9" spans="1:51" s="53" customFormat="1">
      <c r="D9" s="54"/>
      <c r="E9" s="54"/>
      <c r="G9" s="58"/>
      <c r="H9" s="54"/>
      <c r="I9" s="54"/>
      <c r="J9" s="58"/>
      <c r="L9" s="54"/>
      <c r="M9" s="2"/>
      <c r="O9" s="16"/>
      <c r="P9" s="16"/>
      <c r="Q9" s="16"/>
      <c r="R9" s="16"/>
      <c r="S9" s="16"/>
      <c r="T9" s="16"/>
      <c r="AW9" s="126"/>
      <c r="AX9" s="126"/>
    </row>
    <row r="10" spans="1:51" s="2" customFormat="1">
      <c r="A10" s="69" t="s">
        <v>545</v>
      </c>
      <c r="B10" s="10"/>
      <c r="C10" s="49"/>
      <c r="D10" s="49"/>
      <c r="E10" s="49"/>
      <c r="F10" s="49"/>
      <c r="G10" s="49"/>
      <c r="H10" s="49"/>
      <c r="I10" s="49"/>
      <c r="J10" s="49"/>
      <c r="K10" s="158"/>
      <c r="L10" s="49"/>
      <c r="M10" s="158"/>
      <c r="N10" s="49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T10" s="158"/>
      <c r="AU10" s="158"/>
      <c r="AV10" s="158"/>
      <c r="AW10" s="158"/>
    </row>
    <row r="11" spans="1:51" s="158" customFormat="1">
      <c r="A11" s="2" t="s">
        <v>468</v>
      </c>
    </row>
    <row r="12" spans="1:51" s="50" customFormat="1">
      <c r="A12" s="2" t="s">
        <v>553</v>
      </c>
      <c r="M12" s="2"/>
      <c r="U12" s="158"/>
    </row>
    <row r="13" spans="1:51" s="13" customFormat="1">
      <c r="A13" s="50"/>
      <c r="B13" s="158"/>
      <c r="C13" s="49"/>
      <c r="D13" s="49"/>
      <c r="E13" s="49"/>
      <c r="F13" s="49"/>
      <c r="G13" s="49"/>
      <c r="H13" s="49"/>
      <c r="I13" s="49"/>
      <c r="J13" s="49"/>
      <c r="K13" s="10"/>
      <c r="L13" s="49"/>
      <c r="M13" s="10"/>
      <c r="N13" s="49"/>
      <c r="O13" s="10"/>
      <c r="P13" s="158"/>
      <c r="Q13" s="158"/>
      <c r="R13" s="158"/>
      <c r="S13" s="158"/>
      <c r="T13" s="158"/>
      <c r="U13" s="158"/>
      <c r="V13" s="158"/>
      <c r="W13" s="158"/>
      <c r="X13" s="158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</row>
    <row r="14" spans="1:51" s="52" customFormat="1">
      <c r="E14" s="158"/>
      <c r="G14" s="158"/>
      <c r="I14" s="158"/>
      <c r="J14" s="158"/>
      <c r="M14" s="2"/>
      <c r="O14" s="16"/>
      <c r="P14" s="16"/>
      <c r="Q14" s="16"/>
      <c r="R14" s="16"/>
      <c r="S14" s="16"/>
      <c r="T14" s="16"/>
      <c r="U14" s="39"/>
      <c r="AW14" s="14"/>
      <c r="AX14" s="14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2BFB-9F3E-234F-A16D-F2417B4BFA64}">
  <sheetPr codeName="Sheet5"/>
  <dimension ref="A1:BQ35"/>
  <sheetViews>
    <sheetView workbookViewId="0">
      <pane xSplit="2" ySplit="3" topLeftCell="AP4" activePane="bottomRight" state="frozen"/>
      <selection pane="topRight" activeCell="C1" sqref="C1"/>
      <selection pane="bottomLeft" activeCell="A3" sqref="A3"/>
      <selection pane="bottomRight" activeCell="AX4" sqref="AX4"/>
    </sheetView>
  </sheetViews>
  <sheetFormatPr defaultColWidth="10.83203125" defaultRowHeight="15.7"/>
  <cols>
    <col min="1" max="1" width="4.83203125" style="52" customWidth="1"/>
    <col min="2" max="2" width="52" style="52" customWidth="1"/>
    <col min="3" max="3" width="58.83203125" style="52" customWidth="1"/>
    <col min="4" max="4" width="25" style="52" customWidth="1"/>
    <col min="5" max="5" width="12.5" style="52" bestFit="1" customWidth="1"/>
    <col min="6" max="6" width="12.5" style="158" customWidth="1"/>
    <col min="7" max="7" width="12.83203125" style="52" customWidth="1"/>
    <col min="8" max="8" width="12.83203125" style="158" customWidth="1"/>
    <col min="9" max="9" width="18.83203125" style="52" customWidth="1"/>
    <col min="10" max="10" width="15" style="52" customWidth="1"/>
    <col min="11" max="11" width="12.6640625" style="52" bestFit="1" customWidth="1"/>
    <col min="12" max="12" width="4.83203125" style="52" customWidth="1"/>
    <col min="13" max="13" width="39.1640625" style="52" customWidth="1"/>
    <col min="14" max="14" width="24.83203125" style="52" customWidth="1"/>
    <col min="15" max="15" width="24.83203125" style="158" customWidth="1"/>
    <col min="16" max="16" width="25.1640625" style="52" customWidth="1"/>
    <col min="17" max="18" width="25.1640625" style="158" customWidth="1"/>
    <col min="19" max="19" width="26.83203125" style="52" customWidth="1"/>
    <col min="20" max="20" width="26.83203125" style="158" customWidth="1"/>
    <col min="21" max="21" width="13.6640625" style="52" customWidth="1"/>
    <col min="22" max="22" width="17.1640625" style="52" customWidth="1"/>
    <col min="23" max="23" width="25" style="158" customWidth="1"/>
    <col min="24" max="24" width="17.1640625" style="52" customWidth="1"/>
    <col min="25" max="26" width="15" style="52" customWidth="1"/>
    <col min="27" max="27" width="15.83203125" style="52" customWidth="1"/>
    <col min="28" max="28" width="4.83203125" style="52" customWidth="1"/>
    <col min="29" max="29" width="15.6640625" style="52" bestFit="1" customWidth="1"/>
    <col min="30" max="31" width="15.6640625" style="52" customWidth="1"/>
    <col min="32" max="32" width="19" style="52" customWidth="1"/>
    <col min="33" max="33" width="18.1640625" style="52" customWidth="1"/>
    <col min="34" max="34" width="18.83203125" style="52" customWidth="1"/>
    <col min="35" max="35" width="15.6640625" style="52" customWidth="1"/>
    <col min="36" max="37" width="21.1640625" style="52" customWidth="1"/>
    <col min="38" max="39" width="18.83203125" style="52" customWidth="1"/>
    <col min="40" max="42" width="16.6640625" style="52" customWidth="1"/>
    <col min="43" max="43" width="13" style="52" customWidth="1"/>
    <col min="44" max="45" width="13" style="158" customWidth="1"/>
    <col min="46" max="47" width="16.1640625" style="52" customWidth="1"/>
    <col min="48" max="48" width="50.83203125" style="52" customWidth="1"/>
    <col min="49" max="49" width="6.6640625" style="52" bestFit="1" customWidth="1"/>
    <col min="50" max="50" width="13.33203125" style="52" customWidth="1"/>
    <col min="51" max="51" width="15.1640625" style="52" customWidth="1"/>
    <col min="52" max="53" width="8.6640625" style="52" bestFit="1" customWidth="1"/>
    <col min="54" max="54" width="13.33203125" style="52" customWidth="1"/>
    <col min="55" max="66" width="7.5" style="52" bestFit="1" customWidth="1"/>
    <col min="67" max="67" width="43.1640625" style="52" customWidth="1"/>
    <col min="68" max="16384" width="10.83203125" style="52"/>
  </cols>
  <sheetData>
    <row r="1" spans="1:55" s="2" customFormat="1" ht="20.7">
      <c r="A1" s="21" t="s">
        <v>79</v>
      </c>
      <c r="B1" s="21" t="s">
        <v>443</v>
      </c>
      <c r="D1" s="21" t="s">
        <v>920</v>
      </c>
      <c r="E1" s="26"/>
      <c r="F1" s="26"/>
      <c r="G1" s="26"/>
      <c r="H1" s="26"/>
      <c r="K1" s="5"/>
      <c r="L1" s="15"/>
      <c r="M1" s="21" t="s">
        <v>925</v>
      </c>
      <c r="N1" s="127"/>
      <c r="O1" s="127"/>
      <c r="Y1" s="26"/>
      <c r="Z1" s="26"/>
      <c r="AC1" s="21" t="s">
        <v>923</v>
      </c>
      <c r="AD1" s="128">
        <v>1.77E-2</v>
      </c>
      <c r="AE1" s="124">
        <v>1.05</v>
      </c>
      <c r="AF1" s="124"/>
      <c r="AG1" s="124"/>
      <c r="AH1" s="128"/>
      <c r="AI1" s="128">
        <v>7.0000000000000007E-2</v>
      </c>
      <c r="AJ1" s="2">
        <v>70</v>
      </c>
    </row>
    <row r="2" spans="1:55" s="8" customFormat="1" ht="54">
      <c r="B2" s="23" t="s">
        <v>445</v>
      </c>
      <c r="C2" s="23" t="s">
        <v>13</v>
      </c>
      <c r="D2" s="23" t="s">
        <v>474</v>
      </c>
      <c r="E2" s="23" t="s">
        <v>16</v>
      </c>
      <c r="F2" s="23" t="s">
        <v>824</v>
      </c>
      <c r="G2" s="23" t="s">
        <v>825</v>
      </c>
      <c r="H2" s="23" t="s">
        <v>536</v>
      </c>
      <c r="I2" s="23" t="s">
        <v>830</v>
      </c>
      <c r="J2" s="23" t="s">
        <v>446</v>
      </c>
      <c r="K2" s="23" t="s">
        <v>17</v>
      </c>
      <c r="L2" s="1"/>
      <c r="M2" s="23" t="s">
        <v>447</v>
      </c>
      <c r="N2" s="23" t="s">
        <v>924</v>
      </c>
      <c r="O2" s="23" t="s">
        <v>21</v>
      </c>
      <c r="P2" s="23" t="s">
        <v>14</v>
      </c>
      <c r="Q2" s="23" t="s">
        <v>15</v>
      </c>
      <c r="R2" s="23" t="s">
        <v>820</v>
      </c>
      <c r="S2" s="23" t="s">
        <v>612</v>
      </c>
      <c r="T2" s="23" t="s">
        <v>613</v>
      </c>
      <c r="U2" s="23" t="s">
        <v>822</v>
      </c>
      <c r="V2" s="23" t="s">
        <v>448</v>
      </c>
      <c r="W2" s="23" t="s">
        <v>474</v>
      </c>
      <c r="X2" s="23" t="s">
        <v>823</v>
      </c>
      <c r="Y2" s="23" t="s">
        <v>449</v>
      </c>
      <c r="Z2" s="23" t="s">
        <v>450</v>
      </c>
      <c r="AA2" s="23" t="s">
        <v>451</v>
      </c>
      <c r="AB2" s="17"/>
      <c r="AC2" s="23" t="s">
        <v>452</v>
      </c>
      <c r="AD2" s="23" t="s">
        <v>453</v>
      </c>
      <c r="AE2" s="23" t="s">
        <v>454</v>
      </c>
      <c r="AF2" s="23" t="s">
        <v>455</v>
      </c>
      <c r="AG2" s="23" t="s">
        <v>455</v>
      </c>
      <c r="AH2" s="23" t="s">
        <v>456</v>
      </c>
      <c r="AI2" s="23" t="s">
        <v>521</v>
      </c>
      <c r="AJ2" s="23" t="s">
        <v>457</v>
      </c>
      <c r="AK2" s="23" t="s">
        <v>476</v>
      </c>
      <c r="AL2" s="23" t="s">
        <v>561</v>
      </c>
      <c r="AM2" s="23" t="s">
        <v>562</v>
      </c>
      <c r="AN2" s="23" t="s">
        <v>458</v>
      </c>
      <c r="AO2" s="23" t="s">
        <v>459</v>
      </c>
      <c r="AP2" s="23" t="s">
        <v>460</v>
      </c>
      <c r="AQ2" s="23" t="s">
        <v>461</v>
      </c>
      <c r="AR2" s="109" t="s">
        <v>564</v>
      </c>
      <c r="AS2" s="109" t="s">
        <v>565</v>
      </c>
      <c r="AT2" s="23" t="s">
        <v>462</v>
      </c>
      <c r="AU2" s="23" t="s">
        <v>463</v>
      </c>
      <c r="AV2" s="23" t="s">
        <v>46</v>
      </c>
    </row>
    <row r="3" spans="1:55" s="3" customFormat="1" ht="18">
      <c r="B3" s="17"/>
      <c r="C3" s="17"/>
      <c r="D3" s="17"/>
      <c r="E3" s="17" t="s">
        <v>19</v>
      </c>
      <c r="F3" s="17" t="s">
        <v>32</v>
      </c>
      <c r="G3" s="17" t="s">
        <v>19</v>
      </c>
      <c r="H3" s="17" t="s">
        <v>32</v>
      </c>
      <c r="I3" s="17" t="s">
        <v>20</v>
      </c>
      <c r="J3" s="17"/>
      <c r="K3" s="17"/>
      <c r="L3" s="9"/>
      <c r="M3" s="17"/>
      <c r="N3" s="17"/>
      <c r="O3" s="17"/>
      <c r="P3" s="17" t="s">
        <v>514</v>
      </c>
      <c r="Q3" s="17" t="s">
        <v>514</v>
      </c>
      <c r="R3" s="17"/>
      <c r="S3" s="17"/>
      <c r="T3" s="17"/>
      <c r="U3" s="17"/>
      <c r="V3" s="17" t="s">
        <v>73</v>
      </c>
      <c r="W3" s="17"/>
      <c r="X3" s="17"/>
      <c r="Y3" s="17" t="s">
        <v>19</v>
      </c>
      <c r="Z3" s="17" t="s">
        <v>19</v>
      </c>
      <c r="AA3" s="17" t="s">
        <v>20</v>
      </c>
      <c r="AB3" s="17"/>
      <c r="AC3" s="17" t="s">
        <v>465</v>
      </c>
      <c r="AD3" s="17" t="s">
        <v>465</v>
      </c>
      <c r="AE3" s="17" t="s">
        <v>465</v>
      </c>
      <c r="AF3" s="17" t="s">
        <v>507</v>
      </c>
      <c r="AG3" s="17" t="s">
        <v>464</v>
      </c>
      <c r="AH3" s="17" t="s">
        <v>465</v>
      </c>
      <c r="AI3" s="17" t="s">
        <v>465</v>
      </c>
      <c r="AJ3" s="17" t="s">
        <v>466</v>
      </c>
      <c r="AK3" s="17" t="s">
        <v>544</v>
      </c>
      <c r="AL3" s="17" t="s">
        <v>502</v>
      </c>
      <c r="AM3" s="17" t="s">
        <v>502</v>
      </c>
      <c r="AN3" s="17" t="s">
        <v>563</v>
      </c>
      <c r="AO3" s="17" t="s">
        <v>23</v>
      </c>
      <c r="AP3" s="17" t="s">
        <v>23</v>
      </c>
      <c r="AQ3" s="17" t="s">
        <v>23</v>
      </c>
      <c r="AR3" s="17" t="s">
        <v>544</v>
      </c>
      <c r="AS3" s="17" t="s">
        <v>23</v>
      </c>
      <c r="AT3" s="17" t="s">
        <v>467</v>
      </c>
      <c r="AU3" s="17" t="s">
        <v>467</v>
      </c>
      <c r="AV3" s="17"/>
    </row>
    <row r="4" spans="1:55" s="104" customFormat="1" ht="18">
      <c r="B4" s="94" t="s">
        <v>85</v>
      </c>
      <c r="C4" s="94" t="s">
        <v>93</v>
      </c>
      <c r="D4" s="19" t="s">
        <v>420</v>
      </c>
      <c r="E4" s="125">
        <v>64</v>
      </c>
      <c r="F4" s="241">
        <f>System!$C$12</f>
        <v>0.95</v>
      </c>
      <c r="G4" s="125">
        <f>E4*F4</f>
        <v>60.8</v>
      </c>
      <c r="H4" s="203">
        <v>0.76</v>
      </c>
      <c r="I4" s="204">
        <f t="shared" ref="I4" si="0">E4*24*365*H4/1000</f>
        <v>426.08640000000003</v>
      </c>
      <c r="J4" s="68">
        <v>4</v>
      </c>
      <c r="K4" s="22">
        <v>1931</v>
      </c>
      <c r="L4" s="131"/>
      <c r="M4" s="74" t="s">
        <v>503</v>
      </c>
      <c r="N4" s="94" t="s">
        <v>566</v>
      </c>
      <c r="O4" s="94" t="s">
        <v>926</v>
      </c>
      <c r="P4" s="106">
        <v>47.042932100000002</v>
      </c>
      <c r="Q4" s="106">
        <v>-67.736865899999998</v>
      </c>
      <c r="R4" s="119" t="s">
        <v>560</v>
      </c>
      <c r="S4" s="103" t="s">
        <v>178</v>
      </c>
      <c r="T4" s="103" t="s">
        <v>714</v>
      </c>
      <c r="U4" s="102">
        <v>138</v>
      </c>
      <c r="V4" s="129">
        <v>0</v>
      </c>
      <c r="W4" s="19" t="s">
        <v>420</v>
      </c>
      <c r="X4" s="47" t="s">
        <v>539</v>
      </c>
      <c r="Y4" s="122">
        <v>100</v>
      </c>
      <c r="Z4" s="122">
        <v>100</v>
      </c>
      <c r="AA4" s="122">
        <v>300</v>
      </c>
      <c r="AB4" s="123"/>
      <c r="AC4" s="52"/>
      <c r="AD4" s="124"/>
      <c r="AE4" s="124"/>
      <c r="AF4" s="122">
        <v>491.053</v>
      </c>
      <c r="AG4" s="123">
        <f>(133.4/122.8)*AF4</f>
        <v>533.44031107491855</v>
      </c>
      <c r="AH4" s="124">
        <f>(0.9539*AG4^0.6784)/5</f>
        <v>13.50790110779171</v>
      </c>
      <c r="AI4" s="124">
        <f>SUM(AG4:AH4)</f>
        <v>546.94821218271022</v>
      </c>
      <c r="AJ4" s="124">
        <f>(AI4*AI$1)/(1-(1+AI$1)^-AJ$1)</f>
        <v>38.625224138621988</v>
      </c>
      <c r="AK4" s="124">
        <f>AJ4*1000/Y4</f>
        <v>386.25224138621991</v>
      </c>
      <c r="AL4" s="124">
        <f>466484*(E4^-0.542)*E4</f>
        <v>3133770.4460364347</v>
      </c>
      <c r="AM4" s="124">
        <f>466484*((E4+Y4)^-0.542)*(E4+Y4)</f>
        <v>4822089.1448391266</v>
      </c>
      <c r="AN4" s="124">
        <f>(AM4-AL4)/Y4</f>
        <v>16883.186988026919</v>
      </c>
      <c r="AO4" s="124">
        <f>14.07*(Y4^-0.383)</f>
        <v>2.4115379316643542</v>
      </c>
      <c r="AP4" s="124">
        <v>0</v>
      </c>
      <c r="AQ4" s="124">
        <f>SUM(AO4:AP4)</f>
        <v>2.4115379316643542</v>
      </c>
      <c r="AR4" s="124"/>
      <c r="AS4" s="124"/>
      <c r="AT4" s="70">
        <v>3</v>
      </c>
      <c r="AU4" s="70">
        <v>5</v>
      </c>
      <c r="AV4" s="94"/>
    </row>
    <row r="5" spans="1:55" s="15" customFormat="1" ht="18">
      <c r="B5" s="18"/>
      <c r="C5" s="18"/>
      <c r="D5" s="47"/>
      <c r="E5" s="124"/>
      <c r="F5" s="124"/>
      <c r="G5" s="124"/>
      <c r="H5" s="124"/>
      <c r="I5" s="124"/>
      <c r="J5" s="68"/>
      <c r="K5" s="47"/>
      <c r="L5" s="29"/>
      <c r="M5" s="18"/>
      <c r="N5" s="18"/>
      <c r="O5" s="18"/>
      <c r="P5" s="18"/>
      <c r="Q5" s="18"/>
      <c r="R5" s="18"/>
      <c r="S5" s="18"/>
      <c r="T5" s="18"/>
      <c r="U5" s="124"/>
      <c r="V5" s="18"/>
      <c r="W5" s="47"/>
      <c r="X5" s="18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9"/>
      <c r="AU5" s="129"/>
      <c r="AV5" s="18"/>
    </row>
    <row r="6" spans="1:55" s="2" customFormat="1" ht="18">
      <c r="B6" s="6"/>
      <c r="C6" s="6"/>
      <c r="D6" s="7"/>
      <c r="E6" s="45"/>
      <c r="F6" s="45"/>
      <c r="G6" s="45"/>
      <c r="H6" s="45"/>
      <c r="K6" s="44"/>
      <c r="L6" s="15"/>
      <c r="P6" s="6"/>
      <c r="Q6" s="6"/>
      <c r="R6" s="6"/>
      <c r="V6" s="6"/>
      <c r="W6" s="7"/>
      <c r="X6" s="6"/>
      <c r="AJ6" s="52"/>
      <c r="AK6" s="52"/>
      <c r="AL6" s="52"/>
      <c r="AM6" s="52"/>
      <c r="AN6" s="52"/>
      <c r="AO6" s="52"/>
      <c r="AP6" s="52"/>
      <c r="AQ6" s="52"/>
      <c r="AR6" s="158"/>
      <c r="AS6" s="158"/>
    </row>
    <row r="7" spans="1:55" s="158" customFormat="1" ht="18">
      <c r="A7" s="69" t="s">
        <v>545</v>
      </c>
    </row>
    <row r="8" spans="1:55" s="158" customFormat="1" ht="18">
      <c r="A8" s="2" t="s">
        <v>884</v>
      </c>
    </row>
    <row r="9" spans="1:55" s="158" customFormat="1" ht="18">
      <c r="A9" s="2" t="s">
        <v>554</v>
      </c>
    </row>
    <row r="10" spans="1:55" s="2" customFormat="1" ht="18">
      <c r="A10" s="2" t="s">
        <v>885</v>
      </c>
      <c r="B10" s="13"/>
      <c r="C10" s="13"/>
      <c r="D10" s="13"/>
      <c r="E10" s="13"/>
      <c r="F10" s="13"/>
      <c r="G10" s="13"/>
      <c r="H10" s="13"/>
      <c r="I10" s="13"/>
      <c r="J10" s="13"/>
      <c r="K10" s="42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0"/>
      <c r="AA10" s="130"/>
      <c r="AB10" s="130"/>
      <c r="AC10" s="130"/>
      <c r="AD10" s="130"/>
      <c r="AE10" s="130"/>
      <c r="AF10" s="130"/>
      <c r="AG10" s="130"/>
      <c r="AH10" s="158"/>
      <c r="AI10" s="158"/>
      <c r="AJ10" s="158"/>
      <c r="AK10" s="158"/>
      <c r="AL10" s="158"/>
      <c r="AM10" s="158"/>
      <c r="AN10" s="158"/>
      <c r="AO10" s="158"/>
      <c r="AP10" s="130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</row>
    <row r="11" spans="1:55" s="2" customFormat="1" ht="18">
      <c r="A11" s="2" t="s">
        <v>469</v>
      </c>
      <c r="B11" s="158"/>
      <c r="C11" s="158"/>
      <c r="D11" s="5"/>
      <c r="E11" s="13"/>
      <c r="F11" s="13"/>
      <c r="M11" s="158"/>
      <c r="N11" s="158"/>
      <c r="O11" s="158"/>
      <c r="V11" s="158"/>
      <c r="W11" s="5"/>
      <c r="X11" s="5"/>
      <c r="Y11" s="158"/>
      <c r="Z11" s="158"/>
      <c r="AA11" s="158"/>
      <c r="AB11" s="158"/>
      <c r="AC11" s="158"/>
      <c r="AD11" s="158"/>
    </row>
    <row r="12" spans="1:55" s="2" customFormat="1" ht="18">
      <c r="A12" s="2" t="s">
        <v>470</v>
      </c>
      <c r="B12" s="158"/>
      <c r="C12" s="158"/>
      <c r="D12" s="5"/>
      <c r="L12" s="158"/>
      <c r="M12" s="158"/>
      <c r="N12" s="158"/>
      <c r="O12" s="158"/>
      <c r="V12" s="158"/>
      <c r="W12" s="5"/>
      <c r="X12" s="13"/>
      <c r="Y12" s="158"/>
      <c r="Z12" s="158"/>
      <c r="AA12" s="158"/>
      <c r="AB12" s="158"/>
      <c r="AH12" s="158"/>
      <c r="AI12" s="158"/>
      <c r="AJ12" s="158"/>
      <c r="AK12" s="158"/>
      <c r="AL12" s="158"/>
      <c r="AM12" s="158"/>
      <c r="AN12" s="158"/>
      <c r="AO12" s="158"/>
    </row>
    <row r="13" spans="1:55" s="2" customFormat="1" ht="18">
      <c r="A13" s="2" t="s">
        <v>471</v>
      </c>
      <c r="B13" s="158"/>
      <c r="I13" s="158"/>
      <c r="J13" s="158"/>
      <c r="K13" s="25"/>
      <c r="L13" s="158"/>
      <c r="M13" s="158"/>
      <c r="N13" s="158"/>
      <c r="O13" s="158"/>
      <c r="Y13" s="158"/>
      <c r="Z13" s="158"/>
    </row>
    <row r="14" spans="1:55" s="2" customFormat="1" ht="18">
      <c r="A14" s="2" t="s">
        <v>520</v>
      </c>
      <c r="B14" s="158"/>
      <c r="C14" s="158"/>
      <c r="D14" s="5"/>
      <c r="E14" s="13"/>
      <c r="F14" s="13"/>
      <c r="M14" s="158"/>
      <c r="N14" s="158"/>
      <c r="O14" s="158"/>
      <c r="V14" s="158"/>
      <c r="W14" s="5"/>
      <c r="X14" s="5"/>
      <c r="Y14" s="158"/>
      <c r="Z14" s="158"/>
      <c r="AA14" s="158"/>
      <c r="AB14" s="158"/>
      <c r="AC14" s="158"/>
      <c r="AK14" s="158"/>
    </row>
    <row r="15" spans="1:55" s="2" customFormat="1" ht="18">
      <c r="A15" s="2" t="s">
        <v>556</v>
      </c>
      <c r="B15" s="158"/>
      <c r="I15" s="158"/>
      <c r="J15" s="158"/>
      <c r="K15" s="25"/>
      <c r="L15" s="158"/>
      <c r="M15" s="158"/>
      <c r="N15" s="158"/>
      <c r="O15" s="158"/>
      <c r="Y15" s="158"/>
      <c r="Z15" s="158"/>
    </row>
    <row r="16" spans="1:55" s="2" customFormat="1" ht="18">
      <c r="A16" s="2" t="s">
        <v>557</v>
      </c>
      <c r="B16" s="158"/>
      <c r="I16" s="158"/>
      <c r="J16" s="158"/>
      <c r="K16" s="25"/>
      <c r="L16" s="158"/>
      <c r="M16" s="158"/>
      <c r="N16" s="158"/>
      <c r="O16" s="158"/>
      <c r="Y16" s="158"/>
      <c r="Z16" s="158"/>
    </row>
    <row r="17" spans="1:69" s="2" customFormat="1" ht="18">
      <c r="A17" s="2" t="s">
        <v>504</v>
      </c>
      <c r="E17" s="5"/>
      <c r="F17" s="5"/>
      <c r="G17" s="13"/>
      <c r="H17" s="13"/>
      <c r="J17" s="158"/>
      <c r="V17" s="158"/>
      <c r="X17" s="25"/>
      <c r="Y17" s="158"/>
      <c r="Z17" s="158"/>
      <c r="AA17" s="158"/>
      <c r="AB17" s="158"/>
      <c r="AH17" s="92"/>
      <c r="AI17" s="158"/>
      <c r="AJ17" s="158"/>
      <c r="AK17" s="158"/>
      <c r="AL17" s="158"/>
      <c r="AM17" s="158"/>
      <c r="AN17" s="158"/>
      <c r="AO17" s="28"/>
      <c r="AP17" s="158"/>
      <c r="AQ17" s="158"/>
      <c r="AW17" s="92"/>
      <c r="AX17" s="158"/>
      <c r="AY17" s="158"/>
      <c r="AZ17" s="158"/>
      <c r="BA17" s="158"/>
      <c r="BB17" s="28"/>
      <c r="BC17" s="158"/>
      <c r="BD17" s="158"/>
      <c r="BJ17" s="92"/>
      <c r="BK17" s="158"/>
      <c r="BL17" s="158"/>
      <c r="BM17" s="158"/>
      <c r="BN17" s="158"/>
      <c r="BO17" s="28"/>
      <c r="BP17" s="158"/>
      <c r="BQ17" s="158"/>
    </row>
    <row r="18" spans="1:69" s="2" customFormat="1" ht="18">
      <c r="D18" s="5"/>
      <c r="K18" s="5"/>
      <c r="L18" s="15"/>
      <c r="W18" s="5"/>
      <c r="AJ18" s="52"/>
      <c r="AK18" s="52"/>
      <c r="AN18" s="52"/>
      <c r="AO18" s="52"/>
      <c r="AP18" s="52"/>
      <c r="AQ18" s="52"/>
      <c r="AR18" s="158"/>
      <c r="AS18" s="158"/>
    </row>
    <row r="19" spans="1:69" ht="18">
      <c r="AK19" s="50"/>
    </row>
    <row r="20" spans="1:69">
      <c r="AK20" s="28"/>
    </row>
    <row r="21" spans="1:69">
      <c r="AK21" s="28"/>
    </row>
    <row r="22" spans="1:69">
      <c r="AK22" s="28"/>
    </row>
    <row r="23" spans="1:69">
      <c r="AJ23" s="28"/>
      <c r="AK23" s="28"/>
    </row>
    <row r="24" spans="1:69">
      <c r="AJ24" s="28"/>
      <c r="AK24" s="28"/>
    </row>
    <row r="25" spans="1:69">
      <c r="AJ25" s="28"/>
    </row>
    <row r="26" spans="1:69">
      <c r="AJ26" s="28"/>
    </row>
    <row r="27" spans="1:69">
      <c r="AJ27" s="28"/>
    </row>
    <row r="28" spans="1:69" ht="18">
      <c r="AJ28" s="5"/>
      <c r="AN28" s="2"/>
      <c r="AO28" s="2"/>
      <c r="AP28" s="2"/>
      <c r="AQ28" s="2"/>
      <c r="AR28" s="2"/>
      <c r="AS28" s="2"/>
    </row>
    <row r="29" spans="1:69" ht="18">
      <c r="AJ29" s="5"/>
      <c r="AK29" s="28"/>
      <c r="AN29" s="2"/>
      <c r="AO29" s="2"/>
      <c r="AP29" s="2"/>
      <c r="AQ29" s="2"/>
      <c r="AR29" s="2"/>
      <c r="AS29" s="2"/>
    </row>
    <row r="30" spans="1:69">
      <c r="AK30" s="28"/>
    </row>
    <row r="31" spans="1:69">
      <c r="AK31" s="28"/>
    </row>
    <row r="32" spans="1:69">
      <c r="AK32" s="28"/>
    </row>
    <row r="33" spans="37:37">
      <c r="AK33" s="28"/>
    </row>
    <row r="34" spans="37:37" ht="18">
      <c r="AK34" s="5"/>
    </row>
    <row r="35" spans="37:37" ht="18">
      <c r="AK35" s="5"/>
    </row>
  </sheetData>
  <autoFilter ref="B3:AV3" xr:uid="{3DA92697-706D-7343-A89D-B511A14B569E}">
    <sortState xmlns:xlrd2="http://schemas.microsoft.com/office/spreadsheetml/2017/richdata2" ref="B4:AV7">
      <sortCondition ref="B3:B7"/>
    </sortState>
  </autoFilter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E93C-F1D7-B54C-B7A2-445A035B47A3}">
  <sheetPr codeName="Sheet6"/>
  <dimension ref="A1:BN19"/>
  <sheetViews>
    <sheetView workbookViewId="0">
      <pane xSplit="2" ySplit="3" topLeftCell="AG4" activePane="bottomRight" state="frozen"/>
      <selection pane="topRight" activeCell="C1" sqref="C1"/>
      <selection pane="bottomLeft" activeCell="A3" sqref="A3"/>
      <selection pane="bottomRight" activeCell="AN4" sqref="AN4"/>
    </sheetView>
  </sheetViews>
  <sheetFormatPr defaultColWidth="10.83203125" defaultRowHeight="15.7"/>
  <cols>
    <col min="1" max="1" width="4.83203125" style="52" customWidth="1"/>
    <col min="2" max="2" width="52" style="52" customWidth="1"/>
    <col min="3" max="3" width="29.33203125" style="52" customWidth="1"/>
    <col min="4" max="4" width="32.33203125" style="52" customWidth="1"/>
    <col min="5" max="5" width="30.83203125" style="52" customWidth="1"/>
    <col min="6" max="8" width="20.83203125" style="52" customWidth="1"/>
    <col min="9" max="9" width="16.6640625" style="52" customWidth="1"/>
    <col min="10" max="10" width="34" style="52" customWidth="1"/>
    <col min="11" max="11" width="30" style="158" customWidth="1"/>
    <col min="12" max="12" width="13.6640625" style="52" customWidth="1"/>
    <col min="13" max="13" width="4.83203125" style="52" customWidth="1"/>
    <col min="14" max="15" width="25" style="52" customWidth="1"/>
    <col min="16" max="16" width="12.5" style="52" bestFit="1" customWidth="1"/>
    <col min="17" max="17" width="12.83203125" style="52" customWidth="1"/>
    <col min="18" max="18" width="19" style="52" customWidth="1"/>
    <col min="19" max="19" width="14.1640625" style="52" customWidth="1"/>
    <col min="20" max="20" width="4.83203125" style="52" customWidth="1"/>
    <col min="21" max="29" width="21.1640625" style="52" customWidth="1"/>
    <col min="30" max="32" width="16.6640625" style="52" customWidth="1"/>
    <col min="33" max="33" width="17.83203125" style="52" customWidth="1"/>
    <col min="34" max="34" width="18.83203125" style="52" customWidth="1"/>
    <col min="35" max="35" width="19" style="52" customWidth="1"/>
    <col min="36" max="37" width="16.83203125" style="52" customWidth="1"/>
    <col min="38" max="38" width="54.83203125" style="52" customWidth="1"/>
    <col min="39" max="39" width="15.1640625" style="52" customWidth="1"/>
    <col min="40" max="41" width="7.5" style="52" bestFit="1" customWidth="1"/>
    <col min="42" max="42" width="43.1640625" style="52" customWidth="1"/>
    <col min="43" max="16384" width="10.83203125" style="52"/>
  </cols>
  <sheetData>
    <row r="1" spans="1:52" s="2" customFormat="1" ht="20.7">
      <c r="A1" s="21" t="s">
        <v>79</v>
      </c>
      <c r="B1" s="21" t="s">
        <v>472</v>
      </c>
      <c r="C1" s="121"/>
      <c r="M1" s="25"/>
      <c r="N1" s="127" t="s">
        <v>40</v>
      </c>
      <c r="O1" s="127"/>
      <c r="P1" s="26"/>
      <c r="Q1" s="26"/>
      <c r="U1" s="127" t="s">
        <v>444</v>
      </c>
      <c r="V1" s="128">
        <v>1.77E-2</v>
      </c>
      <c r="W1" s="124">
        <v>1.05</v>
      </c>
      <c r="Y1" s="124"/>
      <c r="Z1" s="128"/>
      <c r="AA1" s="128">
        <v>7.0000000000000007E-2</v>
      </c>
      <c r="AB1" s="2">
        <v>70</v>
      </c>
      <c r="AC1" s="93"/>
    </row>
    <row r="2" spans="1:52" s="8" customFormat="1" ht="36">
      <c r="B2" s="23" t="s">
        <v>18</v>
      </c>
      <c r="C2" s="23" t="s">
        <v>473</v>
      </c>
      <c r="D2" s="23" t="s">
        <v>13</v>
      </c>
      <c r="E2" s="23" t="s">
        <v>21</v>
      </c>
      <c r="F2" s="23" t="s">
        <v>14</v>
      </c>
      <c r="G2" s="23" t="s">
        <v>15</v>
      </c>
      <c r="H2" s="23" t="s">
        <v>558</v>
      </c>
      <c r="I2" s="23" t="s">
        <v>448</v>
      </c>
      <c r="J2" s="23" t="s">
        <v>612</v>
      </c>
      <c r="K2" s="23" t="s">
        <v>613</v>
      </c>
      <c r="L2" s="23" t="s">
        <v>367</v>
      </c>
      <c r="M2" s="1"/>
      <c r="N2" s="23" t="s">
        <v>474</v>
      </c>
      <c r="O2" s="23" t="s">
        <v>559</v>
      </c>
      <c r="P2" s="23" t="s">
        <v>16</v>
      </c>
      <c r="Q2" s="23" t="s">
        <v>56</v>
      </c>
      <c r="R2" s="23" t="s">
        <v>475</v>
      </c>
      <c r="S2" s="23" t="s">
        <v>43</v>
      </c>
      <c r="T2" s="17"/>
      <c r="U2" s="23" t="s">
        <v>452</v>
      </c>
      <c r="V2" s="23" t="s">
        <v>453</v>
      </c>
      <c r="W2" s="23" t="s">
        <v>454</v>
      </c>
      <c r="X2" s="23" t="s">
        <v>455</v>
      </c>
      <c r="Y2" s="23" t="s">
        <v>455</v>
      </c>
      <c r="Z2" s="23" t="s">
        <v>456</v>
      </c>
      <c r="AA2" s="23" t="s">
        <v>521</v>
      </c>
      <c r="AB2" s="23" t="s">
        <v>457</v>
      </c>
      <c r="AC2" s="23" t="s">
        <v>476</v>
      </c>
      <c r="AD2" s="23" t="s">
        <v>458</v>
      </c>
      <c r="AE2" s="23" t="s">
        <v>459</v>
      </c>
      <c r="AF2" s="23" t="s">
        <v>460</v>
      </c>
      <c r="AG2" s="23" t="s">
        <v>461</v>
      </c>
      <c r="AH2" s="109" t="s">
        <v>564</v>
      </c>
      <c r="AI2" s="109" t="s">
        <v>565</v>
      </c>
      <c r="AJ2" s="23" t="s">
        <v>462</v>
      </c>
      <c r="AK2" s="23" t="s">
        <v>463</v>
      </c>
      <c r="AL2" s="23" t="s">
        <v>46</v>
      </c>
    </row>
    <row r="3" spans="1:52" s="3" customFormat="1" ht="18">
      <c r="B3" s="17"/>
      <c r="C3" s="17"/>
      <c r="D3" s="17"/>
      <c r="E3" s="17"/>
      <c r="F3" s="52"/>
      <c r="G3" s="52"/>
      <c r="H3" s="52"/>
      <c r="I3" s="17"/>
      <c r="J3" s="17"/>
      <c r="K3" s="17"/>
      <c r="L3" s="17" t="s">
        <v>71</v>
      </c>
      <c r="M3" s="29"/>
      <c r="N3" s="17"/>
      <c r="O3" s="17"/>
      <c r="P3" s="17" t="s">
        <v>19</v>
      </c>
      <c r="Q3" s="17" t="s">
        <v>19</v>
      </c>
      <c r="R3" s="17" t="s">
        <v>20</v>
      </c>
      <c r="S3" s="17"/>
      <c r="T3" s="17"/>
      <c r="U3" s="17" t="s">
        <v>464</v>
      </c>
      <c r="V3" s="17" t="s">
        <v>464</v>
      </c>
      <c r="W3" s="17" t="s">
        <v>464</v>
      </c>
      <c r="X3" s="17" t="s">
        <v>507</v>
      </c>
      <c r="Y3" s="17" t="s">
        <v>464</v>
      </c>
      <c r="Z3" s="17" t="s">
        <v>464</v>
      </c>
      <c r="AA3" s="17" t="s">
        <v>464</v>
      </c>
      <c r="AB3" s="17" t="s">
        <v>466</v>
      </c>
      <c r="AC3" s="17" t="s">
        <v>477</v>
      </c>
      <c r="AD3" s="17" t="s">
        <v>563</v>
      </c>
      <c r="AE3" s="17" t="s">
        <v>23</v>
      </c>
      <c r="AF3" s="17" t="s">
        <v>23</v>
      </c>
      <c r="AG3" s="17" t="s">
        <v>23</v>
      </c>
      <c r="AH3" s="17" t="s">
        <v>544</v>
      </c>
      <c r="AI3" s="17" t="s">
        <v>23</v>
      </c>
      <c r="AJ3" s="17" t="s">
        <v>467</v>
      </c>
      <c r="AK3" s="17" t="s">
        <v>467</v>
      </c>
      <c r="AL3" s="17"/>
    </row>
    <row r="4" spans="1:52" s="132" customFormat="1" ht="18">
      <c r="B4" s="74" t="s">
        <v>505</v>
      </c>
      <c r="C4" s="74" t="s">
        <v>567</v>
      </c>
      <c r="D4" s="74" t="s">
        <v>93</v>
      </c>
      <c r="E4" s="74" t="s">
        <v>506</v>
      </c>
      <c r="F4" s="107">
        <v>47.365025000000003</v>
      </c>
      <c r="G4" s="107">
        <v>-65.890476000000007</v>
      </c>
      <c r="H4" s="47" t="s">
        <v>560</v>
      </c>
      <c r="I4" s="129">
        <v>25</v>
      </c>
      <c r="J4" s="103" t="s">
        <v>418</v>
      </c>
      <c r="K4" s="47" t="s">
        <v>704</v>
      </c>
      <c r="L4" s="103">
        <v>138</v>
      </c>
      <c r="M4" s="131"/>
      <c r="N4" s="20" t="s">
        <v>540</v>
      </c>
      <c r="O4" s="47" t="s">
        <v>540</v>
      </c>
      <c r="P4" s="122">
        <v>40</v>
      </c>
      <c r="Q4" s="122">
        <v>40</v>
      </c>
      <c r="R4" s="122">
        <v>148</v>
      </c>
      <c r="S4" s="123"/>
      <c r="T4" s="123"/>
      <c r="U4" s="123"/>
      <c r="V4" s="123"/>
      <c r="W4" s="123"/>
      <c r="X4" s="122">
        <v>301.44600000000003</v>
      </c>
      <c r="Y4" s="123">
        <f>(133.4/122.8)*X4</f>
        <v>327.46658306188931</v>
      </c>
      <c r="Z4" s="124">
        <f>0.9539*Y4^0.6784</f>
        <v>48.505628204830657</v>
      </c>
      <c r="AA4" s="124">
        <f t="shared" ref="AA4" si="0">SUM(Y4:Z4)</f>
        <v>375.97221126671997</v>
      </c>
      <c r="AB4" s="124">
        <f>(AA4*AA$1)/(1-(1+AA$1)^-AB$1)</f>
        <v>26.550979794078316</v>
      </c>
      <c r="AC4" s="124">
        <f>AB4*1000/P4</f>
        <v>663.77449485195791</v>
      </c>
      <c r="AD4" s="124">
        <f>466484*P4^-0.542</f>
        <v>63171.361498433325</v>
      </c>
      <c r="AE4" s="124">
        <f>14.07*(P4^-0.383)</f>
        <v>3.4253513150827852</v>
      </c>
      <c r="AF4" s="124">
        <v>0</v>
      </c>
      <c r="AG4" s="123">
        <f>SUM(AE4:AF4)</f>
        <v>3.4253513150827852</v>
      </c>
      <c r="AH4" s="124"/>
      <c r="AI4" s="124"/>
      <c r="AJ4" s="20">
        <v>4</v>
      </c>
      <c r="AK4" s="20">
        <v>6</v>
      </c>
      <c r="AL4" s="94"/>
    </row>
    <row r="5" spans="1:52" s="132" customFormat="1" ht="18">
      <c r="B5" s="94"/>
      <c r="C5" s="94"/>
      <c r="D5" s="94"/>
      <c r="E5" s="94"/>
      <c r="F5" s="108"/>
      <c r="G5" s="108"/>
      <c r="H5" s="108"/>
      <c r="I5" s="129"/>
      <c r="J5" s="94"/>
      <c r="K5" s="94"/>
      <c r="L5" s="98"/>
      <c r="M5" s="131"/>
      <c r="N5" s="94"/>
      <c r="O5" s="94"/>
      <c r="P5" s="123"/>
      <c r="Q5" s="123"/>
      <c r="R5" s="123"/>
      <c r="S5" s="97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4"/>
      <c r="AI5" s="124"/>
      <c r="AJ5" s="98"/>
      <c r="AK5" s="98"/>
      <c r="AL5" s="94"/>
    </row>
    <row r="6" spans="1:52" s="132" customFormat="1" ht="18">
      <c r="B6" s="94"/>
      <c r="C6" s="94"/>
      <c r="D6" s="94"/>
      <c r="E6" s="94"/>
      <c r="F6" s="108"/>
      <c r="G6" s="108"/>
      <c r="H6" s="108"/>
      <c r="I6" s="129"/>
      <c r="J6" s="94"/>
      <c r="K6" s="94"/>
      <c r="L6" s="98"/>
      <c r="M6" s="131"/>
      <c r="N6" s="94"/>
      <c r="O6" s="94"/>
      <c r="P6" s="123"/>
      <c r="Q6" s="123"/>
      <c r="R6" s="123"/>
      <c r="S6" s="97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4"/>
      <c r="AI6" s="124"/>
      <c r="AJ6" s="98"/>
      <c r="AK6" s="98"/>
      <c r="AL6" s="94"/>
    </row>
    <row r="7" spans="1:52" ht="18">
      <c r="A7" s="48"/>
      <c r="U7" s="2"/>
      <c r="V7" s="2"/>
      <c r="W7" s="2"/>
      <c r="X7" s="2"/>
      <c r="Y7" s="2"/>
      <c r="Z7" s="2"/>
      <c r="AA7" s="2"/>
      <c r="AB7" s="2"/>
      <c r="AC7" s="2"/>
    </row>
    <row r="8" spans="1:52" s="158" customFormat="1" ht="18">
      <c r="A8" s="69" t="s">
        <v>545</v>
      </c>
    </row>
    <row r="9" spans="1:52" s="158" customFormat="1" ht="18">
      <c r="A9" s="2" t="s">
        <v>886</v>
      </c>
    </row>
    <row r="10" spans="1:52" s="158" customFormat="1" ht="18">
      <c r="A10" s="2" t="s">
        <v>554</v>
      </c>
    </row>
    <row r="11" spans="1:52" s="2" customFormat="1" ht="18">
      <c r="A11" s="2" t="s">
        <v>555</v>
      </c>
      <c r="B11" s="13"/>
      <c r="C11" s="13"/>
      <c r="D11" s="13"/>
      <c r="E11" s="13"/>
      <c r="F11" s="13"/>
      <c r="G11" s="13"/>
      <c r="H11" s="13"/>
      <c r="I11" s="13"/>
      <c r="J11" s="42"/>
      <c r="K11" s="42"/>
      <c r="L11" s="158"/>
      <c r="M11" s="13"/>
      <c r="N11" s="13"/>
      <c r="O11" s="13"/>
      <c r="P11" s="13"/>
      <c r="Q11" s="13"/>
      <c r="R11" s="13"/>
      <c r="S11" s="13"/>
      <c r="T11" s="158"/>
      <c r="U11" s="13"/>
      <c r="V11" s="13"/>
      <c r="W11" s="13"/>
      <c r="X11" s="13"/>
      <c r="Y11" s="13"/>
      <c r="Z11" s="130"/>
      <c r="AA11" s="130"/>
      <c r="AB11" s="130"/>
      <c r="AC11" s="130"/>
      <c r="AD11" s="130"/>
      <c r="AE11" s="130"/>
      <c r="AF11" s="130"/>
      <c r="AG11" s="130"/>
      <c r="AH11" s="158"/>
      <c r="AI11" s="158"/>
      <c r="AJ11" s="158"/>
      <c r="AK11" s="158"/>
      <c r="AL11" s="158"/>
      <c r="AM11" s="158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</row>
    <row r="12" spans="1:52" s="2" customFormat="1" ht="18">
      <c r="A12" s="2" t="s">
        <v>469</v>
      </c>
      <c r="B12" s="158"/>
      <c r="C12" s="158"/>
      <c r="L12" s="158"/>
      <c r="M12" s="5"/>
      <c r="N12" s="5"/>
      <c r="O12" s="5"/>
      <c r="P12" s="13"/>
      <c r="T12" s="158"/>
      <c r="V12" s="158"/>
      <c r="W12" s="158"/>
      <c r="X12" s="158"/>
      <c r="Y12" s="158"/>
      <c r="Z12" s="158"/>
      <c r="AA12" s="158"/>
      <c r="AB12" s="158"/>
      <c r="AC12" s="158"/>
      <c r="AD12" s="158"/>
    </row>
    <row r="13" spans="1:52" s="2" customFormat="1" ht="18">
      <c r="A13" s="2" t="s">
        <v>470</v>
      </c>
      <c r="B13" s="158"/>
      <c r="C13" s="158"/>
      <c r="L13" s="158"/>
      <c r="M13" s="5"/>
      <c r="N13" s="5"/>
      <c r="O13" s="13"/>
      <c r="T13" s="158"/>
      <c r="U13" s="158"/>
      <c r="V13" s="158"/>
      <c r="W13" s="158"/>
      <c r="X13" s="158"/>
      <c r="Y13" s="158"/>
      <c r="Z13" s="158"/>
      <c r="AA13" s="158"/>
      <c r="AB13" s="158"/>
      <c r="AH13" s="158"/>
      <c r="AI13" s="158"/>
      <c r="AJ13" s="158"/>
      <c r="AK13" s="158"/>
      <c r="AL13" s="158"/>
      <c r="AM13" s="158"/>
    </row>
    <row r="14" spans="1:52" s="2" customFormat="1" ht="18">
      <c r="A14" s="2" t="s">
        <v>471</v>
      </c>
      <c r="B14" s="158"/>
      <c r="E14" s="158"/>
      <c r="F14" s="158"/>
      <c r="G14" s="158"/>
      <c r="H14" s="158"/>
      <c r="J14" s="13"/>
      <c r="K14" s="13"/>
      <c r="L14" s="158"/>
      <c r="S14" s="158"/>
      <c r="T14" s="158"/>
      <c r="U14" s="158"/>
      <c r="V14" s="158"/>
      <c r="W14" s="158"/>
      <c r="Y14" s="158"/>
      <c r="Z14" s="158"/>
    </row>
    <row r="15" spans="1:52" s="2" customFormat="1" ht="18">
      <c r="A15" s="2" t="s">
        <v>520</v>
      </c>
      <c r="B15" s="158"/>
      <c r="C15" s="158"/>
      <c r="L15" s="158"/>
      <c r="M15" s="5"/>
      <c r="N15" s="5"/>
      <c r="O15" s="5"/>
      <c r="P15" s="13"/>
      <c r="T15" s="158"/>
      <c r="V15" s="158"/>
      <c r="W15" s="158"/>
      <c r="X15" s="158"/>
      <c r="Y15" s="158"/>
      <c r="Z15" s="158"/>
      <c r="AA15" s="158"/>
      <c r="AB15" s="158"/>
      <c r="AC15" s="158"/>
      <c r="AK15" s="158"/>
    </row>
    <row r="16" spans="1:52" s="2" customFormat="1" ht="18">
      <c r="A16" s="2" t="s">
        <v>556</v>
      </c>
      <c r="B16" s="158"/>
      <c r="E16" s="158"/>
      <c r="F16" s="158"/>
      <c r="G16" s="158"/>
      <c r="H16" s="158"/>
      <c r="J16" s="13"/>
      <c r="K16" s="13"/>
      <c r="L16" s="158"/>
      <c r="S16" s="158"/>
      <c r="T16" s="158"/>
      <c r="U16" s="158"/>
      <c r="V16" s="158"/>
      <c r="W16" s="158"/>
      <c r="Y16" s="158"/>
      <c r="Z16" s="158"/>
    </row>
    <row r="17" spans="1:66" s="2" customFormat="1" ht="18">
      <c r="A17" s="2" t="s">
        <v>557</v>
      </c>
      <c r="B17" s="158"/>
      <c r="E17" s="158"/>
      <c r="F17" s="158"/>
      <c r="G17" s="158"/>
      <c r="H17" s="158"/>
      <c r="J17" s="13"/>
      <c r="K17" s="13"/>
      <c r="L17" s="158"/>
      <c r="S17" s="158"/>
      <c r="T17" s="158"/>
      <c r="U17" s="158"/>
      <c r="V17" s="158"/>
      <c r="W17" s="158"/>
      <c r="Y17" s="158"/>
      <c r="Z17" s="158"/>
    </row>
    <row r="18" spans="1:66" s="2" customFormat="1" ht="18">
      <c r="A18" s="2" t="s">
        <v>504</v>
      </c>
      <c r="L18" s="158"/>
      <c r="O18" s="25"/>
      <c r="P18" s="5"/>
      <c r="Q18" s="13"/>
      <c r="R18" s="13"/>
      <c r="T18" s="158"/>
      <c r="X18" s="158"/>
      <c r="Y18" s="158"/>
      <c r="Z18" s="158"/>
      <c r="AA18" s="158"/>
      <c r="AB18" s="158"/>
      <c r="AH18" s="92"/>
      <c r="AI18" s="158"/>
      <c r="AJ18" s="158"/>
      <c r="AK18" s="158"/>
      <c r="AL18" s="158"/>
      <c r="AM18" s="28"/>
      <c r="AN18" s="158"/>
      <c r="AT18" s="92"/>
      <c r="AU18" s="158"/>
      <c r="AV18" s="158"/>
      <c r="AW18" s="158"/>
      <c r="AX18" s="158"/>
      <c r="AY18" s="28"/>
      <c r="AZ18" s="158"/>
      <c r="BA18" s="158"/>
      <c r="BG18" s="92"/>
      <c r="BH18" s="158"/>
      <c r="BI18" s="158"/>
      <c r="BJ18" s="158"/>
      <c r="BK18" s="158"/>
      <c r="BL18" s="28"/>
      <c r="BM18" s="158"/>
      <c r="BN18" s="158"/>
    </row>
    <row r="19" spans="1:66" s="2" customFormat="1" ht="18">
      <c r="M19" s="25"/>
      <c r="N19" s="5"/>
      <c r="O19" s="5"/>
      <c r="P19" s="13"/>
      <c r="U19" s="52"/>
      <c r="V19" s="52"/>
      <c r="W19" s="52"/>
      <c r="X19" s="52"/>
      <c r="Y19" s="52"/>
      <c r="Z19" s="52"/>
      <c r="AA19" s="52"/>
      <c r="AB19" s="52"/>
      <c r="AC19" s="52"/>
      <c r="AH19" s="52"/>
      <c r="AI19" s="52"/>
    </row>
  </sheetData>
  <autoFilter ref="B3:AL3" xr:uid="{7B98F35A-5089-804D-96F4-CB2B682097CF}">
    <sortState xmlns:xlrd2="http://schemas.microsoft.com/office/spreadsheetml/2017/richdata2" ref="B4:AL6">
      <sortCondition ref="AC3:AC6"/>
    </sortState>
  </autoFilter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3CB2-9269-E443-8432-2E47B5E7D00F}">
  <dimension ref="A1:BY22"/>
  <sheetViews>
    <sheetView workbookViewId="0">
      <pane xSplit="2" ySplit="3" topLeftCell="Q4" activePane="bottomRight" state="frozen"/>
      <selection pane="topRight" activeCell="C1" sqref="C1"/>
      <selection pane="bottomLeft" activeCell="A4" sqref="A4"/>
      <selection pane="bottomRight" activeCell="X14" sqref="X14"/>
    </sheetView>
  </sheetViews>
  <sheetFormatPr defaultColWidth="10.83203125" defaultRowHeight="15.7"/>
  <cols>
    <col min="1" max="1" width="4.83203125" style="158" customWidth="1"/>
    <col min="2" max="2" width="43.33203125" style="158" customWidth="1"/>
    <col min="3" max="3" width="25.83203125" style="158" customWidth="1"/>
    <col min="4" max="4" width="28.83203125" style="158" customWidth="1"/>
    <col min="5" max="7" width="20.83203125" style="158" customWidth="1"/>
    <col min="8" max="8" width="23" style="158" customWidth="1"/>
    <col min="9" max="10" width="19.5" style="158" customWidth="1"/>
    <col min="11" max="11" width="13.6640625" style="158" customWidth="1"/>
    <col min="12" max="12" width="14.83203125" style="158" customWidth="1"/>
    <col min="13" max="13" width="16.83203125" style="158" customWidth="1"/>
    <col min="14" max="14" width="20.83203125" style="158" customWidth="1"/>
    <col min="15" max="18" width="14.83203125" style="158" customWidth="1"/>
    <col min="19" max="19" width="4.83203125" style="158" customWidth="1"/>
    <col min="20" max="20" width="25.6640625" style="158" customWidth="1"/>
    <col min="21" max="21" width="20.83203125" style="158" customWidth="1"/>
    <col min="22" max="22" width="12.5" style="158" bestFit="1" customWidth="1"/>
    <col min="23" max="23" width="12.5" style="158" customWidth="1"/>
    <col min="24" max="25" width="12.83203125" style="158" customWidth="1"/>
    <col min="26" max="26" width="18.83203125" style="158" customWidth="1"/>
    <col min="27" max="27" width="15" style="158" customWidth="1"/>
    <col min="28" max="28" width="12.6640625" style="158" bestFit="1" customWidth="1"/>
    <col min="29" max="29" width="4.83203125" style="158" customWidth="1"/>
    <col min="30" max="31" width="10.83203125" style="158"/>
    <col min="32" max="32" width="24.83203125" style="158" customWidth="1"/>
    <col min="33" max="33" width="17.83203125" style="158" customWidth="1"/>
    <col min="34" max="34" width="15.5" style="158" customWidth="1"/>
    <col min="35" max="35" width="11.1640625" style="158" bestFit="1" customWidth="1"/>
    <col min="36" max="36" width="11.1640625" style="158" customWidth="1"/>
    <col min="37" max="37" width="11.1640625" style="158" bestFit="1" customWidth="1"/>
    <col min="38" max="38" width="15" style="158" customWidth="1"/>
    <col min="39" max="39" width="14.6640625" style="158" customWidth="1"/>
    <col min="40" max="41" width="15.33203125" style="158" customWidth="1"/>
    <col min="42" max="43" width="15" style="158" customWidth="1"/>
    <col min="44" max="44" width="11.1640625" style="158" bestFit="1" customWidth="1"/>
    <col min="45" max="45" width="4.83203125" style="158" customWidth="1"/>
    <col min="46" max="47" width="19.33203125" style="158" customWidth="1"/>
    <col min="48" max="52" width="21.1640625" style="158" customWidth="1"/>
    <col min="53" max="54" width="18" style="158" customWidth="1"/>
    <col min="55" max="58" width="20.1640625" style="158" customWidth="1"/>
    <col min="59" max="59" width="19.33203125" style="158" customWidth="1"/>
    <col min="60" max="61" width="15.6640625" style="158" customWidth="1"/>
    <col min="62" max="62" width="50.83203125" style="158" customWidth="1"/>
    <col min="63" max="16384" width="10.83203125" style="158"/>
  </cols>
  <sheetData>
    <row r="1" spans="1:63" ht="26" customHeight="1">
      <c r="A1" s="269" t="s">
        <v>79</v>
      </c>
      <c r="B1" s="21" t="s">
        <v>508</v>
      </c>
      <c r="C1" s="121"/>
      <c r="D1" s="2"/>
      <c r="I1" s="2"/>
      <c r="J1" s="2"/>
      <c r="K1" s="2"/>
      <c r="M1" s="69"/>
      <c r="N1" s="69"/>
      <c r="T1" s="21" t="s">
        <v>1540</v>
      </c>
      <c r="U1" s="21"/>
      <c r="V1" s="26"/>
      <c r="W1" s="26"/>
      <c r="X1" s="26"/>
      <c r="Y1" s="26"/>
      <c r="Z1" s="2"/>
      <c r="AA1" s="2"/>
      <c r="AB1" s="5"/>
      <c r="AD1" s="21" t="s">
        <v>922</v>
      </c>
      <c r="AE1" s="21"/>
      <c r="AT1" s="21" t="s">
        <v>923</v>
      </c>
      <c r="AU1" s="21"/>
      <c r="AV1" s="270">
        <v>0.02</v>
      </c>
      <c r="AW1" s="80">
        <v>0.04</v>
      </c>
      <c r="AX1" s="124"/>
      <c r="AY1" s="270"/>
      <c r="AZ1" s="270">
        <v>0.05</v>
      </c>
      <c r="BA1" s="68">
        <v>70</v>
      </c>
      <c r="BB1" s="68"/>
    </row>
    <row r="2" spans="1:63" ht="72">
      <c r="B2" s="243" t="s">
        <v>921</v>
      </c>
      <c r="C2" s="23" t="s">
        <v>832</v>
      </c>
      <c r="D2" s="23" t="s">
        <v>13</v>
      </c>
      <c r="E2" s="23" t="s">
        <v>21</v>
      </c>
      <c r="F2" s="23" t="s">
        <v>14</v>
      </c>
      <c r="G2" s="23" t="s">
        <v>15</v>
      </c>
      <c r="H2" s="23" t="s">
        <v>820</v>
      </c>
      <c r="I2" s="23" t="s">
        <v>612</v>
      </c>
      <c r="J2" s="23" t="s">
        <v>613</v>
      </c>
      <c r="K2" s="23" t="s">
        <v>822</v>
      </c>
      <c r="L2" s="23" t="s">
        <v>448</v>
      </c>
      <c r="M2" s="23" t="s">
        <v>474</v>
      </c>
      <c r="N2" s="23" t="s">
        <v>823</v>
      </c>
      <c r="O2" s="23" t="s">
        <v>16</v>
      </c>
      <c r="P2" s="23" t="s">
        <v>56</v>
      </c>
      <c r="Q2" s="23" t="s">
        <v>1541</v>
      </c>
      <c r="R2" s="23" t="s">
        <v>1542</v>
      </c>
      <c r="T2" s="23" t="s">
        <v>445</v>
      </c>
      <c r="U2" s="23" t="s">
        <v>474</v>
      </c>
      <c r="V2" s="23" t="s">
        <v>16</v>
      </c>
      <c r="W2" s="23" t="s">
        <v>824</v>
      </c>
      <c r="X2" s="23" t="s">
        <v>825</v>
      </c>
      <c r="Y2" s="23" t="s">
        <v>536</v>
      </c>
      <c r="Z2" s="23" t="s">
        <v>830</v>
      </c>
      <c r="AA2" s="23" t="s">
        <v>43</v>
      </c>
      <c r="AB2" s="23" t="s">
        <v>17</v>
      </c>
      <c r="AD2" s="23" t="s">
        <v>1567</v>
      </c>
      <c r="AE2" s="23" t="s">
        <v>1568</v>
      </c>
      <c r="AF2" s="23" t="s">
        <v>1569</v>
      </c>
      <c r="AG2" s="23" t="s">
        <v>570</v>
      </c>
      <c r="AH2" s="23" t="s">
        <v>509</v>
      </c>
      <c r="AI2" s="23" t="s">
        <v>510</v>
      </c>
      <c r="AJ2" s="23" t="s">
        <v>427</v>
      </c>
      <c r="AK2" s="23" t="s">
        <v>511</v>
      </c>
      <c r="AL2" s="23" t="s">
        <v>512</v>
      </c>
      <c r="AM2" s="23" t="s">
        <v>1543</v>
      </c>
      <c r="AN2" s="23" t="s">
        <v>436</v>
      </c>
      <c r="AO2" s="23" t="s">
        <v>571</v>
      </c>
      <c r="AP2" s="23" t="s">
        <v>1544</v>
      </c>
      <c r="AQ2" s="23" t="s">
        <v>1545</v>
      </c>
      <c r="AR2" s="23" t="s">
        <v>513</v>
      </c>
      <c r="AS2" s="17"/>
      <c r="AT2" s="23" t="s">
        <v>1546</v>
      </c>
      <c r="AU2" s="23" t="s">
        <v>1546</v>
      </c>
      <c r="AV2" s="23" t="s">
        <v>453</v>
      </c>
      <c r="AW2" s="23" t="s">
        <v>454</v>
      </c>
      <c r="AX2" s="23" t="s">
        <v>455</v>
      </c>
      <c r="AY2" s="23" t="s">
        <v>456</v>
      </c>
      <c r="AZ2" s="23" t="s">
        <v>521</v>
      </c>
      <c r="BA2" s="23" t="s">
        <v>457</v>
      </c>
      <c r="BB2" s="23" t="s">
        <v>476</v>
      </c>
      <c r="BC2" s="23" t="s">
        <v>1547</v>
      </c>
      <c r="BD2" s="23" t="s">
        <v>1548</v>
      </c>
      <c r="BE2" s="23" t="s">
        <v>460</v>
      </c>
      <c r="BF2" s="23" t="s">
        <v>1549</v>
      </c>
      <c r="BG2" s="109" t="s">
        <v>1550</v>
      </c>
      <c r="BH2" s="23" t="s">
        <v>462</v>
      </c>
      <c r="BI2" s="23" t="s">
        <v>463</v>
      </c>
      <c r="BJ2" s="23" t="s">
        <v>46</v>
      </c>
    </row>
    <row r="3" spans="1:63" ht="18">
      <c r="D3" s="17"/>
      <c r="E3" s="17"/>
      <c r="F3" s="17" t="s">
        <v>514</v>
      </c>
      <c r="G3" s="17" t="s">
        <v>514</v>
      </c>
      <c r="H3" s="17"/>
      <c r="I3" s="17"/>
      <c r="J3" s="17"/>
      <c r="K3" s="17" t="s">
        <v>71</v>
      </c>
      <c r="L3" s="17" t="s">
        <v>73</v>
      </c>
      <c r="M3" s="17"/>
      <c r="N3" s="17"/>
      <c r="O3" s="17" t="s">
        <v>19</v>
      </c>
      <c r="P3" s="17" t="s">
        <v>19</v>
      </c>
      <c r="Q3" s="17" t="s">
        <v>1551</v>
      </c>
      <c r="R3" s="17" t="s">
        <v>1551</v>
      </c>
      <c r="T3" s="17"/>
      <c r="U3" s="17"/>
      <c r="V3" s="17" t="s">
        <v>19</v>
      </c>
      <c r="W3" s="17" t="s">
        <v>32</v>
      </c>
      <c r="X3" s="17" t="s">
        <v>19</v>
      </c>
      <c r="Y3" s="17" t="s">
        <v>32</v>
      </c>
      <c r="Z3" s="17" t="s">
        <v>20</v>
      </c>
      <c r="AA3" s="17"/>
      <c r="AB3" s="17"/>
      <c r="AD3" s="17"/>
      <c r="AE3" s="17"/>
      <c r="AF3" s="17"/>
      <c r="AG3" s="17" t="s">
        <v>140</v>
      </c>
      <c r="AH3" s="17" t="s">
        <v>515</v>
      </c>
      <c r="AI3" s="17" t="s">
        <v>49</v>
      </c>
      <c r="AJ3" s="17" t="s">
        <v>49</v>
      </c>
      <c r="AK3" s="17" t="s">
        <v>32</v>
      </c>
      <c r="AL3" s="17" t="s">
        <v>141</v>
      </c>
      <c r="AM3" s="17" t="s">
        <v>141</v>
      </c>
      <c r="AN3" s="17"/>
      <c r="AO3" s="17"/>
      <c r="AP3" s="17" t="s">
        <v>516</v>
      </c>
      <c r="AQ3" s="17" t="s">
        <v>516</v>
      </c>
      <c r="AR3" s="17" t="s">
        <v>517</v>
      </c>
      <c r="AS3" s="17"/>
      <c r="AT3" s="73" t="s">
        <v>465</v>
      </c>
      <c r="AU3" s="73" t="s">
        <v>1552</v>
      </c>
      <c r="AV3" s="73" t="s">
        <v>1552</v>
      </c>
      <c r="AW3" s="73" t="s">
        <v>1552</v>
      </c>
      <c r="AX3" s="73" t="s">
        <v>1552</v>
      </c>
      <c r="AY3" s="73" t="s">
        <v>1552</v>
      </c>
      <c r="AZ3" s="73" t="s">
        <v>1552</v>
      </c>
      <c r="BA3" s="17" t="s">
        <v>1553</v>
      </c>
      <c r="BB3" s="17" t="s">
        <v>544</v>
      </c>
      <c r="BC3" s="17" t="s">
        <v>544</v>
      </c>
      <c r="BD3" s="17" t="s">
        <v>23</v>
      </c>
      <c r="BE3" s="17" t="s">
        <v>23</v>
      </c>
      <c r="BF3" s="17" t="s">
        <v>23</v>
      </c>
      <c r="BG3" s="17" t="s">
        <v>1554</v>
      </c>
      <c r="BH3" s="17" t="s">
        <v>467</v>
      </c>
      <c r="BI3" s="17" t="s">
        <v>467</v>
      </c>
      <c r="BJ3" s="17"/>
    </row>
    <row r="4" spans="1:63" ht="20" customHeight="1">
      <c r="B4" s="74" t="s">
        <v>518</v>
      </c>
      <c r="C4" s="47" t="s">
        <v>1555</v>
      </c>
      <c r="D4" s="47" t="s">
        <v>93</v>
      </c>
      <c r="E4" s="47" t="s">
        <v>100</v>
      </c>
      <c r="F4" s="271">
        <v>47.042975846134901</v>
      </c>
      <c r="G4" s="271">
        <v>-67.736726527034506</v>
      </c>
      <c r="H4" s="47" t="s">
        <v>560</v>
      </c>
      <c r="I4" s="20" t="s">
        <v>178</v>
      </c>
      <c r="J4" s="20" t="s">
        <v>1379</v>
      </c>
      <c r="K4" s="70">
        <v>138</v>
      </c>
      <c r="L4" s="122">
        <v>0</v>
      </c>
      <c r="M4" s="47" t="s">
        <v>543</v>
      </c>
      <c r="N4" s="47" t="s">
        <v>543</v>
      </c>
      <c r="O4" s="70">
        <v>100</v>
      </c>
      <c r="P4" s="70">
        <v>100</v>
      </c>
      <c r="Q4" s="68">
        <f t="shared" ref="Q4" si="0">O4*8*365/1000</f>
        <v>292</v>
      </c>
      <c r="R4" s="68">
        <f t="shared" ref="R4" si="1">Q4/0.8</f>
        <v>365</v>
      </c>
      <c r="S4" s="68"/>
      <c r="T4" s="18" t="s">
        <v>85</v>
      </c>
      <c r="U4" s="47" t="s">
        <v>420</v>
      </c>
      <c r="V4" s="125">
        <v>64</v>
      </c>
      <c r="W4" s="272">
        <f>[3]System!$C$12</f>
        <v>0.95</v>
      </c>
      <c r="X4" s="125">
        <f>V4*W4</f>
        <v>60.8</v>
      </c>
      <c r="Y4" s="273">
        <v>0.76</v>
      </c>
      <c r="Z4" s="204">
        <f>V4*24*365*Y4/1000</f>
        <v>426.08640000000003</v>
      </c>
      <c r="AA4" s="68">
        <v>4</v>
      </c>
      <c r="AB4" s="22">
        <v>1931</v>
      </c>
      <c r="AD4" s="20" t="s">
        <v>519</v>
      </c>
      <c r="AE4" s="20" t="s">
        <v>1570</v>
      </c>
      <c r="AF4" s="20" t="s">
        <v>1556</v>
      </c>
      <c r="AG4" s="213"/>
      <c r="AH4" s="213"/>
      <c r="AI4" s="213"/>
      <c r="AJ4" s="213"/>
      <c r="AK4" s="213"/>
      <c r="AL4" s="213"/>
      <c r="AM4" s="213"/>
      <c r="AN4" s="47"/>
      <c r="AO4" s="47"/>
      <c r="AP4" s="213"/>
      <c r="AQ4" s="213"/>
      <c r="AR4" s="68"/>
      <c r="AS4" s="68"/>
      <c r="AT4" s="124">
        <v>600</v>
      </c>
      <c r="AU4" s="124">
        <f>('[4]CPI-Can'!C$102/'[4]CPI-Can'!C$99)*AT4</f>
        <v>629.76383856053974</v>
      </c>
      <c r="AV4" s="124">
        <f t="shared" ref="AV4" si="2">AV$1*AU4</f>
        <v>12.595276771210795</v>
      </c>
      <c r="AW4" s="124">
        <f t="shared" ref="AW4" si="3">FV(AW$1,BH4,-(AU4/BH4),0,1)-AU4</f>
        <v>65.546223366238564</v>
      </c>
      <c r="AX4" s="124">
        <f t="shared" ref="AX4" si="4">SUM(AU4:AW4)</f>
        <v>707.90533869798912</v>
      </c>
      <c r="AY4" s="124">
        <f t="shared" ref="AY4" si="5">(0.9539*AX4^0.6784)/2</f>
        <v>40.916268549000407</v>
      </c>
      <c r="AZ4" s="122">
        <f t="shared" ref="AZ4" si="6">SUM(AX4:AY4)</f>
        <v>748.82160724698952</v>
      </c>
      <c r="BA4" s="124">
        <f t="shared" ref="BA4" si="7">PMT(AZ$1,BA$1,-AZ4,0,0)</f>
        <v>38.713442862414702</v>
      </c>
      <c r="BB4" s="124">
        <f t="shared" ref="BB4" si="8">BA4*1000/O4</f>
        <v>387.13442862414706</v>
      </c>
      <c r="BC4" s="124">
        <f t="shared" ref="BC4" si="9">324*(O4^-0.477)</f>
        <v>36.020107963923557</v>
      </c>
      <c r="BD4" s="124">
        <f t="shared" ref="BD4" si="10">14.07*(O4^-0.383)</f>
        <v>2.4115379316643542</v>
      </c>
      <c r="BE4" s="124">
        <v>0</v>
      </c>
      <c r="BF4" s="124">
        <f t="shared" ref="BF4" si="11">SUM(BD4:BE4)*Q4/O4</f>
        <v>7.0416907604599146</v>
      </c>
      <c r="BG4" s="213">
        <f t="shared" ref="BG4" si="12">BB4+BC4+BF4</f>
        <v>430.19622734853056</v>
      </c>
      <c r="BH4" s="70">
        <v>4</v>
      </c>
      <c r="BI4" s="70">
        <v>6</v>
      </c>
      <c r="BJ4" s="18" t="s">
        <v>1557</v>
      </c>
    </row>
    <row r="5" spans="1:63" ht="20" customHeight="1">
      <c r="B5" s="18"/>
      <c r="C5" s="47"/>
      <c r="D5" s="47"/>
      <c r="E5" s="47"/>
      <c r="F5" s="261"/>
      <c r="G5" s="261"/>
      <c r="H5" s="47"/>
      <c r="I5" s="47"/>
      <c r="J5" s="47"/>
      <c r="K5" s="68"/>
      <c r="L5" s="274"/>
      <c r="M5" s="47"/>
      <c r="N5" s="47"/>
      <c r="O5" s="68"/>
      <c r="P5" s="68"/>
      <c r="Q5" s="68"/>
      <c r="R5" s="68"/>
      <c r="S5" s="68"/>
      <c r="T5" s="18"/>
      <c r="U5" s="47"/>
      <c r="V5" s="124"/>
      <c r="W5" s="275"/>
      <c r="X5" s="124"/>
      <c r="Y5" s="238"/>
      <c r="Z5" s="124"/>
      <c r="AA5" s="68"/>
      <c r="AB5" s="47"/>
      <c r="AD5" s="47"/>
      <c r="AE5" s="47"/>
      <c r="AF5" s="47"/>
      <c r="AG5" s="213"/>
      <c r="AH5" s="213"/>
      <c r="AI5" s="213"/>
      <c r="AJ5" s="213"/>
      <c r="AK5" s="213"/>
      <c r="AL5" s="213"/>
      <c r="AM5" s="213"/>
      <c r="AN5" s="47"/>
      <c r="AO5" s="47"/>
      <c r="AP5" s="213"/>
      <c r="AQ5" s="213"/>
      <c r="AR5" s="68"/>
      <c r="AS5" s="68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213"/>
      <c r="BH5" s="68"/>
      <c r="BI5" s="68"/>
      <c r="BJ5" s="18"/>
    </row>
    <row r="7" spans="1:63" ht="18">
      <c r="A7" s="69" t="s">
        <v>545</v>
      </c>
      <c r="D7" s="6"/>
      <c r="T7" s="6"/>
      <c r="U7" s="7"/>
      <c r="V7" s="45"/>
      <c r="W7" s="45"/>
      <c r="X7" s="45"/>
      <c r="Y7" s="45"/>
      <c r="Z7" s="2"/>
      <c r="AA7" s="2"/>
      <c r="AB7" s="44"/>
    </row>
    <row r="8" spans="1:63" ht="18">
      <c r="A8" s="2" t="s">
        <v>1558</v>
      </c>
    </row>
    <row r="9" spans="1:63" s="2" customFormat="1" ht="18">
      <c r="A9" s="2" t="s">
        <v>1559</v>
      </c>
      <c r="B9" s="13"/>
      <c r="C9" s="13"/>
      <c r="D9" s="158"/>
      <c r="E9" s="13"/>
      <c r="F9" s="13"/>
      <c r="G9" s="42"/>
      <c r="H9" s="42"/>
      <c r="I9" s="13"/>
      <c r="J9" s="13"/>
      <c r="K9" s="13"/>
      <c r="L9" s="13"/>
      <c r="M9" s="13"/>
      <c r="N9" s="13"/>
      <c r="O9" s="13"/>
      <c r="P9" s="13"/>
      <c r="Q9" s="13"/>
      <c r="R9" s="13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3"/>
      <c r="AE9" s="13"/>
      <c r="AF9" s="13"/>
      <c r="AG9" s="13"/>
      <c r="AH9" s="13"/>
      <c r="AI9" s="130"/>
      <c r="AJ9" s="130"/>
      <c r="AK9" s="130"/>
      <c r="AL9" s="130"/>
      <c r="AM9" s="130"/>
      <c r="AN9" s="130"/>
      <c r="AO9" s="130"/>
      <c r="AP9" s="130"/>
      <c r="AQ9" s="158"/>
      <c r="AR9" s="158"/>
      <c r="AS9" s="158"/>
      <c r="AT9" s="158"/>
      <c r="BE9" s="13"/>
      <c r="BF9" s="13"/>
      <c r="BG9" s="13"/>
      <c r="BH9" s="13"/>
      <c r="BI9" s="13"/>
      <c r="BJ9" s="13"/>
      <c r="BK9" s="13"/>
    </row>
    <row r="10" spans="1:63" s="2" customFormat="1" ht="18">
      <c r="A10" s="2" t="s">
        <v>1560</v>
      </c>
      <c r="B10" s="158"/>
      <c r="C10" s="158"/>
      <c r="H10" s="158"/>
      <c r="I10" s="158"/>
      <c r="J10" s="158"/>
      <c r="K10" s="158"/>
      <c r="M10" s="5"/>
      <c r="N10" s="5"/>
      <c r="O10" s="158"/>
      <c r="P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25"/>
      <c r="AT10" s="158"/>
      <c r="AU10" s="158"/>
      <c r="AV10" s="158"/>
      <c r="AW10" s="158"/>
      <c r="AX10" s="158"/>
      <c r="AY10" s="158"/>
      <c r="AZ10" s="158"/>
      <c r="BA10" s="158"/>
      <c r="BB10" s="158"/>
      <c r="BC10" s="158"/>
      <c r="BD10" s="158"/>
      <c r="BE10" s="158"/>
      <c r="BF10" s="158"/>
      <c r="BG10" s="158"/>
      <c r="BH10" s="158"/>
    </row>
    <row r="11" spans="1:63" s="2" customFormat="1" ht="18">
      <c r="A11" s="2" t="s">
        <v>1561</v>
      </c>
      <c r="B11" s="158"/>
      <c r="C11" s="158"/>
      <c r="H11" s="158"/>
      <c r="I11" s="158"/>
      <c r="J11" s="158"/>
      <c r="K11" s="158"/>
      <c r="M11" s="5"/>
      <c r="N11" s="5"/>
      <c r="O11" s="158"/>
      <c r="P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25"/>
      <c r="AT11" s="158"/>
      <c r="AU11" s="158"/>
      <c r="AV11" s="158"/>
      <c r="AW11" s="158"/>
      <c r="AX11" s="158"/>
      <c r="AY11" s="158"/>
      <c r="AZ11" s="158"/>
      <c r="BA11" s="158"/>
      <c r="BB11" s="158"/>
      <c r="BC11" s="158"/>
      <c r="BD11" s="158"/>
      <c r="BE11" s="158"/>
      <c r="BF11" s="158"/>
      <c r="BG11" s="158"/>
      <c r="BH11" s="158"/>
    </row>
    <row r="12" spans="1:63" s="2" customFormat="1" ht="18">
      <c r="A12" s="2" t="s">
        <v>469</v>
      </c>
      <c r="B12" s="158"/>
      <c r="C12" s="158"/>
      <c r="D12" s="13"/>
      <c r="L12" s="25"/>
      <c r="N12" s="158"/>
      <c r="O12" s="158"/>
      <c r="P12" s="158"/>
      <c r="Q12" s="158"/>
      <c r="R12" s="158"/>
      <c r="S12" s="158"/>
      <c r="T12" s="13"/>
      <c r="U12" s="13"/>
      <c r="V12" s="13"/>
      <c r="W12" s="13"/>
      <c r="X12" s="13"/>
      <c r="Y12" s="13"/>
      <c r="Z12" s="13"/>
      <c r="AA12" s="13"/>
      <c r="AB12" s="42"/>
      <c r="AC12" s="158"/>
      <c r="AD12" s="13"/>
      <c r="AE12" s="13"/>
      <c r="AF12" s="158"/>
      <c r="AG12" s="13"/>
      <c r="AH12" s="158"/>
      <c r="AI12" s="158"/>
      <c r="AJ12" s="158"/>
      <c r="AK12" s="158"/>
      <c r="AQ12" s="158"/>
      <c r="AR12" s="158"/>
      <c r="AS12" s="158"/>
      <c r="AT12" s="158"/>
    </row>
    <row r="13" spans="1:63" s="2" customFormat="1" ht="18">
      <c r="A13" s="2" t="s">
        <v>1562</v>
      </c>
      <c r="B13" s="158"/>
      <c r="D13" s="158"/>
      <c r="G13" s="25"/>
      <c r="H13" s="13"/>
      <c r="M13" s="158"/>
      <c r="N13" s="158"/>
      <c r="O13" s="158"/>
      <c r="P13" s="158"/>
      <c r="Q13" s="158"/>
      <c r="R13" s="158"/>
      <c r="S13" s="158"/>
      <c r="T13" s="158"/>
      <c r="U13" s="13"/>
      <c r="AC13" s="158"/>
      <c r="AH13" s="158"/>
      <c r="AI13" s="158"/>
    </row>
    <row r="14" spans="1:63" s="2" customFormat="1" ht="18">
      <c r="A14" s="2" t="s">
        <v>1563</v>
      </c>
      <c r="B14" s="158"/>
      <c r="C14" s="158"/>
      <c r="D14" s="158"/>
      <c r="I14" s="13"/>
      <c r="J14" s="13"/>
      <c r="L14" s="25"/>
      <c r="O14" s="158"/>
      <c r="P14" s="158"/>
      <c r="Q14" s="158"/>
      <c r="R14" s="158"/>
      <c r="S14" s="158"/>
      <c r="T14" s="158"/>
      <c r="AA14" s="158"/>
      <c r="AC14" s="158"/>
      <c r="AD14" s="5"/>
      <c r="AE14" s="5"/>
      <c r="AF14" s="158"/>
      <c r="AG14" s="5"/>
      <c r="AH14" s="158"/>
      <c r="AI14" s="158"/>
      <c r="AJ14" s="158"/>
      <c r="AK14" s="158"/>
      <c r="AL14" s="158"/>
      <c r="AT14" s="158"/>
    </row>
    <row r="15" spans="1:63" s="2" customFormat="1" ht="18">
      <c r="A15" s="2" t="s">
        <v>520</v>
      </c>
      <c r="B15" s="158"/>
      <c r="G15" s="25"/>
      <c r="H15" s="13"/>
      <c r="M15" s="158"/>
      <c r="N15" s="158"/>
      <c r="O15" s="158"/>
      <c r="P15" s="158"/>
      <c r="Q15" s="158"/>
      <c r="R15" s="158"/>
      <c r="S15" s="158"/>
      <c r="T15" s="158"/>
      <c r="X15" s="158"/>
      <c r="Y15" s="158"/>
      <c r="Z15" s="158"/>
      <c r="AA15" s="158"/>
      <c r="AB15" s="13"/>
      <c r="AC15" s="158"/>
      <c r="AH15" s="158"/>
      <c r="AI15" s="158"/>
    </row>
    <row r="16" spans="1:63" s="2" customFormat="1" ht="18">
      <c r="A16" s="2" t="s">
        <v>1564</v>
      </c>
      <c r="B16" s="158"/>
      <c r="D16" s="158"/>
      <c r="G16" s="25"/>
      <c r="H16" s="13"/>
      <c r="M16" s="158"/>
      <c r="N16" s="158"/>
      <c r="O16" s="158"/>
      <c r="P16" s="158"/>
      <c r="Q16" s="158"/>
      <c r="R16" s="158"/>
      <c r="S16" s="158"/>
      <c r="T16" s="158"/>
      <c r="U16" s="13"/>
      <c r="AC16" s="158"/>
      <c r="AH16" s="158"/>
      <c r="AI16" s="158"/>
    </row>
    <row r="17" spans="1:77" s="2" customFormat="1" ht="18">
      <c r="A17" s="2" t="s">
        <v>1565</v>
      </c>
      <c r="I17" s="5"/>
      <c r="J17" s="5"/>
      <c r="K17" s="13"/>
      <c r="M17" s="158"/>
      <c r="S17" s="158"/>
      <c r="T17" s="158"/>
      <c r="X17" s="158"/>
      <c r="Y17" s="158"/>
      <c r="Z17" s="158"/>
      <c r="AA17" s="158"/>
      <c r="AB17" s="13"/>
      <c r="AC17" s="158"/>
      <c r="AD17" s="25"/>
      <c r="AE17" s="25"/>
      <c r="AF17" s="158"/>
      <c r="AG17" s="25"/>
      <c r="AH17" s="158"/>
      <c r="AI17" s="158"/>
      <c r="AJ17" s="158"/>
      <c r="AK17" s="158"/>
      <c r="AQ17" s="92"/>
      <c r="AR17" s="158"/>
      <c r="AS17" s="158"/>
      <c r="AT17" s="158"/>
      <c r="AU17" s="158"/>
      <c r="AZ17" s="158"/>
      <c r="BA17" s="158"/>
      <c r="BG17" s="158"/>
      <c r="BH17" s="158"/>
      <c r="BI17" s="158"/>
      <c r="BJ17" s="28"/>
      <c r="BK17" s="158"/>
      <c r="BL17" s="158"/>
      <c r="BR17" s="92"/>
      <c r="BS17" s="158"/>
      <c r="BT17" s="158"/>
      <c r="BU17" s="158"/>
      <c r="BV17" s="158"/>
      <c r="BW17" s="28"/>
      <c r="BX17" s="158"/>
      <c r="BY17" s="158"/>
    </row>
    <row r="18" spans="1:77" ht="18">
      <c r="A18" s="2" t="s">
        <v>504</v>
      </c>
      <c r="D18" s="2"/>
      <c r="U18" s="2"/>
      <c r="V18" s="2"/>
      <c r="W18" s="2"/>
      <c r="AB18" s="13"/>
      <c r="AV18" s="2"/>
      <c r="AW18" s="2"/>
      <c r="AX18" s="2"/>
      <c r="AY18" s="2"/>
    </row>
    <row r="19" spans="1:77" ht="18">
      <c r="A19" s="2" t="s">
        <v>1566</v>
      </c>
      <c r="D19" s="2"/>
      <c r="T19" s="2"/>
      <c r="U19" s="5"/>
      <c r="V19" s="13"/>
      <c r="W19" s="13"/>
      <c r="X19" s="2"/>
      <c r="Y19" s="2"/>
      <c r="AA19" s="2"/>
      <c r="AB19" s="2"/>
      <c r="AY19" s="28"/>
    </row>
    <row r="20" spans="1:77" ht="18">
      <c r="D20" s="2"/>
      <c r="T20" s="2"/>
      <c r="U20" s="5"/>
      <c r="V20" s="13"/>
      <c r="W20" s="13"/>
      <c r="X20" s="2"/>
      <c r="Y20" s="2"/>
      <c r="AA20" s="2"/>
      <c r="AB20" s="2"/>
    </row>
    <row r="21" spans="1:77" ht="18">
      <c r="D21" s="2"/>
      <c r="T21" s="2"/>
      <c r="U21" s="5"/>
      <c r="V21" s="5"/>
      <c r="W21" s="5"/>
      <c r="X21" s="2"/>
      <c r="Y21" s="2"/>
      <c r="Z21" s="2"/>
      <c r="AA21" s="2"/>
      <c r="AB21" s="5"/>
    </row>
    <row r="22" spans="1:77" ht="18">
      <c r="D22" s="2"/>
      <c r="T22" s="2"/>
      <c r="U22" s="5"/>
      <c r="V22" s="2"/>
      <c r="W22" s="2"/>
      <c r="X22" s="2"/>
      <c r="Y22" s="2"/>
      <c r="Z22" s="2"/>
      <c r="AA22" s="2"/>
      <c r="AB22" s="5"/>
    </row>
  </sheetData>
  <autoFilter ref="B3:BJ3" xr:uid="{334C7EED-BD94-864B-9EF7-FC7E4CB25542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1170-A1E0-2741-9FD2-046F7103DF78}">
  <sheetPr codeName="Sheet8"/>
  <dimension ref="A1:Z506"/>
  <sheetViews>
    <sheetView zoomScaleNormal="100" workbookViewId="0">
      <pane xSplit="2" ySplit="3" topLeftCell="S317" activePane="bottomRight" state="frozen"/>
      <selection pane="topRight" activeCell="C1" sqref="C1"/>
      <selection pane="bottomLeft" activeCell="A4" sqref="A4"/>
      <selection pane="bottomRight" activeCell="W326" sqref="W326"/>
    </sheetView>
  </sheetViews>
  <sheetFormatPr defaultColWidth="10.83203125" defaultRowHeight="15.7"/>
  <cols>
    <col min="1" max="1" width="4.83203125" style="32" customWidth="1"/>
    <col min="2" max="2" width="14.83203125" style="57" customWidth="1"/>
    <col min="3" max="3" width="25.6640625" style="58" customWidth="1"/>
    <col min="4" max="4" width="25.6640625" style="126" customWidth="1"/>
    <col min="5" max="5" width="12.83203125" style="53" customWidth="1"/>
    <col min="6" max="6" width="12.83203125" style="55" customWidth="1"/>
    <col min="7" max="8" width="10.83203125" style="59" customWidth="1"/>
    <col min="9" max="9" width="12.83203125" style="57" customWidth="1"/>
    <col min="10" max="10" width="14.83203125" style="58" customWidth="1"/>
    <col min="11" max="11" width="12.83203125" style="58" customWidth="1"/>
    <col min="12" max="16" width="14.83203125" style="126" customWidth="1"/>
    <col min="17" max="18" width="12.83203125" style="58" customWidth="1"/>
    <col min="19" max="19" width="50.83203125" style="181" customWidth="1"/>
    <col min="20" max="20" width="30.83203125" style="14" customWidth="1"/>
    <col min="21" max="21" width="50.83203125" style="32" customWidth="1"/>
    <col min="22" max="22" width="30.83203125" style="14" customWidth="1"/>
    <col min="23" max="23" width="70.83203125" style="14" customWidth="1"/>
    <col min="24" max="24" width="95.83203125" style="58" customWidth="1"/>
    <col min="25" max="25" width="13.83203125" style="58" customWidth="1"/>
    <col min="26" max="16384" width="10.83203125" style="32"/>
  </cols>
  <sheetData>
    <row r="1" spans="1:25" s="2" customFormat="1" ht="20.7">
      <c r="A1" s="21" t="s">
        <v>79</v>
      </c>
      <c r="B1" s="21" t="s">
        <v>812</v>
      </c>
      <c r="C1" s="21"/>
      <c r="D1" s="245"/>
      <c r="F1" s="56"/>
      <c r="G1" s="58"/>
      <c r="H1" s="58"/>
      <c r="I1" s="57"/>
      <c r="J1" s="58"/>
      <c r="K1" s="58"/>
      <c r="L1" s="126"/>
      <c r="M1" s="126"/>
      <c r="N1" s="126"/>
      <c r="O1" s="126"/>
      <c r="P1" s="126"/>
      <c r="Q1" s="58"/>
      <c r="R1" s="58"/>
      <c r="S1" s="181"/>
      <c r="T1" s="14"/>
      <c r="U1" s="32"/>
      <c r="V1" s="14"/>
      <c r="W1" s="14"/>
      <c r="X1" s="52"/>
      <c r="Y1" s="21"/>
    </row>
    <row r="2" spans="1:25" s="1" customFormat="1" ht="36">
      <c r="B2" s="23" t="s">
        <v>69</v>
      </c>
      <c r="C2" s="23" t="s">
        <v>13</v>
      </c>
      <c r="D2" s="23" t="s">
        <v>821</v>
      </c>
      <c r="E2" s="23" t="s">
        <v>68</v>
      </c>
      <c r="F2" s="23" t="s">
        <v>574</v>
      </c>
      <c r="G2" s="23" t="s">
        <v>614</v>
      </c>
      <c r="H2" s="23" t="s">
        <v>614</v>
      </c>
      <c r="I2" s="23" t="s">
        <v>42</v>
      </c>
      <c r="J2" s="23" t="s">
        <v>833</v>
      </c>
      <c r="K2" s="23" t="s">
        <v>871</v>
      </c>
      <c r="L2" s="23" t="s">
        <v>834</v>
      </c>
      <c r="M2" s="23" t="s">
        <v>835</v>
      </c>
      <c r="N2" s="23" t="s">
        <v>839</v>
      </c>
      <c r="O2" s="23" t="s">
        <v>840</v>
      </c>
      <c r="P2" s="23" t="s">
        <v>836</v>
      </c>
      <c r="Q2" s="23" t="s">
        <v>813</v>
      </c>
      <c r="R2" s="23" t="s">
        <v>814</v>
      </c>
      <c r="S2" s="23" t="s">
        <v>572</v>
      </c>
      <c r="T2" s="23" t="s">
        <v>573</v>
      </c>
      <c r="U2" s="23" t="s">
        <v>770</v>
      </c>
      <c r="V2" s="23" t="s">
        <v>771</v>
      </c>
      <c r="W2" s="23" t="s">
        <v>568</v>
      </c>
      <c r="X2" s="23" t="s">
        <v>46</v>
      </c>
      <c r="Y2" s="23" t="s">
        <v>615</v>
      </c>
    </row>
    <row r="3" spans="1:25" s="1" customFormat="1" ht="18">
      <c r="B3" s="17"/>
      <c r="C3" s="17"/>
      <c r="D3" s="83"/>
      <c r="E3" s="17"/>
      <c r="F3" s="17" t="s">
        <v>70</v>
      </c>
      <c r="G3" s="17" t="s">
        <v>73</v>
      </c>
      <c r="H3" s="17" t="s">
        <v>854</v>
      </c>
      <c r="I3" s="17" t="s">
        <v>71</v>
      </c>
      <c r="J3" s="17" t="s">
        <v>855</v>
      </c>
      <c r="K3" s="17"/>
      <c r="L3" s="17" t="s">
        <v>72</v>
      </c>
      <c r="M3" s="17" t="s">
        <v>72</v>
      </c>
      <c r="N3" s="17" t="s">
        <v>841</v>
      </c>
      <c r="O3" s="17" t="s">
        <v>841</v>
      </c>
      <c r="P3" s="17"/>
      <c r="Q3" s="17" t="s">
        <v>19</v>
      </c>
      <c r="R3" s="17" t="s">
        <v>19</v>
      </c>
      <c r="S3" s="182"/>
      <c r="T3" s="83"/>
      <c r="U3" s="17"/>
      <c r="V3" s="83"/>
      <c r="W3" s="83"/>
      <c r="X3" s="17"/>
      <c r="Y3" s="17"/>
    </row>
    <row r="4" spans="1:25" s="1" customFormat="1" ht="18">
      <c r="B4" s="103" t="s">
        <v>344</v>
      </c>
      <c r="C4" s="47" t="s">
        <v>93</v>
      </c>
      <c r="D4" s="98" t="s">
        <v>598</v>
      </c>
      <c r="E4" s="103">
        <v>1</v>
      </c>
      <c r="F4" s="103" t="s">
        <v>152</v>
      </c>
      <c r="G4" s="180">
        <v>5</v>
      </c>
      <c r="H4" s="180">
        <v>3</v>
      </c>
      <c r="I4" s="102">
        <v>69</v>
      </c>
      <c r="J4" s="212" cm="1">
        <f t="array" ref="J4">_xlfn.XLOOKUP($I4,Inputs!$C$6:$C$23,Inputs!$D$6:D$23)*$G4</f>
        <v>1.9214285714285715</v>
      </c>
      <c r="K4" s="217">
        <f t="shared" ref="K4:K67" si="0">IF((42.4*(H4)^(-0.6595))&gt;=3,3,(IF(42.4*(H4)^(-0.6595)&lt;=0.5,0.5,(42.4*(H4)^(-0.6595)))))</f>
        <v>3</v>
      </c>
      <c r="L4" s="123"/>
      <c r="M4" s="123"/>
      <c r="N4" s="123"/>
      <c r="O4" s="123"/>
      <c r="P4" s="123"/>
      <c r="Q4" s="218">
        <f>_xlfn.XLOOKUP($I4,Inputs!$G$6:$G$23,Inputs!$J$6:$J$23)*$K4</f>
        <v>36</v>
      </c>
      <c r="R4" s="218">
        <f>_xlfn.XLOOKUP($I4,Inputs!$G$6:$G$23,Inputs!$K$6:$K$23)*$K4</f>
        <v>39</v>
      </c>
      <c r="S4" s="103" t="s">
        <v>983</v>
      </c>
      <c r="T4" s="98" t="s">
        <v>1196</v>
      </c>
      <c r="U4" s="103" t="s">
        <v>1037</v>
      </c>
      <c r="V4" s="98" t="s">
        <v>1226</v>
      </c>
      <c r="W4" s="47"/>
      <c r="X4" s="18"/>
      <c r="Y4" s="68">
        <v>120</v>
      </c>
    </row>
    <row r="5" spans="1:25" s="1" customFormat="1" ht="18">
      <c r="B5" s="103" t="s">
        <v>226</v>
      </c>
      <c r="C5" s="47" t="s">
        <v>93</v>
      </c>
      <c r="D5" s="98" t="s">
        <v>598</v>
      </c>
      <c r="E5" s="103">
        <v>1</v>
      </c>
      <c r="F5" s="103" t="s">
        <v>152</v>
      </c>
      <c r="G5" s="180">
        <v>28</v>
      </c>
      <c r="H5" s="180">
        <v>17</v>
      </c>
      <c r="I5" s="102">
        <v>69</v>
      </c>
      <c r="J5" s="212" cm="1">
        <f t="array" ref="J5">_xlfn.XLOOKUP($I5,Inputs!$C$6:$C$23,Inputs!$D$6:D$23)*$G5</f>
        <v>10.76</v>
      </c>
      <c r="K5" s="217">
        <f t="shared" si="0"/>
        <v>3</v>
      </c>
      <c r="L5" s="123"/>
      <c r="M5" s="123"/>
      <c r="N5" s="123"/>
      <c r="O5" s="123"/>
      <c r="P5" s="123"/>
      <c r="Q5" s="218">
        <f>_xlfn.XLOOKUP($I5,Inputs!$G$6:$G$23,Inputs!$J$6:$J$23)*$K5</f>
        <v>36</v>
      </c>
      <c r="R5" s="218">
        <f>_xlfn.XLOOKUP($I5,Inputs!$G$6:$G$23,Inputs!$K$6:$K$23)*$K5</f>
        <v>39</v>
      </c>
      <c r="S5" s="103" t="s">
        <v>1393</v>
      </c>
      <c r="T5" s="98" t="s">
        <v>1198</v>
      </c>
      <c r="U5" s="103" t="s">
        <v>622</v>
      </c>
      <c r="V5" s="98" t="s">
        <v>749</v>
      </c>
      <c r="W5" s="47"/>
      <c r="X5" s="18"/>
      <c r="Y5" s="68">
        <v>42</v>
      </c>
    </row>
    <row r="6" spans="1:25" s="1" customFormat="1" ht="18">
      <c r="B6" s="103" t="s">
        <v>226</v>
      </c>
      <c r="C6" s="47" t="s">
        <v>93</v>
      </c>
      <c r="D6" s="98" t="s">
        <v>598</v>
      </c>
      <c r="E6" s="103">
        <v>1</v>
      </c>
      <c r="F6" s="103" t="s">
        <v>152</v>
      </c>
      <c r="G6" s="180">
        <v>1</v>
      </c>
      <c r="H6" s="180">
        <v>1</v>
      </c>
      <c r="I6" s="102">
        <v>69</v>
      </c>
      <c r="J6" s="212" cm="1">
        <f t="array" ref="J6">_xlfn.XLOOKUP($I6,Inputs!$C$6:$C$23,Inputs!$D$6:D$23)*$G6</f>
        <v>0.38428571428571429</v>
      </c>
      <c r="K6" s="217">
        <f t="shared" si="0"/>
        <v>3</v>
      </c>
      <c r="L6" s="123"/>
      <c r="M6" s="123"/>
      <c r="N6" s="123"/>
      <c r="O6" s="123"/>
      <c r="P6" s="123"/>
      <c r="Q6" s="218">
        <f>_xlfn.XLOOKUP($I6,Inputs!$G$6:$G$23,Inputs!$J$6:$J$23)*$K6</f>
        <v>36</v>
      </c>
      <c r="R6" s="218">
        <f>_xlfn.XLOOKUP($I6,Inputs!$G$6:$G$23,Inputs!$K$6:$K$23)*$K6</f>
        <v>39</v>
      </c>
      <c r="S6" s="103" t="s">
        <v>1392</v>
      </c>
      <c r="T6" s="98" t="s">
        <v>1394</v>
      </c>
      <c r="U6" s="103" t="s">
        <v>1393</v>
      </c>
      <c r="V6" s="98" t="s">
        <v>1198</v>
      </c>
      <c r="W6" s="47"/>
      <c r="X6" s="18"/>
      <c r="Y6" s="68">
        <v>41</v>
      </c>
    </row>
    <row r="7" spans="1:25" s="1" customFormat="1" ht="18">
      <c r="B7" s="103" t="s">
        <v>225</v>
      </c>
      <c r="C7" s="47" t="s">
        <v>93</v>
      </c>
      <c r="D7" s="98" t="s">
        <v>598</v>
      </c>
      <c r="E7" s="103">
        <v>1</v>
      </c>
      <c r="F7" s="103" t="s">
        <v>152</v>
      </c>
      <c r="G7" s="180">
        <v>35</v>
      </c>
      <c r="H7" s="180">
        <v>22</v>
      </c>
      <c r="I7" s="102">
        <v>69</v>
      </c>
      <c r="J7" s="212" cm="1">
        <f t="array" ref="J7">_xlfn.XLOOKUP($I7,Inputs!$C$6:$C$23,Inputs!$D$6:D$23)*$G7</f>
        <v>13.45</v>
      </c>
      <c r="K7" s="217">
        <f t="shared" si="0"/>
        <v>3</v>
      </c>
      <c r="L7" s="123"/>
      <c r="M7" s="123"/>
      <c r="N7" s="123"/>
      <c r="O7" s="123"/>
      <c r="P7" s="123"/>
      <c r="Q7" s="218">
        <f>_xlfn.XLOOKUP($I7,Inputs!$G$6:$G$23,Inputs!$J$6:$J$23)*$K7</f>
        <v>36</v>
      </c>
      <c r="R7" s="218">
        <f>_xlfn.XLOOKUP($I7,Inputs!$G$6:$G$23,Inputs!$K$6:$K$23)*$K7</f>
        <v>39</v>
      </c>
      <c r="S7" s="103" t="s">
        <v>1392</v>
      </c>
      <c r="T7" s="98" t="s">
        <v>1394</v>
      </c>
      <c r="U7" s="103" t="s">
        <v>950</v>
      </c>
      <c r="V7" s="98" t="s">
        <v>1275</v>
      </c>
      <c r="W7" s="47"/>
      <c r="X7" s="18"/>
      <c r="Y7" s="68">
        <v>43</v>
      </c>
    </row>
    <row r="8" spans="1:25" s="1" customFormat="1" ht="18">
      <c r="B8" s="103" t="s">
        <v>261</v>
      </c>
      <c r="C8" s="47" t="s">
        <v>93</v>
      </c>
      <c r="D8" s="98" t="s">
        <v>598</v>
      </c>
      <c r="E8" s="103">
        <v>1</v>
      </c>
      <c r="F8" s="103" t="s">
        <v>152</v>
      </c>
      <c r="G8" s="180">
        <v>2</v>
      </c>
      <c r="H8" s="180">
        <v>1</v>
      </c>
      <c r="I8" s="102">
        <v>69</v>
      </c>
      <c r="J8" s="212" cm="1">
        <f t="array" ref="J8">_xlfn.XLOOKUP($I8,Inputs!$C$6:$C$23,Inputs!$D$6:D$23)*$G8</f>
        <v>0.76857142857142857</v>
      </c>
      <c r="K8" s="217">
        <f t="shared" si="0"/>
        <v>3</v>
      </c>
      <c r="L8" s="123"/>
      <c r="M8" s="123"/>
      <c r="N8" s="123"/>
      <c r="O8" s="123"/>
      <c r="P8" s="123"/>
      <c r="Q8" s="218">
        <f>_xlfn.XLOOKUP($I8,Inputs!$G$6:$G$23,Inputs!$J$6:$J$23)*$K8</f>
        <v>36</v>
      </c>
      <c r="R8" s="218">
        <f>_xlfn.XLOOKUP($I8,Inputs!$G$6:$G$23,Inputs!$K$6:$K$23)*$K8</f>
        <v>39</v>
      </c>
      <c r="S8" s="103" t="s">
        <v>929</v>
      </c>
      <c r="T8" s="98" t="s">
        <v>1199</v>
      </c>
      <c r="U8" s="103" t="s">
        <v>618</v>
      </c>
      <c r="V8" s="98" t="s">
        <v>757</v>
      </c>
      <c r="W8" s="47"/>
      <c r="X8" s="18"/>
      <c r="Y8" s="68">
        <v>6</v>
      </c>
    </row>
    <row r="9" spans="1:25" s="1" customFormat="1" ht="18">
      <c r="B9" s="103" t="s">
        <v>256</v>
      </c>
      <c r="C9" s="47" t="s">
        <v>93</v>
      </c>
      <c r="D9" s="98" t="s">
        <v>598</v>
      </c>
      <c r="E9" s="103">
        <v>1</v>
      </c>
      <c r="F9" s="103" t="s">
        <v>152</v>
      </c>
      <c r="G9" s="257">
        <v>3</v>
      </c>
      <c r="H9" s="257">
        <v>2</v>
      </c>
      <c r="I9" s="102">
        <v>69</v>
      </c>
      <c r="J9" s="212" cm="1">
        <f t="array" ref="J9">_xlfn.XLOOKUP($I9,Inputs!$C$6:$C$23,Inputs!$D$6:D$23)*$G9</f>
        <v>1.1528571428571428</v>
      </c>
      <c r="K9" s="217">
        <f t="shared" si="0"/>
        <v>3</v>
      </c>
      <c r="L9" s="123"/>
      <c r="M9" s="123"/>
      <c r="N9" s="123"/>
      <c r="O9" s="123"/>
      <c r="P9" s="123"/>
      <c r="Q9" s="218">
        <f>_xlfn.XLOOKUP($I9,Inputs!$G$6:$G$23,Inputs!$J$6:$J$23)*$K9</f>
        <v>36</v>
      </c>
      <c r="R9" s="218">
        <f>_xlfn.XLOOKUP($I9,Inputs!$G$6:$G$23,Inputs!$K$6:$K$23)*$K9</f>
        <v>39</v>
      </c>
      <c r="S9" s="103" t="s">
        <v>964</v>
      </c>
      <c r="T9" s="98" t="s">
        <v>1203</v>
      </c>
      <c r="U9" s="103" t="s">
        <v>1118</v>
      </c>
      <c r="V9" s="98" t="s">
        <v>1419</v>
      </c>
      <c r="W9" s="47"/>
      <c r="X9" s="18"/>
      <c r="Y9" s="68">
        <v>74</v>
      </c>
    </row>
    <row r="10" spans="1:25" s="1" customFormat="1" ht="18">
      <c r="B10" s="103" t="s">
        <v>340</v>
      </c>
      <c r="C10" s="47" t="s">
        <v>93</v>
      </c>
      <c r="D10" s="98" t="s">
        <v>598</v>
      </c>
      <c r="E10" s="103">
        <v>1</v>
      </c>
      <c r="F10" s="103" t="s">
        <v>152</v>
      </c>
      <c r="G10" s="257">
        <v>12</v>
      </c>
      <c r="H10" s="257">
        <v>7</v>
      </c>
      <c r="I10" s="102">
        <v>69</v>
      </c>
      <c r="J10" s="212" cm="1">
        <f t="array" ref="J10">_xlfn.XLOOKUP($I10,Inputs!$C$6:$C$23,Inputs!$D$6:D$23)*$G10</f>
        <v>4.6114285714285712</v>
      </c>
      <c r="K10" s="217">
        <f t="shared" si="0"/>
        <v>3</v>
      </c>
      <c r="L10" s="123"/>
      <c r="M10" s="123"/>
      <c r="N10" s="123"/>
      <c r="O10" s="123"/>
      <c r="P10" s="123"/>
      <c r="Q10" s="218">
        <f>_xlfn.XLOOKUP($I10,Inputs!$G$6:$G$23,Inputs!$J$6:$J$23)*$K10</f>
        <v>36</v>
      </c>
      <c r="R10" s="218">
        <f>_xlfn.XLOOKUP($I10,Inputs!$G$6:$G$23,Inputs!$K$6:$K$23)*$K10</f>
        <v>39</v>
      </c>
      <c r="S10" s="103" t="s">
        <v>1007</v>
      </c>
      <c r="T10" s="98" t="s">
        <v>1205</v>
      </c>
      <c r="U10" s="103" t="s">
        <v>1402</v>
      </c>
      <c r="V10" s="98" t="s">
        <v>1403</v>
      </c>
      <c r="W10" s="47"/>
      <c r="X10" s="18"/>
      <c r="Y10" s="68">
        <v>195</v>
      </c>
    </row>
    <row r="11" spans="1:25" s="1" customFormat="1" ht="18">
      <c r="B11" s="103" t="s">
        <v>226</v>
      </c>
      <c r="C11" s="47" t="s">
        <v>93</v>
      </c>
      <c r="D11" s="98" t="s">
        <v>598</v>
      </c>
      <c r="E11" s="103">
        <v>1</v>
      </c>
      <c r="F11" s="103" t="s">
        <v>152</v>
      </c>
      <c r="G11" s="180">
        <v>16</v>
      </c>
      <c r="H11" s="180">
        <v>10</v>
      </c>
      <c r="I11" s="102">
        <v>69</v>
      </c>
      <c r="J11" s="212" cm="1">
        <f t="array" ref="J11">_xlfn.XLOOKUP($I11,Inputs!$C$6:$C$23,Inputs!$D$6:D$23)*$G11</f>
        <v>6.1485714285714286</v>
      </c>
      <c r="K11" s="217">
        <f t="shared" si="0"/>
        <v>3</v>
      </c>
      <c r="L11" s="123"/>
      <c r="M11" s="123"/>
      <c r="N11" s="123"/>
      <c r="O11" s="123"/>
      <c r="P11" s="123"/>
      <c r="Q11" s="218">
        <f>_xlfn.XLOOKUP($I11,Inputs!$G$6:$G$23,Inputs!$J$6:$J$23)*$K11</f>
        <v>36</v>
      </c>
      <c r="R11" s="218">
        <f>_xlfn.XLOOKUP($I11,Inputs!$G$6:$G$23,Inputs!$K$6:$K$23)*$K11</f>
        <v>39</v>
      </c>
      <c r="S11" s="103" t="s">
        <v>1396</v>
      </c>
      <c r="T11" s="98" t="s">
        <v>1206</v>
      </c>
      <c r="U11" s="103" t="s">
        <v>1392</v>
      </c>
      <c r="V11" s="98" t="s">
        <v>1394</v>
      </c>
      <c r="W11" s="47"/>
      <c r="X11" s="18"/>
      <c r="Y11" s="68">
        <v>40</v>
      </c>
    </row>
    <row r="12" spans="1:25" s="1" customFormat="1" ht="18">
      <c r="B12" s="103" t="s">
        <v>221</v>
      </c>
      <c r="C12" s="47" t="s">
        <v>93</v>
      </c>
      <c r="D12" s="98" t="s">
        <v>598</v>
      </c>
      <c r="E12" s="103">
        <v>1</v>
      </c>
      <c r="F12" s="103" t="s">
        <v>152</v>
      </c>
      <c r="G12" s="180">
        <v>56</v>
      </c>
      <c r="H12" s="180">
        <v>35</v>
      </c>
      <c r="I12" s="102">
        <v>138</v>
      </c>
      <c r="J12" s="212" cm="1">
        <f t="array" ref="J12">_xlfn.XLOOKUP($I12,Inputs!$C$6:$C$23,Inputs!$D$6:D$23)*$G12</f>
        <v>24.28</v>
      </c>
      <c r="K12" s="217">
        <f t="shared" si="0"/>
        <v>3</v>
      </c>
      <c r="L12" s="123"/>
      <c r="M12" s="123"/>
      <c r="N12" s="123"/>
      <c r="O12" s="123"/>
      <c r="P12" s="123"/>
      <c r="Q12" s="218">
        <f>_xlfn.XLOOKUP($I12,Inputs!$G$6:$G$23,Inputs!$J$6:$J$23)*$K12</f>
        <v>141</v>
      </c>
      <c r="R12" s="218">
        <f>_xlfn.XLOOKUP($I12,Inputs!$G$6:$G$23,Inputs!$K$6:$K$23)*$K12</f>
        <v>156</v>
      </c>
      <c r="S12" s="103" t="s">
        <v>1396</v>
      </c>
      <c r="T12" s="98" t="s">
        <v>1206</v>
      </c>
      <c r="U12" s="103" t="s">
        <v>1128</v>
      </c>
      <c r="V12" s="98" t="s">
        <v>1400</v>
      </c>
      <c r="W12" s="47"/>
      <c r="X12" s="18"/>
      <c r="Y12" s="68">
        <v>325</v>
      </c>
    </row>
    <row r="13" spans="1:25" s="1" customFormat="1" ht="18">
      <c r="B13" s="103" t="s">
        <v>232</v>
      </c>
      <c r="C13" s="47" t="s">
        <v>93</v>
      </c>
      <c r="D13" s="98" t="s">
        <v>598</v>
      </c>
      <c r="E13" s="103">
        <v>1</v>
      </c>
      <c r="F13" s="103" t="s">
        <v>152</v>
      </c>
      <c r="G13" s="180">
        <v>64</v>
      </c>
      <c r="H13" s="180">
        <v>40</v>
      </c>
      <c r="I13" s="102">
        <v>230</v>
      </c>
      <c r="J13" s="212" cm="1">
        <f t="array" ref="J13">_xlfn.XLOOKUP($I13,Inputs!$C$6:$C$23,Inputs!$D$6:D$23)*$G13</f>
        <v>30.72</v>
      </c>
      <c r="K13" s="217">
        <f t="shared" si="0"/>
        <v>3</v>
      </c>
      <c r="L13" s="123"/>
      <c r="M13" s="123"/>
      <c r="N13" s="123"/>
      <c r="O13" s="123"/>
      <c r="P13" s="123"/>
      <c r="Q13" s="218">
        <f>_xlfn.XLOOKUP($I13,Inputs!$G$6:$G$23,Inputs!$J$6:$J$23)*$K13</f>
        <v>402</v>
      </c>
      <c r="R13" s="218">
        <f>_xlfn.XLOOKUP($I13,Inputs!$G$6:$G$23,Inputs!$K$6:$K$23)*$K13</f>
        <v>435</v>
      </c>
      <c r="S13" s="103" t="s">
        <v>1396</v>
      </c>
      <c r="T13" s="98" t="s">
        <v>1206</v>
      </c>
      <c r="U13" s="103" t="s">
        <v>1132</v>
      </c>
      <c r="V13" s="98" t="s">
        <v>1406</v>
      </c>
      <c r="W13" s="47"/>
      <c r="X13" s="18"/>
      <c r="Y13" s="68">
        <v>388</v>
      </c>
    </row>
    <row r="14" spans="1:25" s="1" customFormat="1" ht="18">
      <c r="B14" s="103" t="s">
        <v>218</v>
      </c>
      <c r="C14" s="47" t="s">
        <v>93</v>
      </c>
      <c r="D14" s="98" t="s">
        <v>598</v>
      </c>
      <c r="E14" s="103">
        <v>1</v>
      </c>
      <c r="F14" s="103" t="s">
        <v>152</v>
      </c>
      <c r="G14" s="180">
        <v>2</v>
      </c>
      <c r="H14" s="180">
        <v>1</v>
      </c>
      <c r="I14" s="102">
        <v>69</v>
      </c>
      <c r="J14" s="212" cm="1">
        <f t="array" ref="J14">_xlfn.XLOOKUP($I14,Inputs!$C$6:$C$23,Inputs!$D$6:D$23)*$G14</f>
        <v>0.76857142857142857</v>
      </c>
      <c r="K14" s="217">
        <f t="shared" si="0"/>
        <v>3</v>
      </c>
      <c r="L14" s="123"/>
      <c r="M14" s="123"/>
      <c r="N14" s="123"/>
      <c r="O14" s="123"/>
      <c r="P14" s="123"/>
      <c r="Q14" s="218">
        <f>_xlfn.XLOOKUP($I14,Inputs!$G$6:$G$23,Inputs!$J$6:$J$23)*$K14</f>
        <v>36</v>
      </c>
      <c r="R14" s="218">
        <f>_xlfn.XLOOKUP($I14,Inputs!$G$6:$G$23,Inputs!$K$6:$K$23)*$K14</f>
        <v>39</v>
      </c>
      <c r="S14" s="103" t="s">
        <v>1396</v>
      </c>
      <c r="T14" s="98" t="s">
        <v>1206</v>
      </c>
      <c r="U14" s="103" t="s">
        <v>657</v>
      </c>
      <c r="V14" s="98" t="s">
        <v>709</v>
      </c>
      <c r="W14" s="47"/>
      <c r="X14" s="18"/>
      <c r="Y14" s="68">
        <v>165</v>
      </c>
    </row>
    <row r="15" spans="1:25" s="1" customFormat="1" ht="18">
      <c r="B15" s="103" t="s">
        <v>215</v>
      </c>
      <c r="C15" s="47" t="s">
        <v>93</v>
      </c>
      <c r="D15" s="98" t="s">
        <v>598</v>
      </c>
      <c r="E15" s="103">
        <v>1</v>
      </c>
      <c r="F15" s="103" t="s">
        <v>152</v>
      </c>
      <c r="G15" s="180">
        <v>27</v>
      </c>
      <c r="H15" s="180">
        <v>16</v>
      </c>
      <c r="I15" s="102">
        <v>138</v>
      </c>
      <c r="J15" s="212" cm="1">
        <f t="array" ref="J15">_xlfn.XLOOKUP($I15,Inputs!$C$6:$C$23,Inputs!$D$6:D$23)*$G15</f>
        <v>11.706428571428573</v>
      </c>
      <c r="K15" s="217">
        <f t="shared" si="0"/>
        <v>3</v>
      </c>
      <c r="L15" s="123"/>
      <c r="M15" s="123"/>
      <c r="N15" s="123"/>
      <c r="O15" s="123"/>
      <c r="P15" s="123"/>
      <c r="Q15" s="218">
        <f>_xlfn.XLOOKUP($I15,Inputs!$G$6:$G$23,Inputs!$J$6:$J$23)*$K15</f>
        <v>141</v>
      </c>
      <c r="R15" s="218">
        <f>_xlfn.XLOOKUP($I15,Inputs!$G$6:$G$23,Inputs!$K$6:$K$23)*$K15</f>
        <v>156</v>
      </c>
      <c r="S15" s="103" t="s">
        <v>1396</v>
      </c>
      <c r="T15" s="98" t="s">
        <v>1206</v>
      </c>
      <c r="U15" s="103" t="s">
        <v>680</v>
      </c>
      <c r="V15" s="98" t="s">
        <v>734</v>
      </c>
      <c r="W15" s="47"/>
      <c r="X15" s="18"/>
      <c r="Y15" s="68">
        <v>303</v>
      </c>
    </row>
    <row r="16" spans="1:25" s="1" customFormat="1" ht="18">
      <c r="B16" s="103" t="s">
        <v>228</v>
      </c>
      <c r="C16" s="47" t="s">
        <v>93</v>
      </c>
      <c r="D16" s="98" t="s">
        <v>598</v>
      </c>
      <c r="E16" s="103">
        <v>1</v>
      </c>
      <c r="F16" s="103" t="s">
        <v>152</v>
      </c>
      <c r="G16" s="180">
        <v>73</v>
      </c>
      <c r="H16" s="180">
        <v>45</v>
      </c>
      <c r="I16" s="102">
        <v>138</v>
      </c>
      <c r="J16" s="212" cm="1">
        <f t="array" ref="J16">_xlfn.XLOOKUP($I16,Inputs!$C$6:$C$23,Inputs!$D$6:D$23)*$G16</f>
        <v>31.650714285714287</v>
      </c>
      <c r="K16" s="217">
        <f t="shared" si="0"/>
        <v>3</v>
      </c>
      <c r="L16" s="123"/>
      <c r="M16" s="123"/>
      <c r="N16" s="123"/>
      <c r="O16" s="123"/>
      <c r="P16" s="123"/>
      <c r="Q16" s="218">
        <f>_xlfn.XLOOKUP($I16,Inputs!$G$6:$G$23,Inputs!$J$6:$J$23)*$K16</f>
        <v>141</v>
      </c>
      <c r="R16" s="218">
        <f>_xlfn.XLOOKUP($I16,Inputs!$G$6:$G$23,Inputs!$K$6:$K$23)*$K16</f>
        <v>156</v>
      </c>
      <c r="S16" s="103" t="s">
        <v>1396</v>
      </c>
      <c r="T16" s="98" t="s">
        <v>1206</v>
      </c>
      <c r="U16" s="103" t="s">
        <v>229</v>
      </c>
      <c r="V16" s="98" t="s">
        <v>1385</v>
      </c>
      <c r="W16" s="47"/>
      <c r="X16" s="18"/>
      <c r="Y16" s="68">
        <v>268</v>
      </c>
    </row>
    <row r="17" spans="2:25" s="1" customFormat="1" ht="18">
      <c r="B17" s="103" t="s">
        <v>691</v>
      </c>
      <c r="C17" s="47" t="s">
        <v>93</v>
      </c>
      <c r="D17" s="98" t="s">
        <v>598</v>
      </c>
      <c r="E17" s="103">
        <v>1</v>
      </c>
      <c r="F17" s="103" t="s">
        <v>152</v>
      </c>
      <c r="G17" s="257">
        <v>225</v>
      </c>
      <c r="H17" s="257">
        <v>139</v>
      </c>
      <c r="I17" s="102">
        <v>345</v>
      </c>
      <c r="J17" s="212" cm="1">
        <f t="array" ref="J17">_xlfn.XLOOKUP($I17,Inputs!$C$6:$C$23,Inputs!$D$6:D$23)*$G17</f>
        <v>99.854166666666671</v>
      </c>
      <c r="K17" s="217">
        <f t="shared" si="0"/>
        <v>1.636995915606974</v>
      </c>
      <c r="L17" s="123"/>
      <c r="M17" s="123"/>
      <c r="N17" s="123"/>
      <c r="O17" s="123"/>
      <c r="P17" s="123"/>
      <c r="Q17" s="218">
        <f>_xlfn.XLOOKUP($I17,Inputs!$G$6:$G$23,Inputs!$J$6:$J$23)*$K17</f>
        <v>532.02367257226661</v>
      </c>
      <c r="R17" s="218">
        <f>_xlfn.XLOOKUP($I17,Inputs!$G$6:$G$23,Inputs!$K$6:$K$23)*$K17</f>
        <v>695.723264132964</v>
      </c>
      <c r="S17" s="103" t="s">
        <v>1396</v>
      </c>
      <c r="T17" s="98" t="s">
        <v>1206</v>
      </c>
      <c r="U17" s="103" t="s">
        <v>1134</v>
      </c>
      <c r="V17" s="98" t="s">
        <v>1426</v>
      </c>
      <c r="W17" s="47"/>
      <c r="X17" s="18" t="s">
        <v>692</v>
      </c>
      <c r="Y17" s="68">
        <v>407</v>
      </c>
    </row>
    <row r="18" spans="2:25" s="1" customFormat="1" ht="18">
      <c r="B18" s="103" t="s">
        <v>220</v>
      </c>
      <c r="C18" s="47" t="s">
        <v>93</v>
      </c>
      <c r="D18" s="98" t="s">
        <v>598</v>
      </c>
      <c r="E18" s="103">
        <v>1</v>
      </c>
      <c r="F18" s="103" t="s">
        <v>152</v>
      </c>
      <c r="G18" s="180">
        <v>38</v>
      </c>
      <c r="H18" s="180">
        <v>23</v>
      </c>
      <c r="I18" s="102">
        <v>69</v>
      </c>
      <c r="J18" s="212" cm="1">
        <f t="array" ref="J18">_xlfn.XLOOKUP($I18,Inputs!$C$6:$C$23,Inputs!$D$6:D$23)*$G18</f>
        <v>14.602857142857143</v>
      </c>
      <c r="K18" s="217">
        <f t="shared" si="0"/>
        <v>3</v>
      </c>
      <c r="L18" s="123"/>
      <c r="M18" s="123"/>
      <c r="N18" s="123"/>
      <c r="O18" s="123"/>
      <c r="P18" s="123"/>
      <c r="Q18" s="218">
        <f>_xlfn.XLOOKUP($I18,Inputs!$G$6:$G$23,Inputs!$J$6:$J$23)*$K18</f>
        <v>36</v>
      </c>
      <c r="R18" s="218">
        <f>_xlfn.XLOOKUP($I18,Inputs!$G$6:$G$23,Inputs!$K$6:$K$23)*$K18</f>
        <v>39</v>
      </c>
      <c r="S18" s="103" t="s">
        <v>1396</v>
      </c>
      <c r="T18" s="98" t="s">
        <v>1206</v>
      </c>
      <c r="U18" s="103" t="s">
        <v>998</v>
      </c>
      <c r="V18" s="98" t="s">
        <v>1349</v>
      </c>
      <c r="W18" s="47"/>
      <c r="X18" s="18"/>
      <c r="Y18" s="68">
        <v>167</v>
      </c>
    </row>
    <row r="19" spans="2:25" s="14" customFormat="1" ht="18">
      <c r="B19" s="103" t="s">
        <v>198</v>
      </c>
      <c r="C19" s="47" t="s">
        <v>93</v>
      </c>
      <c r="D19" s="98" t="s">
        <v>598</v>
      </c>
      <c r="E19" s="103">
        <v>1</v>
      </c>
      <c r="F19" s="103" t="s">
        <v>152</v>
      </c>
      <c r="G19" s="180">
        <v>6</v>
      </c>
      <c r="H19" s="180">
        <v>3</v>
      </c>
      <c r="I19" s="102">
        <v>69</v>
      </c>
      <c r="J19" s="212" cm="1">
        <f t="array" ref="J19">_xlfn.XLOOKUP($I19,Inputs!$C$6:$C$23,Inputs!$D$6:D$23)*$G19</f>
        <v>2.3057142857142856</v>
      </c>
      <c r="K19" s="217">
        <f t="shared" si="0"/>
        <v>3</v>
      </c>
      <c r="L19" s="123"/>
      <c r="M19" s="123"/>
      <c r="N19" s="123"/>
      <c r="O19" s="123"/>
      <c r="P19" s="123"/>
      <c r="Q19" s="218">
        <f>_xlfn.XLOOKUP($I19,Inputs!$G$6:$G$23,Inputs!$J$6:$J$23)*$K19</f>
        <v>36</v>
      </c>
      <c r="R19" s="218">
        <f>_xlfn.XLOOKUP($I19,Inputs!$G$6:$G$23,Inputs!$K$6:$K$23)*$K19</f>
        <v>39</v>
      </c>
      <c r="S19" s="103" t="s">
        <v>1397</v>
      </c>
      <c r="T19" s="98" t="s">
        <v>1207</v>
      </c>
      <c r="U19" s="103" t="s">
        <v>643</v>
      </c>
      <c r="V19" s="98" t="s">
        <v>703</v>
      </c>
      <c r="W19" s="47"/>
      <c r="X19" s="18"/>
      <c r="Y19" s="68">
        <v>106</v>
      </c>
    </row>
    <row r="20" spans="2:25" s="14" customFormat="1" ht="18">
      <c r="B20" s="103" t="s">
        <v>205</v>
      </c>
      <c r="C20" s="47" t="s">
        <v>93</v>
      </c>
      <c r="D20" s="98" t="s">
        <v>598</v>
      </c>
      <c r="E20" s="103">
        <v>1</v>
      </c>
      <c r="F20" s="103" t="s">
        <v>152</v>
      </c>
      <c r="G20" s="180">
        <v>2</v>
      </c>
      <c r="H20" s="180">
        <v>1</v>
      </c>
      <c r="I20" s="102">
        <v>69</v>
      </c>
      <c r="J20" s="212" cm="1">
        <f t="array" ref="J20">_xlfn.XLOOKUP($I20,Inputs!$C$6:$C$23,Inputs!$D$6:D$23)*$G20</f>
        <v>0.76857142857142857</v>
      </c>
      <c r="K20" s="217">
        <f t="shared" si="0"/>
        <v>3</v>
      </c>
      <c r="L20" s="123"/>
      <c r="M20" s="123"/>
      <c r="N20" s="123"/>
      <c r="O20" s="123"/>
      <c r="P20" s="123"/>
      <c r="Q20" s="218">
        <f>_xlfn.XLOOKUP($I20,Inputs!$G$6:$G$23,Inputs!$J$6:$J$23)*$K20</f>
        <v>36</v>
      </c>
      <c r="R20" s="218">
        <f>_xlfn.XLOOKUP($I20,Inputs!$G$6:$G$23,Inputs!$K$6:$K$23)*$K20</f>
        <v>39</v>
      </c>
      <c r="S20" s="103" t="s">
        <v>1459</v>
      </c>
      <c r="T20" s="98" t="s">
        <v>1207</v>
      </c>
      <c r="U20" s="103" t="s">
        <v>1063</v>
      </c>
      <c r="V20" s="98" t="s">
        <v>1370</v>
      </c>
      <c r="W20" s="47"/>
      <c r="X20" s="18"/>
      <c r="Y20" s="68">
        <v>209</v>
      </c>
    </row>
    <row r="21" spans="2:25" s="1" customFormat="1" ht="18">
      <c r="B21" s="103" t="s">
        <v>238</v>
      </c>
      <c r="C21" s="47" t="s">
        <v>93</v>
      </c>
      <c r="D21" s="98" t="s">
        <v>598</v>
      </c>
      <c r="E21" s="103">
        <v>1</v>
      </c>
      <c r="F21" s="103" t="s">
        <v>152</v>
      </c>
      <c r="G21" s="180">
        <v>22</v>
      </c>
      <c r="H21" s="180">
        <v>14</v>
      </c>
      <c r="I21" s="102">
        <v>69</v>
      </c>
      <c r="J21" s="212" cm="1">
        <f t="array" ref="J21">_xlfn.XLOOKUP($I21,Inputs!$C$6:$C$23,Inputs!$D$6:D$23)*$G21</f>
        <v>8.4542857142857137</v>
      </c>
      <c r="K21" s="217">
        <f t="shared" si="0"/>
        <v>3</v>
      </c>
      <c r="L21" s="123"/>
      <c r="M21" s="123"/>
      <c r="N21" s="123"/>
      <c r="O21" s="123"/>
      <c r="P21" s="123"/>
      <c r="Q21" s="218">
        <f>_xlfn.XLOOKUP($I21,Inputs!$G$6:$G$23,Inputs!$J$6:$J$23)*$K21</f>
        <v>36</v>
      </c>
      <c r="R21" s="218">
        <f>_xlfn.XLOOKUP($I21,Inputs!$G$6:$G$23,Inputs!$K$6:$K$23)*$K21</f>
        <v>39</v>
      </c>
      <c r="S21" s="103" t="s">
        <v>1008</v>
      </c>
      <c r="T21" s="98" t="s">
        <v>1208</v>
      </c>
      <c r="U21" s="103" t="s">
        <v>1070</v>
      </c>
      <c r="V21" s="98" t="s">
        <v>1202</v>
      </c>
      <c r="W21" s="47"/>
      <c r="X21" s="18"/>
      <c r="Y21" s="68">
        <v>216</v>
      </c>
    </row>
    <row r="22" spans="2:25" s="1" customFormat="1" ht="18">
      <c r="B22" s="103" t="s">
        <v>285</v>
      </c>
      <c r="C22" s="47" t="s">
        <v>93</v>
      </c>
      <c r="D22" s="98" t="s">
        <v>598</v>
      </c>
      <c r="E22" s="103">
        <v>1</v>
      </c>
      <c r="F22" s="103" t="s">
        <v>152</v>
      </c>
      <c r="G22" s="257">
        <v>12</v>
      </c>
      <c r="H22" s="257">
        <v>7</v>
      </c>
      <c r="I22" s="102">
        <v>69</v>
      </c>
      <c r="J22" s="212" cm="1">
        <f t="array" ref="J22">_xlfn.XLOOKUP($I22,Inputs!$C$6:$C$23,Inputs!$D$6:D$23)*$G22</f>
        <v>4.6114285714285712</v>
      </c>
      <c r="K22" s="217">
        <f t="shared" si="0"/>
        <v>3</v>
      </c>
      <c r="L22" s="123"/>
      <c r="M22" s="123"/>
      <c r="N22" s="123"/>
      <c r="O22" s="123"/>
      <c r="P22" s="123"/>
      <c r="Q22" s="218">
        <f>_xlfn.XLOOKUP($I22,Inputs!$G$6:$G$23,Inputs!$J$6:$J$23)*$K22</f>
        <v>36</v>
      </c>
      <c r="R22" s="218">
        <f>_xlfn.XLOOKUP($I22,Inputs!$G$6:$G$23,Inputs!$K$6:$K$23)*$K22</f>
        <v>39</v>
      </c>
      <c r="S22" s="103" t="s">
        <v>988</v>
      </c>
      <c r="T22" s="98" t="s">
        <v>1209</v>
      </c>
      <c r="U22" s="103" t="s">
        <v>1042</v>
      </c>
      <c r="V22" s="98" t="s">
        <v>1440</v>
      </c>
      <c r="W22" s="47"/>
      <c r="X22" s="18"/>
      <c r="Y22" s="68">
        <v>142</v>
      </c>
    </row>
    <row r="23" spans="2:25" s="1" customFormat="1" ht="18">
      <c r="B23" s="103" t="s">
        <v>285</v>
      </c>
      <c r="C23" s="47" t="s">
        <v>93</v>
      </c>
      <c r="D23" s="98" t="s">
        <v>598</v>
      </c>
      <c r="E23" s="103">
        <v>1</v>
      </c>
      <c r="F23" s="103" t="s">
        <v>152</v>
      </c>
      <c r="G23" s="257">
        <v>0.3</v>
      </c>
      <c r="H23" s="257">
        <v>0.2</v>
      </c>
      <c r="I23" s="102">
        <v>69</v>
      </c>
      <c r="J23" s="212" cm="1">
        <f t="array" ref="J23">_xlfn.XLOOKUP($I23,Inputs!$C$6:$C$23,Inputs!$D$6:D$23)*$G23</f>
        <v>0.11528571428571428</v>
      </c>
      <c r="K23" s="217">
        <f t="shared" si="0"/>
        <v>3</v>
      </c>
      <c r="L23" s="123"/>
      <c r="M23" s="123"/>
      <c r="N23" s="123"/>
      <c r="O23" s="123"/>
      <c r="P23" s="123"/>
      <c r="Q23" s="218">
        <f>_xlfn.XLOOKUP($I23,Inputs!$G$6:$G$23,Inputs!$J$6:$J$23)*$K23</f>
        <v>36</v>
      </c>
      <c r="R23" s="218">
        <f>_xlfn.XLOOKUP($I23,Inputs!$G$6:$G$23,Inputs!$K$6:$K$23)*$K23</f>
        <v>39</v>
      </c>
      <c r="S23" s="103" t="s">
        <v>1142</v>
      </c>
      <c r="T23" s="98" t="s">
        <v>1374</v>
      </c>
      <c r="U23" s="103" t="s">
        <v>988</v>
      </c>
      <c r="V23" s="98" t="s">
        <v>1209</v>
      </c>
      <c r="W23" s="47"/>
      <c r="X23" s="18"/>
      <c r="Y23" s="68">
        <v>141</v>
      </c>
    </row>
    <row r="24" spans="2:25" s="1" customFormat="1" ht="18">
      <c r="B24" s="103" t="s">
        <v>289</v>
      </c>
      <c r="C24" s="47" t="s">
        <v>93</v>
      </c>
      <c r="D24" s="98" t="s">
        <v>598</v>
      </c>
      <c r="E24" s="103">
        <v>1</v>
      </c>
      <c r="F24" s="103" t="s">
        <v>152</v>
      </c>
      <c r="G24" s="257">
        <v>45</v>
      </c>
      <c r="H24" s="257">
        <v>28</v>
      </c>
      <c r="I24" s="102">
        <v>138</v>
      </c>
      <c r="J24" s="212" cm="1">
        <f t="array" ref="J24">_xlfn.XLOOKUP($I24,Inputs!$C$6:$C$23,Inputs!$D$6:D$23)*$G24</f>
        <v>19.510714285714286</v>
      </c>
      <c r="K24" s="217">
        <f t="shared" si="0"/>
        <v>3</v>
      </c>
      <c r="L24" s="123"/>
      <c r="M24" s="123"/>
      <c r="N24" s="123"/>
      <c r="O24" s="123"/>
      <c r="P24" s="123"/>
      <c r="Q24" s="218">
        <f>_xlfn.XLOOKUP($I24,Inputs!$G$6:$G$23,Inputs!$J$6:$J$23)*$K24</f>
        <v>141</v>
      </c>
      <c r="R24" s="218">
        <f>_xlfn.XLOOKUP($I24,Inputs!$G$6:$G$23,Inputs!$K$6:$K$23)*$K24</f>
        <v>156</v>
      </c>
      <c r="S24" s="103" t="s">
        <v>1142</v>
      </c>
      <c r="T24" s="98" t="s">
        <v>1374</v>
      </c>
      <c r="U24" s="103" t="s">
        <v>279</v>
      </c>
      <c r="V24" s="98" t="s">
        <v>1378</v>
      </c>
      <c r="W24" s="47"/>
      <c r="X24" s="18"/>
      <c r="Y24" s="68">
        <v>314</v>
      </c>
    </row>
    <row r="25" spans="2:25" s="1" customFormat="1" ht="18">
      <c r="B25" s="103" t="s">
        <v>288</v>
      </c>
      <c r="C25" s="47" t="s">
        <v>93</v>
      </c>
      <c r="D25" s="98" t="s">
        <v>598</v>
      </c>
      <c r="E25" s="103">
        <v>1</v>
      </c>
      <c r="F25" s="103" t="s">
        <v>152</v>
      </c>
      <c r="G25" s="257">
        <v>45</v>
      </c>
      <c r="H25" s="257">
        <v>28</v>
      </c>
      <c r="I25" s="102">
        <v>138</v>
      </c>
      <c r="J25" s="212" cm="1">
        <f t="array" ref="J25">_xlfn.XLOOKUP($I25,Inputs!$C$6:$C$23,Inputs!$D$6:D$23)*$G25</f>
        <v>19.510714285714286</v>
      </c>
      <c r="K25" s="217">
        <f t="shared" si="0"/>
        <v>3</v>
      </c>
      <c r="L25" s="123"/>
      <c r="M25" s="123"/>
      <c r="N25" s="123"/>
      <c r="O25" s="123"/>
      <c r="P25" s="123"/>
      <c r="Q25" s="218">
        <f>_xlfn.XLOOKUP($I25,Inputs!$G$6:$G$23,Inputs!$J$6:$J$23)*$K25</f>
        <v>141</v>
      </c>
      <c r="R25" s="218">
        <f>_xlfn.XLOOKUP($I25,Inputs!$G$6:$G$23,Inputs!$K$6:$K$23)*$K25</f>
        <v>156</v>
      </c>
      <c r="S25" s="103" t="s">
        <v>1142</v>
      </c>
      <c r="T25" s="98" t="s">
        <v>1374</v>
      </c>
      <c r="U25" s="103" t="s">
        <v>279</v>
      </c>
      <c r="V25" s="98" t="s">
        <v>1378</v>
      </c>
      <c r="W25" s="47"/>
      <c r="X25" s="18"/>
      <c r="Y25" s="68">
        <v>346</v>
      </c>
    </row>
    <row r="26" spans="2:25" s="1" customFormat="1" ht="18">
      <c r="B26" s="103" t="s">
        <v>280</v>
      </c>
      <c r="C26" s="47" t="s">
        <v>93</v>
      </c>
      <c r="D26" s="98" t="s">
        <v>598</v>
      </c>
      <c r="E26" s="103">
        <v>1</v>
      </c>
      <c r="F26" s="103" t="s">
        <v>152</v>
      </c>
      <c r="G26" s="257">
        <v>8</v>
      </c>
      <c r="H26" s="257">
        <v>5</v>
      </c>
      <c r="I26" s="102">
        <v>69</v>
      </c>
      <c r="J26" s="212" cm="1">
        <f t="array" ref="J26">_xlfn.XLOOKUP($I26,Inputs!$C$6:$C$23,Inputs!$D$6:D$23)*$G26</f>
        <v>3.0742857142857143</v>
      </c>
      <c r="K26" s="217">
        <f t="shared" si="0"/>
        <v>3</v>
      </c>
      <c r="L26" s="123"/>
      <c r="M26" s="123"/>
      <c r="N26" s="123"/>
      <c r="O26" s="123"/>
      <c r="P26" s="123"/>
      <c r="Q26" s="218">
        <f>_xlfn.XLOOKUP($I26,Inputs!$G$6:$G$23,Inputs!$J$6:$J$23)*$K26</f>
        <v>36</v>
      </c>
      <c r="R26" s="218">
        <f>_xlfn.XLOOKUP($I26,Inputs!$G$6:$G$23,Inputs!$K$6:$K$23)*$K26</f>
        <v>39</v>
      </c>
      <c r="S26" s="103" t="s">
        <v>1142</v>
      </c>
      <c r="T26" s="98" t="s">
        <v>1374</v>
      </c>
      <c r="U26" s="103" t="s">
        <v>1114</v>
      </c>
      <c r="V26" s="98" t="s">
        <v>1401</v>
      </c>
      <c r="W26" s="47"/>
      <c r="X26" s="18"/>
      <c r="Y26" s="68">
        <v>123</v>
      </c>
    </row>
    <row r="27" spans="2:25" s="1" customFormat="1" ht="18">
      <c r="B27" s="103" t="s">
        <v>291</v>
      </c>
      <c r="C27" s="47" t="s">
        <v>93</v>
      </c>
      <c r="D27" s="98" t="s">
        <v>598</v>
      </c>
      <c r="E27" s="103">
        <v>1</v>
      </c>
      <c r="F27" s="103" t="s">
        <v>152</v>
      </c>
      <c r="G27" s="180">
        <v>3</v>
      </c>
      <c r="H27" s="180">
        <v>2</v>
      </c>
      <c r="I27" s="102">
        <v>69</v>
      </c>
      <c r="J27" s="212" cm="1">
        <f t="array" ref="J27">_xlfn.XLOOKUP($I27,Inputs!$C$6:$C$23,Inputs!$D$6:D$23)*$G27</f>
        <v>1.1528571428571428</v>
      </c>
      <c r="K27" s="217">
        <f t="shared" si="0"/>
        <v>3</v>
      </c>
      <c r="L27" s="123"/>
      <c r="M27" s="123"/>
      <c r="N27" s="123"/>
      <c r="O27" s="123"/>
      <c r="P27" s="123"/>
      <c r="Q27" s="218">
        <f>_xlfn.XLOOKUP($I27,Inputs!$G$6:$G$23,Inputs!$J$6:$J$23)*$K27</f>
        <v>36</v>
      </c>
      <c r="R27" s="218">
        <f>_xlfn.XLOOKUP($I27,Inputs!$G$6:$G$23,Inputs!$K$6:$K$23)*$K27</f>
        <v>39</v>
      </c>
      <c r="S27" s="103" t="s">
        <v>1142</v>
      </c>
      <c r="T27" s="98" t="s">
        <v>1374</v>
      </c>
      <c r="U27" s="103" t="s">
        <v>994</v>
      </c>
      <c r="V27" s="98" t="s">
        <v>1243</v>
      </c>
      <c r="W27" s="47"/>
      <c r="X27" s="18"/>
      <c r="Y27" s="68">
        <v>155</v>
      </c>
    </row>
    <row r="28" spans="2:25" s="1" customFormat="1" ht="18">
      <c r="B28" s="103" t="s">
        <v>287</v>
      </c>
      <c r="C28" s="47" t="s">
        <v>93</v>
      </c>
      <c r="D28" s="98" t="s">
        <v>598</v>
      </c>
      <c r="E28" s="103">
        <v>1</v>
      </c>
      <c r="F28" s="103" t="s">
        <v>152</v>
      </c>
      <c r="G28" s="180">
        <v>2</v>
      </c>
      <c r="H28" s="180">
        <v>1</v>
      </c>
      <c r="I28" s="102">
        <v>138</v>
      </c>
      <c r="J28" s="212" cm="1">
        <f t="array" ref="J28">_xlfn.XLOOKUP($I28,Inputs!$C$6:$C$23,Inputs!$D$6:D$23)*$G28</f>
        <v>0.86714285714285722</v>
      </c>
      <c r="K28" s="217">
        <f t="shared" si="0"/>
        <v>3</v>
      </c>
      <c r="L28" s="123"/>
      <c r="M28" s="123"/>
      <c r="N28" s="123"/>
      <c r="O28" s="123"/>
      <c r="P28" s="123"/>
      <c r="Q28" s="218">
        <f>_xlfn.XLOOKUP($I28,Inputs!$G$6:$G$23,Inputs!$J$6:$J$23)*$K28</f>
        <v>141</v>
      </c>
      <c r="R28" s="218">
        <f>_xlfn.XLOOKUP($I28,Inputs!$G$6:$G$23,Inputs!$K$6:$K$23)*$K28</f>
        <v>156</v>
      </c>
      <c r="S28" s="103" t="s">
        <v>1142</v>
      </c>
      <c r="T28" s="98" t="s">
        <v>1374</v>
      </c>
      <c r="U28" s="103" t="s">
        <v>1451</v>
      </c>
      <c r="V28" s="47" t="s">
        <v>1411</v>
      </c>
      <c r="W28" s="47"/>
      <c r="X28" s="18"/>
      <c r="Y28" s="68">
        <v>271</v>
      </c>
    </row>
    <row r="29" spans="2:25" s="1" customFormat="1" ht="18">
      <c r="B29" s="103" t="s">
        <v>281</v>
      </c>
      <c r="C29" s="47" t="s">
        <v>93</v>
      </c>
      <c r="D29" s="98" t="s">
        <v>598</v>
      </c>
      <c r="E29" s="103">
        <v>1</v>
      </c>
      <c r="F29" s="103" t="s">
        <v>152</v>
      </c>
      <c r="G29" s="257">
        <v>4.5</v>
      </c>
      <c r="H29" s="257">
        <v>2.8</v>
      </c>
      <c r="I29" s="102">
        <v>69</v>
      </c>
      <c r="J29" s="212" cm="1">
        <f t="array" ref="J29">_xlfn.XLOOKUP($I29,Inputs!$C$6:$C$23,Inputs!$D$6:D$23)*$G29</f>
        <v>1.7292857142857143</v>
      </c>
      <c r="K29" s="217">
        <f t="shared" si="0"/>
        <v>3</v>
      </c>
      <c r="L29" s="123"/>
      <c r="M29" s="123"/>
      <c r="N29" s="123"/>
      <c r="O29" s="123"/>
      <c r="P29" s="123"/>
      <c r="Q29" s="218">
        <f>_xlfn.XLOOKUP($I29,Inputs!$G$6:$G$23,Inputs!$J$6:$J$23)*$K29</f>
        <v>36</v>
      </c>
      <c r="R29" s="218">
        <f>_xlfn.XLOOKUP($I29,Inputs!$G$6:$G$23,Inputs!$K$6:$K$23)*$K29</f>
        <v>39</v>
      </c>
      <c r="S29" s="103" t="s">
        <v>1142</v>
      </c>
      <c r="T29" s="98" t="s">
        <v>1374</v>
      </c>
      <c r="U29" s="103" t="s">
        <v>1410</v>
      </c>
      <c r="V29" s="98" t="s">
        <v>1412</v>
      </c>
      <c r="W29" s="47"/>
      <c r="X29" s="18"/>
      <c r="Y29" s="68">
        <v>124</v>
      </c>
    </row>
    <row r="30" spans="2:25" s="52" customFormat="1" ht="18">
      <c r="B30" s="103" t="s">
        <v>286</v>
      </c>
      <c r="C30" s="47" t="s">
        <v>93</v>
      </c>
      <c r="D30" s="98" t="s">
        <v>598</v>
      </c>
      <c r="E30" s="103">
        <v>1</v>
      </c>
      <c r="F30" s="103" t="s">
        <v>152</v>
      </c>
      <c r="G30" s="180">
        <v>1</v>
      </c>
      <c r="H30" s="180">
        <v>0.6</v>
      </c>
      <c r="I30" s="102">
        <v>138</v>
      </c>
      <c r="J30" s="212" cm="1">
        <f t="array" ref="J30">_xlfn.XLOOKUP($I30,Inputs!$C$6:$C$23,Inputs!$D$6:D$23)*$G30</f>
        <v>0.43357142857142861</v>
      </c>
      <c r="K30" s="217">
        <f t="shared" si="0"/>
        <v>3</v>
      </c>
      <c r="L30" s="123"/>
      <c r="M30" s="123"/>
      <c r="N30" s="123"/>
      <c r="O30" s="123"/>
      <c r="P30" s="123"/>
      <c r="Q30" s="218">
        <f>_xlfn.XLOOKUP($I30,Inputs!$G$6:$G$23,Inputs!$J$6:$J$23)*$K30</f>
        <v>141</v>
      </c>
      <c r="R30" s="218">
        <f>_xlfn.XLOOKUP($I30,Inputs!$G$6:$G$23,Inputs!$K$6:$K$23)*$K30</f>
        <v>156</v>
      </c>
      <c r="S30" s="103" t="s">
        <v>1142</v>
      </c>
      <c r="T30" s="98" t="s">
        <v>1374</v>
      </c>
      <c r="U30" s="103" t="s">
        <v>1090</v>
      </c>
      <c r="V30" s="98" t="s">
        <v>1446</v>
      </c>
      <c r="W30" s="47"/>
      <c r="X30" s="18"/>
      <c r="Y30" s="68">
        <v>291</v>
      </c>
    </row>
    <row r="31" spans="2:25" s="14" customFormat="1" ht="18">
      <c r="B31" s="103" t="s">
        <v>307</v>
      </c>
      <c r="C31" s="47" t="s">
        <v>93</v>
      </c>
      <c r="D31" s="98" t="s">
        <v>598</v>
      </c>
      <c r="E31" s="103">
        <v>1</v>
      </c>
      <c r="F31" s="103" t="s">
        <v>152</v>
      </c>
      <c r="G31" s="180">
        <v>12</v>
      </c>
      <c r="H31" s="180">
        <v>7</v>
      </c>
      <c r="I31" s="102">
        <v>69</v>
      </c>
      <c r="J31" s="212" cm="1">
        <f t="array" ref="J31">_xlfn.XLOOKUP($I31,Inputs!$C$6:$C$23,Inputs!$D$6:D$23)*$G31</f>
        <v>4.6114285714285712</v>
      </c>
      <c r="K31" s="217">
        <f t="shared" si="0"/>
        <v>3</v>
      </c>
      <c r="L31" s="123"/>
      <c r="M31" s="123"/>
      <c r="N31" s="123"/>
      <c r="O31" s="123"/>
      <c r="P31" s="123"/>
      <c r="Q31" s="218">
        <f>_xlfn.XLOOKUP($I31,Inputs!$G$6:$G$23,Inputs!$J$6:$J$23)*$K31</f>
        <v>36</v>
      </c>
      <c r="R31" s="218">
        <f>_xlfn.XLOOKUP($I31,Inputs!$G$6:$G$23,Inputs!$K$6:$K$23)*$K31</f>
        <v>39</v>
      </c>
      <c r="S31" s="103" t="s">
        <v>956</v>
      </c>
      <c r="T31" s="98" t="s">
        <v>1494</v>
      </c>
      <c r="U31" s="103" t="s">
        <v>1119</v>
      </c>
      <c r="V31" s="98" t="s">
        <v>1423</v>
      </c>
      <c r="W31" s="47"/>
      <c r="X31" s="18"/>
      <c r="Y31" s="68">
        <v>58</v>
      </c>
    </row>
    <row r="32" spans="2:25" ht="18">
      <c r="B32" s="103" t="s">
        <v>167</v>
      </c>
      <c r="C32" s="47" t="s">
        <v>170</v>
      </c>
      <c r="D32" s="98" t="s">
        <v>598</v>
      </c>
      <c r="E32" s="103">
        <v>1</v>
      </c>
      <c r="F32" s="103" t="s">
        <v>152</v>
      </c>
      <c r="G32" s="180">
        <v>11</v>
      </c>
      <c r="H32" s="180">
        <v>7</v>
      </c>
      <c r="I32" s="102">
        <v>138</v>
      </c>
      <c r="J32" s="212" cm="1">
        <f t="array" ref="J32">_xlfn.XLOOKUP($I32,Inputs!$C$6:$C$23,Inputs!$D$6:D$23)*$G32</f>
        <v>4.769285714285715</v>
      </c>
      <c r="K32" s="217">
        <f t="shared" si="0"/>
        <v>3</v>
      </c>
      <c r="L32" s="123"/>
      <c r="M32" s="123"/>
      <c r="N32" s="123"/>
      <c r="O32" s="123"/>
      <c r="P32" s="123"/>
      <c r="Q32" s="266">
        <v>75</v>
      </c>
      <c r="R32" s="266">
        <v>75</v>
      </c>
      <c r="S32" s="103" t="s">
        <v>649</v>
      </c>
      <c r="T32" s="98" t="s">
        <v>1375</v>
      </c>
      <c r="U32" s="103" t="s">
        <v>1474</v>
      </c>
      <c r="V32" s="98" t="s">
        <v>1464</v>
      </c>
      <c r="W32" s="47"/>
      <c r="X32" s="18"/>
      <c r="Y32" s="68">
        <v>357</v>
      </c>
    </row>
    <row r="33" spans="2:25" s="14" customFormat="1" ht="18">
      <c r="B33" s="103" t="s">
        <v>325</v>
      </c>
      <c r="C33" s="47" t="s">
        <v>93</v>
      </c>
      <c r="D33" s="98" t="s">
        <v>598</v>
      </c>
      <c r="E33" s="103">
        <v>1</v>
      </c>
      <c r="F33" s="103" t="s">
        <v>152</v>
      </c>
      <c r="G33" s="180">
        <v>65</v>
      </c>
      <c r="H33" s="180">
        <v>40</v>
      </c>
      <c r="I33" s="102">
        <v>138</v>
      </c>
      <c r="J33" s="212" cm="1">
        <f t="array" ref="J33">_xlfn.XLOOKUP($I33,Inputs!$C$6:$C$23,Inputs!$D$6:D$23)*$G33</f>
        <v>28.18214285714286</v>
      </c>
      <c r="K33" s="217">
        <f t="shared" si="0"/>
        <v>3</v>
      </c>
      <c r="L33" s="123"/>
      <c r="M33" s="123"/>
      <c r="N33" s="123"/>
      <c r="O33" s="123"/>
      <c r="P33" s="123"/>
      <c r="Q33" s="218">
        <f>_xlfn.XLOOKUP($I33,Inputs!$G$6:$G$23,Inputs!$J$6:$J$23)*$K33</f>
        <v>141</v>
      </c>
      <c r="R33" s="218">
        <f>_xlfn.XLOOKUP($I33,Inputs!$G$6:$G$23,Inputs!$K$6:$K$23)*$K33</f>
        <v>156</v>
      </c>
      <c r="S33" s="103" t="s">
        <v>649</v>
      </c>
      <c r="T33" s="98" t="s">
        <v>1375</v>
      </c>
      <c r="U33" s="103" t="s">
        <v>678</v>
      </c>
      <c r="V33" s="98" t="s">
        <v>763</v>
      </c>
      <c r="W33" s="47"/>
      <c r="X33" s="18"/>
      <c r="Y33" s="68">
        <v>293</v>
      </c>
    </row>
    <row r="34" spans="2:25" s="14" customFormat="1" ht="18">
      <c r="B34" s="103" t="s">
        <v>323</v>
      </c>
      <c r="C34" s="47" t="s">
        <v>93</v>
      </c>
      <c r="D34" s="98" t="s">
        <v>598</v>
      </c>
      <c r="E34" s="103">
        <v>1</v>
      </c>
      <c r="F34" s="103" t="s">
        <v>152</v>
      </c>
      <c r="G34" s="180">
        <v>37</v>
      </c>
      <c r="H34" s="180">
        <v>23</v>
      </c>
      <c r="I34" s="102">
        <v>138</v>
      </c>
      <c r="J34" s="212" cm="1">
        <f t="array" ref="J34">_xlfn.XLOOKUP($I34,Inputs!$C$6:$C$23,Inputs!$D$6:D$23)*$G34</f>
        <v>16.04214285714286</v>
      </c>
      <c r="K34" s="217">
        <f t="shared" si="0"/>
        <v>3</v>
      </c>
      <c r="L34" s="123"/>
      <c r="M34" s="123"/>
      <c r="N34" s="123"/>
      <c r="O34" s="123"/>
      <c r="P34" s="123"/>
      <c r="Q34" s="218">
        <f>_xlfn.XLOOKUP($I34,Inputs!$G$6:$G$23,Inputs!$J$6:$J$23)*$K34</f>
        <v>141</v>
      </c>
      <c r="R34" s="218">
        <f>_xlfn.XLOOKUP($I34,Inputs!$G$6:$G$23,Inputs!$K$6:$K$23)*$K34</f>
        <v>156</v>
      </c>
      <c r="S34" s="103" t="s">
        <v>649</v>
      </c>
      <c r="T34" s="98" t="s">
        <v>1375</v>
      </c>
      <c r="U34" s="103" t="s">
        <v>679</v>
      </c>
      <c r="V34" s="98" t="s">
        <v>764</v>
      </c>
      <c r="W34" s="47"/>
      <c r="X34" s="18"/>
      <c r="Y34" s="68">
        <v>295</v>
      </c>
    </row>
    <row r="35" spans="2:25" s="14" customFormat="1" ht="18">
      <c r="B35" s="103" t="s">
        <v>320</v>
      </c>
      <c r="C35" s="47" t="s">
        <v>93</v>
      </c>
      <c r="D35" s="98" t="s">
        <v>598</v>
      </c>
      <c r="E35" s="103">
        <v>1</v>
      </c>
      <c r="F35" s="103" t="s">
        <v>152</v>
      </c>
      <c r="G35" s="257">
        <v>0.3</v>
      </c>
      <c r="H35" s="257">
        <v>0.2</v>
      </c>
      <c r="I35" s="102">
        <v>69</v>
      </c>
      <c r="J35" s="212" cm="1">
        <f t="array" ref="J35">_xlfn.XLOOKUP($I35,Inputs!$C$6:$C$23,Inputs!$D$6:D$23)*$G35</f>
        <v>0.11528571428571428</v>
      </c>
      <c r="K35" s="217">
        <f t="shared" si="0"/>
        <v>3</v>
      </c>
      <c r="L35" s="123"/>
      <c r="M35" s="123"/>
      <c r="N35" s="123"/>
      <c r="O35" s="123"/>
      <c r="P35" s="123"/>
      <c r="Q35" s="218">
        <f>_xlfn.XLOOKUP($I35,Inputs!$G$6:$G$23,Inputs!$J$6:$J$23)*$K35</f>
        <v>36</v>
      </c>
      <c r="R35" s="218">
        <f>_xlfn.XLOOKUP($I35,Inputs!$G$6:$G$23,Inputs!$K$6:$K$23)*$K35</f>
        <v>39</v>
      </c>
      <c r="S35" s="103" t="s">
        <v>1014</v>
      </c>
      <c r="T35" s="98" t="s">
        <v>1210</v>
      </c>
      <c r="U35" s="103" t="s">
        <v>649</v>
      </c>
      <c r="V35" s="98" t="s">
        <v>1375</v>
      </c>
      <c r="W35" s="47"/>
      <c r="X35" s="18"/>
      <c r="Y35" s="68">
        <v>255</v>
      </c>
    </row>
    <row r="36" spans="2:25" s="14" customFormat="1" ht="18">
      <c r="B36" s="103" t="s">
        <v>214</v>
      </c>
      <c r="C36" s="47" t="s">
        <v>93</v>
      </c>
      <c r="D36" s="98" t="s">
        <v>598</v>
      </c>
      <c r="E36" s="103">
        <v>1</v>
      </c>
      <c r="F36" s="103" t="s">
        <v>152</v>
      </c>
      <c r="G36" s="180">
        <v>1</v>
      </c>
      <c r="H36" s="180">
        <v>0.61728395061728392</v>
      </c>
      <c r="I36" s="102">
        <v>138</v>
      </c>
      <c r="J36" s="212" cm="1">
        <f t="array" ref="J36">_xlfn.XLOOKUP($I36,Inputs!$C$6:$C$23,Inputs!$D$6:D$23)*$G36</f>
        <v>0.43357142857142861</v>
      </c>
      <c r="K36" s="217">
        <f t="shared" si="0"/>
        <v>3</v>
      </c>
      <c r="L36" s="123"/>
      <c r="M36" s="123"/>
      <c r="N36" s="123"/>
      <c r="O36" s="123"/>
      <c r="P36" s="123"/>
      <c r="Q36" s="218">
        <v>141</v>
      </c>
      <c r="R36" s="218">
        <v>156</v>
      </c>
      <c r="S36" s="103" t="s">
        <v>1482</v>
      </c>
      <c r="T36" s="47" t="s">
        <v>1483</v>
      </c>
      <c r="U36" s="103" t="s">
        <v>1113</v>
      </c>
      <c r="V36" s="47" t="s">
        <v>1453</v>
      </c>
      <c r="W36" s="47"/>
      <c r="X36" s="18"/>
      <c r="Y36" s="68">
        <v>382</v>
      </c>
    </row>
    <row r="37" spans="2:25" s="158" customFormat="1" ht="18">
      <c r="B37" s="103" t="s">
        <v>214</v>
      </c>
      <c r="C37" s="47" t="s">
        <v>93</v>
      </c>
      <c r="D37" s="98" t="s">
        <v>598</v>
      </c>
      <c r="E37" s="103">
        <v>1</v>
      </c>
      <c r="F37" s="103" t="s">
        <v>152</v>
      </c>
      <c r="G37" s="180">
        <v>1</v>
      </c>
      <c r="H37" s="180">
        <v>0.61728395061728392</v>
      </c>
      <c r="I37" s="102">
        <v>138</v>
      </c>
      <c r="J37" s="212" cm="1">
        <f t="array" ref="J37">_xlfn.XLOOKUP($I37,Inputs!$C$6:$C$23,Inputs!$D$6:D$23)*$G37</f>
        <v>0.43357142857142861</v>
      </c>
      <c r="K37" s="217">
        <f t="shared" si="0"/>
        <v>3</v>
      </c>
      <c r="L37" s="123"/>
      <c r="M37" s="123"/>
      <c r="N37" s="123"/>
      <c r="O37" s="123"/>
      <c r="P37" s="123"/>
      <c r="Q37" s="218">
        <v>141</v>
      </c>
      <c r="R37" s="218">
        <v>156</v>
      </c>
      <c r="S37" s="103" t="s">
        <v>1031</v>
      </c>
      <c r="T37" s="47" t="s">
        <v>1211</v>
      </c>
      <c r="U37" s="103" t="s">
        <v>1482</v>
      </c>
      <c r="V37" s="47" t="s">
        <v>1483</v>
      </c>
      <c r="W37" s="47"/>
      <c r="X37" s="18"/>
      <c r="Y37" s="68">
        <v>404</v>
      </c>
    </row>
    <row r="38" spans="2:25" s="14" customFormat="1" ht="18">
      <c r="B38" s="103" t="s">
        <v>213</v>
      </c>
      <c r="C38" s="47" t="s">
        <v>93</v>
      </c>
      <c r="D38" s="98" t="s">
        <v>598</v>
      </c>
      <c r="E38" s="103">
        <v>1</v>
      </c>
      <c r="F38" s="103" t="s">
        <v>152</v>
      </c>
      <c r="G38" s="180">
        <v>3</v>
      </c>
      <c r="H38" s="180">
        <v>2</v>
      </c>
      <c r="I38" s="102">
        <v>138</v>
      </c>
      <c r="J38" s="212" cm="1">
        <f t="array" ref="J38">_xlfn.XLOOKUP($I38,Inputs!$C$6:$C$23,Inputs!$D$6:D$23)*$G38</f>
        <v>1.3007142857142857</v>
      </c>
      <c r="K38" s="217">
        <f t="shared" si="0"/>
        <v>3</v>
      </c>
      <c r="L38" s="123"/>
      <c r="M38" s="123"/>
      <c r="N38" s="123"/>
      <c r="O38" s="123"/>
      <c r="P38" s="123"/>
      <c r="Q38" s="218">
        <f>_xlfn.XLOOKUP($I38,Inputs!$G$6:$G$23,Inputs!$J$6:$J$23)*$K38</f>
        <v>141</v>
      </c>
      <c r="R38" s="218">
        <f>_xlfn.XLOOKUP($I38,Inputs!$G$6:$G$23,Inputs!$K$6:$K$23)*$K38</f>
        <v>156</v>
      </c>
      <c r="S38" s="103" t="s">
        <v>1031</v>
      </c>
      <c r="T38" s="98" t="s">
        <v>1211</v>
      </c>
      <c r="U38" s="103" t="s">
        <v>211</v>
      </c>
      <c r="V38" s="98" t="s">
        <v>1376</v>
      </c>
      <c r="W38" s="47"/>
      <c r="X38" s="18"/>
      <c r="Y38" s="68">
        <v>378</v>
      </c>
    </row>
    <row r="39" spans="2:25" s="14" customFormat="1" ht="18">
      <c r="B39" s="103" t="s">
        <v>209</v>
      </c>
      <c r="C39" s="47" t="s">
        <v>93</v>
      </c>
      <c r="D39" s="98" t="s">
        <v>598</v>
      </c>
      <c r="E39" s="103">
        <v>1</v>
      </c>
      <c r="F39" s="103" t="s">
        <v>152</v>
      </c>
      <c r="G39" s="180">
        <v>49</v>
      </c>
      <c r="H39" s="180">
        <v>30</v>
      </c>
      <c r="I39" s="102">
        <v>345</v>
      </c>
      <c r="J39" s="212" cm="1">
        <f t="array" ref="J39">_xlfn.XLOOKUP($I39,Inputs!$C$6:$C$23,Inputs!$D$6:D$23)*$G39</f>
        <v>21.746018518518518</v>
      </c>
      <c r="K39" s="217">
        <f t="shared" si="0"/>
        <v>3</v>
      </c>
      <c r="L39" s="123"/>
      <c r="M39" s="123"/>
      <c r="N39" s="123"/>
      <c r="O39" s="123"/>
      <c r="P39" s="123"/>
      <c r="Q39" s="218">
        <f>_xlfn.XLOOKUP($I39,Inputs!$G$6:$G$23,Inputs!$J$6:$J$23)*$K39</f>
        <v>975</v>
      </c>
      <c r="R39" s="218">
        <f>_xlfn.XLOOKUP($I39,Inputs!$G$6:$G$23,Inputs!$K$6:$K$23)*$K39</f>
        <v>1275</v>
      </c>
      <c r="S39" s="103" t="s">
        <v>1133</v>
      </c>
      <c r="T39" s="98" t="s">
        <v>1430</v>
      </c>
      <c r="U39" s="103" t="s">
        <v>1396</v>
      </c>
      <c r="V39" s="98" t="s">
        <v>1206</v>
      </c>
      <c r="W39" s="47"/>
      <c r="X39" s="18"/>
      <c r="Y39" s="68">
        <v>408</v>
      </c>
    </row>
    <row r="40" spans="2:25" s="14" customFormat="1" ht="18">
      <c r="B40" s="103" t="s">
        <v>210</v>
      </c>
      <c r="C40" s="47" t="s">
        <v>93</v>
      </c>
      <c r="D40" s="98" t="s">
        <v>598</v>
      </c>
      <c r="E40" s="103">
        <v>1</v>
      </c>
      <c r="F40" s="103" t="s">
        <v>152</v>
      </c>
      <c r="G40" s="257">
        <v>10</v>
      </c>
      <c r="H40" s="257">
        <v>6</v>
      </c>
      <c r="I40" s="102">
        <v>345</v>
      </c>
      <c r="J40" s="212" cm="1">
        <f t="array" ref="J40">_xlfn.XLOOKUP($I40,Inputs!$C$6:$C$23,Inputs!$D$6:D$23)*$G40</f>
        <v>4.4379629629629633</v>
      </c>
      <c r="K40" s="217">
        <f t="shared" si="0"/>
        <v>3</v>
      </c>
      <c r="L40" s="123"/>
      <c r="M40" s="123"/>
      <c r="N40" s="123"/>
      <c r="O40" s="123"/>
      <c r="P40" s="123"/>
      <c r="Q40" s="218">
        <f>_xlfn.XLOOKUP($I40,Inputs!$G$6:$G$23,Inputs!$J$6:$J$23)*$K40</f>
        <v>975</v>
      </c>
      <c r="R40" s="218">
        <f>_xlfn.XLOOKUP($I40,Inputs!$G$6:$G$23,Inputs!$K$6:$K$23)*$K40</f>
        <v>1275</v>
      </c>
      <c r="S40" s="103" t="s">
        <v>1133</v>
      </c>
      <c r="T40" s="98" t="s">
        <v>1430</v>
      </c>
      <c r="U40" s="103" t="s">
        <v>211</v>
      </c>
      <c r="V40" s="98" t="s">
        <v>1376</v>
      </c>
      <c r="W40" s="47"/>
      <c r="X40" s="18"/>
      <c r="Y40" s="68">
        <v>409</v>
      </c>
    </row>
    <row r="41" spans="2:25" s="14" customFormat="1" ht="18">
      <c r="B41" s="103" t="s">
        <v>220</v>
      </c>
      <c r="C41" s="47" t="s">
        <v>93</v>
      </c>
      <c r="D41" s="98" t="s">
        <v>598</v>
      </c>
      <c r="E41" s="103">
        <v>1</v>
      </c>
      <c r="F41" s="103" t="s">
        <v>152</v>
      </c>
      <c r="G41" s="180">
        <v>11</v>
      </c>
      <c r="H41" s="180">
        <v>7</v>
      </c>
      <c r="I41" s="102">
        <v>69</v>
      </c>
      <c r="J41" s="212" cm="1">
        <f t="array" ref="J41">_xlfn.XLOOKUP($I41,Inputs!$C$6:$C$23,Inputs!$D$6:D$23)*$G41</f>
        <v>4.2271428571428569</v>
      </c>
      <c r="K41" s="217">
        <f t="shared" si="0"/>
        <v>3</v>
      </c>
      <c r="L41" s="123"/>
      <c r="M41" s="123"/>
      <c r="N41" s="123"/>
      <c r="O41" s="123"/>
      <c r="P41" s="123"/>
      <c r="Q41" s="218">
        <f>_xlfn.XLOOKUP($I41,Inputs!$G$6:$G$23,Inputs!$J$6:$J$23)*$K41</f>
        <v>36</v>
      </c>
      <c r="R41" s="218">
        <f>_xlfn.XLOOKUP($I41,Inputs!$G$6:$G$23,Inputs!$K$6:$K$23)*$K41</f>
        <v>39</v>
      </c>
      <c r="S41" s="103" t="s">
        <v>999</v>
      </c>
      <c r="T41" s="98" t="s">
        <v>1213</v>
      </c>
      <c r="U41" s="103" t="s">
        <v>1000</v>
      </c>
      <c r="V41" s="98" t="s">
        <v>1200</v>
      </c>
      <c r="W41" s="47"/>
      <c r="X41" s="18"/>
      <c r="Y41" s="68">
        <v>169</v>
      </c>
    </row>
    <row r="42" spans="2:25" s="14" customFormat="1" ht="18">
      <c r="B42" s="103" t="s">
        <v>331</v>
      </c>
      <c r="C42" s="47" t="s">
        <v>93</v>
      </c>
      <c r="D42" s="98" t="s">
        <v>598</v>
      </c>
      <c r="E42" s="103">
        <v>1</v>
      </c>
      <c r="F42" s="103" t="s">
        <v>152</v>
      </c>
      <c r="G42" s="180">
        <v>24</v>
      </c>
      <c r="H42" s="180">
        <v>15</v>
      </c>
      <c r="I42" s="102">
        <v>69</v>
      </c>
      <c r="J42" s="212" cm="1">
        <f t="array" ref="J42">_xlfn.XLOOKUP($I42,Inputs!$C$6:$C$23,Inputs!$D$6:D$23)*$G42</f>
        <v>9.2228571428571424</v>
      </c>
      <c r="K42" s="217">
        <f t="shared" si="0"/>
        <v>3</v>
      </c>
      <c r="L42" s="123"/>
      <c r="M42" s="123"/>
      <c r="N42" s="123"/>
      <c r="O42" s="123"/>
      <c r="P42" s="123"/>
      <c r="Q42" s="218">
        <f>_xlfn.XLOOKUP($I42,Inputs!$G$6:$G$23,Inputs!$J$6:$J$23)*$K42</f>
        <v>36</v>
      </c>
      <c r="R42" s="218">
        <f>_xlfn.XLOOKUP($I42,Inputs!$G$6:$G$23,Inputs!$K$6:$K$23)*$K42</f>
        <v>39</v>
      </c>
      <c r="S42" s="103" t="s">
        <v>1158</v>
      </c>
      <c r="T42" s="98" t="s">
        <v>1215</v>
      </c>
      <c r="U42" s="103" t="s">
        <v>1040</v>
      </c>
      <c r="V42" s="98" t="s">
        <v>1252</v>
      </c>
      <c r="W42" s="47"/>
      <c r="X42" s="18"/>
      <c r="Y42" s="68">
        <v>135</v>
      </c>
    </row>
    <row r="43" spans="2:25" s="14" customFormat="1" ht="18">
      <c r="B43" s="103" t="s">
        <v>284</v>
      </c>
      <c r="C43" s="47" t="s">
        <v>93</v>
      </c>
      <c r="D43" s="98" t="s">
        <v>598</v>
      </c>
      <c r="E43" s="103">
        <v>1</v>
      </c>
      <c r="F43" s="103" t="s">
        <v>152</v>
      </c>
      <c r="G43" s="257">
        <v>5</v>
      </c>
      <c r="H43" s="257">
        <v>3</v>
      </c>
      <c r="I43" s="102">
        <v>69</v>
      </c>
      <c r="J43" s="212" cm="1">
        <f t="array" ref="J43">_xlfn.XLOOKUP($I43,Inputs!$C$6:$C$23,Inputs!$D$6:D$23)*$G43</f>
        <v>1.9214285714285715</v>
      </c>
      <c r="K43" s="217">
        <f t="shared" si="0"/>
        <v>3</v>
      </c>
      <c r="L43" s="123"/>
      <c r="M43" s="123"/>
      <c r="N43" s="123"/>
      <c r="O43" s="123"/>
      <c r="P43" s="123"/>
      <c r="Q43" s="218">
        <f>_xlfn.XLOOKUP($I43,Inputs!$G$6:$G$23,Inputs!$J$6:$J$23)*$K43</f>
        <v>36</v>
      </c>
      <c r="R43" s="218">
        <f>_xlfn.XLOOKUP($I43,Inputs!$G$6:$G$23,Inputs!$K$6:$K$23)*$K43</f>
        <v>39</v>
      </c>
      <c r="S43" s="103" t="s">
        <v>1398</v>
      </c>
      <c r="T43" s="98" t="s">
        <v>1216</v>
      </c>
      <c r="U43" s="103" t="s">
        <v>1114</v>
      </c>
      <c r="V43" s="98" t="s">
        <v>1401</v>
      </c>
      <c r="W43" s="47"/>
      <c r="X43" s="18"/>
      <c r="Y43" s="68">
        <v>2</v>
      </c>
    </row>
    <row r="44" spans="2:25" s="14" customFormat="1" ht="18">
      <c r="B44" s="103" t="s">
        <v>239</v>
      </c>
      <c r="C44" s="47" t="s">
        <v>93</v>
      </c>
      <c r="D44" s="98" t="s">
        <v>598</v>
      </c>
      <c r="E44" s="103">
        <v>1</v>
      </c>
      <c r="F44" s="103" t="s">
        <v>152</v>
      </c>
      <c r="G44" s="180">
        <v>2</v>
      </c>
      <c r="H44" s="180">
        <v>1</v>
      </c>
      <c r="I44" s="102">
        <v>69</v>
      </c>
      <c r="J44" s="212" cm="1">
        <f t="array" ref="J44">_xlfn.XLOOKUP($I44,Inputs!$C$6:$C$23,Inputs!$D$6:D$23)*$G44</f>
        <v>0.76857142857142857</v>
      </c>
      <c r="K44" s="217">
        <f t="shared" si="0"/>
        <v>3</v>
      </c>
      <c r="L44" s="123"/>
      <c r="M44" s="123"/>
      <c r="N44" s="123"/>
      <c r="O44" s="123"/>
      <c r="P44" s="123"/>
      <c r="Q44" s="218">
        <f>_xlfn.XLOOKUP($I44,Inputs!$G$6:$G$23,Inputs!$J$6:$J$23)*$K44</f>
        <v>36</v>
      </c>
      <c r="R44" s="218">
        <f>_xlfn.XLOOKUP($I44,Inputs!$G$6:$G$23,Inputs!$K$6:$K$23)*$K44</f>
        <v>39</v>
      </c>
      <c r="S44" s="103" t="s">
        <v>1138</v>
      </c>
      <c r="T44" s="98" t="s">
        <v>1399</v>
      </c>
      <c r="U44" s="103" t="s">
        <v>942</v>
      </c>
      <c r="V44" s="98" t="s">
        <v>1312</v>
      </c>
      <c r="W44" s="47"/>
      <c r="X44" s="18"/>
      <c r="Y44" s="68">
        <v>29</v>
      </c>
    </row>
    <row r="45" spans="2:25" s="14" customFormat="1" ht="18">
      <c r="B45" s="103" t="s">
        <v>241</v>
      </c>
      <c r="C45" s="47" t="s">
        <v>93</v>
      </c>
      <c r="D45" s="98" t="s">
        <v>598</v>
      </c>
      <c r="E45" s="103">
        <v>1</v>
      </c>
      <c r="F45" s="103" t="s">
        <v>152</v>
      </c>
      <c r="G45" s="180">
        <v>10</v>
      </c>
      <c r="H45" s="180">
        <v>6</v>
      </c>
      <c r="I45" s="102">
        <v>69</v>
      </c>
      <c r="J45" s="212" cm="1">
        <f t="array" ref="J45">_xlfn.XLOOKUP($I45,Inputs!$C$6:$C$23,Inputs!$D$6:D$23)*$G45</f>
        <v>3.842857142857143</v>
      </c>
      <c r="K45" s="217">
        <f t="shared" si="0"/>
        <v>3</v>
      </c>
      <c r="L45" s="123"/>
      <c r="M45" s="123"/>
      <c r="N45" s="123"/>
      <c r="O45" s="123"/>
      <c r="P45" s="123"/>
      <c r="Q45" s="218">
        <f>_xlfn.XLOOKUP($I45,Inputs!$G$6:$G$23,Inputs!$J$6:$J$23)*$K45</f>
        <v>36</v>
      </c>
      <c r="R45" s="218">
        <f>_xlfn.XLOOKUP($I45,Inputs!$G$6:$G$23,Inputs!$K$6:$K$23)*$K45</f>
        <v>39</v>
      </c>
      <c r="S45" s="103" t="s">
        <v>1138</v>
      </c>
      <c r="T45" s="98" t="s">
        <v>1399</v>
      </c>
      <c r="U45" s="103" t="s">
        <v>1117</v>
      </c>
      <c r="V45" s="98" t="s">
        <v>1421</v>
      </c>
      <c r="W45" s="47"/>
      <c r="X45" s="18"/>
      <c r="Y45" s="68">
        <v>192</v>
      </c>
    </row>
    <row r="46" spans="2:25" s="14" customFormat="1" ht="18">
      <c r="B46" s="103" t="s">
        <v>337</v>
      </c>
      <c r="C46" s="47" t="s">
        <v>93</v>
      </c>
      <c r="D46" s="98" t="s">
        <v>598</v>
      </c>
      <c r="E46" s="103">
        <v>1</v>
      </c>
      <c r="F46" s="103" t="s">
        <v>152</v>
      </c>
      <c r="G46" s="180">
        <v>19</v>
      </c>
      <c r="H46" s="180">
        <v>12</v>
      </c>
      <c r="I46" s="102">
        <v>69</v>
      </c>
      <c r="J46" s="212" cm="1">
        <f t="array" ref="J46">_xlfn.XLOOKUP($I46,Inputs!$C$6:$C$23,Inputs!$D$6:D$23)*$G46</f>
        <v>7.3014285714285716</v>
      </c>
      <c r="K46" s="217">
        <f t="shared" si="0"/>
        <v>3</v>
      </c>
      <c r="L46" s="123"/>
      <c r="M46" s="123"/>
      <c r="N46" s="123"/>
      <c r="O46" s="123"/>
      <c r="P46" s="123"/>
      <c r="Q46" s="218">
        <f>_xlfn.XLOOKUP($I46,Inputs!$G$6:$G$23,Inputs!$J$6:$J$23)*$K46</f>
        <v>36</v>
      </c>
      <c r="R46" s="218">
        <f>_xlfn.XLOOKUP($I46,Inputs!$G$6:$G$23,Inputs!$K$6:$K$23)*$K46</f>
        <v>39</v>
      </c>
      <c r="S46" s="103" t="s">
        <v>962</v>
      </c>
      <c r="T46" s="98" t="s">
        <v>1217</v>
      </c>
      <c r="U46" s="103" t="s">
        <v>1120</v>
      </c>
      <c r="V46" s="98" t="s">
        <v>1431</v>
      </c>
      <c r="W46" s="47"/>
      <c r="X46" s="18"/>
      <c r="Y46" s="68">
        <v>70</v>
      </c>
    </row>
    <row r="47" spans="2:25" s="14" customFormat="1" ht="18">
      <c r="B47" s="103" t="s">
        <v>341</v>
      </c>
      <c r="C47" s="47" t="s">
        <v>93</v>
      </c>
      <c r="D47" s="98" t="s">
        <v>598</v>
      </c>
      <c r="E47" s="103">
        <v>1</v>
      </c>
      <c r="F47" s="103" t="s">
        <v>152</v>
      </c>
      <c r="G47" s="257">
        <v>3</v>
      </c>
      <c r="H47" s="257">
        <v>2</v>
      </c>
      <c r="I47" s="102">
        <v>69</v>
      </c>
      <c r="J47" s="212" cm="1">
        <f t="array" ref="J47">_xlfn.XLOOKUP($I47,Inputs!$C$6:$C$23,Inputs!$D$6:D$23)*$G47</f>
        <v>1.1528571428571428</v>
      </c>
      <c r="K47" s="217">
        <f t="shared" si="0"/>
        <v>3</v>
      </c>
      <c r="L47" s="123"/>
      <c r="M47" s="123"/>
      <c r="N47" s="123"/>
      <c r="O47" s="123"/>
      <c r="P47" s="123"/>
      <c r="Q47" s="218">
        <f>_xlfn.XLOOKUP($I47,Inputs!$G$6:$G$23,Inputs!$J$6:$J$23)*$K47</f>
        <v>36</v>
      </c>
      <c r="R47" s="218">
        <f>_xlfn.XLOOKUP($I47,Inputs!$G$6:$G$23,Inputs!$K$6:$K$23)*$K47</f>
        <v>39</v>
      </c>
      <c r="S47" s="103" t="s">
        <v>1006</v>
      </c>
      <c r="T47" s="98" t="s">
        <v>1218</v>
      </c>
      <c r="U47" s="103" t="s">
        <v>1054</v>
      </c>
      <c r="V47" s="98" t="s">
        <v>1220</v>
      </c>
      <c r="W47" s="47"/>
      <c r="X47" s="18"/>
      <c r="Y47" s="68">
        <v>189</v>
      </c>
    </row>
    <row r="48" spans="2:25" s="14" customFormat="1" ht="18">
      <c r="B48" s="103" t="s">
        <v>254</v>
      </c>
      <c r="C48" s="47" t="s">
        <v>93</v>
      </c>
      <c r="D48" s="98" t="s">
        <v>598</v>
      </c>
      <c r="E48" s="103">
        <v>1</v>
      </c>
      <c r="F48" s="103" t="s">
        <v>152</v>
      </c>
      <c r="G48" s="180">
        <v>0.3</v>
      </c>
      <c r="H48" s="180">
        <v>0.2</v>
      </c>
      <c r="I48" s="102">
        <v>138</v>
      </c>
      <c r="J48" s="212" cm="1">
        <f t="array" ref="J48">_xlfn.XLOOKUP($I48,Inputs!$C$6:$C$23,Inputs!$D$6:D$23)*$G48</f>
        <v>0.13007142857142859</v>
      </c>
      <c r="K48" s="217">
        <f t="shared" si="0"/>
        <v>3</v>
      </c>
      <c r="L48" s="123"/>
      <c r="M48" s="123"/>
      <c r="N48" s="123"/>
      <c r="O48" s="123"/>
      <c r="P48" s="123"/>
      <c r="Q48" s="218">
        <f>_xlfn.XLOOKUP($I48,Inputs!$G$6:$G$23,Inputs!$J$6:$J$23)*$K48</f>
        <v>141</v>
      </c>
      <c r="R48" s="218">
        <f>_xlfn.XLOOKUP($I48,Inputs!$G$6:$G$23,Inputs!$K$6:$K$23)*$K48</f>
        <v>156</v>
      </c>
      <c r="S48" s="103" t="s">
        <v>1025</v>
      </c>
      <c r="T48" s="98" t="s">
        <v>1219</v>
      </c>
      <c r="U48" s="103" t="s">
        <v>1153</v>
      </c>
      <c r="V48" s="98" t="s">
        <v>1154</v>
      </c>
      <c r="W48" s="47"/>
      <c r="X48" s="18"/>
      <c r="Y48" s="68">
        <v>336</v>
      </c>
    </row>
    <row r="49" spans="2:25" s="14" customFormat="1" ht="18">
      <c r="B49" s="103" t="s">
        <v>236</v>
      </c>
      <c r="C49" s="47" t="s">
        <v>93</v>
      </c>
      <c r="D49" s="98" t="s">
        <v>598</v>
      </c>
      <c r="E49" s="103">
        <v>1</v>
      </c>
      <c r="F49" s="103" t="s">
        <v>152</v>
      </c>
      <c r="G49" s="180">
        <v>8</v>
      </c>
      <c r="H49" s="180">
        <v>5</v>
      </c>
      <c r="I49" s="102">
        <v>138</v>
      </c>
      <c r="J49" s="212" cm="1">
        <f t="array" ref="J49">_xlfn.XLOOKUP($I49,Inputs!$C$6:$C$23,Inputs!$D$6:D$23)*$G49</f>
        <v>3.4685714285714289</v>
      </c>
      <c r="K49" s="217">
        <f t="shared" si="0"/>
        <v>3</v>
      </c>
      <c r="L49" s="123"/>
      <c r="M49" s="123"/>
      <c r="N49" s="123"/>
      <c r="O49" s="123"/>
      <c r="P49" s="123"/>
      <c r="Q49" s="218">
        <f>_xlfn.XLOOKUP($I49,Inputs!$G$6:$G$23,Inputs!$J$6:$J$23)*$K49</f>
        <v>141</v>
      </c>
      <c r="R49" s="218">
        <f>_xlfn.XLOOKUP($I49,Inputs!$G$6:$G$23,Inputs!$K$6:$K$23)*$K49</f>
        <v>156</v>
      </c>
      <c r="S49" s="103" t="s">
        <v>1025</v>
      </c>
      <c r="T49" s="98" t="s">
        <v>1219</v>
      </c>
      <c r="U49" s="103" t="s">
        <v>1026</v>
      </c>
      <c r="V49" s="98" t="s">
        <v>1333</v>
      </c>
      <c r="W49" s="47"/>
      <c r="X49" s="18"/>
      <c r="Y49" s="68">
        <v>332</v>
      </c>
    </row>
    <row r="50" spans="2:25" s="14" customFormat="1" ht="18">
      <c r="B50" s="103" t="s">
        <v>308</v>
      </c>
      <c r="C50" s="47" t="s">
        <v>93</v>
      </c>
      <c r="D50" s="98" t="s">
        <v>598</v>
      </c>
      <c r="E50" s="103">
        <v>1</v>
      </c>
      <c r="F50" s="103" t="s">
        <v>152</v>
      </c>
      <c r="G50" s="180">
        <v>32</v>
      </c>
      <c r="H50" s="180">
        <v>20</v>
      </c>
      <c r="I50" s="102">
        <v>69</v>
      </c>
      <c r="J50" s="212" cm="1">
        <f t="array" ref="J50">_xlfn.XLOOKUP($I50,Inputs!$C$6:$C$23,Inputs!$D$6:D$23)*$G50</f>
        <v>12.297142857142857</v>
      </c>
      <c r="K50" s="217">
        <f t="shared" si="0"/>
        <v>3</v>
      </c>
      <c r="L50" s="123"/>
      <c r="M50" s="123"/>
      <c r="N50" s="123"/>
      <c r="O50" s="123"/>
      <c r="P50" s="123"/>
      <c r="Q50" s="218">
        <f>_xlfn.XLOOKUP($I50,Inputs!$G$6:$G$23,Inputs!$J$6:$J$23)*$K50</f>
        <v>36</v>
      </c>
      <c r="R50" s="218">
        <f>_xlfn.XLOOKUP($I50,Inputs!$G$6:$G$23,Inputs!$K$6:$K$23)*$K50</f>
        <v>39</v>
      </c>
      <c r="S50" s="103" t="s">
        <v>990</v>
      </c>
      <c r="T50" s="98" t="s">
        <v>1222</v>
      </c>
      <c r="U50" s="103" t="s">
        <v>1408</v>
      </c>
      <c r="V50" s="98" t="s">
        <v>1272</v>
      </c>
      <c r="W50" s="47"/>
      <c r="X50" s="18"/>
      <c r="Y50" s="68">
        <v>148</v>
      </c>
    </row>
    <row r="51" spans="2:25" s="14" customFormat="1" ht="18">
      <c r="B51" s="103" t="s">
        <v>260</v>
      </c>
      <c r="C51" s="47" t="s">
        <v>93</v>
      </c>
      <c r="D51" s="98" t="s">
        <v>598</v>
      </c>
      <c r="E51" s="103">
        <v>1</v>
      </c>
      <c r="F51" s="103" t="s">
        <v>152</v>
      </c>
      <c r="G51" s="180">
        <v>26</v>
      </c>
      <c r="H51" s="180">
        <v>16</v>
      </c>
      <c r="I51" s="102">
        <v>69</v>
      </c>
      <c r="J51" s="212" cm="1">
        <f t="array" ref="J51">_xlfn.XLOOKUP($I51,Inputs!$C$6:$C$23,Inputs!$D$6:D$23)*$G51</f>
        <v>9.9914285714285711</v>
      </c>
      <c r="K51" s="217">
        <f t="shared" si="0"/>
        <v>3</v>
      </c>
      <c r="L51" s="123"/>
      <c r="M51" s="123"/>
      <c r="N51" s="123"/>
      <c r="O51" s="123"/>
      <c r="P51" s="123"/>
      <c r="Q51" s="218">
        <f>_xlfn.XLOOKUP($I51,Inputs!$G$6:$G$23,Inputs!$J$6:$J$23)*$K51</f>
        <v>36</v>
      </c>
      <c r="R51" s="218">
        <f>_xlfn.XLOOKUP($I51,Inputs!$G$6:$G$23,Inputs!$K$6:$K$23)*$K51</f>
        <v>39</v>
      </c>
      <c r="S51" s="103" t="s">
        <v>936</v>
      </c>
      <c r="T51" s="98" t="s">
        <v>1223</v>
      </c>
      <c r="U51" s="103" t="s">
        <v>937</v>
      </c>
      <c r="V51" s="98" t="s">
        <v>1235</v>
      </c>
      <c r="W51" s="47"/>
      <c r="X51" s="18"/>
      <c r="Y51" s="68">
        <v>16</v>
      </c>
    </row>
    <row r="52" spans="2:25" s="14" customFormat="1" ht="18">
      <c r="B52" s="103" t="s">
        <v>354</v>
      </c>
      <c r="C52" s="47" t="s">
        <v>93</v>
      </c>
      <c r="D52" s="98" t="s">
        <v>598</v>
      </c>
      <c r="E52" s="103">
        <v>1</v>
      </c>
      <c r="F52" s="103" t="s">
        <v>152</v>
      </c>
      <c r="G52" s="257">
        <v>3</v>
      </c>
      <c r="H52" s="257">
        <v>2</v>
      </c>
      <c r="I52" s="102">
        <v>69</v>
      </c>
      <c r="J52" s="212" cm="1">
        <f t="array" ref="J52">_xlfn.XLOOKUP($I52,Inputs!$C$6:$C$23,Inputs!$D$6:D$23)*$G52</f>
        <v>1.1528571428571428</v>
      </c>
      <c r="K52" s="217">
        <f t="shared" si="0"/>
        <v>3</v>
      </c>
      <c r="L52" s="123"/>
      <c r="M52" s="123"/>
      <c r="N52" s="123"/>
      <c r="O52" s="123"/>
      <c r="P52" s="123"/>
      <c r="Q52" s="218">
        <f>_xlfn.XLOOKUP($I52,Inputs!$G$6:$G$23,Inputs!$J$6:$J$23)*$K52</f>
        <v>36</v>
      </c>
      <c r="R52" s="218">
        <f>_xlfn.XLOOKUP($I52,Inputs!$G$6:$G$23,Inputs!$K$6:$K$23)*$K52</f>
        <v>39</v>
      </c>
      <c r="S52" s="103" t="s">
        <v>1128</v>
      </c>
      <c r="T52" s="98" t="s">
        <v>1400</v>
      </c>
      <c r="U52" s="103" t="s">
        <v>1000</v>
      </c>
      <c r="V52" s="98" t="s">
        <v>1200</v>
      </c>
      <c r="W52" s="47"/>
      <c r="X52" s="18"/>
      <c r="Y52" s="68">
        <v>221</v>
      </c>
    </row>
    <row r="53" spans="2:25" s="14" customFormat="1" ht="18">
      <c r="B53" s="103" t="s">
        <v>355</v>
      </c>
      <c r="C53" s="47" t="s">
        <v>93</v>
      </c>
      <c r="D53" s="98" t="s">
        <v>598</v>
      </c>
      <c r="E53" s="103">
        <v>1</v>
      </c>
      <c r="F53" s="103" t="s">
        <v>152</v>
      </c>
      <c r="G53" s="180">
        <v>18</v>
      </c>
      <c r="H53" s="180">
        <v>11</v>
      </c>
      <c r="I53" s="102">
        <v>69</v>
      </c>
      <c r="J53" s="212" cm="1">
        <f t="array" ref="J53">_xlfn.XLOOKUP($I53,Inputs!$C$6:$C$23,Inputs!$D$6:D$23)*$G53</f>
        <v>6.9171428571428573</v>
      </c>
      <c r="K53" s="217">
        <f t="shared" si="0"/>
        <v>3</v>
      </c>
      <c r="L53" s="123"/>
      <c r="M53" s="123"/>
      <c r="N53" s="123"/>
      <c r="O53" s="123"/>
      <c r="P53" s="123"/>
      <c r="Q53" s="218">
        <f>_xlfn.XLOOKUP($I53,Inputs!$G$6:$G$23,Inputs!$J$6:$J$23)*$K53</f>
        <v>36</v>
      </c>
      <c r="R53" s="218">
        <f>_xlfn.XLOOKUP($I53,Inputs!$G$6:$G$23,Inputs!$K$6:$K$23)*$K53</f>
        <v>39</v>
      </c>
      <c r="S53" s="103" t="s">
        <v>1128</v>
      </c>
      <c r="T53" s="98" t="s">
        <v>1400</v>
      </c>
      <c r="U53" s="103" t="s">
        <v>1450</v>
      </c>
      <c r="V53" s="98" t="s">
        <v>769</v>
      </c>
      <c r="W53" s="47"/>
      <c r="X53" s="18"/>
      <c r="Y53" s="68">
        <v>241</v>
      </c>
    </row>
    <row r="54" spans="2:25" s="14" customFormat="1" ht="18">
      <c r="B54" s="103" t="s">
        <v>222</v>
      </c>
      <c r="C54" s="47" t="s">
        <v>93</v>
      </c>
      <c r="D54" s="98" t="s">
        <v>598</v>
      </c>
      <c r="E54" s="103">
        <v>1</v>
      </c>
      <c r="F54" s="103" t="s">
        <v>152</v>
      </c>
      <c r="G54" s="180">
        <v>8</v>
      </c>
      <c r="H54" s="180">
        <v>5</v>
      </c>
      <c r="I54" s="102">
        <v>69</v>
      </c>
      <c r="J54" s="212" cm="1">
        <f t="array" ref="J54">_xlfn.XLOOKUP($I54,Inputs!$C$6:$C$23,Inputs!$D$6:D$23)*$G54</f>
        <v>3.0742857142857143</v>
      </c>
      <c r="K54" s="217">
        <f t="shared" si="0"/>
        <v>3</v>
      </c>
      <c r="L54" s="123"/>
      <c r="M54" s="123"/>
      <c r="N54" s="123"/>
      <c r="O54" s="123"/>
      <c r="P54" s="123"/>
      <c r="Q54" s="218">
        <f>_xlfn.XLOOKUP($I54,Inputs!$G$6:$G$23,Inputs!$J$6:$J$23)*$K54</f>
        <v>36</v>
      </c>
      <c r="R54" s="218">
        <f>_xlfn.XLOOKUP($I54,Inputs!$G$6:$G$23,Inputs!$K$6:$K$23)*$K54</f>
        <v>39</v>
      </c>
      <c r="S54" s="103" t="s">
        <v>1128</v>
      </c>
      <c r="T54" s="98" t="s">
        <v>1400</v>
      </c>
      <c r="U54" s="103" t="s">
        <v>1087</v>
      </c>
      <c r="V54" s="98" t="s">
        <v>1299</v>
      </c>
      <c r="W54" s="47"/>
      <c r="X54" s="18"/>
      <c r="Y54" s="68">
        <v>245</v>
      </c>
    </row>
    <row r="55" spans="2:25" s="14" customFormat="1" ht="18">
      <c r="B55" s="103" t="s">
        <v>223</v>
      </c>
      <c r="C55" s="47" t="s">
        <v>93</v>
      </c>
      <c r="D55" s="98" t="s">
        <v>598</v>
      </c>
      <c r="E55" s="103">
        <v>1</v>
      </c>
      <c r="F55" s="103" t="s">
        <v>152</v>
      </c>
      <c r="G55" s="180">
        <v>7</v>
      </c>
      <c r="H55" s="180">
        <v>4</v>
      </c>
      <c r="I55" s="102">
        <v>69</v>
      </c>
      <c r="J55" s="212" cm="1">
        <f t="array" ref="J55">_xlfn.XLOOKUP($I55,Inputs!$C$6:$C$23,Inputs!$D$6:D$23)*$G55</f>
        <v>2.69</v>
      </c>
      <c r="K55" s="217">
        <f t="shared" si="0"/>
        <v>3</v>
      </c>
      <c r="L55" s="123"/>
      <c r="M55" s="123"/>
      <c r="N55" s="123"/>
      <c r="O55" s="123"/>
      <c r="P55" s="123"/>
      <c r="Q55" s="218">
        <f>_xlfn.XLOOKUP($I55,Inputs!$G$6:$G$23,Inputs!$J$6:$J$23)*$K55</f>
        <v>36</v>
      </c>
      <c r="R55" s="218">
        <f>_xlfn.XLOOKUP($I55,Inputs!$G$6:$G$23,Inputs!$K$6:$K$23)*$K55</f>
        <v>39</v>
      </c>
      <c r="S55" s="103" t="s">
        <v>1128</v>
      </c>
      <c r="T55" s="98" t="s">
        <v>1400</v>
      </c>
      <c r="U55" s="103" t="s">
        <v>224</v>
      </c>
      <c r="V55" s="98" t="s">
        <v>1390</v>
      </c>
      <c r="W55" s="47"/>
      <c r="X55" s="18"/>
      <c r="Y55" s="68">
        <v>339</v>
      </c>
    </row>
    <row r="56" spans="2:25" s="14" customFormat="1" ht="18">
      <c r="B56" s="99" t="s">
        <v>216</v>
      </c>
      <c r="C56" s="99" t="s">
        <v>93</v>
      </c>
      <c r="D56" s="98" t="s">
        <v>598</v>
      </c>
      <c r="E56" s="99">
        <v>1</v>
      </c>
      <c r="F56" s="99" t="s">
        <v>152</v>
      </c>
      <c r="G56" s="257">
        <v>5</v>
      </c>
      <c r="H56" s="257">
        <v>3</v>
      </c>
      <c r="I56" s="100">
        <v>138</v>
      </c>
      <c r="J56" s="212" cm="1">
        <f t="array" ref="J56">_xlfn.XLOOKUP($I56,Inputs!$C$6:$C$23,Inputs!$D$6:D$23)*$G56</f>
        <v>2.1678571428571431</v>
      </c>
      <c r="K56" s="217">
        <f t="shared" si="0"/>
        <v>3</v>
      </c>
      <c r="L56" s="123"/>
      <c r="M56" s="123"/>
      <c r="N56" s="123"/>
      <c r="O56" s="123"/>
      <c r="P56" s="123"/>
      <c r="Q56" s="218">
        <f>_xlfn.XLOOKUP($I56,Inputs!$G$6:$G$23,Inputs!$J$6:$J$23)*$K56</f>
        <v>141</v>
      </c>
      <c r="R56" s="218">
        <f>_xlfn.XLOOKUP($I56,Inputs!$G$6:$G$23,Inputs!$K$6:$K$23)*$K56</f>
        <v>156</v>
      </c>
      <c r="S56" s="99" t="s">
        <v>1030</v>
      </c>
      <c r="T56" s="98" t="s">
        <v>1441</v>
      </c>
      <c r="U56" s="99" t="s">
        <v>372</v>
      </c>
      <c r="V56" s="98" t="s">
        <v>1377</v>
      </c>
      <c r="W56" s="47"/>
      <c r="X56" s="18"/>
      <c r="Y56" s="68">
        <v>372</v>
      </c>
    </row>
    <row r="57" spans="2:25" s="14" customFormat="1" ht="18">
      <c r="B57" s="103" t="s">
        <v>246</v>
      </c>
      <c r="C57" s="47" t="s">
        <v>93</v>
      </c>
      <c r="D57" s="98" t="s">
        <v>598</v>
      </c>
      <c r="E57" s="103">
        <v>1</v>
      </c>
      <c r="F57" s="103" t="s">
        <v>152</v>
      </c>
      <c r="G57" s="180">
        <v>5</v>
      </c>
      <c r="H57" s="180">
        <v>3</v>
      </c>
      <c r="I57" s="102">
        <v>69</v>
      </c>
      <c r="J57" s="212" cm="1">
        <f t="array" ref="J57">_xlfn.XLOOKUP($I57,Inputs!$C$6:$C$23,Inputs!$D$6:D$23)*$G57</f>
        <v>1.9214285714285715</v>
      </c>
      <c r="K57" s="217">
        <f t="shared" si="0"/>
        <v>3</v>
      </c>
      <c r="L57" s="123"/>
      <c r="M57" s="123"/>
      <c r="N57" s="123"/>
      <c r="O57" s="123"/>
      <c r="P57" s="123"/>
      <c r="Q57" s="218">
        <f>_xlfn.XLOOKUP($I57,Inputs!$G$6:$G$23,Inputs!$J$6:$J$23)*$K57</f>
        <v>36</v>
      </c>
      <c r="R57" s="218">
        <f>_xlfn.XLOOKUP($I57,Inputs!$G$6:$G$23,Inputs!$K$6:$K$23)*$K57</f>
        <v>39</v>
      </c>
      <c r="S57" s="103" t="s">
        <v>1010</v>
      </c>
      <c r="T57" s="98" t="s">
        <v>1227</v>
      </c>
      <c r="U57" s="103" t="s">
        <v>1152</v>
      </c>
      <c r="V57" s="98" t="s">
        <v>1201</v>
      </c>
      <c r="W57" s="47"/>
      <c r="X57" s="18"/>
      <c r="Y57" s="68">
        <v>230</v>
      </c>
    </row>
    <row r="58" spans="2:25" s="14" customFormat="1" ht="18">
      <c r="B58" s="103" t="s">
        <v>233</v>
      </c>
      <c r="C58" s="47" t="s">
        <v>93</v>
      </c>
      <c r="D58" s="98" t="s">
        <v>598</v>
      </c>
      <c r="E58" s="103">
        <v>1</v>
      </c>
      <c r="F58" s="103" t="s">
        <v>152</v>
      </c>
      <c r="G58" s="180">
        <v>31</v>
      </c>
      <c r="H58" s="180">
        <v>19</v>
      </c>
      <c r="I58" s="102">
        <v>69</v>
      </c>
      <c r="J58" s="212" cm="1">
        <f t="array" ref="J58">_xlfn.XLOOKUP($I58,Inputs!$C$6:$C$23,Inputs!$D$6:D$23)*$G58</f>
        <v>11.912857142857144</v>
      </c>
      <c r="K58" s="217">
        <f t="shared" si="0"/>
        <v>3</v>
      </c>
      <c r="L58" s="123"/>
      <c r="M58" s="123"/>
      <c r="N58" s="123"/>
      <c r="O58" s="123"/>
      <c r="P58" s="123"/>
      <c r="Q58" s="218">
        <f>_xlfn.XLOOKUP($I58,Inputs!$G$6:$G$23,Inputs!$J$6:$J$23)*$K58</f>
        <v>36</v>
      </c>
      <c r="R58" s="218">
        <f>_xlfn.XLOOKUP($I58,Inputs!$G$6:$G$23,Inputs!$K$6:$K$23)*$K58</f>
        <v>39</v>
      </c>
      <c r="S58" s="103" t="s">
        <v>948</v>
      </c>
      <c r="T58" s="98" t="s">
        <v>1234</v>
      </c>
      <c r="U58" s="103" t="s">
        <v>949</v>
      </c>
      <c r="V58" s="98" t="s">
        <v>1300</v>
      </c>
      <c r="W58" s="47"/>
      <c r="X58" s="18"/>
      <c r="Y58" s="68">
        <v>38</v>
      </c>
    </row>
    <row r="59" spans="2:25" s="14" customFormat="1" ht="18">
      <c r="B59" s="103" t="s">
        <v>234</v>
      </c>
      <c r="C59" s="47" t="s">
        <v>93</v>
      </c>
      <c r="D59" s="98" t="s">
        <v>598</v>
      </c>
      <c r="E59" s="103">
        <v>1</v>
      </c>
      <c r="F59" s="103" t="s">
        <v>152</v>
      </c>
      <c r="G59" s="180">
        <v>22</v>
      </c>
      <c r="H59" s="180">
        <v>13</v>
      </c>
      <c r="I59" s="102">
        <v>69</v>
      </c>
      <c r="J59" s="212" cm="1">
        <f t="array" ref="J59">_xlfn.XLOOKUP($I59,Inputs!$C$6:$C$23,Inputs!$D$6:D$23)*$G59</f>
        <v>8.4542857142857137</v>
      </c>
      <c r="K59" s="217">
        <f t="shared" si="0"/>
        <v>3</v>
      </c>
      <c r="L59" s="123"/>
      <c r="M59" s="123"/>
      <c r="N59" s="123"/>
      <c r="O59" s="123"/>
      <c r="P59" s="123"/>
      <c r="Q59" s="218">
        <f>_xlfn.XLOOKUP($I59,Inputs!$G$6:$G$23,Inputs!$J$6:$J$23)*$K59</f>
        <v>36</v>
      </c>
      <c r="R59" s="218">
        <f>_xlfn.XLOOKUP($I59,Inputs!$G$6:$G$23,Inputs!$K$6:$K$23)*$K59</f>
        <v>39</v>
      </c>
      <c r="S59" s="103" t="s">
        <v>948</v>
      </c>
      <c r="T59" s="98" t="s">
        <v>1234</v>
      </c>
      <c r="U59" s="103" t="s">
        <v>1033</v>
      </c>
      <c r="V59" s="98" t="s">
        <v>1351</v>
      </c>
      <c r="W59" s="47"/>
      <c r="X59" s="18"/>
      <c r="Y59" s="68">
        <v>48</v>
      </c>
    </row>
    <row r="60" spans="2:25" s="14" customFormat="1" ht="18">
      <c r="B60" s="103" t="s">
        <v>260</v>
      </c>
      <c r="C60" s="47" t="s">
        <v>93</v>
      </c>
      <c r="D60" s="98" t="s">
        <v>598</v>
      </c>
      <c r="E60" s="103">
        <v>1</v>
      </c>
      <c r="F60" s="103" t="s">
        <v>152</v>
      </c>
      <c r="G60" s="180">
        <v>13</v>
      </c>
      <c r="H60" s="180">
        <v>8</v>
      </c>
      <c r="I60" s="102">
        <v>69</v>
      </c>
      <c r="J60" s="212" cm="1">
        <f t="array" ref="J60">_xlfn.XLOOKUP($I60,Inputs!$C$6:$C$23,Inputs!$D$6:D$23)*$G60</f>
        <v>4.9957142857142856</v>
      </c>
      <c r="K60" s="217">
        <f t="shared" si="0"/>
        <v>3</v>
      </c>
      <c r="L60" s="123"/>
      <c r="M60" s="123"/>
      <c r="N60" s="123"/>
      <c r="O60" s="123"/>
      <c r="P60" s="123"/>
      <c r="Q60" s="218">
        <f>_xlfn.XLOOKUP($I60,Inputs!$G$6:$G$23,Inputs!$J$6:$J$23)*$K60</f>
        <v>36</v>
      </c>
      <c r="R60" s="218">
        <f>_xlfn.XLOOKUP($I60,Inputs!$G$6:$G$23,Inputs!$K$6:$K$23)*$K60</f>
        <v>39</v>
      </c>
      <c r="S60" s="103" t="s">
        <v>937</v>
      </c>
      <c r="T60" s="98" t="s">
        <v>1235</v>
      </c>
      <c r="U60" s="103" t="s">
        <v>1116</v>
      </c>
      <c r="V60" s="98" t="s">
        <v>1407</v>
      </c>
      <c r="W60" s="47"/>
      <c r="X60" s="18" t="s">
        <v>377</v>
      </c>
      <c r="Y60" s="68">
        <v>17</v>
      </c>
    </row>
    <row r="61" spans="2:25" s="14" customFormat="1" ht="18">
      <c r="B61" s="103" t="s">
        <v>276</v>
      </c>
      <c r="C61" s="47" t="s">
        <v>93</v>
      </c>
      <c r="D61" s="98" t="s">
        <v>598</v>
      </c>
      <c r="E61" s="103">
        <v>1</v>
      </c>
      <c r="F61" s="103" t="s">
        <v>152</v>
      </c>
      <c r="G61" s="180">
        <v>21</v>
      </c>
      <c r="H61" s="180">
        <v>13</v>
      </c>
      <c r="I61" s="102">
        <v>69</v>
      </c>
      <c r="J61" s="212" cm="1">
        <f t="array" ref="J61">_xlfn.XLOOKUP($I61,Inputs!$C$6:$C$23,Inputs!$D$6:D$23)*$G61</f>
        <v>8.07</v>
      </c>
      <c r="K61" s="217">
        <f t="shared" si="0"/>
        <v>3</v>
      </c>
      <c r="L61" s="123"/>
      <c r="M61" s="123"/>
      <c r="N61" s="123"/>
      <c r="O61" s="123"/>
      <c r="P61" s="123"/>
      <c r="Q61" s="218">
        <f>_xlfn.XLOOKUP($I61,Inputs!$G$6:$G$23,Inputs!$J$6:$J$23)*$K61</f>
        <v>36</v>
      </c>
      <c r="R61" s="218">
        <f>_xlfn.XLOOKUP($I61,Inputs!$G$6:$G$23,Inputs!$K$6:$K$23)*$K61</f>
        <v>39</v>
      </c>
      <c r="S61" s="103" t="s">
        <v>937</v>
      </c>
      <c r="T61" s="98" t="s">
        <v>1235</v>
      </c>
      <c r="U61" s="103" t="s">
        <v>620</v>
      </c>
      <c r="V61" s="98" t="s">
        <v>740</v>
      </c>
      <c r="W61" s="47"/>
      <c r="X61" s="18"/>
      <c r="Y61" s="68">
        <v>21</v>
      </c>
    </row>
    <row r="62" spans="2:25" s="14" customFormat="1" ht="18">
      <c r="B62" s="103" t="s">
        <v>236</v>
      </c>
      <c r="C62" s="47" t="s">
        <v>93</v>
      </c>
      <c r="D62" s="98" t="s">
        <v>598</v>
      </c>
      <c r="E62" s="103">
        <v>1</v>
      </c>
      <c r="F62" s="103" t="s">
        <v>152</v>
      </c>
      <c r="G62" s="180">
        <v>20</v>
      </c>
      <c r="H62" s="180">
        <v>12</v>
      </c>
      <c r="I62" s="102">
        <v>138</v>
      </c>
      <c r="J62" s="212" cm="1">
        <f t="array" ref="J62">_xlfn.XLOOKUP($I62,Inputs!$C$6:$C$23,Inputs!$D$6:D$23)*$G62</f>
        <v>8.6714285714285726</v>
      </c>
      <c r="K62" s="217">
        <f t="shared" si="0"/>
        <v>3</v>
      </c>
      <c r="L62" s="123"/>
      <c r="M62" s="123"/>
      <c r="N62" s="123"/>
      <c r="O62" s="123"/>
      <c r="P62" s="123"/>
      <c r="Q62" s="218">
        <f>_xlfn.XLOOKUP($I62,Inputs!$G$6:$G$23,Inputs!$J$6:$J$23)*$K62</f>
        <v>141</v>
      </c>
      <c r="R62" s="218">
        <f>_xlfn.XLOOKUP($I62,Inputs!$G$6:$G$23,Inputs!$K$6:$K$23)*$K62</f>
        <v>156</v>
      </c>
      <c r="S62" s="103" t="s">
        <v>1023</v>
      </c>
      <c r="T62" s="98" t="s">
        <v>1236</v>
      </c>
      <c r="U62" s="103" t="s">
        <v>1024</v>
      </c>
      <c r="V62" s="98" t="s">
        <v>1447</v>
      </c>
      <c r="W62" s="47"/>
      <c r="X62" s="18"/>
      <c r="Y62" s="68">
        <v>330</v>
      </c>
    </row>
    <row r="63" spans="2:25" s="14" customFormat="1" ht="18">
      <c r="B63" s="103" t="s">
        <v>276</v>
      </c>
      <c r="C63" s="47" t="s">
        <v>93</v>
      </c>
      <c r="D63" s="98" t="s">
        <v>598</v>
      </c>
      <c r="E63" s="103">
        <v>1</v>
      </c>
      <c r="F63" s="103" t="s">
        <v>152</v>
      </c>
      <c r="G63" s="180">
        <v>30</v>
      </c>
      <c r="H63" s="180">
        <v>19</v>
      </c>
      <c r="I63" s="102">
        <v>69</v>
      </c>
      <c r="J63" s="212" cm="1">
        <f t="array" ref="J63">_xlfn.XLOOKUP($I63,Inputs!$C$6:$C$23,Inputs!$D$6:D$23)*$G63</f>
        <v>11.528571428571428</v>
      </c>
      <c r="K63" s="217">
        <f t="shared" si="0"/>
        <v>3</v>
      </c>
      <c r="L63" s="123"/>
      <c r="M63" s="123"/>
      <c r="N63" s="123"/>
      <c r="O63" s="123"/>
      <c r="P63" s="123"/>
      <c r="Q63" s="218">
        <f>_xlfn.XLOOKUP($I63,Inputs!$G$6:$G$23,Inputs!$J$6:$J$23)*$K63</f>
        <v>36</v>
      </c>
      <c r="R63" s="218">
        <f>_xlfn.XLOOKUP($I63,Inputs!$G$6:$G$23,Inputs!$K$6:$K$23)*$K63</f>
        <v>39</v>
      </c>
      <c r="S63" s="103" t="s">
        <v>939</v>
      </c>
      <c r="T63" s="98" t="s">
        <v>1237</v>
      </c>
      <c r="U63" s="103" t="s">
        <v>940</v>
      </c>
      <c r="V63" s="98" t="s">
        <v>1343</v>
      </c>
      <c r="W63" s="47"/>
      <c r="X63" s="18"/>
      <c r="Y63" s="68">
        <v>23</v>
      </c>
    </row>
    <row r="64" spans="2:25" s="14" customFormat="1" ht="18">
      <c r="B64" s="103" t="s">
        <v>293</v>
      </c>
      <c r="C64" s="47" t="s">
        <v>93</v>
      </c>
      <c r="D64" s="98" t="s">
        <v>598</v>
      </c>
      <c r="E64" s="103">
        <v>1</v>
      </c>
      <c r="F64" s="103" t="s">
        <v>152</v>
      </c>
      <c r="G64" s="180">
        <v>72</v>
      </c>
      <c r="H64" s="180">
        <v>44</v>
      </c>
      <c r="I64" s="102">
        <v>138</v>
      </c>
      <c r="J64" s="212" cm="1">
        <f t="array" ref="J64">_xlfn.XLOOKUP($I64,Inputs!$C$6:$C$23,Inputs!$D$6:D$23)*$G64</f>
        <v>31.217142857142861</v>
      </c>
      <c r="K64" s="217">
        <f t="shared" si="0"/>
        <v>3</v>
      </c>
      <c r="L64" s="123"/>
      <c r="M64" s="123"/>
      <c r="N64" s="123"/>
      <c r="O64" s="123"/>
      <c r="P64" s="123"/>
      <c r="Q64" s="218">
        <f>_xlfn.XLOOKUP($I64,Inputs!$G$6:$G$23,Inputs!$J$6:$J$23)*$K64</f>
        <v>141</v>
      </c>
      <c r="R64" s="218">
        <f>_xlfn.XLOOKUP($I64,Inputs!$G$6:$G$23,Inputs!$K$6:$K$23)*$K64</f>
        <v>156</v>
      </c>
      <c r="S64" s="103" t="s">
        <v>279</v>
      </c>
      <c r="T64" s="98" t="s">
        <v>1378</v>
      </c>
      <c r="U64" s="103" t="s">
        <v>668</v>
      </c>
      <c r="V64" s="98" t="s">
        <v>713</v>
      </c>
      <c r="W64" s="47"/>
      <c r="X64" s="18"/>
      <c r="Y64" s="68">
        <v>260</v>
      </c>
    </row>
    <row r="65" spans="2:25" s="14" customFormat="1" ht="18">
      <c r="B65" s="103" t="s">
        <v>290</v>
      </c>
      <c r="C65" s="47" t="s">
        <v>93</v>
      </c>
      <c r="D65" s="98" t="s">
        <v>598</v>
      </c>
      <c r="E65" s="103">
        <v>1</v>
      </c>
      <c r="F65" s="103" t="s">
        <v>152</v>
      </c>
      <c r="G65" s="257">
        <v>10</v>
      </c>
      <c r="H65" s="257">
        <v>6</v>
      </c>
      <c r="I65" s="102">
        <v>138</v>
      </c>
      <c r="J65" s="212" cm="1">
        <f t="array" ref="J65">_xlfn.XLOOKUP($I65,Inputs!$C$6:$C$23,Inputs!$D$6:D$23)*$G65</f>
        <v>4.3357142857142863</v>
      </c>
      <c r="K65" s="217">
        <f t="shared" si="0"/>
        <v>3</v>
      </c>
      <c r="L65" s="123"/>
      <c r="M65" s="123"/>
      <c r="N65" s="123"/>
      <c r="O65" s="123"/>
      <c r="P65" s="123"/>
      <c r="Q65" s="218">
        <f>_xlfn.XLOOKUP($I65,Inputs!$G$6:$G$23,Inputs!$J$6:$J$23)*$K65</f>
        <v>141</v>
      </c>
      <c r="R65" s="218">
        <f>_xlfn.XLOOKUP($I65,Inputs!$G$6:$G$23,Inputs!$K$6:$K$23)*$K65</f>
        <v>156</v>
      </c>
      <c r="S65" s="103" t="s">
        <v>279</v>
      </c>
      <c r="T65" s="98" t="s">
        <v>1378</v>
      </c>
      <c r="U65" s="103" t="s">
        <v>1115</v>
      </c>
      <c r="V65" s="98" t="s">
        <v>1416</v>
      </c>
      <c r="W65" s="47"/>
      <c r="X65" s="18"/>
      <c r="Y65" s="68">
        <v>284</v>
      </c>
    </row>
    <row r="66" spans="2:25" s="14" customFormat="1" ht="18">
      <c r="B66" s="103" t="s">
        <v>296</v>
      </c>
      <c r="C66" s="47" t="s">
        <v>93</v>
      </c>
      <c r="D66" s="98" t="s">
        <v>598</v>
      </c>
      <c r="E66" s="103">
        <v>1</v>
      </c>
      <c r="F66" s="103" t="s">
        <v>152</v>
      </c>
      <c r="G66" s="180">
        <v>117</v>
      </c>
      <c r="H66" s="180">
        <v>72</v>
      </c>
      <c r="I66" s="102">
        <v>345</v>
      </c>
      <c r="J66" s="212" cm="1">
        <f t="array" ref="J66">_xlfn.XLOOKUP($I66,Inputs!$C$6:$C$23,Inputs!$D$6:D$23)*$G66</f>
        <v>51.924166666666665</v>
      </c>
      <c r="K66" s="217">
        <f t="shared" si="0"/>
        <v>2.5261263860612919</v>
      </c>
      <c r="L66" s="123"/>
      <c r="M66" s="123"/>
      <c r="N66" s="123"/>
      <c r="O66" s="123"/>
      <c r="P66" s="123"/>
      <c r="Q66" s="218">
        <f>_xlfn.XLOOKUP($I66,Inputs!$G$6:$G$23,Inputs!$J$6:$J$23)*$K66</f>
        <v>820.99107546991991</v>
      </c>
      <c r="R66" s="218">
        <f>_xlfn.XLOOKUP($I66,Inputs!$G$6:$G$23,Inputs!$K$6:$K$23)*$K66</f>
        <v>1073.6037140760491</v>
      </c>
      <c r="S66" s="103" t="s">
        <v>279</v>
      </c>
      <c r="T66" s="98" t="s">
        <v>1378</v>
      </c>
      <c r="U66" s="103" t="s">
        <v>297</v>
      </c>
      <c r="V66" s="98" t="s">
        <v>1384</v>
      </c>
      <c r="W66" s="47"/>
      <c r="X66" s="18"/>
      <c r="Y66" s="68">
        <v>392</v>
      </c>
    </row>
    <row r="67" spans="2:25" s="14" customFormat="1" ht="18">
      <c r="B67" s="103" t="s">
        <v>303</v>
      </c>
      <c r="C67" s="47" t="s">
        <v>93</v>
      </c>
      <c r="D67" s="98" t="s">
        <v>598</v>
      </c>
      <c r="E67" s="103">
        <v>1</v>
      </c>
      <c r="F67" s="103" t="s">
        <v>152</v>
      </c>
      <c r="G67" s="257">
        <v>65</v>
      </c>
      <c r="H67" s="257">
        <v>40</v>
      </c>
      <c r="I67" s="102">
        <v>138</v>
      </c>
      <c r="J67" s="212" cm="1">
        <f t="array" ref="J67">_xlfn.XLOOKUP($I67,Inputs!$C$6:$C$23,Inputs!$D$6:D$23)*$G67</f>
        <v>28.18214285714286</v>
      </c>
      <c r="K67" s="217">
        <f t="shared" si="0"/>
        <v>3</v>
      </c>
      <c r="L67" s="123"/>
      <c r="M67" s="123"/>
      <c r="N67" s="123"/>
      <c r="O67" s="123"/>
      <c r="P67" s="123"/>
      <c r="Q67" s="218">
        <f>_xlfn.XLOOKUP($I67,Inputs!$G$6:$G$23,Inputs!$J$6:$J$23)*$K67</f>
        <v>141</v>
      </c>
      <c r="R67" s="218">
        <f>_xlfn.XLOOKUP($I67,Inputs!$G$6:$G$23,Inputs!$K$6:$K$23)*$K67</f>
        <v>156</v>
      </c>
      <c r="S67" s="103" t="s">
        <v>279</v>
      </c>
      <c r="T67" s="98" t="s">
        <v>1378</v>
      </c>
      <c r="U67" s="103" t="s">
        <v>1124</v>
      </c>
      <c r="V67" s="98" t="s">
        <v>1425</v>
      </c>
      <c r="W67" s="47"/>
      <c r="X67" s="18"/>
      <c r="Y67" s="68">
        <v>371</v>
      </c>
    </row>
    <row r="68" spans="2:25" s="14" customFormat="1" ht="18">
      <c r="B68" s="103" t="s">
        <v>299</v>
      </c>
      <c r="C68" s="47" t="s">
        <v>93</v>
      </c>
      <c r="D68" s="98" t="s">
        <v>598</v>
      </c>
      <c r="E68" s="103">
        <v>1</v>
      </c>
      <c r="F68" s="103" t="s">
        <v>152</v>
      </c>
      <c r="G68" s="180">
        <v>29</v>
      </c>
      <c r="H68" s="180">
        <v>18</v>
      </c>
      <c r="I68" s="102">
        <v>345</v>
      </c>
      <c r="J68" s="212" cm="1">
        <f t="array" ref="J68">_xlfn.XLOOKUP($I68,Inputs!$C$6:$C$23,Inputs!$D$6:D$23)*$G68</f>
        <v>12.870092592592593</v>
      </c>
      <c r="K68" s="217">
        <f t="shared" ref="K68:K131" si="1">IF((42.4*(H68)^(-0.6595))&gt;=3,3,(IF(42.4*(H68)^(-0.6595)&lt;=0.5,0.5,(42.4*(H68)^(-0.6595)))))</f>
        <v>3</v>
      </c>
      <c r="L68" s="123"/>
      <c r="M68" s="123"/>
      <c r="N68" s="123"/>
      <c r="O68" s="123"/>
      <c r="P68" s="123"/>
      <c r="Q68" s="218">
        <f>_xlfn.XLOOKUP($I68,Inputs!$G$6:$G$23,Inputs!$J$6:$J$23)*$K68</f>
        <v>975</v>
      </c>
      <c r="R68" s="218">
        <f>_xlfn.XLOOKUP($I68,Inputs!$G$6:$G$23,Inputs!$K$6:$K$23)*$K68</f>
        <v>1275</v>
      </c>
      <c r="S68" s="103" t="s">
        <v>279</v>
      </c>
      <c r="T68" s="98" t="s">
        <v>1378</v>
      </c>
      <c r="U68" s="103" t="s">
        <v>300</v>
      </c>
      <c r="V68" s="98" t="s">
        <v>1387</v>
      </c>
      <c r="W68" s="47"/>
      <c r="X68" s="18"/>
      <c r="Y68" s="68">
        <v>399</v>
      </c>
    </row>
    <row r="69" spans="2:25" s="14" customFormat="1" ht="18">
      <c r="B69" s="103" t="s">
        <v>257</v>
      </c>
      <c r="C69" s="47" t="s">
        <v>93</v>
      </c>
      <c r="D69" s="98" t="s">
        <v>598</v>
      </c>
      <c r="E69" s="103">
        <v>1</v>
      </c>
      <c r="F69" s="103" t="s">
        <v>152</v>
      </c>
      <c r="G69" s="180">
        <v>6</v>
      </c>
      <c r="H69" s="180">
        <v>4</v>
      </c>
      <c r="I69" s="102">
        <v>69</v>
      </c>
      <c r="J69" s="212" cm="1">
        <f t="array" ref="J69">_xlfn.XLOOKUP($I69,Inputs!$C$6:$C$23,Inputs!$D$6:D$23)*$G69</f>
        <v>2.3057142857142856</v>
      </c>
      <c r="K69" s="217">
        <f t="shared" si="1"/>
        <v>3</v>
      </c>
      <c r="L69" s="123"/>
      <c r="M69" s="123"/>
      <c r="N69" s="123"/>
      <c r="O69" s="123"/>
      <c r="P69" s="123"/>
      <c r="Q69" s="218">
        <f>_xlfn.XLOOKUP($I69,Inputs!$G$6:$G$23,Inputs!$J$6:$J$23)*$K69</f>
        <v>36</v>
      </c>
      <c r="R69" s="218">
        <f>_xlfn.XLOOKUP($I69,Inputs!$G$6:$G$23,Inputs!$K$6:$K$23)*$K69</f>
        <v>39</v>
      </c>
      <c r="S69" s="103" t="s">
        <v>980</v>
      </c>
      <c r="T69" s="98" t="s">
        <v>1239</v>
      </c>
      <c r="U69" s="103" t="s">
        <v>1118</v>
      </c>
      <c r="V69" s="98" t="s">
        <v>1419</v>
      </c>
      <c r="W69" s="47"/>
      <c r="X69" s="18"/>
      <c r="Y69" s="68">
        <v>119</v>
      </c>
    </row>
    <row r="70" spans="2:25" s="14" customFormat="1" ht="18">
      <c r="B70" s="103" t="s">
        <v>319</v>
      </c>
      <c r="C70" s="47" t="s">
        <v>93</v>
      </c>
      <c r="D70" s="98" t="s">
        <v>598</v>
      </c>
      <c r="E70" s="103">
        <v>1</v>
      </c>
      <c r="F70" s="103" t="s">
        <v>152</v>
      </c>
      <c r="G70" s="180">
        <v>4</v>
      </c>
      <c r="H70" s="180">
        <v>2</v>
      </c>
      <c r="I70" s="102">
        <v>69</v>
      </c>
      <c r="J70" s="212" cm="1">
        <f t="array" ref="J70">_xlfn.XLOOKUP($I70,Inputs!$C$6:$C$23,Inputs!$D$6:D$23)*$G70</f>
        <v>1.5371428571428571</v>
      </c>
      <c r="K70" s="217">
        <f t="shared" si="1"/>
        <v>3</v>
      </c>
      <c r="L70" s="123"/>
      <c r="M70" s="123"/>
      <c r="N70" s="123"/>
      <c r="O70" s="123"/>
      <c r="P70" s="123"/>
      <c r="Q70" s="218">
        <f>_xlfn.XLOOKUP($I70,Inputs!$G$6:$G$23,Inputs!$J$6:$J$23)*$K70</f>
        <v>36</v>
      </c>
      <c r="R70" s="218">
        <f>_xlfn.XLOOKUP($I70,Inputs!$G$6:$G$23,Inputs!$K$6:$K$23)*$K70</f>
        <v>39</v>
      </c>
      <c r="S70" s="103" t="s">
        <v>1039</v>
      </c>
      <c r="T70" s="98" t="s">
        <v>1240</v>
      </c>
      <c r="U70" s="103" t="s">
        <v>1038</v>
      </c>
      <c r="V70" s="98" t="s">
        <v>1373</v>
      </c>
      <c r="W70" s="47"/>
      <c r="X70" s="18"/>
      <c r="Y70" s="68">
        <v>130</v>
      </c>
    </row>
    <row r="71" spans="2:25" s="14" customFormat="1" ht="18">
      <c r="B71" s="103" t="s">
        <v>284</v>
      </c>
      <c r="C71" s="47" t="s">
        <v>93</v>
      </c>
      <c r="D71" s="98" t="s">
        <v>598</v>
      </c>
      <c r="E71" s="103">
        <v>1</v>
      </c>
      <c r="F71" s="103" t="s">
        <v>152</v>
      </c>
      <c r="G71" s="257">
        <v>6</v>
      </c>
      <c r="H71" s="257">
        <v>4</v>
      </c>
      <c r="I71" s="102">
        <v>69</v>
      </c>
      <c r="J71" s="212" cm="1">
        <f t="array" ref="J71">_xlfn.XLOOKUP($I71,Inputs!$C$6:$C$23,Inputs!$D$6:D$23)*$G71</f>
        <v>2.3057142857142856</v>
      </c>
      <c r="K71" s="217">
        <f t="shared" si="1"/>
        <v>3</v>
      </c>
      <c r="L71" s="123"/>
      <c r="M71" s="123"/>
      <c r="N71" s="123"/>
      <c r="O71" s="123"/>
      <c r="P71" s="123"/>
      <c r="Q71" s="218">
        <f>_xlfn.XLOOKUP($I71,Inputs!$G$6:$G$23,Inputs!$J$6:$J$23)*$K71</f>
        <v>36</v>
      </c>
      <c r="R71" s="218">
        <f>_xlfn.XLOOKUP($I71,Inputs!$G$6:$G$23,Inputs!$K$6:$K$23)*$K71</f>
        <v>39</v>
      </c>
      <c r="S71" s="103" t="s">
        <v>1114</v>
      </c>
      <c r="T71" s="98" t="s">
        <v>1401</v>
      </c>
      <c r="U71" s="103" t="s">
        <v>617</v>
      </c>
      <c r="V71" s="98" t="s">
        <v>728</v>
      </c>
      <c r="W71" s="47"/>
      <c r="X71" s="18"/>
      <c r="Y71" s="68">
        <v>3</v>
      </c>
    </row>
    <row r="72" spans="2:25" s="14" customFormat="1" ht="18">
      <c r="B72" s="103" t="s">
        <v>291</v>
      </c>
      <c r="C72" s="47" t="s">
        <v>93</v>
      </c>
      <c r="D72" s="98" t="s">
        <v>598</v>
      </c>
      <c r="E72" s="103">
        <v>1</v>
      </c>
      <c r="F72" s="103" t="s">
        <v>152</v>
      </c>
      <c r="G72" s="180">
        <v>1</v>
      </c>
      <c r="H72" s="180">
        <v>1</v>
      </c>
      <c r="I72" s="102">
        <v>69</v>
      </c>
      <c r="J72" s="212" cm="1">
        <f t="array" ref="J72">_xlfn.XLOOKUP($I72,Inputs!$C$6:$C$23,Inputs!$D$6:D$23)*$G72</f>
        <v>0.38428571428571429</v>
      </c>
      <c r="K72" s="217">
        <f t="shared" si="1"/>
        <v>3</v>
      </c>
      <c r="L72" s="123"/>
      <c r="M72" s="123"/>
      <c r="N72" s="123"/>
      <c r="O72" s="123"/>
      <c r="P72" s="123"/>
      <c r="Q72" s="218">
        <f>_xlfn.XLOOKUP($I72,Inputs!$G$6:$G$23,Inputs!$J$6:$J$23)*$K72</f>
        <v>36</v>
      </c>
      <c r="R72" s="218">
        <f>_xlfn.XLOOKUP($I72,Inputs!$G$6:$G$23,Inputs!$K$6:$K$23)*$K72</f>
        <v>39</v>
      </c>
      <c r="S72" s="103" t="s">
        <v>994</v>
      </c>
      <c r="T72" s="98" t="s">
        <v>1243</v>
      </c>
      <c r="U72" s="103" t="s">
        <v>995</v>
      </c>
      <c r="V72" s="98" t="s">
        <v>1365</v>
      </c>
      <c r="W72" s="47"/>
      <c r="X72" s="18"/>
      <c r="Y72" s="68">
        <v>156</v>
      </c>
    </row>
    <row r="73" spans="2:25" s="14" customFormat="1" ht="18">
      <c r="B73" s="103" t="s">
        <v>196</v>
      </c>
      <c r="C73" s="47" t="s">
        <v>93</v>
      </c>
      <c r="D73" s="98" t="s">
        <v>598</v>
      </c>
      <c r="E73" s="103">
        <v>1</v>
      </c>
      <c r="F73" s="103" t="s">
        <v>152</v>
      </c>
      <c r="G73" s="257">
        <v>3</v>
      </c>
      <c r="H73" s="257">
        <v>2</v>
      </c>
      <c r="I73" s="102">
        <v>69</v>
      </c>
      <c r="J73" s="212" cm="1">
        <f t="array" ref="J73">_xlfn.XLOOKUP($I73,Inputs!$C$6:$C$23,Inputs!$D$6:D$23)*$G73</f>
        <v>1.1528571428571428</v>
      </c>
      <c r="K73" s="217">
        <f t="shared" si="1"/>
        <v>3</v>
      </c>
      <c r="L73" s="123"/>
      <c r="M73" s="123"/>
      <c r="N73" s="123"/>
      <c r="O73" s="123"/>
      <c r="P73" s="123"/>
      <c r="Q73" s="218">
        <f>_xlfn.XLOOKUP($I73,Inputs!$G$6:$G$23,Inputs!$J$6:$J$23)*$K73</f>
        <v>36</v>
      </c>
      <c r="R73" s="218">
        <f>_xlfn.XLOOKUP($I73,Inputs!$G$6:$G$23,Inputs!$K$6:$K$23)*$K73</f>
        <v>39</v>
      </c>
      <c r="S73" s="103" t="s">
        <v>973</v>
      </c>
      <c r="T73" s="98" t="s">
        <v>1245</v>
      </c>
      <c r="U73" s="103" t="s">
        <v>656</v>
      </c>
      <c r="V73" s="98" t="s">
        <v>731</v>
      </c>
      <c r="W73" s="47"/>
      <c r="X73" s="18"/>
      <c r="Y73" s="68">
        <v>164</v>
      </c>
    </row>
    <row r="74" spans="2:25" s="14" customFormat="1" ht="18">
      <c r="B74" s="103" t="s">
        <v>198</v>
      </c>
      <c r="C74" s="47" t="s">
        <v>93</v>
      </c>
      <c r="D74" s="98" t="s">
        <v>598</v>
      </c>
      <c r="E74" s="103">
        <v>1</v>
      </c>
      <c r="F74" s="103" t="s">
        <v>152</v>
      </c>
      <c r="G74" s="180">
        <v>20</v>
      </c>
      <c r="H74" s="180">
        <v>12</v>
      </c>
      <c r="I74" s="102">
        <v>69</v>
      </c>
      <c r="J74" s="212" cm="1">
        <f t="array" ref="J74">_xlfn.XLOOKUP($I74,Inputs!$C$6:$C$23,Inputs!$D$6:D$23)*$G74</f>
        <v>7.6857142857142859</v>
      </c>
      <c r="K74" s="217">
        <f t="shared" si="1"/>
        <v>3</v>
      </c>
      <c r="L74" s="123"/>
      <c r="M74" s="123"/>
      <c r="N74" s="123"/>
      <c r="O74" s="123"/>
      <c r="P74" s="123"/>
      <c r="Q74" s="218">
        <f>_xlfn.XLOOKUP($I74,Inputs!$G$6:$G$23,Inputs!$J$6:$J$23)*$K74</f>
        <v>36</v>
      </c>
      <c r="R74" s="218">
        <f>_xlfn.XLOOKUP($I74,Inputs!$G$6:$G$23,Inputs!$K$6:$K$23)*$K74</f>
        <v>39</v>
      </c>
      <c r="S74" s="103" t="s">
        <v>973</v>
      </c>
      <c r="T74" s="98" t="s">
        <v>1245</v>
      </c>
      <c r="U74" s="103" t="s">
        <v>640</v>
      </c>
      <c r="V74" s="98" t="s">
        <v>707</v>
      </c>
      <c r="W74" s="148"/>
      <c r="X74" s="47"/>
      <c r="Y74" s="68">
        <v>101</v>
      </c>
    </row>
    <row r="75" spans="2:25" s="14" customFormat="1" ht="18">
      <c r="B75" s="103" t="s">
        <v>308</v>
      </c>
      <c r="C75" s="47" t="s">
        <v>93</v>
      </c>
      <c r="D75" s="98" t="s">
        <v>598</v>
      </c>
      <c r="E75" s="103">
        <v>1</v>
      </c>
      <c r="F75" s="103" t="s">
        <v>152</v>
      </c>
      <c r="G75" s="180">
        <v>11</v>
      </c>
      <c r="H75" s="180">
        <v>7</v>
      </c>
      <c r="I75" s="102">
        <v>69</v>
      </c>
      <c r="J75" s="212" cm="1">
        <f t="array" ref="J75">_xlfn.XLOOKUP($I75,Inputs!$C$6:$C$23,Inputs!$D$6:D$23)*$G75</f>
        <v>4.2271428571428569</v>
      </c>
      <c r="K75" s="217">
        <f t="shared" si="1"/>
        <v>3</v>
      </c>
      <c r="L75" s="123"/>
      <c r="M75" s="123"/>
      <c r="N75" s="123"/>
      <c r="O75" s="123"/>
      <c r="P75" s="123"/>
      <c r="Q75" s="218">
        <f>_xlfn.XLOOKUP($I75,Inputs!$G$6:$G$23,Inputs!$J$6:$J$23)*$K75</f>
        <v>36</v>
      </c>
      <c r="R75" s="218">
        <f>_xlfn.XLOOKUP($I75,Inputs!$G$6:$G$23,Inputs!$K$6:$K$23)*$K75</f>
        <v>39</v>
      </c>
      <c r="S75" s="103" t="s">
        <v>989</v>
      </c>
      <c r="T75" s="98" t="s">
        <v>1246</v>
      </c>
      <c r="U75" s="103" t="s">
        <v>990</v>
      </c>
      <c r="V75" s="98" t="s">
        <v>1222</v>
      </c>
      <c r="W75" s="47"/>
      <c r="X75" s="18"/>
      <c r="Y75" s="68">
        <v>147</v>
      </c>
    </row>
    <row r="76" spans="2:25" s="14" customFormat="1" ht="18">
      <c r="B76" s="103" t="s">
        <v>283</v>
      </c>
      <c r="C76" s="47" t="s">
        <v>93</v>
      </c>
      <c r="D76" s="98" t="s">
        <v>598</v>
      </c>
      <c r="E76" s="103">
        <v>1</v>
      </c>
      <c r="F76" s="103" t="s">
        <v>152</v>
      </c>
      <c r="G76" s="180">
        <v>11</v>
      </c>
      <c r="H76" s="180">
        <v>7</v>
      </c>
      <c r="I76" s="102">
        <v>69</v>
      </c>
      <c r="J76" s="212" cm="1">
        <f t="array" ref="J76">_xlfn.XLOOKUP($I76,Inputs!$C$6:$C$23,Inputs!$D$6:D$23)*$G76</f>
        <v>4.2271428571428569</v>
      </c>
      <c r="K76" s="217">
        <f t="shared" si="1"/>
        <v>3</v>
      </c>
      <c r="L76" s="123"/>
      <c r="M76" s="123"/>
      <c r="N76" s="123"/>
      <c r="O76" s="123"/>
      <c r="P76" s="123"/>
      <c r="Q76" s="218">
        <f>_xlfn.XLOOKUP($I76,Inputs!$G$6:$G$23,Inputs!$J$6:$J$23)*$K76</f>
        <v>36</v>
      </c>
      <c r="R76" s="218">
        <f>_xlfn.XLOOKUP($I76,Inputs!$G$6:$G$23,Inputs!$K$6:$K$23)*$K76</f>
        <v>39</v>
      </c>
      <c r="S76" s="103" t="s">
        <v>986</v>
      </c>
      <c r="T76" s="98" t="s">
        <v>1249</v>
      </c>
      <c r="U76" s="103" t="s">
        <v>987</v>
      </c>
      <c r="V76" s="98" t="s">
        <v>1305</v>
      </c>
      <c r="W76" s="47"/>
      <c r="X76" s="18"/>
      <c r="Y76" s="68">
        <v>139</v>
      </c>
    </row>
    <row r="77" spans="2:25" s="14" customFormat="1" ht="18">
      <c r="B77" s="103" t="s">
        <v>341</v>
      </c>
      <c r="C77" s="47" t="s">
        <v>93</v>
      </c>
      <c r="D77" s="98" t="s">
        <v>598</v>
      </c>
      <c r="E77" s="103">
        <v>1</v>
      </c>
      <c r="F77" s="103" t="s">
        <v>152</v>
      </c>
      <c r="G77" s="180">
        <v>10</v>
      </c>
      <c r="H77" s="180">
        <v>6</v>
      </c>
      <c r="I77" s="102">
        <v>69</v>
      </c>
      <c r="J77" s="212" cm="1">
        <f t="array" ref="J77">_xlfn.XLOOKUP($I77,Inputs!$C$6:$C$23,Inputs!$D$6:D$23)*$G77</f>
        <v>3.842857142857143</v>
      </c>
      <c r="K77" s="217">
        <f t="shared" si="1"/>
        <v>3</v>
      </c>
      <c r="L77" s="123"/>
      <c r="M77" s="123"/>
      <c r="N77" s="123"/>
      <c r="O77" s="123"/>
      <c r="P77" s="123"/>
      <c r="Q77" s="218">
        <f>_xlfn.XLOOKUP($I77,Inputs!$G$6:$G$23,Inputs!$J$6:$J$23)*$K77</f>
        <v>36</v>
      </c>
      <c r="R77" s="218">
        <f>_xlfn.XLOOKUP($I77,Inputs!$G$6:$G$23,Inputs!$K$6:$K$23)*$K77</f>
        <v>39</v>
      </c>
      <c r="S77" s="103" t="s">
        <v>1402</v>
      </c>
      <c r="T77" s="98" t="s">
        <v>1403</v>
      </c>
      <c r="U77" s="103" t="s">
        <v>1006</v>
      </c>
      <c r="V77" s="98" t="s">
        <v>1218</v>
      </c>
      <c r="W77" s="47"/>
      <c r="X77" s="18"/>
      <c r="Y77" s="68">
        <v>190</v>
      </c>
    </row>
    <row r="78" spans="2:25" s="14" customFormat="1" ht="18">
      <c r="B78" s="103" t="s">
        <v>342</v>
      </c>
      <c r="C78" s="47" t="s">
        <v>93</v>
      </c>
      <c r="D78" s="98" t="s">
        <v>598</v>
      </c>
      <c r="E78" s="103">
        <v>1</v>
      </c>
      <c r="F78" s="103" t="s">
        <v>152</v>
      </c>
      <c r="G78" s="180">
        <v>12</v>
      </c>
      <c r="H78" s="180">
        <v>7</v>
      </c>
      <c r="I78" s="102">
        <v>69</v>
      </c>
      <c r="J78" s="212" cm="1">
        <f t="array" ref="J78">_xlfn.XLOOKUP($I78,Inputs!$C$6:$C$23,Inputs!$D$6:D$23)*$G78</f>
        <v>4.6114285714285712</v>
      </c>
      <c r="K78" s="217">
        <f t="shared" si="1"/>
        <v>3</v>
      </c>
      <c r="L78" s="123"/>
      <c r="M78" s="123"/>
      <c r="N78" s="123"/>
      <c r="O78" s="123"/>
      <c r="P78" s="123"/>
      <c r="Q78" s="218">
        <f>_xlfn.XLOOKUP($I78,Inputs!$G$6:$G$23,Inputs!$J$6:$J$23)*$K78</f>
        <v>36</v>
      </c>
      <c r="R78" s="218">
        <f>_xlfn.XLOOKUP($I78,Inputs!$G$6:$G$23,Inputs!$K$6:$K$23)*$K78</f>
        <v>39</v>
      </c>
      <c r="S78" s="103" t="s">
        <v>1402</v>
      </c>
      <c r="T78" s="98" t="s">
        <v>1403</v>
      </c>
      <c r="U78" s="103" t="s">
        <v>1005</v>
      </c>
      <c r="V78" s="98" t="s">
        <v>1332</v>
      </c>
      <c r="W78" s="47"/>
      <c r="X78" s="18"/>
      <c r="Y78" s="68">
        <v>187</v>
      </c>
    </row>
    <row r="79" spans="2:25" s="14" customFormat="1" ht="18">
      <c r="B79" s="103" t="s">
        <v>344</v>
      </c>
      <c r="C79" s="47" t="s">
        <v>93</v>
      </c>
      <c r="D79" s="98" t="s">
        <v>598</v>
      </c>
      <c r="E79" s="103">
        <v>1</v>
      </c>
      <c r="F79" s="103" t="s">
        <v>152</v>
      </c>
      <c r="G79" s="180">
        <v>0.3</v>
      </c>
      <c r="H79" s="180">
        <v>0.2</v>
      </c>
      <c r="I79" s="102">
        <v>69</v>
      </c>
      <c r="J79" s="212" cm="1">
        <f t="array" ref="J79">_xlfn.XLOOKUP($I79,Inputs!$C$6:$C$23,Inputs!$D$6:D$23)*$G79</f>
        <v>0.11528571428571428</v>
      </c>
      <c r="K79" s="217">
        <f t="shared" si="1"/>
        <v>3</v>
      </c>
      <c r="L79" s="123"/>
      <c r="M79" s="123"/>
      <c r="N79" s="123"/>
      <c r="O79" s="123"/>
      <c r="P79" s="123"/>
      <c r="Q79" s="218">
        <f>_xlfn.XLOOKUP($I79,Inputs!$G$6:$G$23,Inputs!$J$6:$J$23)*$K79</f>
        <v>36</v>
      </c>
      <c r="R79" s="218">
        <f>_xlfn.XLOOKUP($I79,Inputs!$G$6:$G$23,Inputs!$K$6:$K$23)*$K79</f>
        <v>39</v>
      </c>
      <c r="S79" s="103" t="s">
        <v>1402</v>
      </c>
      <c r="T79" s="98" t="s">
        <v>1403</v>
      </c>
      <c r="U79" s="103" t="s">
        <v>1027</v>
      </c>
      <c r="V79" s="98" t="s">
        <v>1366</v>
      </c>
      <c r="W79" s="47"/>
      <c r="X79" s="18"/>
      <c r="Y79" s="68">
        <v>121</v>
      </c>
    </row>
    <row r="80" spans="2:25" s="14" customFormat="1" ht="18">
      <c r="B80" s="103" t="s">
        <v>257</v>
      </c>
      <c r="C80" s="47" t="s">
        <v>93</v>
      </c>
      <c r="D80" s="98" t="s">
        <v>598</v>
      </c>
      <c r="E80" s="103">
        <v>1</v>
      </c>
      <c r="F80" s="103" t="s">
        <v>152</v>
      </c>
      <c r="G80" s="180">
        <v>3</v>
      </c>
      <c r="H80" s="180">
        <v>2</v>
      </c>
      <c r="I80" s="102">
        <v>69</v>
      </c>
      <c r="J80" s="212" cm="1">
        <f t="array" ref="J80">_xlfn.XLOOKUP($I80,Inputs!$C$6:$C$23,Inputs!$D$6:D$23)*$G80</f>
        <v>1.1528571428571428</v>
      </c>
      <c r="K80" s="217">
        <f t="shared" si="1"/>
        <v>3</v>
      </c>
      <c r="L80" s="123"/>
      <c r="M80" s="123"/>
      <c r="N80" s="123"/>
      <c r="O80" s="123"/>
      <c r="P80" s="123"/>
      <c r="Q80" s="218">
        <f>_xlfn.XLOOKUP($I80,Inputs!$G$6:$G$23,Inputs!$J$6:$J$23)*$K80</f>
        <v>36</v>
      </c>
      <c r="R80" s="218">
        <f>_xlfn.XLOOKUP($I80,Inputs!$G$6:$G$23,Inputs!$K$6:$K$23)*$K80</f>
        <v>39</v>
      </c>
      <c r="S80" s="103" t="s">
        <v>979</v>
      </c>
      <c r="T80" s="98" t="s">
        <v>1254</v>
      </c>
      <c r="U80" s="103" t="s">
        <v>648</v>
      </c>
      <c r="V80" s="98" t="s">
        <v>753</v>
      </c>
      <c r="W80" s="47"/>
      <c r="X80" s="18"/>
      <c r="Y80" s="68">
        <v>117</v>
      </c>
    </row>
    <row r="81" spans="2:25" s="14" customFormat="1" ht="18">
      <c r="B81" s="103" t="s">
        <v>233</v>
      </c>
      <c r="C81" s="47" t="s">
        <v>93</v>
      </c>
      <c r="D81" s="98" t="s">
        <v>598</v>
      </c>
      <c r="E81" s="103">
        <v>1</v>
      </c>
      <c r="F81" s="103" t="s">
        <v>152</v>
      </c>
      <c r="G81" s="257">
        <v>6</v>
      </c>
      <c r="H81" s="257">
        <v>4</v>
      </c>
      <c r="I81" s="102">
        <v>69</v>
      </c>
      <c r="J81" s="212" cm="1">
        <f t="array" ref="J81">_xlfn.XLOOKUP($I81,Inputs!$C$6:$C$23,Inputs!$D$6:D$23)*$G81</f>
        <v>2.3057142857142856</v>
      </c>
      <c r="K81" s="217">
        <f t="shared" si="1"/>
        <v>3</v>
      </c>
      <c r="L81" s="123"/>
      <c r="M81" s="123"/>
      <c r="N81" s="123"/>
      <c r="O81" s="123"/>
      <c r="P81" s="123"/>
      <c r="Q81" s="218">
        <f>_xlfn.XLOOKUP($I81,Inputs!$G$6:$G$23,Inputs!$J$6:$J$23)*$K81</f>
        <v>36</v>
      </c>
      <c r="R81" s="218">
        <f>_xlfn.XLOOKUP($I81,Inputs!$G$6:$G$23,Inputs!$K$6:$K$23)*$K81</f>
        <v>39</v>
      </c>
      <c r="S81" s="103" t="s">
        <v>945</v>
      </c>
      <c r="T81" s="98" t="s">
        <v>1255</v>
      </c>
      <c r="U81" s="103" t="s">
        <v>616</v>
      </c>
      <c r="V81" s="98" t="s">
        <v>750</v>
      </c>
      <c r="W81" s="47"/>
      <c r="X81" s="18"/>
      <c r="Y81" s="68">
        <v>34</v>
      </c>
    </row>
    <row r="82" spans="2:25" s="14" customFormat="1" ht="18">
      <c r="B82" s="103" t="s">
        <v>176</v>
      </c>
      <c r="C82" s="47" t="s">
        <v>93</v>
      </c>
      <c r="D82" s="98" t="s">
        <v>598</v>
      </c>
      <c r="E82" s="103">
        <v>1</v>
      </c>
      <c r="F82" s="103" t="s">
        <v>152</v>
      </c>
      <c r="G82" s="180">
        <v>15</v>
      </c>
      <c r="H82" s="180">
        <v>9</v>
      </c>
      <c r="I82" s="102">
        <v>69</v>
      </c>
      <c r="J82" s="212" cm="1">
        <f t="array" ref="J82">_xlfn.XLOOKUP($I82,Inputs!$C$6:$C$23,Inputs!$D$6:D$23)*$G82</f>
        <v>5.7642857142857142</v>
      </c>
      <c r="K82" s="217">
        <f t="shared" si="1"/>
        <v>3</v>
      </c>
      <c r="L82" s="123"/>
      <c r="M82" s="123"/>
      <c r="N82" s="123"/>
      <c r="O82" s="123"/>
      <c r="P82" s="123"/>
      <c r="Q82" s="218">
        <f>_xlfn.XLOOKUP($I82,Inputs!$G$6:$G$23,Inputs!$J$6:$J$23)*$K82</f>
        <v>36</v>
      </c>
      <c r="R82" s="218">
        <f>_xlfn.XLOOKUP($I82,Inputs!$G$6:$G$23,Inputs!$K$6:$K$23)*$K82</f>
        <v>39</v>
      </c>
      <c r="S82" s="103" t="s">
        <v>1003</v>
      </c>
      <c r="T82" s="98" t="s">
        <v>1257</v>
      </c>
      <c r="U82" s="103" t="s">
        <v>667</v>
      </c>
      <c r="V82" s="98" t="s">
        <v>747</v>
      </c>
      <c r="W82" s="47"/>
      <c r="X82" s="18"/>
      <c r="Y82" s="68">
        <v>180</v>
      </c>
    </row>
    <row r="83" spans="2:25" s="14" customFormat="1" ht="18">
      <c r="B83" s="103" t="s">
        <v>154</v>
      </c>
      <c r="C83" s="47" t="s">
        <v>157</v>
      </c>
      <c r="D83" s="98" t="s">
        <v>598</v>
      </c>
      <c r="E83" s="103">
        <v>1</v>
      </c>
      <c r="F83" s="103" t="s">
        <v>156</v>
      </c>
      <c r="G83" s="180">
        <v>25</v>
      </c>
      <c r="H83" s="180">
        <v>15</v>
      </c>
      <c r="I83" s="102">
        <v>345</v>
      </c>
      <c r="J83" s="212" cm="1">
        <f t="array" ref="J83">_xlfn.XLOOKUP($I83,Inputs!$C$6:$C$23,Inputs!$D$6:D$23)*$G83</f>
        <v>11.094907407407408</v>
      </c>
      <c r="K83" s="217">
        <f t="shared" si="1"/>
        <v>3</v>
      </c>
      <c r="L83" s="123"/>
      <c r="M83" s="123"/>
      <c r="N83" s="123"/>
      <c r="O83" s="123"/>
      <c r="P83" s="123"/>
      <c r="Q83" s="218">
        <f>_xlfn.XLOOKUP($I83,Inputs!$G$6:$G$23,Inputs!$J$6:$J$23)*$K83</f>
        <v>975</v>
      </c>
      <c r="R83" s="218">
        <f>_xlfn.XLOOKUP($I83,Inputs!$G$6:$G$23,Inputs!$K$6:$K$23)*$K83</f>
        <v>1275</v>
      </c>
      <c r="S83" s="103" t="s">
        <v>1130</v>
      </c>
      <c r="T83" s="98" t="s">
        <v>1404</v>
      </c>
      <c r="U83" s="103" t="s">
        <v>1498</v>
      </c>
      <c r="V83" s="98" t="s">
        <v>767</v>
      </c>
      <c r="W83" s="47"/>
      <c r="X83" s="18"/>
      <c r="Y83" s="68">
        <v>410</v>
      </c>
    </row>
    <row r="84" spans="2:25" s="14" customFormat="1" ht="18">
      <c r="B84" s="103" t="s">
        <v>153</v>
      </c>
      <c r="C84" s="47" t="s">
        <v>157</v>
      </c>
      <c r="D84" s="98" t="s">
        <v>598</v>
      </c>
      <c r="E84" s="103">
        <v>1</v>
      </c>
      <c r="F84" s="103" t="s">
        <v>156</v>
      </c>
      <c r="G84" s="180">
        <v>25</v>
      </c>
      <c r="H84" s="180">
        <v>15</v>
      </c>
      <c r="I84" s="102">
        <v>345</v>
      </c>
      <c r="J84" s="212" cm="1">
        <f t="array" ref="J84">_xlfn.XLOOKUP($I84,Inputs!$C$6:$C$23,Inputs!$D$6:D$23)*$G84</f>
        <v>11.094907407407408</v>
      </c>
      <c r="K84" s="217">
        <f t="shared" si="1"/>
        <v>3</v>
      </c>
      <c r="L84" s="123"/>
      <c r="M84" s="123"/>
      <c r="N84" s="123"/>
      <c r="O84" s="123"/>
      <c r="P84" s="123"/>
      <c r="Q84" s="218">
        <f>_xlfn.XLOOKUP($I84,Inputs!$G$6:$G$23,Inputs!$J$6:$J$23)*$K84</f>
        <v>975</v>
      </c>
      <c r="R84" s="218">
        <f>_xlfn.XLOOKUP($I84,Inputs!$G$6:$G$23,Inputs!$K$6:$K$23)*$K84</f>
        <v>1275</v>
      </c>
      <c r="S84" s="103" t="s">
        <v>1130</v>
      </c>
      <c r="T84" s="98" t="s">
        <v>1404</v>
      </c>
      <c r="U84" s="103" t="s">
        <v>1498</v>
      </c>
      <c r="V84" s="98" t="s">
        <v>767</v>
      </c>
      <c r="W84" s="47"/>
      <c r="X84" s="18"/>
      <c r="Y84" s="68">
        <v>411</v>
      </c>
    </row>
    <row r="85" spans="2:25" s="14" customFormat="1" ht="18">
      <c r="B85" s="103" t="s">
        <v>207</v>
      </c>
      <c r="C85" s="47" t="s">
        <v>93</v>
      </c>
      <c r="D85" s="98" t="s">
        <v>598</v>
      </c>
      <c r="E85" s="103">
        <v>1</v>
      </c>
      <c r="F85" s="103" t="s">
        <v>152</v>
      </c>
      <c r="G85" s="180">
        <v>86</v>
      </c>
      <c r="H85" s="180">
        <v>53</v>
      </c>
      <c r="I85" s="102">
        <v>230</v>
      </c>
      <c r="J85" s="212" cm="1">
        <f t="array" ref="J85">_xlfn.XLOOKUP($I85,Inputs!$C$6:$C$23,Inputs!$D$6:D$23)*$G85</f>
        <v>41.28</v>
      </c>
      <c r="K85" s="217">
        <f t="shared" si="1"/>
        <v>3</v>
      </c>
      <c r="L85" s="123"/>
      <c r="M85" s="123"/>
      <c r="N85" s="123"/>
      <c r="O85" s="123"/>
      <c r="P85" s="123"/>
      <c r="Q85" s="218">
        <f>_xlfn.XLOOKUP($I85,Inputs!$G$6:$G$23,Inputs!$J$6:$J$23)*$K85</f>
        <v>402</v>
      </c>
      <c r="R85" s="218">
        <f>_xlfn.XLOOKUP($I85,Inputs!$G$6:$G$23,Inputs!$K$6:$K$23)*$K85</f>
        <v>435</v>
      </c>
      <c r="S85" s="103" t="s">
        <v>1125</v>
      </c>
      <c r="T85" s="98" t="s">
        <v>1405</v>
      </c>
      <c r="U85" s="103" t="s">
        <v>1396</v>
      </c>
      <c r="V85" s="98" t="s">
        <v>1206</v>
      </c>
      <c r="W85" s="47"/>
      <c r="X85" s="18"/>
      <c r="Y85" s="68">
        <v>385</v>
      </c>
    </row>
    <row r="86" spans="2:25" s="14" customFormat="1" ht="18">
      <c r="B86" s="103" t="s">
        <v>208</v>
      </c>
      <c r="C86" s="47" t="s">
        <v>93</v>
      </c>
      <c r="D86" s="98" t="s">
        <v>598</v>
      </c>
      <c r="E86" s="103">
        <v>1</v>
      </c>
      <c r="F86" s="103" t="s">
        <v>152</v>
      </c>
      <c r="G86" s="180">
        <v>47</v>
      </c>
      <c r="H86" s="180">
        <v>29</v>
      </c>
      <c r="I86" s="102">
        <v>345</v>
      </c>
      <c r="J86" s="212" cm="1">
        <f t="array" ref="J86">_xlfn.XLOOKUP($I86,Inputs!$C$6:$C$23,Inputs!$D$6:D$23)*$G86</f>
        <v>20.858425925925925</v>
      </c>
      <c r="K86" s="217">
        <f t="shared" si="1"/>
        <v>3</v>
      </c>
      <c r="L86" s="123"/>
      <c r="M86" s="123"/>
      <c r="N86" s="123"/>
      <c r="O86" s="123"/>
      <c r="P86" s="123"/>
      <c r="Q86" s="218">
        <f>_xlfn.XLOOKUP($I86,Inputs!$G$6:$G$23,Inputs!$J$6:$J$23)*$K86</f>
        <v>975</v>
      </c>
      <c r="R86" s="218">
        <f>_xlfn.XLOOKUP($I86,Inputs!$G$6:$G$23,Inputs!$K$6:$K$23)*$K86</f>
        <v>1275</v>
      </c>
      <c r="S86" s="103" t="s">
        <v>1125</v>
      </c>
      <c r="T86" s="98" t="s">
        <v>1405</v>
      </c>
      <c r="U86" s="103" t="s">
        <v>1133</v>
      </c>
      <c r="V86" s="98" t="s">
        <v>1430</v>
      </c>
      <c r="W86" s="47"/>
      <c r="X86" s="18"/>
      <c r="Y86" s="68">
        <v>398</v>
      </c>
    </row>
    <row r="87" spans="2:25" s="14" customFormat="1" ht="18">
      <c r="B87" s="103" t="s">
        <v>198</v>
      </c>
      <c r="C87" s="47" t="s">
        <v>93</v>
      </c>
      <c r="D87" s="98" t="s">
        <v>598</v>
      </c>
      <c r="E87" s="103">
        <v>1</v>
      </c>
      <c r="F87" s="103" t="s">
        <v>152</v>
      </c>
      <c r="G87" s="180">
        <v>5</v>
      </c>
      <c r="H87" s="180">
        <v>3</v>
      </c>
      <c r="I87" s="102">
        <v>69</v>
      </c>
      <c r="J87" s="212" cm="1">
        <f t="array" ref="J87">_xlfn.XLOOKUP($I87,Inputs!$C$6:$C$23,Inputs!$D$6:D$23)*$G87</f>
        <v>1.9214285714285715</v>
      </c>
      <c r="K87" s="217">
        <f t="shared" si="1"/>
        <v>3</v>
      </c>
      <c r="L87" s="123"/>
      <c r="M87" s="123"/>
      <c r="N87" s="123"/>
      <c r="O87" s="123"/>
      <c r="P87" s="123"/>
      <c r="Q87" s="218">
        <f>_xlfn.XLOOKUP($I87,Inputs!$G$6:$G$23,Inputs!$J$6:$J$23)*$K87</f>
        <v>36</v>
      </c>
      <c r="R87" s="218">
        <f>_xlfn.XLOOKUP($I87,Inputs!$G$6:$G$23,Inputs!$K$6:$K$23)*$K87</f>
        <v>39</v>
      </c>
      <c r="S87" s="103" t="s">
        <v>1125</v>
      </c>
      <c r="T87" s="98" t="s">
        <v>1405</v>
      </c>
      <c r="U87" s="103" t="s">
        <v>973</v>
      </c>
      <c r="V87" s="98" t="s">
        <v>1245</v>
      </c>
      <c r="W87" s="47"/>
      <c r="X87" s="18"/>
      <c r="Y87" s="68">
        <v>100</v>
      </c>
    </row>
    <row r="88" spans="2:25" s="14" customFormat="1" ht="18">
      <c r="B88" s="103" t="s">
        <v>196</v>
      </c>
      <c r="C88" s="47" t="s">
        <v>93</v>
      </c>
      <c r="D88" s="98" t="s">
        <v>598</v>
      </c>
      <c r="E88" s="103">
        <v>1</v>
      </c>
      <c r="F88" s="103" t="s">
        <v>152</v>
      </c>
      <c r="G88" s="257">
        <v>5</v>
      </c>
      <c r="H88" s="257">
        <v>3</v>
      </c>
      <c r="I88" s="102">
        <v>69</v>
      </c>
      <c r="J88" s="212" cm="1">
        <f t="array" ref="J88">_xlfn.XLOOKUP($I88,Inputs!$C$6:$C$23,Inputs!$D$6:D$23)*$G88</f>
        <v>1.9214285714285715</v>
      </c>
      <c r="K88" s="217">
        <f t="shared" si="1"/>
        <v>3</v>
      </c>
      <c r="L88" s="123"/>
      <c r="M88" s="123"/>
      <c r="N88" s="123"/>
      <c r="O88" s="123"/>
      <c r="P88" s="123"/>
      <c r="Q88" s="218">
        <f>_xlfn.XLOOKUP($I88,Inputs!$G$6:$G$23,Inputs!$J$6:$J$23)*$K88</f>
        <v>36</v>
      </c>
      <c r="R88" s="218">
        <f>_xlfn.XLOOKUP($I88,Inputs!$G$6:$G$23,Inputs!$K$6:$K$23)*$K88</f>
        <v>39</v>
      </c>
      <c r="S88" s="103" t="s">
        <v>1125</v>
      </c>
      <c r="T88" s="98" t="s">
        <v>1405</v>
      </c>
      <c r="U88" s="103" t="s">
        <v>973</v>
      </c>
      <c r="V88" s="98" t="s">
        <v>1245</v>
      </c>
      <c r="W88" s="47"/>
      <c r="X88" s="18"/>
      <c r="Y88" s="68">
        <v>163</v>
      </c>
    </row>
    <row r="89" spans="2:25" s="14" customFormat="1" ht="18">
      <c r="B89" s="103" t="s">
        <v>158</v>
      </c>
      <c r="C89" s="47" t="s">
        <v>157</v>
      </c>
      <c r="D89" s="98" t="s">
        <v>598</v>
      </c>
      <c r="E89" s="103">
        <v>1</v>
      </c>
      <c r="F89" s="103" t="s">
        <v>156</v>
      </c>
      <c r="G89" s="180">
        <v>38</v>
      </c>
      <c r="H89" s="180">
        <v>23</v>
      </c>
      <c r="I89" s="102">
        <v>230</v>
      </c>
      <c r="J89" s="212" cm="1">
        <f t="array" ref="J89">_xlfn.XLOOKUP($I89,Inputs!$C$6:$C$23,Inputs!$D$6:D$23)*$G89</f>
        <v>18.239999999999998</v>
      </c>
      <c r="K89" s="217">
        <f t="shared" si="1"/>
        <v>3</v>
      </c>
      <c r="L89" s="123"/>
      <c r="M89" s="123"/>
      <c r="N89" s="123"/>
      <c r="O89" s="123"/>
      <c r="P89" s="123"/>
      <c r="Q89" s="218">
        <f>_xlfn.XLOOKUP($I89,Inputs!$G$6:$G$23,Inputs!$J$6:$J$23)*$K89</f>
        <v>402</v>
      </c>
      <c r="R89" s="218">
        <f>_xlfn.XLOOKUP($I89,Inputs!$G$6:$G$23,Inputs!$K$6:$K$23)*$K89</f>
        <v>435</v>
      </c>
      <c r="S89" s="103" t="s">
        <v>1125</v>
      </c>
      <c r="T89" s="98" t="s">
        <v>1405</v>
      </c>
      <c r="U89" s="103" t="s">
        <v>1499</v>
      </c>
      <c r="V89" s="98" t="s">
        <v>768</v>
      </c>
      <c r="W89" s="47"/>
      <c r="X89" s="18"/>
      <c r="Y89" s="68">
        <v>383</v>
      </c>
    </row>
    <row r="90" spans="2:25" s="14" customFormat="1" ht="18">
      <c r="B90" s="103" t="s">
        <v>159</v>
      </c>
      <c r="C90" s="47" t="s">
        <v>157</v>
      </c>
      <c r="D90" s="98" t="s">
        <v>598</v>
      </c>
      <c r="E90" s="103">
        <v>1</v>
      </c>
      <c r="F90" s="103" t="s">
        <v>156</v>
      </c>
      <c r="G90" s="180">
        <v>38</v>
      </c>
      <c r="H90" s="180">
        <v>23</v>
      </c>
      <c r="I90" s="102">
        <v>230</v>
      </c>
      <c r="J90" s="212" cm="1">
        <f t="array" ref="J90">_xlfn.XLOOKUP($I90,Inputs!$C$6:$C$23,Inputs!$D$6:D$23)*$G90</f>
        <v>18.239999999999998</v>
      </c>
      <c r="K90" s="217">
        <f t="shared" si="1"/>
        <v>3</v>
      </c>
      <c r="L90" s="123"/>
      <c r="M90" s="123"/>
      <c r="N90" s="123"/>
      <c r="O90" s="123"/>
      <c r="P90" s="123"/>
      <c r="Q90" s="218">
        <f>_xlfn.XLOOKUP($I90,Inputs!$G$6:$G$23,Inputs!$J$6:$J$23)*$K90</f>
        <v>402</v>
      </c>
      <c r="R90" s="218">
        <f>_xlfn.XLOOKUP($I90,Inputs!$G$6:$G$23,Inputs!$K$6:$K$23)*$K90</f>
        <v>435</v>
      </c>
      <c r="S90" s="103" t="s">
        <v>1125</v>
      </c>
      <c r="T90" s="98" t="s">
        <v>1405</v>
      </c>
      <c r="U90" s="103" t="s">
        <v>1499</v>
      </c>
      <c r="V90" s="98" t="s">
        <v>768</v>
      </c>
      <c r="W90" s="47"/>
      <c r="X90" s="18"/>
      <c r="Y90" s="68">
        <v>384</v>
      </c>
    </row>
    <row r="91" spans="2:25" s="14" customFormat="1" ht="18">
      <c r="B91" s="103" t="s">
        <v>192</v>
      </c>
      <c r="C91" s="47" t="s">
        <v>93</v>
      </c>
      <c r="D91" s="98" t="s">
        <v>598</v>
      </c>
      <c r="E91" s="103">
        <v>1</v>
      </c>
      <c r="F91" s="103" t="s">
        <v>152</v>
      </c>
      <c r="G91" s="180">
        <v>19</v>
      </c>
      <c r="H91" s="180">
        <v>12</v>
      </c>
      <c r="I91" s="102">
        <v>69</v>
      </c>
      <c r="J91" s="212" cm="1">
        <f t="array" ref="J91">_xlfn.XLOOKUP($I91,Inputs!$C$6:$C$23,Inputs!$D$6:D$23)*$G91</f>
        <v>7.3014285714285716</v>
      </c>
      <c r="K91" s="217">
        <f t="shared" si="1"/>
        <v>3</v>
      </c>
      <c r="L91" s="123"/>
      <c r="M91" s="123"/>
      <c r="N91" s="123"/>
      <c r="O91" s="123"/>
      <c r="P91" s="123"/>
      <c r="Q91" s="218">
        <f>_xlfn.XLOOKUP($I91,Inputs!$G$6:$G$23,Inputs!$J$6:$J$23)*$K91</f>
        <v>36</v>
      </c>
      <c r="R91" s="218">
        <f>_xlfn.XLOOKUP($I91,Inputs!$G$6:$G$23,Inputs!$K$6:$K$23)*$K91</f>
        <v>39</v>
      </c>
      <c r="S91" s="103" t="s">
        <v>1125</v>
      </c>
      <c r="T91" s="98" t="s">
        <v>1405</v>
      </c>
      <c r="U91" s="103" t="s">
        <v>663</v>
      </c>
      <c r="V91" s="98" t="s">
        <v>710</v>
      </c>
      <c r="W91" s="47"/>
      <c r="X91" s="18"/>
      <c r="Y91" s="68">
        <v>203</v>
      </c>
    </row>
    <row r="92" spans="2:25" s="14" customFormat="1" ht="18">
      <c r="B92" s="103" t="s">
        <v>206</v>
      </c>
      <c r="C92" s="47" t="s">
        <v>93</v>
      </c>
      <c r="D92" s="98" t="s">
        <v>598</v>
      </c>
      <c r="E92" s="103">
        <v>1</v>
      </c>
      <c r="F92" s="103" t="s">
        <v>152</v>
      </c>
      <c r="G92" s="180">
        <v>47</v>
      </c>
      <c r="H92" s="180">
        <v>29</v>
      </c>
      <c r="I92" s="102">
        <v>138</v>
      </c>
      <c r="J92" s="212" cm="1">
        <f t="array" ref="J92">_xlfn.XLOOKUP($I92,Inputs!$C$6:$C$23,Inputs!$D$6:D$23)*$G92</f>
        <v>20.377857142857145</v>
      </c>
      <c r="K92" s="217">
        <f t="shared" si="1"/>
        <v>3</v>
      </c>
      <c r="L92" s="123"/>
      <c r="M92" s="123"/>
      <c r="N92" s="123"/>
      <c r="O92" s="123"/>
      <c r="P92" s="123"/>
      <c r="Q92" s="218">
        <f>_xlfn.XLOOKUP($I92,Inputs!$G$6:$G$23,Inputs!$J$6:$J$23)*$K92</f>
        <v>141</v>
      </c>
      <c r="R92" s="218">
        <f>_xlfn.XLOOKUP($I92,Inputs!$G$6:$G$23,Inputs!$K$6:$K$23)*$K92</f>
        <v>156</v>
      </c>
      <c r="S92" s="103" t="s">
        <v>1125</v>
      </c>
      <c r="T92" s="98" t="s">
        <v>1405</v>
      </c>
      <c r="U92" s="103" t="s">
        <v>676</v>
      </c>
      <c r="V92" s="98" t="s">
        <v>752</v>
      </c>
      <c r="W92" s="47"/>
      <c r="X92" s="18"/>
      <c r="Y92" s="68">
        <v>281</v>
      </c>
    </row>
    <row r="93" spans="2:25" s="14" customFormat="1" ht="18">
      <c r="B93" s="103" t="s">
        <v>322</v>
      </c>
      <c r="C93" s="47" t="s">
        <v>93</v>
      </c>
      <c r="D93" s="98" t="s">
        <v>598</v>
      </c>
      <c r="E93" s="103">
        <v>1</v>
      </c>
      <c r="F93" s="103" t="s">
        <v>152</v>
      </c>
      <c r="G93" s="180">
        <v>33</v>
      </c>
      <c r="H93" s="180">
        <v>20</v>
      </c>
      <c r="I93" s="102">
        <v>69</v>
      </c>
      <c r="J93" s="212" cm="1">
        <f t="array" ref="J93">_xlfn.XLOOKUP($I93,Inputs!$C$6:$C$23,Inputs!$D$6:D$23)*$G93</f>
        <v>12.681428571428571</v>
      </c>
      <c r="K93" s="217">
        <f t="shared" si="1"/>
        <v>3</v>
      </c>
      <c r="L93" s="123"/>
      <c r="M93" s="123"/>
      <c r="N93" s="123"/>
      <c r="O93" s="123"/>
      <c r="P93" s="123"/>
      <c r="Q93" s="218">
        <f>_xlfn.XLOOKUP($I93,Inputs!$G$6:$G$23,Inputs!$J$6:$J$23)*$K93</f>
        <v>36</v>
      </c>
      <c r="R93" s="218">
        <f>_xlfn.XLOOKUP($I93,Inputs!$G$6:$G$23,Inputs!$K$6:$K$23)*$K93</f>
        <v>39</v>
      </c>
      <c r="S93" s="103" t="s">
        <v>992</v>
      </c>
      <c r="T93" s="98" t="s">
        <v>1260</v>
      </c>
      <c r="U93" s="103" t="s">
        <v>993</v>
      </c>
      <c r="V93" s="98" t="s">
        <v>1289</v>
      </c>
      <c r="W93" s="47"/>
      <c r="X93" s="18"/>
      <c r="Y93" s="68">
        <v>151</v>
      </c>
    </row>
    <row r="94" spans="2:25" s="14" customFormat="1" ht="18">
      <c r="B94" s="103" t="s">
        <v>241</v>
      </c>
      <c r="C94" s="47" t="s">
        <v>93</v>
      </c>
      <c r="D94" s="98" t="s">
        <v>598</v>
      </c>
      <c r="E94" s="103">
        <v>1</v>
      </c>
      <c r="F94" s="103" t="s">
        <v>152</v>
      </c>
      <c r="G94" s="180">
        <v>6</v>
      </c>
      <c r="H94" s="180">
        <v>4</v>
      </c>
      <c r="I94" s="102">
        <v>69</v>
      </c>
      <c r="J94" s="212" cm="1">
        <f t="array" ref="J94">_xlfn.XLOOKUP($I94,Inputs!$C$6:$C$23,Inputs!$D$6:D$23)*$G94</f>
        <v>2.3057142857142856</v>
      </c>
      <c r="K94" s="217">
        <f t="shared" si="1"/>
        <v>3</v>
      </c>
      <c r="L94" s="123"/>
      <c r="M94" s="123"/>
      <c r="N94" s="123"/>
      <c r="O94" s="123"/>
      <c r="P94" s="123"/>
      <c r="Q94" s="218">
        <f>_xlfn.XLOOKUP($I94,Inputs!$G$6:$G$23,Inputs!$J$6:$J$23)*$K94</f>
        <v>36</v>
      </c>
      <c r="R94" s="218">
        <f>_xlfn.XLOOKUP($I94,Inputs!$G$6:$G$23,Inputs!$K$6:$K$23)*$K94</f>
        <v>39</v>
      </c>
      <c r="S94" s="103" t="s">
        <v>941</v>
      </c>
      <c r="T94" s="98" t="s">
        <v>1265</v>
      </c>
      <c r="U94" s="103" t="s">
        <v>1138</v>
      </c>
      <c r="V94" s="98" t="s">
        <v>1399</v>
      </c>
      <c r="W94" s="47"/>
      <c r="X94" s="18"/>
      <c r="Y94" s="68">
        <v>191</v>
      </c>
    </row>
    <row r="95" spans="2:25" s="14" customFormat="1" ht="18">
      <c r="B95" s="103" t="s">
        <v>233</v>
      </c>
      <c r="C95" s="47" t="s">
        <v>93</v>
      </c>
      <c r="D95" s="98" t="s">
        <v>598</v>
      </c>
      <c r="E95" s="103">
        <v>1</v>
      </c>
      <c r="F95" s="103" t="s">
        <v>152</v>
      </c>
      <c r="G95" s="257">
        <v>6</v>
      </c>
      <c r="H95" s="257">
        <v>4</v>
      </c>
      <c r="I95" s="102">
        <v>69</v>
      </c>
      <c r="J95" s="212" cm="1">
        <f t="array" ref="J95">_xlfn.XLOOKUP($I95,Inputs!$C$6:$C$23,Inputs!$D$6:D$23)*$G95</f>
        <v>2.3057142857142856</v>
      </c>
      <c r="K95" s="217">
        <f t="shared" si="1"/>
        <v>3</v>
      </c>
      <c r="L95" s="123"/>
      <c r="M95" s="123"/>
      <c r="N95" s="123"/>
      <c r="O95" s="123"/>
      <c r="P95" s="123"/>
      <c r="Q95" s="218">
        <f>_xlfn.XLOOKUP($I95,Inputs!$G$6:$G$23,Inputs!$J$6:$J$23)*$K95</f>
        <v>36</v>
      </c>
      <c r="R95" s="218">
        <f>_xlfn.XLOOKUP($I95,Inputs!$G$6:$G$23,Inputs!$K$6:$K$23)*$K95</f>
        <v>39</v>
      </c>
      <c r="S95" s="103" t="s">
        <v>941</v>
      </c>
      <c r="T95" s="98" t="s">
        <v>1265</v>
      </c>
      <c r="U95" s="103" t="s">
        <v>945</v>
      </c>
      <c r="V95" s="98" t="s">
        <v>1255</v>
      </c>
      <c r="W95" s="47"/>
      <c r="X95" s="18" t="s">
        <v>1160</v>
      </c>
      <c r="Y95" s="68">
        <v>33</v>
      </c>
    </row>
    <row r="96" spans="2:25" s="14" customFormat="1" ht="18">
      <c r="B96" s="103" t="s">
        <v>239</v>
      </c>
      <c r="C96" s="47" t="s">
        <v>93</v>
      </c>
      <c r="D96" s="98" t="s">
        <v>598</v>
      </c>
      <c r="E96" s="103">
        <v>1</v>
      </c>
      <c r="F96" s="103" t="s">
        <v>152</v>
      </c>
      <c r="G96" s="257">
        <v>3</v>
      </c>
      <c r="H96" s="257">
        <v>2</v>
      </c>
      <c r="I96" s="102">
        <v>69</v>
      </c>
      <c r="J96" s="212" cm="1">
        <f t="array" ref="J96">_xlfn.XLOOKUP($I96,Inputs!$C$6:$C$23,Inputs!$D$6:D$23)*$G96</f>
        <v>1.1528571428571428</v>
      </c>
      <c r="K96" s="217">
        <f t="shared" si="1"/>
        <v>3</v>
      </c>
      <c r="L96" s="123"/>
      <c r="M96" s="123"/>
      <c r="N96" s="123"/>
      <c r="O96" s="123"/>
      <c r="P96" s="123"/>
      <c r="Q96" s="218">
        <f>_xlfn.XLOOKUP($I96,Inputs!$G$6:$G$23,Inputs!$J$6:$J$23)*$K96</f>
        <v>36</v>
      </c>
      <c r="R96" s="218">
        <f>_xlfn.XLOOKUP($I96,Inputs!$G$6:$G$23,Inputs!$K$6:$K$23)*$K96</f>
        <v>39</v>
      </c>
      <c r="S96" s="103" t="s">
        <v>941</v>
      </c>
      <c r="T96" s="98" t="s">
        <v>1265</v>
      </c>
      <c r="U96" s="103" t="s">
        <v>621</v>
      </c>
      <c r="V96" s="98" t="s">
        <v>730</v>
      </c>
      <c r="W96" s="47"/>
      <c r="X96" s="18"/>
      <c r="Y96" s="68">
        <v>27</v>
      </c>
    </row>
    <row r="97" spans="2:25" s="14" customFormat="1" ht="18">
      <c r="B97" s="103" t="s">
        <v>318</v>
      </c>
      <c r="C97" s="47" t="s">
        <v>93</v>
      </c>
      <c r="D97" s="98" t="s">
        <v>598</v>
      </c>
      <c r="E97" s="103">
        <v>1</v>
      </c>
      <c r="F97" s="103" t="s">
        <v>152</v>
      </c>
      <c r="G97" s="180">
        <v>2</v>
      </c>
      <c r="H97" s="180">
        <v>1</v>
      </c>
      <c r="I97" s="102">
        <v>69</v>
      </c>
      <c r="J97" s="212" cm="1">
        <f t="array" ref="J97">_xlfn.XLOOKUP($I97,Inputs!$C$6:$C$23,Inputs!$D$6:D$23)*$G97</f>
        <v>0.76857142857142857</v>
      </c>
      <c r="K97" s="217">
        <f t="shared" si="1"/>
        <v>3</v>
      </c>
      <c r="L97" s="123"/>
      <c r="M97" s="123"/>
      <c r="N97" s="123"/>
      <c r="O97" s="123"/>
      <c r="P97" s="123"/>
      <c r="Q97" s="218">
        <f>_xlfn.XLOOKUP($I97,Inputs!$G$6:$G$23,Inputs!$J$6:$J$23)*$K97</f>
        <v>36</v>
      </c>
      <c r="R97" s="218">
        <f>_xlfn.XLOOKUP($I97,Inputs!$G$6:$G$23,Inputs!$K$6:$K$23)*$K97</f>
        <v>39</v>
      </c>
      <c r="S97" s="103" t="s">
        <v>967</v>
      </c>
      <c r="T97" s="98" t="s">
        <v>1266</v>
      </c>
      <c r="U97" s="103" t="s">
        <v>631</v>
      </c>
      <c r="V97" s="98" t="s">
        <v>743</v>
      </c>
      <c r="W97" s="47"/>
      <c r="X97" s="18"/>
      <c r="Y97" s="68">
        <v>79</v>
      </c>
    </row>
    <row r="98" spans="2:25" s="14" customFormat="1" ht="18">
      <c r="B98" s="103" t="s">
        <v>361</v>
      </c>
      <c r="C98" s="47" t="s">
        <v>93</v>
      </c>
      <c r="D98" s="98" t="s">
        <v>598</v>
      </c>
      <c r="E98" s="103">
        <v>1</v>
      </c>
      <c r="F98" s="103" t="s">
        <v>152</v>
      </c>
      <c r="G98" s="180">
        <v>5</v>
      </c>
      <c r="H98" s="180">
        <v>3</v>
      </c>
      <c r="I98" s="102">
        <v>69</v>
      </c>
      <c r="J98" s="212" cm="1">
        <f t="array" ref="J98">_xlfn.XLOOKUP($I98,Inputs!$C$6:$C$23,Inputs!$D$6:D$23)*$G98</f>
        <v>1.9214285714285715</v>
      </c>
      <c r="K98" s="217">
        <f t="shared" si="1"/>
        <v>3</v>
      </c>
      <c r="L98" s="123"/>
      <c r="M98" s="123"/>
      <c r="N98" s="123"/>
      <c r="O98" s="123"/>
      <c r="P98" s="123"/>
      <c r="Q98" s="218">
        <f>_xlfn.XLOOKUP($I98,Inputs!$G$6:$G$23,Inputs!$J$6:$J$23)*$K98</f>
        <v>36</v>
      </c>
      <c r="R98" s="218">
        <f>_xlfn.XLOOKUP($I98,Inputs!$G$6:$G$23,Inputs!$K$6:$K$23)*$K98</f>
        <v>39</v>
      </c>
      <c r="S98" s="103" t="s">
        <v>1011</v>
      </c>
      <c r="T98" s="98" t="s">
        <v>1267</v>
      </c>
      <c r="U98" s="103" t="s">
        <v>1041</v>
      </c>
      <c r="V98" s="98" t="s">
        <v>1372</v>
      </c>
      <c r="W98" s="47"/>
      <c r="X98" s="18"/>
      <c r="Y98" s="68">
        <v>234</v>
      </c>
    </row>
    <row r="99" spans="2:25" s="14" customFormat="1" ht="18">
      <c r="B99" s="103" t="s">
        <v>634</v>
      </c>
      <c r="C99" s="47" t="s">
        <v>93</v>
      </c>
      <c r="D99" s="98" t="s">
        <v>598</v>
      </c>
      <c r="E99" s="103">
        <v>1</v>
      </c>
      <c r="F99" s="103" t="s">
        <v>152</v>
      </c>
      <c r="G99" s="257">
        <v>1</v>
      </c>
      <c r="H99" s="257">
        <v>1</v>
      </c>
      <c r="I99" s="102">
        <v>69</v>
      </c>
      <c r="J99" s="212" cm="1">
        <f t="array" ref="J99">_xlfn.XLOOKUP($I99,Inputs!$C$6:$C$23,Inputs!$D$6:D$23)*$G99</f>
        <v>0.38428571428571429</v>
      </c>
      <c r="K99" s="217">
        <f t="shared" si="1"/>
        <v>3</v>
      </c>
      <c r="L99" s="123"/>
      <c r="M99" s="123"/>
      <c r="N99" s="123"/>
      <c r="O99" s="123"/>
      <c r="P99" s="123"/>
      <c r="Q99" s="218">
        <f>_xlfn.XLOOKUP($I99,Inputs!$G$6:$G$23,Inputs!$J$6:$J$23)*$K99</f>
        <v>36</v>
      </c>
      <c r="R99" s="218">
        <f>_xlfn.XLOOKUP($I99,Inputs!$G$6:$G$23,Inputs!$K$6:$K$23)*$K99</f>
        <v>39</v>
      </c>
      <c r="S99" s="103" t="s">
        <v>178</v>
      </c>
      <c r="T99" s="98" t="s">
        <v>1379</v>
      </c>
      <c r="U99" s="103" t="s">
        <v>996</v>
      </c>
      <c r="V99" s="98" t="s">
        <v>1270</v>
      </c>
      <c r="W99" s="47"/>
      <c r="X99" s="18"/>
      <c r="Y99" s="68">
        <v>158</v>
      </c>
    </row>
    <row r="100" spans="2:25" s="14" customFormat="1" ht="18">
      <c r="B100" s="103" t="s">
        <v>179</v>
      </c>
      <c r="C100" s="47" t="s">
        <v>93</v>
      </c>
      <c r="D100" s="98" t="s">
        <v>598</v>
      </c>
      <c r="E100" s="103">
        <v>1</v>
      </c>
      <c r="F100" s="103" t="s">
        <v>152</v>
      </c>
      <c r="G100" s="180">
        <v>1</v>
      </c>
      <c r="H100" s="180">
        <v>0.6</v>
      </c>
      <c r="I100" s="102">
        <v>138</v>
      </c>
      <c r="J100" s="212" cm="1">
        <f t="array" ref="J100">_xlfn.XLOOKUP($I100,Inputs!$C$6:$C$23,Inputs!$D$6:D$23)*$G100</f>
        <v>0.43357142857142861</v>
      </c>
      <c r="K100" s="217">
        <f t="shared" si="1"/>
        <v>3</v>
      </c>
      <c r="L100" s="123"/>
      <c r="M100" s="123"/>
      <c r="N100" s="123"/>
      <c r="O100" s="123"/>
      <c r="P100" s="123"/>
      <c r="Q100" s="218">
        <f>_xlfn.XLOOKUP($I100,Inputs!$G$6:$G$23,Inputs!$J$6:$J$23)*$K100</f>
        <v>141</v>
      </c>
      <c r="R100" s="218">
        <f>_xlfn.XLOOKUP($I100,Inputs!$G$6:$G$23,Inputs!$K$6:$K$23)*$K100</f>
        <v>156</v>
      </c>
      <c r="S100" s="103" t="s">
        <v>178</v>
      </c>
      <c r="T100" s="98" t="s">
        <v>1379</v>
      </c>
      <c r="U100" s="103" t="s">
        <v>687</v>
      </c>
      <c r="V100" s="98" t="s">
        <v>746</v>
      </c>
      <c r="W100" s="47"/>
      <c r="X100" s="18"/>
      <c r="Y100" s="68">
        <v>355</v>
      </c>
    </row>
    <row r="101" spans="2:25" s="14" customFormat="1" ht="18">
      <c r="B101" s="103" t="s">
        <v>183</v>
      </c>
      <c r="C101" s="47" t="s">
        <v>93</v>
      </c>
      <c r="D101" s="98" t="s">
        <v>598</v>
      </c>
      <c r="E101" s="103">
        <v>1</v>
      </c>
      <c r="F101" s="103" t="s">
        <v>152</v>
      </c>
      <c r="G101" s="180">
        <v>9</v>
      </c>
      <c r="H101" s="180">
        <v>5</v>
      </c>
      <c r="I101" s="102">
        <v>138</v>
      </c>
      <c r="J101" s="212" cm="1">
        <f t="array" ref="J101">_xlfn.XLOOKUP($I101,Inputs!$C$6:$C$23,Inputs!$D$6:D$23)*$G101</f>
        <v>3.9021428571428576</v>
      </c>
      <c r="K101" s="217">
        <f t="shared" si="1"/>
        <v>3</v>
      </c>
      <c r="L101" s="123"/>
      <c r="M101" s="123"/>
      <c r="N101" s="123"/>
      <c r="O101" s="123"/>
      <c r="P101" s="123"/>
      <c r="Q101" s="218">
        <f>_xlfn.XLOOKUP($I101,Inputs!$G$6:$G$23,Inputs!$J$6:$J$23)*$K101</f>
        <v>141</v>
      </c>
      <c r="R101" s="218">
        <f>_xlfn.XLOOKUP($I101,Inputs!$G$6:$G$23,Inputs!$K$6:$K$23)*$K101</f>
        <v>156</v>
      </c>
      <c r="S101" s="103" t="s">
        <v>178</v>
      </c>
      <c r="T101" s="98" t="s">
        <v>1379</v>
      </c>
      <c r="U101" s="103" t="s">
        <v>1139</v>
      </c>
      <c r="V101" s="98" t="s">
        <v>1424</v>
      </c>
      <c r="W101" s="47"/>
      <c r="X101" s="18"/>
      <c r="Y101" s="68">
        <v>274</v>
      </c>
    </row>
    <row r="102" spans="2:25" s="14" customFormat="1" ht="18">
      <c r="B102" s="103" t="s">
        <v>180</v>
      </c>
      <c r="C102" s="47" t="s">
        <v>93</v>
      </c>
      <c r="D102" s="98" t="s">
        <v>598</v>
      </c>
      <c r="E102" s="103">
        <v>1</v>
      </c>
      <c r="F102" s="103" t="s">
        <v>152</v>
      </c>
      <c r="G102" s="180">
        <v>0.1</v>
      </c>
      <c r="H102" s="180">
        <v>0.1</v>
      </c>
      <c r="I102" s="102">
        <v>69</v>
      </c>
      <c r="J102" s="212" cm="1">
        <f t="array" ref="J102">_xlfn.XLOOKUP($I102,Inputs!$C$6:$C$23,Inputs!$D$6:D$23)*$G102</f>
        <v>3.842857142857143E-2</v>
      </c>
      <c r="K102" s="217">
        <f t="shared" si="1"/>
        <v>3</v>
      </c>
      <c r="L102" s="123"/>
      <c r="M102" s="123"/>
      <c r="N102" s="123"/>
      <c r="O102" s="123"/>
      <c r="P102" s="123"/>
      <c r="Q102" s="218">
        <f>_xlfn.XLOOKUP($I102,Inputs!$G$6:$G$23,Inputs!$J$6:$J$23)*$K102</f>
        <v>36</v>
      </c>
      <c r="R102" s="218">
        <f>_xlfn.XLOOKUP($I102,Inputs!$G$6:$G$23,Inputs!$K$6:$K$23)*$K102</f>
        <v>39</v>
      </c>
      <c r="S102" s="103" t="s">
        <v>970</v>
      </c>
      <c r="T102" s="98" t="s">
        <v>1269</v>
      </c>
      <c r="U102" s="103" t="s">
        <v>636</v>
      </c>
      <c r="V102" s="98" t="s">
        <v>697</v>
      </c>
      <c r="W102" s="47"/>
      <c r="X102" s="18"/>
      <c r="Y102" s="68">
        <v>88</v>
      </c>
    </row>
    <row r="103" spans="2:25" s="14" customFormat="1" ht="18">
      <c r="B103" s="103" t="s">
        <v>634</v>
      </c>
      <c r="C103" s="47" t="s">
        <v>93</v>
      </c>
      <c r="D103" s="98" t="s">
        <v>598</v>
      </c>
      <c r="E103" s="103">
        <v>1</v>
      </c>
      <c r="F103" s="103" t="s">
        <v>152</v>
      </c>
      <c r="G103" s="257">
        <v>1</v>
      </c>
      <c r="H103" s="257">
        <v>1</v>
      </c>
      <c r="I103" s="102">
        <v>69</v>
      </c>
      <c r="J103" s="212" cm="1">
        <f t="array" ref="J103">_xlfn.XLOOKUP($I103,Inputs!$C$6:$C$23,Inputs!$D$6:D$23)*$G103</f>
        <v>0.38428571428571429</v>
      </c>
      <c r="K103" s="217">
        <f t="shared" si="1"/>
        <v>3</v>
      </c>
      <c r="L103" s="123"/>
      <c r="M103" s="123"/>
      <c r="N103" s="123"/>
      <c r="O103" s="123"/>
      <c r="P103" s="123"/>
      <c r="Q103" s="218">
        <f>_xlfn.XLOOKUP($I103,Inputs!$G$6:$G$23,Inputs!$J$6:$J$23)*$K103</f>
        <v>36</v>
      </c>
      <c r="R103" s="218">
        <f>_xlfn.XLOOKUP($I103,Inputs!$G$6:$G$23,Inputs!$K$6:$K$23)*$K103</f>
        <v>39</v>
      </c>
      <c r="S103" s="103" t="s">
        <v>996</v>
      </c>
      <c r="T103" s="98" t="s">
        <v>1270</v>
      </c>
      <c r="U103" s="103" t="s">
        <v>635</v>
      </c>
      <c r="V103" s="98" t="s">
        <v>765</v>
      </c>
      <c r="W103" s="47"/>
      <c r="X103" s="18"/>
      <c r="Y103" s="68">
        <v>159</v>
      </c>
    </row>
    <row r="104" spans="2:25" s="14" customFormat="1" ht="18">
      <c r="B104" s="103" t="s">
        <v>337</v>
      </c>
      <c r="C104" s="47" t="s">
        <v>93</v>
      </c>
      <c r="D104" s="98" t="s">
        <v>598</v>
      </c>
      <c r="E104" s="103">
        <v>1</v>
      </c>
      <c r="F104" s="103" t="s">
        <v>152</v>
      </c>
      <c r="G104" s="180">
        <v>18</v>
      </c>
      <c r="H104" s="180">
        <v>11</v>
      </c>
      <c r="I104" s="102">
        <v>69</v>
      </c>
      <c r="J104" s="212" cm="1">
        <f t="array" ref="J104">_xlfn.XLOOKUP($I104,Inputs!$C$6:$C$23,Inputs!$D$6:D$23)*$G104</f>
        <v>6.9171428571428573</v>
      </c>
      <c r="K104" s="217">
        <f t="shared" si="1"/>
        <v>3</v>
      </c>
      <c r="L104" s="123"/>
      <c r="M104" s="123"/>
      <c r="N104" s="123"/>
      <c r="O104" s="123"/>
      <c r="P104" s="123"/>
      <c r="Q104" s="218">
        <f>_xlfn.XLOOKUP($I104,Inputs!$G$6:$G$23,Inputs!$J$6:$J$23)*$K104</f>
        <v>36</v>
      </c>
      <c r="R104" s="218">
        <f>_xlfn.XLOOKUP($I104,Inputs!$G$6:$G$23,Inputs!$K$6:$K$23)*$K104</f>
        <v>39</v>
      </c>
      <c r="S104" s="103" t="s">
        <v>960</v>
      </c>
      <c r="T104" s="98" t="s">
        <v>1271</v>
      </c>
      <c r="U104" s="103" t="s">
        <v>961</v>
      </c>
      <c r="V104" s="98" t="s">
        <v>1328</v>
      </c>
      <c r="W104" s="47"/>
      <c r="X104" s="18"/>
      <c r="Y104" s="68">
        <v>68</v>
      </c>
    </row>
    <row r="105" spans="2:25" s="14" customFormat="1" ht="18">
      <c r="B105" s="103" t="s">
        <v>276</v>
      </c>
      <c r="C105" s="47" t="s">
        <v>93</v>
      </c>
      <c r="D105" s="98" t="s">
        <v>598</v>
      </c>
      <c r="E105" s="103">
        <v>1</v>
      </c>
      <c r="F105" s="103" t="s">
        <v>152</v>
      </c>
      <c r="G105" s="180">
        <v>13</v>
      </c>
      <c r="H105" s="180">
        <v>8</v>
      </c>
      <c r="I105" s="102">
        <v>69</v>
      </c>
      <c r="J105" s="212" cm="1">
        <f t="array" ref="J105">_xlfn.XLOOKUP($I105,Inputs!$C$6:$C$23,Inputs!$D$6:D$23)*$G105</f>
        <v>4.9957142857142856</v>
      </c>
      <c r="K105" s="217">
        <f t="shared" si="1"/>
        <v>3</v>
      </c>
      <c r="L105" s="123"/>
      <c r="M105" s="123"/>
      <c r="N105" s="123"/>
      <c r="O105" s="123"/>
      <c r="P105" s="123"/>
      <c r="Q105" s="218">
        <f>_xlfn.XLOOKUP($I105,Inputs!$G$6:$G$23,Inputs!$J$6:$J$23)*$K105</f>
        <v>36</v>
      </c>
      <c r="R105" s="218">
        <f>_xlfn.XLOOKUP($I105,Inputs!$G$6:$G$23,Inputs!$K$6:$K$23)*$K105</f>
        <v>39</v>
      </c>
      <c r="S105" s="103" t="s">
        <v>1116</v>
      </c>
      <c r="T105" s="98" t="s">
        <v>1407</v>
      </c>
      <c r="U105" s="103" t="s">
        <v>937</v>
      </c>
      <c r="V105" s="98" t="s">
        <v>1235</v>
      </c>
      <c r="W105" s="47"/>
      <c r="X105" s="18"/>
      <c r="Y105" s="68">
        <v>20</v>
      </c>
    </row>
    <row r="106" spans="2:25" s="14" customFormat="1" ht="18">
      <c r="B106" s="103" t="s">
        <v>337</v>
      </c>
      <c r="C106" s="47" t="s">
        <v>93</v>
      </c>
      <c r="D106" s="98" t="s">
        <v>598</v>
      </c>
      <c r="E106" s="103">
        <v>1</v>
      </c>
      <c r="F106" s="103" t="s">
        <v>152</v>
      </c>
      <c r="G106" s="180">
        <v>3</v>
      </c>
      <c r="H106" s="180">
        <v>2</v>
      </c>
      <c r="I106" s="102">
        <v>69</v>
      </c>
      <c r="J106" s="212" cm="1">
        <f t="array" ref="J106">_xlfn.XLOOKUP($I106,Inputs!$C$6:$C$23,Inputs!$D$6:D$23)*$G106</f>
        <v>1.1528571428571428</v>
      </c>
      <c r="K106" s="217">
        <f t="shared" si="1"/>
        <v>3</v>
      </c>
      <c r="L106" s="123"/>
      <c r="M106" s="123"/>
      <c r="N106" s="123"/>
      <c r="O106" s="123"/>
      <c r="P106" s="123"/>
      <c r="Q106" s="218">
        <f>_xlfn.XLOOKUP($I106,Inputs!$G$6:$G$23,Inputs!$J$6:$J$23)*$K106</f>
        <v>36</v>
      </c>
      <c r="R106" s="218">
        <f>_xlfn.XLOOKUP($I106,Inputs!$G$6:$G$23,Inputs!$K$6:$K$23)*$K106</f>
        <v>39</v>
      </c>
      <c r="S106" s="103" t="s">
        <v>1116</v>
      </c>
      <c r="T106" s="98" t="s">
        <v>1407</v>
      </c>
      <c r="U106" s="103" t="s">
        <v>960</v>
      </c>
      <c r="V106" s="98" t="s">
        <v>1271</v>
      </c>
      <c r="W106" s="47"/>
      <c r="X106" s="18"/>
      <c r="Y106" s="68">
        <v>67</v>
      </c>
    </row>
    <row r="107" spans="2:25" s="14" customFormat="1" ht="18">
      <c r="B107" s="103" t="s">
        <v>338</v>
      </c>
      <c r="C107" s="47" t="s">
        <v>93</v>
      </c>
      <c r="D107" s="98" t="s">
        <v>598</v>
      </c>
      <c r="E107" s="103">
        <v>1</v>
      </c>
      <c r="F107" s="103" t="s">
        <v>152</v>
      </c>
      <c r="G107" s="257">
        <v>35</v>
      </c>
      <c r="H107" s="257">
        <v>22</v>
      </c>
      <c r="I107" s="102">
        <v>138</v>
      </c>
      <c r="J107" s="212" cm="1">
        <f t="array" ref="J107">_xlfn.XLOOKUP($I107,Inputs!$C$6:$C$23,Inputs!$D$6:D$23)*$G107</f>
        <v>15.175000000000001</v>
      </c>
      <c r="K107" s="217">
        <f t="shared" si="1"/>
        <v>3</v>
      </c>
      <c r="L107" s="123"/>
      <c r="M107" s="123"/>
      <c r="N107" s="123"/>
      <c r="O107" s="123"/>
      <c r="P107" s="123"/>
      <c r="Q107" s="218">
        <f>_xlfn.XLOOKUP($I107,Inputs!$G$6:$G$23,Inputs!$J$6:$J$23)*$K107</f>
        <v>141</v>
      </c>
      <c r="R107" s="218">
        <f>_xlfn.XLOOKUP($I107,Inputs!$G$6:$G$23,Inputs!$K$6:$K$23)*$K107</f>
        <v>156</v>
      </c>
      <c r="S107" s="103" t="s">
        <v>1116</v>
      </c>
      <c r="T107" s="98" t="s">
        <v>1407</v>
      </c>
      <c r="U107" s="103" t="s">
        <v>1120</v>
      </c>
      <c r="V107" s="98" t="s">
        <v>1431</v>
      </c>
      <c r="W107" s="47"/>
      <c r="X107" s="18"/>
      <c r="Y107" s="68">
        <v>257</v>
      </c>
    </row>
    <row r="108" spans="2:25" s="14" customFormat="1" ht="18">
      <c r="B108" s="103" t="s">
        <v>240</v>
      </c>
      <c r="C108" s="47" t="s">
        <v>93</v>
      </c>
      <c r="D108" s="98" t="s">
        <v>598</v>
      </c>
      <c r="E108" s="103">
        <v>1</v>
      </c>
      <c r="F108" s="103" t="s">
        <v>152</v>
      </c>
      <c r="G108" s="180">
        <v>4</v>
      </c>
      <c r="H108" s="180">
        <v>3</v>
      </c>
      <c r="I108" s="102">
        <v>69</v>
      </c>
      <c r="J108" s="212" cm="1">
        <f t="array" ref="J108">_xlfn.XLOOKUP($I108,Inputs!$C$6:$C$23,Inputs!$D$6:D$23)*$G108</f>
        <v>1.5371428571428571</v>
      </c>
      <c r="K108" s="217">
        <f t="shared" si="1"/>
        <v>3</v>
      </c>
      <c r="L108" s="123"/>
      <c r="M108" s="123"/>
      <c r="N108" s="123"/>
      <c r="O108" s="123"/>
      <c r="P108" s="123"/>
      <c r="Q108" s="218">
        <f>_xlfn.XLOOKUP($I108,Inputs!$G$6:$G$23,Inputs!$J$6:$J$23)*$K108</f>
        <v>36</v>
      </c>
      <c r="R108" s="218">
        <f>_xlfn.XLOOKUP($I108,Inputs!$G$6:$G$23,Inputs!$K$6:$K$23)*$K108</f>
        <v>39</v>
      </c>
      <c r="S108" s="103" t="s">
        <v>1116</v>
      </c>
      <c r="T108" s="98" t="s">
        <v>1407</v>
      </c>
      <c r="U108" s="103" t="s">
        <v>938</v>
      </c>
      <c r="V108" s="98" t="s">
        <v>1307</v>
      </c>
      <c r="W108" s="47"/>
      <c r="X108" s="18"/>
      <c r="Y108" s="68">
        <v>18</v>
      </c>
    </row>
    <row r="109" spans="2:25" s="14" customFormat="1" ht="18">
      <c r="B109" s="103" t="s">
        <v>654</v>
      </c>
      <c r="C109" s="47" t="s">
        <v>93</v>
      </c>
      <c r="D109" s="98" t="s">
        <v>598</v>
      </c>
      <c r="E109" s="103">
        <v>1</v>
      </c>
      <c r="F109" s="103" t="s">
        <v>152</v>
      </c>
      <c r="G109" s="180">
        <v>4</v>
      </c>
      <c r="H109" s="180">
        <v>3</v>
      </c>
      <c r="I109" s="102">
        <v>69</v>
      </c>
      <c r="J109" s="212" cm="1">
        <f t="array" ref="J109">_xlfn.XLOOKUP($I109,Inputs!$C$6:$C$23,Inputs!$D$6:D$23)*$G109</f>
        <v>1.5371428571428571</v>
      </c>
      <c r="K109" s="217">
        <f t="shared" si="1"/>
        <v>3</v>
      </c>
      <c r="L109" s="123"/>
      <c r="M109" s="123"/>
      <c r="N109" s="123"/>
      <c r="O109" s="123"/>
      <c r="P109" s="123"/>
      <c r="Q109" s="218">
        <f>_xlfn.XLOOKUP($I109,Inputs!$G$6:$G$23,Inputs!$J$6:$J$23)*$K109</f>
        <v>36</v>
      </c>
      <c r="R109" s="218">
        <f>_xlfn.XLOOKUP($I109,Inputs!$G$6:$G$23,Inputs!$K$6:$K$23)*$K109</f>
        <v>39</v>
      </c>
      <c r="S109" s="103" t="s">
        <v>1408</v>
      </c>
      <c r="T109" s="98" t="s">
        <v>1272</v>
      </c>
      <c r="U109" s="103" t="s">
        <v>309</v>
      </c>
      <c r="V109" s="98" t="s">
        <v>1380</v>
      </c>
      <c r="W109" s="47"/>
      <c r="X109" s="18"/>
      <c r="Y109" s="68">
        <v>149</v>
      </c>
    </row>
    <row r="110" spans="2:25" s="14" customFormat="1" ht="18">
      <c r="B110" s="103" t="s">
        <v>180</v>
      </c>
      <c r="C110" s="47" t="s">
        <v>93</v>
      </c>
      <c r="D110" s="98" t="s">
        <v>598</v>
      </c>
      <c r="E110" s="103">
        <v>1</v>
      </c>
      <c r="F110" s="103" t="s">
        <v>152</v>
      </c>
      <c r="G110" s="180">
        <v>22</v>
      </c>
      <c r="H110" s="180">
        <v>14</v>
      </c>
      <c r="I110" s="102">
        <v>69</v>
      </c>
      <c r="J110" s="212" cm="1">
        <f t="array" ref="J110">_xlfn.XLOOKUP($I110,Inputs!$C$6:$C$23,Inputs!$D$6:D$23)*$G110</f>
        <v>8.4542857142857137</v>
      </c>
      <c r="K110" s="217">
        <f t="shared" si="1"/>
        <v>3</v>
      </c>
      <c r="L110" s="123"/>
      <c r="M110" s="123"/>
      <c r="N110" s="123"/>
      <c r="O110" s="123"/>
      <c r="P110" s="123"/>
      <c r="Q110" s="218">
        <f>_xlfn.XLOOKUP($I110,Inputs!$G$6:$G$23,Inputs!$J$6:$J$23)*$K110</f>
        <v>36</v>
      </c>
      <c r="R110" s="218">
        <f>_xlfn.XLOOKUP($I110,Inputs!$G$6:$G$23,Inputs!$K$6:$K$23)*$K110</f>
        <v>39</v>
      </c>
      <c r="S110" s="103" t="s">
        <v>969</v>
      </c>
      <c r="T110" s="98" t="s">
        <v>1273</v>
      </c>
      <c r="U110" s="103" t="s">
        <v>633</v>
      </c>
      <c r="V110" s="98" t="s">
        <v>724</v>
      </c>
      <c r="W110" s="47"/>
      <c r="X110" s="18"/>
      <c r="Y110" s="68">
        <v>85</v>
      </c>
    </row>
    <row r="111" spans="2:25" s="14" customFormat="1" ht="18">
      <c r="B111" s="103" t="s">
        <v>225</v>
      </c>
      <c r="C111" s="47" t="s">
        <v>93</v>
      </c>
      <c r="D111" s="98" t="s">
        <v>598</v>
      </c>
      <c r="E111" s="103">
        <v>1</v>
      </c>
      <c r="F111" s="103" t="s">
        <v>152</v>
      </c>
      <c r="G111" s="180">
        <v>13</v>
      </c>
      <c r="H111" s="180">
        <v>8</v>
      </c>
      <c r="I111" s="102">
        <v>69</v>
      </c>
      <c r="J111" s="212" cm="1">
        <f t="array" ref="J111">_xlfn.XLOOKUP($I111,Inputs!$C$6:$C$23,Inputs!$D$6:D$23)*$G111</f>
        <v>4.9957142857142856</v>
      </c>
      <c r="K111" s="217">
        <f t="shared" si="1"/>
        <v>3</v>
      </c>
      <c r="L111" s="123"/>
      <c r="M111" s="123"/>
      <c r="N111" s="123"/>
      <c r="O111" s="123"/>
      <c r="P111" s="123"/>
      <c r="Q111" s="218">
        <f>_xlfn.XLOOKUP($I111,Inputs!$G$6:$G$23,Inputs!$J$6:$J$23)*$K111</f>
        <v>36</v>
      </c>
      <c r="R111" s="218">
        <f>_xlfn.XLOOKUP($I111,Inputs!$G$6:$G$23,Inputs!$K$6:$K$23)*$K111</f>
        <v>39</v>
      </c>
      <c r="S111" s="103" t="s">
        <v>950</v>
      </c>
      <c r="T111" s="98" t="s">
        <v>1275</v>
      </c>
      <c r="U111" s="103" t="s">
        <v>951</v>
      </c>
      <c r="V111" s="98" t="s">
        <v>1341</v>
      </c>
      <c r="W111" s="47"/>
      <c r="X111" s="18"/>
      <c r="Y111" s="68">
        <v>44</v>
      </c>
    </row>
    <row r="112" spans="2:25" s="14" customFormat="1" ht="18">
      <c r="B112" s="103" t="s">
        <v>318</v>
      </c>
      <c r="C112" s="47" t="s">
        <v>93</v>
      </c>
      <c r="D112" s="98" t="s">
        <v>598</v>
      </c>
      <c r="E112" s="103">
        <v>1</v>
      </c>
      <c r="F112" s="103" t="s">
        <v>152</v>
      </c>
      <c r="G112" s="180">
        <v>13</v>
      </c>
      <c r="H112" s="180">
        <v>8</v>
      </c>
      <c r="I112" s="102">
        <v>69</v>
      </c>
      <c r="J112" s="212" cm="1">
        <f t="array" ref="J112">_xlfn.XLOOKUP($I112,Inputs!$C$6:$C$23,Inputs!$D$6:D$23)*$G112</f>
        <v>4.9957142857142856</v>
      </c>
      <c r="K112" s="217">
        <f t="shared" si="1"/>
        <v>3</v>
      </c>
      <c r="L112" s="123"/>
      <c r="M112" s="123"/>
      <c r="N112" s="123"/>
      <c r="O112" s="123"/>
      <c r="P112" s="123"/>
      <c r="Q112" s="218">
        <f>_xlfn.XLOOKUP($I112,Inputs!$G$6:$G$23,Inputs!$J$6:$J$23)*$K112</f>
        <v>36</v>
      </c>
      <c r="R112" s="218">
        <f>_xlfn.XLOOKUP($I112,Inputs!$G$6:$G$23,Inputs!$K$6:$K$23)*$K112</f>
        <v>39</v>
      </c>
      <c r="S112" s="103" t="s">
        <v>965</v>
      </c>
      <c r="T112" s="98" t="s">
        <v>1276</v>
      </c>
      <c r="U112" s="103" t="s">
        <v>1121</v>
      </c>
      <c r="V112" s="98" t="s">
        <v>1418</v>
      </c>
      <c r="W112" s="47"/>
      <c r="X112" s="18"/>
      <c r="Y112" s="68">
        <v>76</v>
      </c>
    </row>
    <row r="113" spans="2:25" s="14" customFormat="1" ht="18">
      <c r="B113" s="103" t="s">
        <v>261</v>
      </c>
      <c r="C113" s="47" t="s">
        <v>93</v>
      </c>
      <c r="D113" s="98" t="s">
        <v>598</v>
      </c>
      <c r="E113" s="103">
        <v>1</v>
      </c>
      <c r="F113" s="103" t="s">
        <v>152</v>
      </c>
      <c r="G113" s="180">
        <v>19</v>
      </c>
      <c r="H113" s="180">
        <v>11</v>
      </c>
      <c r="I113" s="102">
        <v>69</v>
      </c>
      <c r="J113" s="212" cm="1">
        <f t="array" ref="J113">_xlfn.XLOOKUP($I113,Inputs!$C$6:$C$23,Inputs!$D$6:D$23)*$G113</f>
        <v>7.3014285714285716</v>
      </c>
      <c r="K113" s="217">
        <f t="shared" si="1"/>
        <v>3</v>
      </c>
      <c r="L113" s="123"/>
      <c r="M113" s="123"/>
      <c r="N113" s="123"/>
      <c r="O113" s="123"/>
      <c r="P113" s="123"/>
      <c r="Q113" s="218">
        <f>_xlfn.XLOOKUP($I113,Inputs!$G$6:$G$23,Inputs!$J$6:$J$23)*$K113</f>
        <v>36</v>
      </c>
      <c r="R113" s="218">
        <f>_xlfn.XLOOKUP($I113,Inputs!$G$6:$G$23,Inputs!$K$6:$K$23)*$K113</f>
        <v>39</v>
      </c>
      <c r="S113" s="103" t="s">
        <v>934</v>
      </c>
      <c r="T113" s="98" t="s">
        <v>1278</v>
      </c>
      <c r="U113" s="103" t="s">
        <v>935</v>
      </c>
      <c r="V113" s="98" t="s">
        <v>1331</v>
      </c>
      <c r="W113" s="47"/>
      <c r="X113" s="18"/>
      <c r="Y113" s="68">
        <v>12</v>
      </c>
    </row>
    <row r="114" spans="2:25" s="14" customFormat="1" ht="18">
      <c r="B114" s="103" t="s">
        <v>276</v>
      </c>
      <c r="C114" s="47" t="s">
        <v>93</v>
      </c>
      <c r="D114" s="98" t="s">
        <v>598</v>
      </c>
      <c r="E114" s="103">
        <v>1</v>
      </c>
      <c r="F114" s="103" t="s">
        <v>152</v>
      </c>
      <c r="G114" s="180">
        <v>19</v>
      </c>
      <c r="H114" s="180">
        <v>11</v>
      </c>
      <c r="I114" s="102">
        <v>69</v>
      </c>
      <c r="J114" s="212" cm="1">
        <f t="array" ref="J114">_xlfn.XLOOKUP($I114,Inputs!$C$6:$C$23,Inputs!$D$6:D$23)*$G114</f>
        <v>7.3014285714285716</v>
      </c>
      <c r="K114" s="217">
        <f t="shared" si="1"/>
        <v>3</v>
      </c>
      <c r="L114" s="123"/>
      <c r="M114" s="123"/>
      <c r="N114" s="123"/>
      <c r="O114" s="123"/>
      <c r="P114" s="123"/>
      <c r="Q114" s="218">
        <f>_xlfn.XLOOKUP($I114,Inputs!$G$6:$G$23,Inputs!$J$6:$J$23)*$K114</f>
        <v>36</v>
      </c>
      <c r="R114" s="218">
        <f>_xlfn.XLOOKUP($I114,Inputs!$G$6:$G$23,Inputs!$K$6:$K$23)*$K114</f>
        <v>39</v>
      </c>
      <c r="S114" s="103" t="s">
        <v>934</v>
      </c>
      <c r="T114" s="98" t="s">
        <v>1278</v>
      </c>
      <c r="U114" s="103" t="s">
        <v>935</v>
      </c>
      <c r="V114" s="98" t="s">
        <v>1331</v>
      </c>
      <c r="W114" s="47"/>
      <c r="X114" s="18"/>
      <c r="Y114" s="68">
        <v>25</v>
      </c>
    </row>
    <row r="115" spans="2:25" s="14" customFormat="1" ht="18">
      <c r="B115" s="103" t="s">
        <v>233</v>
      </c>
      <c r="C115" s="47" t="s">
        <v>93</v>
      </c>
      <c r="D115" s="98" t="s">
        <v>598</v>
      </c>
      <c r="E115" s="103">
        <v>1</v>
      </c>
      <c r="F115" s="103" t="s">
        <v>152</v>
      </c>
      <c r="G115" s="180">
        <v>15</v>
      </c>
      <c r="H115" s="180">
        <v>9</v>
      </c>
      <c r="I115" s="102">
        <v>69</v>
      </c>
      <c r="J115" s="212" cm="1">
        <f t="array" ref="J115">_xlfn.XLOOKUP($I115,Inputs!$C$6:$C$23,Inputs!$D$6:D$23)*$G115</f>
        <v>5.7642857142857142</v>
      </c>
      <c r="K115" s="217">
        <f t="shared" si="1"/>
        <v>3</v>
      </c>
      <c r="L115" s="123"/>
      <c r="M115" s="123"/>
      <c r="N115" s="123"/>
      <c r="O115" s="123"/>
      <c r="P115" s="123"/>
      <c r="Q115" s="218">
        <f>_xlfn.XLOOKUP($I115,Inputs!$G$6:$G$23,Inputs!$J$6:$J$23)*$K115</f>
        <v>36</v>
      </c>
      <c r="R115" s="218">
        <f>_xlfn.XLOOKUP($I115,Inputs!$G$6:$G$23,Inputs!$K$6:$K$23)*$K115</f>
        <v>39</v>
      </c>
      <c r="S115" s="103" t="s">
        <v>947</v>
      </c>
      <c r="T115" s="98" t="s">
        <v>1279</v>
      </c>
      <c r="U115" s="103" t="s">
        <v>948</v>
      </c>
      <c r="V115" s="98" t="s">
        <v>1234</v>
      </c>
      <c r="W115" s="47"/>
      <c r="X115" s="18"/>
      <c r="Y115" s="68">
        <v>37</v>
      </c>
    </row>
    <row r="116" spans="2:25" s="14" customFormat="1" ht="18">
      <c r="B116" s="103" t="s">
        <v>162</v>
      </c>
      <c r="C116" s="47" t="s">
        <v>93</v>
      </c>
      <c r="D116" s="98" t="s">
        <v>598</v>
      </c>
      <c r="E116" s="103">
        <v>1</v>
      </c>
      <c r="F116" s="103" t="s">
        <v>152</v>
      </c>
      <c r="G116" s="180">
        <v>12</v>
      </c>
      <c r="H116" s="180">
        <v>7</v>
      </c>
      <c r="I116" s="102">
        <v>138</v>
      </c>
      <c r="J116" s="212" cm="1">
        <f t="array" ref="J116">_xlfn.XLOOKUP($I116,Inputs!$C$6:$C$23,Inputs!$D$6:D$23)*$G116</f>
        <v>5.2028571428571428</v>
      </c>
      <c r="K116" s="217">
        <f t="shared" si="1"/>
        <v>3</v>
      </c>
      <c r="L116" s="123"/>
      <c r="M116" s="123"/>
      <c r="N116" s="123"/>
      <c r="O116" s="123"/>
      <c r="P116" s="123"/>
      <c r="Q116" s="218">
        <f>_xlfn.XLOOKUP($I116,Inputs!$G$6:$G$23,Inputs!$J$6:$J$23)*$K116</f>
        <v>141</v>
      </c>
      <c r="R116" s="218">
        <f>_xlfn.XLOOKUP($I116,Inputs!$G$6:$G$23,Inputs!$K$6:$K$23)*$K116</f>
        <v>156</v>
      </c>
      <c r="S116" s="103" t="s">
        <v>1019</v>
      </c>
      <c r="T116" s="98" t="s">
        <v>1280</v>
      </c>
      <c r="U116" s="103" t="s">
        <v>1127</v>
      </c>
      <c r="V116" s="98" t="s">
        <v>1420</v>
      </c>
      <c r="W116" s="47"/>
      <c r="X116" s="18"/>
      <c r="Y116" s="68">
        <v>306</v>
      </c>
    </row>
    <row r="117" spans="2:25" s="14" customFormat="1" ht="18">
      <c r="B117" s="103" t="s">
        <v>242</v>
      </c>
      <c r="C117" s="47" t="s">
        <v>93</v>
      </c>
      <c r="D117" s="98" t="s">
        <v>598</v>
      </c>
      <c r="E117" s="103">
        <v>1</v>
      </c>
      <c r="F117" s="103" t="s">
        <v>152</v>
      </c>
      <c r="G117" s="180">
        <v>12</v>
      </c>
      <c r="H117" s="180">
        <v>7</v>
      </c>
      <c r="I117" s="102">
        <v>138</v>
      </c>
      <c r="J117" s="212" cm="1">
        <f t="array" ref="J117">_xlfn.XLOOKUP($I117,Inputs!$C$6:$C$23,Inputs!$D$6:D$23)*$G117</f>
        <v>5.2028571428571428</v>
      </c>
      <c r="K117" s="217">
        <f t="shared" si="1"/>
        <v>3</v>
      </c>
      <c r="L117" s="123"/>
      <c r="M117" s="123"/>
      <c r="N117" s="123"/>
      <c r="O117" s="123"/>
      <c r="P117" s="123"/>
      <c r="Q117" s="218">
        <f>_xlfn.XLOOKUP($I117,Inputs!$G$6:$G$23,Inputs!$J$6:$J$23)*$K117</f>
        <v>141</v>
      </c>
      <c r="R117" s="218">
        <f>_xlfn.XLOOKUP($I117,Inputs!$G$6:$G$23,Inputs!$K$6:$K$23)*$K117</f>
        <v>156</v>
      </c>
      <c r="S117" s="103" t="s">
        <v>1019</v>
      </c>
      <c r="T117" s="98" t="s">
        <v>1280</v>
      </c>
      <c r="U117" s="103" t="s">
        <v>1127</v>
      </c>
      <c r="V117" s="98" t="s">
        <v>1420</v>
      </c>
      <c r="W117" s="47"/>
      <c r="X117" s="18"/>
      <c r="Y117" s="68">
        <v>309</v>
      </c>
    </row>
    <row r="118" spans="2:25" s="14" customFormat="1" ht="18">
      <c r="B118" s="103" t="s">
        <v>232</v>
      </c>
      <c r="C118" s="47" t="s">
        <v>93</v>
      </c>
      <c r="D118" s="98" t="s">
        <v>598</v>
      </c>
      <c r="E118" s="103">
        <v>1</v>
      </c>
      <c r="F118" s="103" t="s">
        <v>152</v>
      </c>
      <c r="G118" s="257">
        <v>10</v>
      </c>
      <c r="H118" s="257">
        <v>6</v>
      </c>
      <c r="I118" s="102">
        <v>230</v>
      </c>
      <c r="J118" s="212" cm="1">
        <f t="array" ref="J118">_xlfn.XLOOKUP($I118,Inputs!$C$6:$C$23,Inputs!$D$6:D$23)*$G118</f>
        <v>4.8</v>
      </c>
      <c r="K118" s="217">
        <f t="shared" si="1"/>
        <v>3</v>
      </c>
      <c r="L118" s="123"/>
      <c r="M118" s="123"/>
      <c r="N118" s="123"/>
      <c r="O118" s="123"/>
      <c r="P118" s="123"/>
      <c r="Q118" s="218">
        <f>_xlfn.XLOOKUP($I118,Inputs!$G$6:$G$23,Inputs!$J$6:$J$23)*$K118</f>
        <v>402</v>
      </c>
      <c r="R118" s="218">
        <f>_xlfn.XLOOKUP($I118,Inputs!$G$6:$G$23,Inputs!$K$6:$K$23)*$K118</f>
        <v>435</v>
      </c>
      <c r="S118" s="103" t="s">
        <v>1132</v>
      </c>
      <c r="T118" s="98" t="s">
        <v>1406</v>
      </c>
      <c r="U118" s="103" t="s">
        <v>1117</v>
      </c>
      <c r="V118" s="98" t="s">
        <v>1421</v>
      </c>
      <c r="W118" s="47"/>
      <c r="X118" s="18"/>
      <c r="Y118" s="68">
        <v>389</v>
      </c>
    </row>
    <row r="119" spans="2:25" s="14" customFormat="1" ht="18">
      <c r="B119" s="103" t="s">
        <v>320</v>
      </c>
      <c r="C119" s="47" t="s">
        <v>93</v>
      </c>
      <c r="D119" s="98" t="s">
        <v>598</v>
      </c>
      <c r="E119" s="103">
        <v>1</v>
      </c>
      <c r="F119" s="103" t="s">
        <v>152</v>
      </c>
      <c r="G119" s="180">
        <v>13</v>
      </c>
      <c r="H119" s="180">
        <v>8</v>
      </c>
      <c r="I119" s="102">
        <v>69</v>
      </c>
      <c r="J119" s="212" cm="1">
        <f t="array" ref="J119">_xlfn.XLOOKUP($I119,Inputs!$C$6:$C$23,Inputs!$D$6:D$23)*$G119</f>
        <v>4.9957142857142856</v>
      </c>
      <c r="K119" s="217">
        <f t="shared" si="1"/>
        <v>3</v>
      </c>
      <c r="L119" s="123"/>
      <c r="M119" s="123"/>
      <c r="N119" s="123"/>
      <c r="O119" s="123"/>
      <c r="P119" s="123"/>
      <c r="Q119" s="218">
        <f>_xlfn.XLOOKUP($I119,Inputs!$G$6:$G$23,Inputs!$J$6:$J$23)*$K119</f>
        <v>36</v>
      </c>
      <c r="R119" s="218">
        <f>_xlfn.XLOOKUP($I119,Inputs!$G$6:$G$23,Inputs!$K$6:$K$23)*$K119</f>
        <v>39</v>
      </c>
      <c r="S119" s="103" t="s">
        <v>991</v>
      </c>
      <c r="T119" s="98" t="s">
        <v>1286</v>
      </c>
      <c r="U119" s="103" t="s">
        <v>1014</v>
      </c>
      <c r="V119" s="98" t="s">
        <v>1210</v>
      </c>
      <c r="W119" s="47"/>
      <c r="X119" s="18"/>
      <c r="Y119" s="68">
        <v>254</v>
      </c>
    </row>
    <row r="120" spans="2:25" s="14" customFormat="1" ht="18">
      <c r="B120" s="103" t="s">
        <v>322</v>
      </c>
      <c r="C120" s="47" t="s">
        <v>93</v>
      </c>
      <c r="D120" s="98" t="s">
        <v>598</v>
      </c>
      <c r="E120" s="103">
        <v>1</v>
      </c>
      <c r="F120" s="103" t="s">
        <v>152</v>
      </c>
      <c r="G120" s="180">
        <v>4</v>
      </c>
      <c r="H120" s="180">
        <v>2</v>
      </c>
      <c r="I120" s="102">
        <v>69</v>
      </c>
      <c r="J120" s="212" cm="1">
        <f t="array" ref="J120">_xlfn.XLOOKUP($I120,Inputs!$C$6:$C$23,Inputs!$D$6:D$23)*$G120</f>
        <v>1.5371428571428571</v>
      </c>
      <c r="K120" s="217">
        <f t="shared" si="1"/>
        <v>3</v>
      </c>
      <c r="L120" s="123"/>
      <c r="M120" s="123"/>
      <c r="N120" s="123"/>
      <c r="O120" s="123"/>
      <c r="P120" s="123"/>
      <c r="Q120" s="218">
        <f>_xlfn.XLOOKUP($I120,Inputs!$G$6:$G$23,Inputs!$J$6:$J$23)*$K120</f>
        <v>36</v>
      </c>
      <c r="R120" s="218">
        <f>_xlfn.XLOOKUP($I120,Inputs!$G$6:$G$23,Inputs!$K$6:$K$23)*$K120</f>
        <v>39</v>
      </c>
      <c r="S120" s="103" t="s">
        <v>991</v>
      </c>
      <c r="T120" s="98" t="s">
        <v>1286</v>
      </c>
      <c r="U120" s="103" t="s">
        <v>992</v>
      </c>
      <c r="V120" s="98" t="s">
        <v>1260</v>
      </c>
      <c r="W120" s="47"/>
      <c r="X120" s="18"/>
      <c r="Y120" s="68">
        <v>150</v>
      </c>
    </row>
    <row r="121" spans="2:25" s="14" customFormat="1" ht="18">
      <c r="B121" s="103" t="s">
        <v>175</v>
      </c>
      <c r="C121" s="47" t="s">
        <v>93</v>
      </c>
      <c r="D121" s="98" t="s">
        <v>598</v>
      </c>
      <c r="E121" s="103">
        <v>1</v>
      </c>
      <c r="F121" s="103" t="s">
        <v>152</v>
      </c>
      <c r="G121" s="180">
        <v>6</v>
      </c>
      <c r="H121" s="180">
        <v>4</v>
      </c>
      <c r="I121" s="102">
        <v>138</v>
      </c>
      <c r="J121" s="212" cm="1">
        <f t="array" ref="J121">_xlfn.XLOOKUP($I121,Inputs!$C$6:$C$23,Inputs!$D$6:D$23)*$G121</f>
        <v>2.6014285714285714</v>
      </c>
      <c r="K121" s="217">
        <f t="shared" si="1"/>
        <v>3</v>
      </c>
      <c r="L121" s="123"/>
      <c r="M121" s="123"/>
      <c r="N121" s="123"/>
      <c r="O121" s="123"/>
      <c r="P121" s="123"/>
      <c r="Q121" s="218">
        <f>_xlfn.XLOOKUP($I121,Inputs!$G$6:$G$23,Inputs!$J$6:$J$23)*$K121</f>
        <v>141</v>
      </c>
      <c r="R121" s="218">
        <f>_xlfn.XLOOKUP($I121,Inputs!$G$6:$G$23,Inputs!$K$6:$K$23)*$K121</f>
        <v>156</v>
      </c>
      <c r="S121" s="103" t="s">
        <v>1135</v>
      </c>
      <c r="T121" s="98" t="s">
        <v>1409</v>
      </c>
      <c r="U121" s="103" t="s">
        <v>1130</v>
      </c>
      <c r="V121" s="98" t="s">
        <v>1404</v>
      </c>
      <c r="W121" s="47"/>
      <c r="X121" s="18"/>
      <c r="Y121" s="68">
        <v>362</v>
      </c>
    </row>
    <row r="122" spans="2:25" s="14" customFormat="1" ht="18">
      <c r="B122" s="103" t="s">
        <v>174</v>
      </c>
      <c r="C122" s="47" t="s">
        <v>93</v>
      </c>
      <c r="D122" s="98" t="s">
        <v>598</v>
      </c>
      <c r="E122" s="103">
        <v>1</v>
      </c>
      <c r="F122" s="103" t="s">
        <v>152</v>
      </c>
      <c r="G122" s="180">
        <v>6</v>
      </c>
      <c r="H122" s="180">
        <v>4</v>
      </c>
      <c r="I122" s="102">
        <v>138</v>
      </c>
      <c r="J122" s="212" cm="1">
        <f t="array" ref="J122">_xlfn.XLOOKUP($I122,Inputs!$C$6:$C$23,Inputs!$D$6:D$23)*$G122</f>
        <v>2.6014285714285714</v>
      </c>
      <c r="K122" s="217">
        <f t="shared" si="1"/>
        <v>3</v>
      </c>
      <c r="L122" s="123"/>
      <c r="M122" s="123"/>
      <c r="N122" s="123"/>
      <c r="O122" s="123"/>
      <c r="P122" s="123"/>
      <c r="Q122" s="218">
        <f>_xlfn.XLOOKUP($I122,Inputs!$G$6:$G$23,Inputs!$J$6:$J$23)*$K122</f>
        <v>141</v>
      </c>
      <c r="R122" s="218">
        <f>_xlfn.XLOOKUP($I122,Inputs!$G$6:$G$23,Inputs!$K$6:$K$23)*$K122</f>
        <v>156</v>
      </c>
      <c r="S122" s="103" t="s">
        <v>1135</v>
      </c>
      <c r="T122" s="98" t="s">
        <v>1409</v>
      </c>
      <c r="U122" s="103" t="s">
        <v>1130</v>
      </c>
      <c r="V122" s="98" t="s">
        <v>1404</v>
      </c>
      <c r="W122" s="47"/>
      <c r="X122" s="18"/>
      <c r="Y122" s="68">
        <v>363</v>
      </c>
    </row>
    <row r="123" spans="2:25" s="14" customFormat="1" ht="18">
      <c r="B123" s="103" t="s">
        <v>351</v>
      </c>
      <c r="C123" s="47" t="s">
        <v>93</v>
      </c>
      <c r="D123" s="98" t="s">
        <v>598</v>
      </c>
      <c r="E123" s="103">
        <v>1</v>
      </c>
      <c r="F123" s="103" t="s">
        <v>152</v>
      </c>
      <c r="G123" s="257">
        <v>2</v>
      </c>
      <c r="H123" s="257">
        <v>1</v>
      </c>
      <c r="I123" s="102">
        <v>69</v>
      </c>
      <c r="J123" s="212" cm="1">
        <f t="array" ref="J123">_xlfn.XLOOKUP($I123,Inputs!$C$6:$C$23,Inputs!$D$6:D$23)*$G123</f>
        <v>0.76857142857142857</v>
      </c>
      <c r="K123" s="217">
        <f t="shared" si="1"/>
        <v>3</v>
      </c>
      <c r="L123" s="123"/>
      <c r="M123" s="123"/>
      <c r="N123" s="123"/>
      <c r="O123" s="123"/>
      <c r="P123" s="123"/>
      <c r="Q123" s="218">
        <f>_xlfn.XLOOKUP($I123,Inputs!$G$6:$G$23,Inputs!$J$6:$J$23)*$K123</f>
        <v>36</v>
      </c>
      <c r="R123" s="218">
        <f>_xlfn.XLOOKUP($I123,Inputs!$G$6:$G$23,Inputs!$K$6:$K$23)*$K123</f>
        <v>39</v>
      </c>
      <c r="S123" s="103" t="s">
        <v>1135</v>
      </c>
      <c r="T123" s="98" t="s">
        <v>1409</v>
      </c>
      <c r="U123" s="103" t="s">
        <v>1052</v>
      </c>
      <c r="V123" s="98" t="s">
        <v>1258</v>
      </c>
      <c r="W123" s="148"/>
      <c r="X123" s="18"/>
      <c r="Y123" s="68">
        <v>183</v>
      </c>
    </row>
    <row r="124" spans="2:25" s="14" customFormat="1" ht="18">
      <c r="B124" s="103" t="s">
        <v>350</v>
      </c>
      <c r="C124" s="47" t="s">
        <v>93</v>
      </c>
      <c r="D124" s="98" t="s">
        <v>598</v>
      </c>
      <c r="E124" s="103">
        <v>1</v>
      </c>
      <c r="F124" s="103" t="s">
        <v>152</v>
      </c>
      <c r="G124" s="257">
        <v>2</v>
      </c>
      <c r="H124" s="257">
        <v>1</v>
      </c>
      <c r="I124" s="102">
        <v>69</v>
      </c>
      <c r="J124" s="212" cm="1">
        <f t="array" ref="J124">_xlfn.XLOOKUP($I124,Inputs!$C$6:$C$23,Inputs!$D$6:D$23)*$G124</f>
        <v>0.76857142857142857</v>
      </c>
      <c r="K124" s="217">
        <f t="shared" si="1"/>
        <v>3</v>
      </c>
      <c r="L124" s="123"/>
      <c r="M124" s="123"/>
      <c r="N124" s="123"/>
      <c r="O124" s="123"/>
      <c r="P124" s="123"/>
      <c r="Q124" s="218">
        <f>_xlfn.XLOOKUP($I124,Inputs!$G$6:$G$23,Inputs!$J$6:$J$23)*$K124</f>
        <v>36</v>
      </c>
      <c r="R124" s="218">
        <f>_xlfn.XLOOKUP($I124,Inputs!$G$6:$G$23,Inputs!$K$6:$K$23)*$K124</f>
        <v>39</v>
      </c>
      <c r="S124" s="103" t="s">
        <v>1135</v>
      </c>
      <c r="T124" s="98" t="s">
        <v>1409</v>
      </c>
      <c r="U124" s="103" t="s">
        <v>1055</v>
      </c>
      <c r="V124" s="98" t="s">
        <v>1456</v>
      </c>
      <c r="W124" s="148"/>
      <c r="X124" s="18"/>
      <c r="Y124" s="68">
        <v>194</v>
      </c>
    </row>
    <row r="125" spans="2:25" s="14" customFormat="1" ht="18">
      <c r="B125" s="103" t="s">
        <v>182</v>
      </c>
      <c r="C125" s="47" t="s">
        <v>93</v>
      </c>
      <c r="D125" s="98" t="s">
        <v>598</v>
      </c>
      <c r="E125" s="103">
        <v>1</v>
      </c>
      <c r="F125" s="103" t="s">
        <v>152</v>
      </c>
      <c r="G125" s="180">
        <v>44</v>
      </c>
      <c r="H125" s="180">
        <v>27</v>
      </c>
      <c r="I125" s="102">
        <v>69</v>
      </c>
      <c r="J125" s="212" cm="1">
        <f t="array" ref="J125">_xlfn.XLOOKUP($I125,Inputs!$C$6:$C$23,Inputs!$D$6:D$23)*$G125</f>
        <v>16.908571428571427</v>
      </c>
      <c r="K125" s="217">
        <f t="shared" si="1"/>
        <v>3</v>
      </c>
      <c r="L125" s="123"/>
      <c r="M125" s="123"/>
      <c r="N125" s="123"/>
      <c r="O125" s="123"/>
      <c r="P125" s="123"/>
      <c r="Q125" s="218">
        <f>_xlfn.XLOOKUP($I125,Inputs!$G$6:$G$23,Inputs!$J$6:$J$23)*$K125</f>
        <v>36</v>
      </c>
      <c r="R125" s="218">
        <f>_xlfn.XLOOKUP($I125,Inputs!$G$6:$G$23,Inputs!$K$6:$K$23)*$K125</f>
        <v>39</v>
      </c>
      <c r="S125" s="103" t="s">
        <v>1135</v>
      </c>
      <c r="T125" s="98" t="s">
        <v>1409</v>
      </c>
      <c r="U125" s="103" t="s">
        <v>178</v>
      </c>
      <c r="V125" s="98" t="s">
        <v>1379</v>
      </c>
      <c r="W125" s="148"/>
      <c r="X125" s="18"/>
      <c r="Y125" s="68">
        <v>184</v>
      </c>
    </row>
    <row r="126" spans="2:25" s="14" customFormat="1" ht="18">
      <c r="B126" s="103" t="s">
        <v>177</v>
      </c>
      <c r="C126" s="47" t="s">
        <v>93</v>
      </c>
      <c r="D126" s="98" t="s">
        <v>598</v>
      </c>
      <c r="E126" s="103">
        <v>1</v>
      </c>
      <c r="F126" s="103" t="s">
        <v>152</v>
      </c>
      <c r="G126" s="180">
        <v>44</v>
      </c>
      <c r="H126" s="180">
        <v>27</v>
      </c>
      <c r="I126" s="102">
        <v>138</v>
      </c>
      <c r="J126" s="212" cm="1">
        <f t="array" ref="J126">_xlfn.XLOOKUP($I126,Inputs!$C$6:$C$23,Inputs!$D$6:D$23)*$G126</f>
        <v>19.07714285714286</v>
      </c>
      <c r="K126" s="217">
        <f t="shared" si="1"/>
        <v>3</v>
      </c>
      <c r="L126" s="123"/>
      <c r="M126" s="123"/>
      <c r="N126" s="123"/>
      <c r="O126" s="123"/>
      <c r="P126" s="123"/>
      <c r="Q126" s="218">
        <f>_xlfn.XLOOKUP($I126,Inputs!$G$6:$G$23,Inputs!$J$6:$J$23)*$K126</f>
        <v>141</v>
      </c>
      <c r="R126" s="218">
        <f>_xlfn.XLOOKUP($I126,Inputs!$G$6:$G$23,Inputs!$K$6:$K$23)*$K126</f>
        <v>156</v>
      </c>
      <c r="S126" s="103" t="s">
        <v>1135</v>
      </c>
      <c r="T126" s="98" t="s">
        <v>1409</v>
      </c>
      <c r="U126" s="103" t="s">
        <v>178</v>
      </c>
      <c r="V126" s="98" t="s">
        <v>1379</v>
      </c>
      <c r="W126" s="148"/>
      <c r="X126" s="18"/>
      <c r="Y126" s="68">
        <v>304</v>
      </c>
    </row>
    <row r="127" spans="2:25" s="14" customFormat="1" ht="18">
      <c r="B127" s="103" t="s">
        <v>163</v>
      </c>
      <c r="C127" s="47" t="s">
        <v>169</v>
      </c>
      <c r="D127" s="98" t="s">
        <v>598</v>
      </c>
      <c r="E127" s="103">
        <v>1</v>
      </c>
      <c r="F127" s="103" t="s">
        <v>152</v>
      </c>
      <c r="G127" s="257">
        <v>2</v>
      </c>
      <c r="H127" s="257">
        <v>1</v>
      </c>
      <c r="I127" s="102">
        <v>69</v>
      </c>
      <c r="J127" s="212" cm="1">
        <f t="array" ref="J127">_xlfn.XLOOKUP($I127,Inputs!$C$6:$C$23,Inputs!$D$6:D$23)*$G127</f>
        <v>0.76857142857142857</v>
      </c>
      <c r="K127" s="217">
        <f t="shared" si="1"/>
        <v>3</v>
      </c>
      <c r="L127" s="123"/>
      <c r="M127" s="123"/>
      <c r="N127" s="123"/>
      <c r="O127" s="123"/>
      <c r="P127" s="123"/>
      <c r="Q127" s="265">
        <v>40</v>
      </c>
      <c r="R127" s="265">
        <v>40</v>
      </c>
      <c r="S127" s="103" t="s">
        <v>1135</v>
      </c>
      <c r="T127" s="98" t="s">
        <v>1409</v>
      </c>
      <c r="U127" s="103" t="s">
        <v>1465</v>
      </c>
      <c r="V127" s="47" t="s">
        <v>808</v>
      </c>
      <c r="W127" s="47"/>
      <c r="X127" s="18"/>
      <c r="Y127" s="68">
        <v>200</v>
      </c>
    </row>
    <row r="128" spans="2:25" s="14" customFormat="1" ht="18">
      <c r="B128" s="103" t="s">
        <v>164</v>
      </c>
      <c r="C128" s="47" t="s">
        <v>169</v>
      </c>
      <c r="D128" s="98" t="s">
        <v>598</v>
      </c>
      <c r="E128" s="103">
        <v>1</v>
      </c>
      <c r="F128" s="103" t="s">
        <v>152</v>
      </c>
      <c r="G128" s="257">
        <v>2</v>
      </c>
      <c r="H128" s="257">
        <v>1</v>
      </c>
      <c r="I128" s="102">
        <v>69</v>
      </c>
      <c r="J128" s="212" cm="1">
        <f t="array" ref="J128">_xlfn.XLOOKUP($I128,Inputs!$C$6:$C$23,Inputs!$D$6:D$23)*$G128</f>
        <v>0.76857142857142857</v>
      </c>
      <c r="K128" s="217">
        <f t="shared" si="1"/>
        <v>3</v>
      </c>
      <c r="L128" s="123"/>
      <c r="M128" s="123"/>
      <c r="N128" s="123"/>
      <c r="O128" s="123"/>
      <c r="P128" s="123"/>
      <c r="Q128" s="265">
        <v>0</v>
      </c>
      <c r="R128" s="265">
        <v>0</v>
      </c>
      <c r="S128" s="103" t="s">
        <v>1135</v>
      </c>
      <c r="T128" s="98" t="s">
        <v>1409</v>
      </c>
      <c r="U128" s="103" t="s">
        <v>1465</v>
      </c>
      <c r="V128" s="47" t="s">
        <v>808</v>
      </c>
      <c r="W128" s="47"/>
      <c r="X128" s="18"/>
      <c r="Y128" s="68">
        <v>201</v>
      </c>
    </row>
    <row r="129" spans="2:25" s="14" customFormat="1" ht="18">
      <c r="B129" s="103" t="s">
        <v>180</v>
      </c>
      <c r="C129" s="47" t="s">
        <v>93</v>
      </c>
      <c r="D129" s="98" t="s">
        <v>598</v>
      </c>
      <c r="E129" s="103">
        <v>1</v>
      </c>
      <c r="F129" s="103" t="s">
        <v>152</v>
      </c>
      <c r="G129" s="257">
        <v>2</v>
      </c>
      <c r="H129" s="257">
        <v>1</v>
      </c>
      <c r="I129" s="102">
        <v>69</v>
      </c>
      <c r="J129" s="212" cm="1">
        <f t="array" ref="J129">_xlfn.XLOOKUP($I129,Inputs!$C$6:$C$23,Inputs!$D$6:D$23)*$G129</f>
        <v>0.76857142857142857</v>
      </c>
      <c r="K129" s="217">
        <f t="shared" si="1"/>
        <v>3</v>
      </c>
      <c r="L129" s="123"/>
      <c r="M129" s="123"/>
      <c r="N129" s="123"/>
      <c r="O129" s="123"/>
      <c r="P129" s="123"/>
      <c r="Q129" s="218">
        <f>_xlfn.XLOOKUP($I129,Inputs!$G$6:$G$23,Inputs!$J$6:$J$23)*$K129</f>
        <v>36</v>
      </c>
      <c r="R129" s="218">
        <f>_xlfn.XLOOKUP($I129,Inputs!$G$6:$G$23,Inputs!$K$6:$K$23)*$K129</f>
        <v>39</v>
      </c>
      <c r="S129" s="103" t="s">
        <v>1135</v>
      </c>
      <c r="T129" s="98" t="s">
        <v>1409</v>
      </c>
      <c r="U129" s="103" t="s">
        <v>632</v>
      </c>
      <c r="V129" s="98" t="s">
        <v>723</v>
      </c>
      <c r="W129" s="148"/>
      <c r="X129" s="18"/>
      <c r="Y129" s="68">
        <v>82</v>
      </c>
    </row>
    <row r="130" spans="2:25" s="14" customFormat="1" ht="18">
      <c r="B130" s="103" t="s">
        <v>176</v>
      </c>
      <c r="C130" s="47" t="s">
        <v>93</v>
      </c>
      <c r="D130" s="98" t="s">
        <v>598</v>
      </c>
      <c r="E130" s="103">
        <v>1</v>
      </c>
      <c r="F130" s="103" t="s">
        <v>152</v>
      </c>
      <c r="G130" s="180">
        <v>4</v>
      </c>
      <c r="H130" s="180">
        <v>2</v>
      </c>
      <c r="I130" s="102">
        <v>69</v>
      </c>
      <c r="J130" s="212" cm="1">
        <f t="array" ref="J130">_xlfn.XLOOKUP($I130,Inputs!$C$6:$C$23,Inputs!$D$6:D$23)*$G130</f>
        <v>1.5371428571428571</v>
      </c>
      <c r="K130" s="217">
        <f t="shared" si="1"/>
        <v>3</v>
      </c>
      <c r="L130" s="123"/>
      <c r="M130" s="123"/>
      <c r="N130" s="123"/>
      <c r="O130" s="123"/>
      <c r="P130" s="123"/>
      <c r="Q130" s="218">
        <f>_xlfn.XLOOKUP($I130,Inputs!$G$6:$G$23,Inputs!$J$6:$J$23)*$K130</f>
        <v>36</v>
      </c>
      <c r="R130" s="218">
        <f>_xlfn.XLOOKUP($I130,Inputs!$G$6:$G$23,Inputs!$K$6:$K$23)*$K130</f>
        <v>39</v>
      </c>
      <c r="S130" s="103" t="s">
        <v>1135</v>
      </c>
      <c r="T130" s="98" t="s">
        <v>1409</v>
      </c>
      <c r="U130" s="103" t="s">
        <v>660</v>
      </c>
      <c r="V130" s="98" t="s">
        <v>745</v>
      </c>
      <c r="W130" s="47"/>
      <c r="X130" s="18"/>
      <c r="Y130" s="68">
        <v>178</v>
      </c>
    </row>
    <row r="131" spans="2:25" s="14" customFormat="1" ht="18">
      <c r="B131" s="103" t="s">
        <v>182</v>
      </c>
      <c r="C131" s="47" t="s">
        <v>93</v>
      </c>
      <c r="D131" s="98" t="s">
        <v>598</v>
      </c>
      <c r="E131" s="103">
        <v>1</v>
      </c>
      <c r="F131" s="103" t="s">
        <v>152</v>
      </c>
      <c r="G131" s="180">
        <v>57</v>
      </c>
      <c r="H131" s="180">
        <v>35</v>
      </c>
      <c r="I131" s="102">
        <v>69</v>
      </c>
      <c r="J131" s="212" cm="1">
        <f t="array" ref="J131">_xlfn.XLOOKUP($I131,Inputs!$C$6:$C$23,Inputs!$D$6:D$23)*$G131</f>
        <v>21.904285714285713</v>
      </c>
      <c r="K131" s="217">
        <f t="shared" si="1"/>
        <v>3</v>
      </c>
      <c r="L131" s="123"/>
      <c r="M131" s="123"/>
      <c r="N131" s="123"/>
      <c r="O131" s="123"/>
      <c r="P131" s="123"/>
      <c r="Q131" s="218">
        <f>_xlfn.XLOOKUP($I131,Inputs!$G$6:$G$23,Inputs!$J$6:$J$23)*$K131</f>
        <v>36</v>
      </c>
      <c r="R131" s="218">
        <f>_xlfn.XLOOKUP($I131,Inputs!$G$6:$G$23,Inputs!$K$6:$K$23)*$K131</f>
        <v>39</v>
      </c>
      <c r="S131" s="103" t="s">
        <v>1135</v>
      </c>
      <c r="T131" s="98" t="s">
        <v>1409</v>
      </c>
      <c r="U131" s="103" t="s">
        <v>1004</v>
      </c>
      <c r="V131" s="98" t="s">
        <v>1303</v>
      </c>
      <c r="W131" s="148"/>
      <c r="X131" s="18"/>
      <c r="Y131" s="68">
        <v>185</v>
      </c>
    </row>
    <row r="132" spans="2:25" s="14" customFormat="1" ht="18">
      <c r="B132" s="103" t="s">
        <v>155</v>
      </c>
      <c r="C132" s="47" t="s">
        <v>93</v>
      </c>
      <c r="D132" s="98" t="s">
        <v>598</v>
      </c>
      <c r="E132" s="103">
        <v>1</v>
      </c>
      <c r="F132" s="103" t="s">
        <v>152</v>
      </c>
      <c r="G132" s="257">
        <v>40</v>
      </c>
      <c r="H132" s="257">
        <v>25</v>
      </c>
      <c r="I132" s="102">
        <v>345</v>
      </c>
      <c r="J132" s="212" cm="1">
        <f t="array" ref="J132">_xlfn.XLOOKUP($I132,Inputs!$C$6:$C$23,Inputs!$D$6:D$23)*$G132</f>
        <v>17.751851851851853</v>
      </c>
      <c r="K132" s="217">
        <f t="shared" ref="K132:K195" si="2">IF((42.4*(H132)^(-0.6595))&gt;=3,3,(IF(42.4*(H132)^(-0.6595)&lt;=0.5,0.5,(42.4*(H132)^(-0.6595)))))</f>
        <v>3</v>
      </c>
      <c r="L132" s="123"/>
      <c r="M132" s="123"/>
      <c r="N132" s="123"/>
      <c r="O132" s="123"/>
      <c r="P132" s="123"/>
      <c r="Q132" s="218">
        <f>_xlfn.XLOOKUP($I132,Inputs!$G$6:$G$23,Inputs!$J$6:$J$23)*$K132</f>
        <v>975</v>
      </c>
      <c r="R132" s="218">
        <f>_xlfn.XLOOKUP($I132,Inputs!$G$6:$G$23,Inputs!$K$6:$K$23)*$K132</f>
        <v>1275</v>
      </c>
      <c r="S132" s="103" t="s">
        <v>1135</v>
      </c>
      <c r="T132" s="98" t="s">
        <v>1409</v>
      </c>
      <c r="U132" s="103" t="s">
        <v>1129</v>
      </c>
      <c r="V132" s="98" t="s">
        <v>1427</v>
      </c>
      <c r="W132" s="148"/>
      <c r="X132" s="18"/>
      <c r="Y132" s="68">
        <v>402</v>
      </c>
    </row>
    <row r="133" spans="2:25" s="14" customFormat="1" ht="18">
      <c r="B133" s="159" t="s">
        <v>271</v>
      </c>
      <c r="C133" s="159" t="s">
        <v>93</v>
      </c>
      <c r="D133" s="98" t="s">
        <v>598</v>
      </c>
      <c r="E133" s="159">
        <v>1</v>
      </c>
      <c r="F133" s="159" t="s">
        <v>152</v>
      </c>
      <c r="G133" s="257">
        <v>0.3</v>
      </c>
      <c r="H133" s="257">
        <v>0.2</v>
      </c>
      <c r="I133" s="178">
        <v>138</v>
      </c>
      <c r="J133" s="212" cm="1">
        <f t="array" ref="J133">_xlfn.XLOOKUP($I133,Inputs!$C$6:$C$23,Inputs!$D$6:D$23)*$G133</f>
        <v>0.13007142857142859</v>
      </c>
      <c r="K133" s="217">
        <f t="shared" si="2"/>
        <v>3</v>
      </c>
      <c r="L133" s="123"/>
      <c r="M133" s="123"/>
      <c r="N133" s="123"/>
      <c r="O133" s="123"/>
      <c r="P133" s="123"/>
      <c r="Q133" s="218">
        <f>_xlfn.XLOOKUP($I133,Inputs!$G$6:$G$23,Inputs!$J$6:$J$23)*$K133</f>
        <v>141</v>
      </c>
      <c r="R133" s="218">
        <f>_xlfn.XLOOKUP($I133,Inputs!$G$6:$G$23,Inputs!$K$6:$K$23)*$K133</f>
        <v>156</v>
      </c>
      <c r="S133" s="159" t="s">
        <v>1451</v>
      </c>
      <c r="T133" s="98" t="s">
        <v>1411</v>
      </c>
      <c r="U133" s="159" t="s">
        <v>373</v>
      </c>
      <c r="V133" s="98" t="s">
        <v>1381</v>
      </c>
      <c r="W133" s="94" t="s">
        <v>1507</v>
      </c>
      <c r="X133" s="18" t="s">
        <v>1490</v>
      </c>
      <c r="Y133" s="68">
        <v>323</v>
      </c>
    </row>
    <row r="134" spans="2:25" s="14" customFormat="1" ht="18">
      <c r="B134" s="103" t="s">
        <v>281</v>
      </c>
      <c r="C134" s="47" t="s">
        <v>93</v>
      </c>
      <c r="D134" s="98" t="s">
        <v>598</v>
      </c>
      <c r="E134" s="103">
        <v>1</v>
      </c>
      <c r="F134" s="103" t="s">
        <v>152</v>
      </c>
      <c r="G134" s="257">
        <v>0.5</v>
      </c>
      <c r="H134" s="257">
        <v>0.3</v>
      </c>
      <c r="I134" s="102">
        <v>69</v>
      </c>
      <c r="J134" s="212" cm="1">
        <f t="array" ref="J134">_xlfn.XLOOKUP($I134,Inputs!$C$6:$C$23,Inputs!$D$6:D$23)*$G134</f>
        <v>0.19214285714285714</v>
      </c>
      <c r="K134" s="217">
        <f t="shared" si="2"/>
        <v>3</v>
      </c>
      <c r="L134" s="123"/>
      <c r="M134" s="123"/>
      <c r="N134" s="123"/>
      <c r="O134" s="123"/>
      <c r="P134" s="123"/>
      <c r="Q134" s="218">
        <f>_xlfn.XLOOKUP($I134,Inputs!$G$6:$G$23,Inputs!$J$6:$J$23)*$K134</f>
        <v>36</v>
      </c>
      <c r="R134" s="218">
        <f>_xlfn.XLOOKUP($I134,Inputs!$G$6:$G$23,Inputs!$K$6:$K$23)*$K134</f>
        <v>39</v>
      </c>
      <c r="S134" s="103" t="s">
        <v>1410</v>
      </c>
      <c r="T134" s="98" t="s">
        <v>1412</v>
      </c>
      <c r="U134" s="103" t="s">
        <v>1413</v>
      </c>
      <c r="V134" s="98" t="s">
        <v>1414</v>
      </c>
      <c r="W134" s="47"/>
      <c r="X134" s="18"/>
      <c r="Y134" s="68">
        <v>125</v>
      </c>
    </row>
    <row r="135" spans="2:25" s="14" customFormat="1" ht="18">
      <c r="B135" s="103" t="s">
        <v>282</v>
      </c>
      <c r="C135" s="47" t="s">
        <v>93</v>
      </c>
      <c r="D135" s="98" t="s">
        <v>598</v>
      </c>
      <c r="E135" s="103">
        <v>1</v>
      </c>
      <c r="F135" s="103" t="s">
        <v>152</v>
      </c>
      <c r="G135" s="257">
        <v>4.5</v>
      </c>
      <c r="H135" s="257">
        <v>2.8</v>
      </c>
      <c r="I135" s="102">
        <v>69</v>
      </c>
      <c r="J135" s="212" cm="1">
        <f t="array" ref="J135">_xlfn.XLOOKUP($I135,Inputs!$C$6:$C$23,Inputs!$D$6:D$23)*$G135</f>
        <v>1.7292857142857143</v>
      </c>
      <c r="K135" s="217">
        <f t="shared" si="2"/>
        <v>3</v>
      </c>
      <c r="L135" s="123"/>
      <c r="M135" s="123"/>
      <c r="N135" s="123"/>
      <c r="O135" s="123"/>
      <c r="P135" s="123"/>
      <c r="Q135" s="218">
        <f>_xlfn.XLOOKUP($I135,Inputs!$G$6:$G$23,Inputs!$J$6:$J$23)*$K135</f>
        <v>36</v>
      </c>
      <c r="R135" s="218">
        <f>_xlfn.XLOOKUP($I135,Inputs!$G$6:$G$23,Inputs!$K$6:$K$23)*$K135</f>
        <v>39</v>
      </c>
      <c r="S135" s="103" t="s">
        <v>1410</v>
      </c>
      <c r="T135" s="98" t="s">
        <v>1412</v>
      </c>
      <c r="U135" s="103" t="s">
        <v>987</v>
      </c>
      <c r="V135" s="98" t="s">
        <v>1305</v>
      </c>
      <c r="W135" s="47"/>
      <c r="X135" s="18"/>
      <c r="Y135" s="68">
        <v>126</v>
      </c>
    </row>
    <row r="136" spans="2:25" s="14" customFormat="1" ht="18">
      <c r="B136" s="103" t="s">
        <v>282</v>
      </c>
      <c r="C136" s="47" t="s">
        <v>93</v>
      </c>
      <c r="D136" s="98" t="s">
        <v>598</v>
      </c>
      <c r="E136" s="103">
        <v>1</v>
      </c>
      <c r="F136" s="103" t="s">
        <v>152</v>
      </c>
      <c r="G136" s="257">
        <v>0.5</v>
      </c>
      <c r="H136" s="257">
        <v>0.3</v>
      </c>
      <c r="I136" s="102">
        <v>69</v>
      </c>
      <c r="J136" s="212" cm="1">
        <f t="array" ref="J136">_xlfn.XLOOKUP($I136,Inputs!$C$6:$C$23,Inputs!$D$6:D$23)*$G136</f>
        <v>0.19214285714285714</v>
      </c>
      <c r="K136" s="217">
        <f t="shared" si="2"/>
        <v>3</v>
      </c>
      <c r="L136" s="123"/>
      <c r="M136" s="123"/>
      <c r="N136" s="123"/>
      <c r="O136" s="123"/>
      <c r="P136" s="123"/>
      <c r="Q136" s="218">
        <f>_xlfn.XLOOKUP($I136,Inputs!$G$6:$G$23,Inputs!$J$6:$J$23)*$K136</f>
        <v>36</v>
      </c>
      <c r="R136" s="218">
        <f>_xlfn.XLOOKUP($I136,Inputs!$G$6:$G$23,Inputs!$K$6:$K$23)*$K136</f>
        <v>39</v>
      </c>
      <c r="S136" s="103" t="s">
        <v>1413</v>
      </c>
      <c r="T136" s="98" t="s">
        <v>1414</v>
      </c>
      <c r="U136" s="103" t="s">
        <v>1410</v>
      </c>
      <c r="V136" s="98" t="s">
        <v>1412</v>
      </c>
      <c r="W136" s="47"/>
      <c r="X136" s="18"/>
      <c r="Y136" s="68">
        <v>127</v>
      </c>
    </row>
    <row r="137" spans="2:25" s="14" customFormat="1" ht="18">
      <c r="B137" s="103" t="s">
        <v>292</v>
      </c>
      <c r="C137" s="47" t="s">
        <v>93</v>
      </c>
      <c r="D137" s="98" t="s">
        <v>598</v>
      </c>
      <c r="E137" s="103">
        <v>1</v>
      </c>
      <c r="F137" s="103" t="s">
        <v>152</v>
      </c>
      <c r="G137" s="257">
        <v>2</v>
      </c>
      <c r="H137" s="257">
        <v>1</v>
      </c>
      <c r="I137" s="102">
        <v>69</v>
      </c>
      <c r="J137" s="212" cm="1">
        <f t="array" ref="J137">_xlfn.XLOOKUP($I137,Inputs!$C$6:$C$23,Inputs!$D$6:D$23)*$G137</f>
        <v>0.76857142857142857</v>
      </c>
      <c r="K137" s="217">
        <f t="shared" si="2"/>
        <v>3</v>
      </c>
      <c r="L137" s="123"/>
      <c r="M137" s="123"/>
      <c r="N137" s="123"/>
      <c r="O137" s="123"/>
      <c r="P137" s="123"/>
      <c r="Q137" s="218">
        <f>_xlfn.XLOOKUP($I137,Inputs!$G$6:$G$23,Inputs!$J$6:$J$23)*$K137</f>
        <v>36</v>
      </c>
      <c r="R137" s="218">
        <f>_xlfn.XLOOKUP($I137,Inputs!$G$6:$G$23,Inputs!$K$6:$K$23)*$K137</f>
        <v>39</v>
      </c>
      <c r="S137" s="103" t="s">
        <v>1002</v>
      </c>
      <c r="T137" s="98" t="s">
        <v>1443</v>
      </c>
      <c r="U137" s="103" t="s">
        <v>1049</v>
      </c>
      <c r="V137" s="98" t="s">
        <v>1442</v>
      </c>
      <c r="W137" s="47"/>
      <c r="X137" s="18"/>
      <c r="Y137" s="68">
        <v>175</v>
      </c>
    </row>
    <row r="138" spans="2:25" s="14" customFormat="1" ht="18">
      <c r="B138" s="103" t="s">
        <v>261</v>
      </c>
      <c r="C138" s="47" t="s">
        <v>93</v>
      </c>
      <c r="D138" s="98" t="s">
        <v>598</v>
      </c>
      <c r="E138" s="103">
        <v>1</v>
      </c>
      <c r="F138" s="103" t="s">
        <v>152</v>
      </c>
      <c r="G138" s="180">
        <v>11</v>
      </c>
      <c r="H138" s="180">
        <v>7</v>
      </c>
      <c r="I138" s="102">
        <v>69</v>
      </c>
      <c r="J138" s="212" cm="1">
        <f t="array" ref="J138">_xlfn.XLOOKUP($I138,Inputs!$C$6:$C$23,Inputs!$D$6:D$23)*$G138</f>
        <v>4.2271428571428569</v>
      </c>
      <c r="K138" s="217">
        <f t="shared" si="2"/>
        <v>3</v>
      </c>
      <c r="L138" s="123"/>
      <c r="M138" s="123"/>
      <c r="N138" s="123"/>
      <c r="O138" s="123"/>
      <c r="P138" s="123"/>
      <c r="Q138" s="218">
        <f>_xlfn.XLOOKUP($I138,Inputs!$G$6:$G$23,Inputs!$J$6:$J$23)*$K138</f>
        <v>36</v>
      </c>
      <c r="R138" s="218">
        <f>_xlfn.XLOOKUP($I138,Inputs!$G$6:$G$23,Inputs!$K$6:$K$23)*$K138</f>
        <v>39</v>
      </c>
      <c r="S138" s="103" t="s">
        <v>618</v>
      </c>
      <c r="T138" s="98" t="s">
        <v>757</v>
      </c>
      <c r="U138" s="103" t="s">
        <v>930</v>
      </c>
      <c r="V138" s="98" t="s">
        <v>1335</v>
      </c>
      <c r="W138" s="47"/>
      <c r="X138" s="18"/>
      <c r="Y138" s="68">
        <v>7</v>
      </c>
    </row>
    <row r="139" spans="2:25" s="14" customFormat="1" ht="18">
      <c r="B139" s="103" t="s">
        <v>262</v>
      </c>
      <c r="C139" s="47" t="s">
        <v>93</v>
      </c>
      <c r="D139" s="98" t="s">
        <v>598</v>
      </c>
      <c r="E139" s="103">
        <v>1</v>
      </c>
      <c r="F139" s="103" t="s">
        <v>152</v>
      </c>
      <c r="G139" s="180">
        <v>4</v>
      </c>
      <c r="H139" s="180">
        <v>2</v>
      </c>
      <c r="I139" s="102">
        <v>69</v>
      </c>
      <c r="J139" s="212" cm="1">
        <f t="array" ref="J139">_xlfn.XLOOKUP($I139,Inputs!$C$6:$C$23,Inputs!$D$6:D$23)*$G139</f>
        <v>1.5371428571428571</v>
      </c>
      <c r="K139" s="217">
        <f t="shared" si="2"/>
        <v>3</v>
      </c>
      <c r="L139" s="123"/>
      <c r="M139" s="123"/>
      <c r="N139" s="123"/>
      <c r="O139" s="123"/>
      <c r="P139" s="123"/>
      <c r="Q139" s="218">
        <f>_xlfn.XLOOKUP($I139,Inputs!$G$6:$G$23,Inputs!$J$6:$J$23)*$K139</f>
        <v>36</v>
      </c>
      <c r="R139" s="218">
        <f>_xlfn.XLOOKUP($I139,Inputs!$G$6:$G$23,Inputs!$K$6:$K$23)*$K139</f>
        <v>39</v>
      </c>
      <c r="S139" s="103" t="s">
        <v>618</v>
      </c>
      <c r="T139" s="98" t="s">
        <v>757</v>
      </c>
      <c r="U139" s="103" t="s">
        <v>953</v>
      </c>
      <c r="V139" s="98" t="s">
        <v>1364</v>
      </c>
      <c r="W139" s="47"/>
      <c r="X139" s="18"/>
      <c r="Y139" s="68">
        <v>49</v>
      </c>
    </row>
    <row r="140" spans="2:25" s="14" customFormat="1" ht="18">
      <c r="B140" s="103" t="s">
        <v>243</v>
      </c>
      <c r="C140" s="47" t="s">
        <v>93</v>
      </c>
      <c r="D140" s="98" t="s">
        <v>598</v>
      </c>
      <c r="E140" s="103">
        <v>1</v>
      </c>
      <c r="F140" s="103" t="s">
        <v>152</v>
      </c>
      <c r="G140" s="257">
        <v>3</v>
      </c>
      <c r="H140" s="257">
        <v>2</v>
      </c>
      <c r="I140" s="102">
        <v>69</v>
      </c>
      <c r="J140" s="212" cm="1">
        <f t="array" ref="J140">_xlfn.XLOOKUP($I140,Inputs!$C$6:$C$23,Inputs!$D$6:D$23)*$G140</f>
        <v>1.1528571428571428</v>
      </c>
      <c r="K140" s="217">
        <f t="shared" si="2"/>
        <v>3</v>
      </c>
      <c r="L140" s="123"/>
      <c r="M140" s="123"/>
      <c r="N140" s="123"/>
      <c r="O140" s="123"/>
      <c r="P140" s="123"/>
      <c r="Q140" s="218">
        <f>_xlfn.XLOOKUP($I140,Inputs!$G$6:$G$23,Inputs!$J$6:$J$23)*$K140</f>
        <v>36</v>
      </c>
      <c r="R140" s="218">
        <f>_xlfn.XLOOKUP($I140,Inputs!$G$6:$G$23,Inputs!$K$6:$K$23)*$K140</f>
        <v>39</v>
      </c>
      <c r="S140" s="103" t="s">
        <v>630</v>
      </c>
      <c r="T140" s="98" t="s">
        <v>702</v>
      </c>
      <c r="U140" s="103" t="s">
        <v>638</v>
      </c>
      <c r="V140" s="98" t="s">
        <v>762</v>
      </c>
      <c r="W140" s="47"/>
      <c r="X140" s="18"/>
      <c r="Y140" s="68">
        <v>94</v>
      </c>
    </row>
    <row r="141" spans="2:25" s="14" customFormat="1" ht="18">
      <c r="B141" s="103" t="s">
        <v>256</v>
      </c>
      <c r="C141" s="47" t="s">
        <v>93</v>
      </c>
      <c r="D141" s="98" t="s">
        <v>598</v>
      </c>
      <c r="E141" s="103">
        <v>1</v>
      </c>
      <c r="F141" s="103" t="s">
        <v>152</v>
      </c>
      <c r="G141" s="180">
        <v>3</v>
      </c>
      <c r="H141" s="180">
        <v>2</v>
      </c>
      <c r="I141" s="102">
        <v>69</v>
      </c>
      <c r="J141" s="212" cm="1">
        <f t="array" ref="J141">_xlfn.XLOOKUP($I141,Inputs!$C$6:$C$23,Inputs!$D$6:D$23)*$G141</f>
        <v>1.1528571428571428</v>
      </c>
      <c r="K141" s="217">
        <f t="shared" si="2"/>
        <v>3</v>
      </c>
      <c r="L141" s="123"/>
      <c r="M141" s="123"/>
      <c r="N141" s="123"/>
      <c r="O141" s="123"/>
      <c r="P141" s="123"/>
      <c r="Q141" s="218">
        <f>_xlfn.XLOOKUP($I141,Inputs!$G$6:$G$23,Inputs!$J$6:$J$23)*$K141</f>
        <v>36</v>
      </c>
      <c r="R141" s="218">
        <f>_xlfn.XLOOKUP($I141,Inputs!$G$6:$G$23,Inputs!$K$6:$K$23)*$K141</f>
        <v>39</v>
      </c>
      <c r="S141" s="103" t="s">
        <v>630</v>
      </c>
      <c r="T141" s="98" t="s">
        <v>702</v>
      </c>
      <c r="U141" s="103" t="s">
        <v>963</v>
      </c>
      <c r="V141" s="98" t="s">
        <v>1348</v>
      </c>
      <c r="W141" s="47"/>
      <c r="X141" s="18"/>
      <c r="Y141" s="68">
        <v>71</v>
      </c>
    </row>
    <row r="142" spans="2:25" s="14" customFormat="1" ht="18">
      <c r="B142" s="103" t="s">
        <v>260</v>
      </c>
      <c r="C142" s="47" t="s">
        <v>93</v>
      </c>
      <c r="D142" s="98" t="s">
        <v>598</v>
      </c>
      <c r="E142" s="103">
        <v>1</v>
      </c>
      <c r="F142" s="103" t="s">
        <v>152</v>
      </c>
      <c r="G142" s="180">
        <v>23</v>
      </c>
      <c r="H142" s="180">
        <v>14</v>
      </c>
      <c r="I142" s="102">
        <v>69</v>
      </c>
      <c r="J142" s="212" cm="1">
        <f t="array" ref="J142">_xlfn.XLOOKUP($I142,Inputs!$C$6:$C$23,Inputs!$D$6:D$23)*$G142</f>
        <v>8.838571428571429</v>
      </c>
      <c r="K142" s="217">
        <f t="shared" si="2"/>
        <v>3</v>
      </c>
      <c r="L142" s="123"/>
      <c r="M142" s="123"/>
      <c r="N142" s="123"/>
      <c r="O142" s="123"/>
      <c r="P142" s="123"/>
      <c r="Q142" s="218">
        <f>_xlfn.XLOOKUP($I142,Inputs!$G$6:$G$23,Inputs!$J$6:$J$23)*$K142</f>
        <v>36</v>
      </c>
      <c r="R142" s="218">
        <f>_xlfn.XLOOKUP($I142,Inputs!$G$6:$G$23,Inputs!$K$6:$K$23)*$K142</f>
        <v>39</v>
      </c>
      <c r="S142" s="103" t="s">
        <v>619</v>
      </c>
      <c r="T142" s="98" t="s">
        <v>701</v>
      </c>
      <c r="U142" s="103" t="s">
        <v>936</v>
      </c>
      <c r="V142" s="98" t="s">
        <v>1223</v>
      </c>
      <c r="W142" s="47"/>
      <c r="X142" s="18"/>
      <c r="Y142" s="68">
        <v>15</v>
      </c>
    </row>
    <row r="143" spans="2:25" s="14" customFormat="1" ht="18">
      <c r="B143" s="103" t="s">
        <v>270</v>
      </c>
      <c r="C143" s="47" t="s">
        <v>93</v>
      </c>
      <c r="D143" s="98" t="s">
        <v>598</v>
      </c>
      <c r="E143" s="103">
        <v>1</v>
      </c>
      <c r="F143" s="103" t="s">
        <v>152</v>
      </c>
      <c r="G143" s="180">
        <v>10</v>
      </c>
      <c r="H143" s="180">
        <v>6</v>
      </c>
      <c r="I143" s="102">
        <v>69</v>
      </c>
      <c r="J143" s="212" cm="1">
        <f t="array" ref="J143">_xlfn.XLOOKUP($I143,Inputs!$C$6:$C$23,Inputs!$D$6:D$23)*$G143</f>
        <v>3.842857142857143</v>
      </c>
      <c r="K143" s="217">
        <f t="shared" si="2"/>
        <v>3</v>
      </c>
      <c r="L143" s="123"/>
      <c r="M143" s="123"/>
      <c r="N143" s="123"/>
      <c r="O143" s="123"/>
      <c r="P143" s="123"/>
      <c r="Q143" s="218">
        <f>_xlfn.XLOOKUP($I143,Inputs!$G$6:$G$23,Inputs!$J$6:$J$23)*$K143</f>
        <v>36</v>
      </c>
      <c r="R143" s="218">
        <f>_xlfn.XLOOKUP($I143,Inputs!$G$6:$G$23,Inputs!$K$6:$K$23)*$K143</f>
        <v>39</v>
      </c>
      <c r="S143" s="179" t="s">
        <v>619</v>
      </c>
      <c r="T143" s="98" t="s">
        <v>701</v>
      </c>
      <c r="U143" s="103" t="s">
        <v>1035</v>
      </c>
      <c r="V143" s="98" t="s">
        <v>1283</v>
      </c>
      <c r="W143" s="47"/>
      <c r="X143" s="18"/>
      <c r="Y143" s="68">
        <v>81</v>
      </c>
    </row>
    <row r="144" spans="2:25" s="14" customFormat="1" ht="18">
      <c r="B144" s="103" t="s">
        <v>180</v>
      </c>
      <c r="C144" s="47" t="s">
        <v>93</v>
      </c>
      <c r="D144" s="98" t="s">
        <v>598</v>
      </c>
      <c r="E144" s="103">
        <v>1</v>
      </c>
      <c r="F144" s="103" t="s">
        <v>152</v>
      </c>
      <c r="G144" s="180">
        <v>9</v>
      </c>
      <c r="H144" s="180">
        <v>5</v>
      </c>
      <c r="I144" s="102">
        <v>69</v>
      </c>
      <c r="J144" s="212" cm="1">
        <f t="array" ref="J144">_xlfn.XLOOKUP($I144,Inputs!$C$6:$C$23,Inputs!$D$6:D$23)*$G144</f>
        <v>3.4585714285714286</v>
      </c>
      <c r="K144" s="217">
        <f t="shared" si="2"/>
        <v>3</v>
      </c>
      <c r="L144" s="123"/>
      <c r="M144" s="123"/>
      <c r="N144" s="123"/>
      <c r="O144" s="123"/>
      <c r="P144" s="123"/>
      <c r="Q144" s="218">
        <f>_xlfn.XLOOKUP($I144,Inputs!$G$6:$G$23,Inputs!$J$6:$J$23)*$K144</f>
        <v>36</v>
      </c>
      <c r="R144" s="218">
        <f>_xlfn.XLOOKUP($I144,Inputs!$G$6:$G$23,Inputs!$K$6:$K$23)*$K144</f>
        <v>39</v>
      </c>
      <c r="S144" s="103" t="s">
        <v>635</v>
      </c>
      <c r="T144" s="98" t="s">
        <v>765</v>
      </c>
      <c r="U144" s="103" t="s">
        <v>1139</v>
      </c>
      <c r="V144" s="98" t="s">
        <v>1424</v>
      </c>
      <c r="W144" s="47"/>
      <c r="X144" s="18"/>
      <c r="Y144" s="68">
        <v>90</v>
      </c>
    </row>
    <row r="145" spans="2:25" s="14" customFormat="1" ht="18">
      <c r="B145" s="103" t="s">
        <v>257</v>
      </c>
      <c r="C145" s="47" t="s">
        <v>93</v>
      </c>
      <c r="D145" s="98" t="s">
        <v>598</v>
      </c>
      <c r="E145" s="103">
        <v>1</v>
      </c>
      <c r="F145" s="103" t="s">
        <v>152</v>
      </c>
      <c r="G145" s="257">
        <v>3</v>
      </c>
      <c r="H145" s="257">
        <v>2</v>
      </c>
      <c r="I145" s="102">
        <v>69</v>
      </c>
      <c r="J145" s="212" cm="1">
        <f t="array" ref="J145">_xlfn.XLOOKUP($I145,Inputs!$C$6:$C$23,Inputs!$D$6:D$23)*$G145</f>
        <v>1.1528571428571428</v>
      </c>
      <c r="K145" s="217">
        <f t="shared" si="2"/>
        <v>3</v>
      </c>
      <c r="L145" s="123"/>
      <c r="M145" s="123"/>
      <c r="N145" s="123"/>
      <c r="O145" s="123"/>
      <c r="P145" s="123"/>
      <c r="Q145" s="218">
        <f>_xlfn.XLOOKUP($I145,Inputs!$G$6:$G$23,Inputs!$J$6:$J$23)*$K145</f>
        <v>36</v>
      </c>
      <c r="R145" s="218">
        <f>_xlfn.XLOOKUP($I145,Inputs!$G$6:$G$23,Inputs!$K$6:$K$23)*$K145</f>
        <v>39</v>
      </c>
      <c r="S145" s="103" t="s">
        <v>638</v>
      </c>
      <c r="T145" s="98" t="s">
        <v>762</v>
      </c>
      <c r="U145" s="103" t="s">
        <v>979</v>
      </c>
      <c r="V145" s="98" t="s">
        <v>1254</v>
      </c>
      <c r="W145" s="47"/>
      <c r="X145" s="18"/>
      <c r="Y145" s="68">
        <v>116</v>
      </c>
    </row>
    <row r="146" spans="2:25" s="14" customFormat="1" ht="18">
      <c r="B146" s="103" t="s">
        <v>243</v>
      </c>
      <c r="C146" s="47" t="s">
        <v>93</v>
      </c>
      <c r="D146" s="98" t="s">
        <v>598</v>
      </c>
      <c r="E146" s="103">
        <v>1</v>
      </c>
      <c r="F146" s="103" t="s">
        <v>152</v>
      </c>
      <c r="G146" s="257">
        <v>3</v>
      </c>
      <c r="H146" s="257">
        <v>2</v>
      </c>
      <c r="I146" s="102">
        <v>69</v>
      </c>
      <c r="J146" s="212" cm="1">
        <f t="array" ref="J146">_xlfn.XLOOKUP($I146,Inputs!$C$6:$C$23,Inputs!$D$6:D$23)*$G146</f>
        <v>1.1528571428571428</v>
      </c>
      <c r="K146" s="217">
        <f t="shared" si="2"/>
        <v>3</v>
      </c>
      <c r="L146" s="123"/>
      <c r="M146" s="123"/>
      <c r="N146" s="123"/>
      <c r="O146" s="123"/>
      <c r="P146" s="123"/>
      <c r="Q146" s="218">
        <f>_xlfn.XLOOKUP($I146,Inputs!$G$6:$G$23,Inputs!$J$6:$J$23)*$K146</f>
        <v>36</v>
      </c>
      <c r="R146" s="218">
        <f>_xlfn.XLOOKUP($I146,Inputs!$G$6:$G$23,Inputs!$K$6:$K$23)*$K146</f>
        <v>39</v>
      </c>
      <c r="S146" s="103" t="s">
        <v>638</v>
      </c>
      <c r="T146" s="98" t="s">
        <v>762</v>
      </c>
      <c r="U146" s="103" t="s">
        <v>971</v>
      </c>
      <c r="V146" s="98" t="s">
        <v>1294</v>
      </c>
      <c r="W146" s="47"/>
      <c r="X146" s="18"/>
      <c r="Y146" s="68">
        <v>95</v>
      </c>
    </row>
    <row r="147" spans="2:25" s="14" customFormat="1" ht="18">
      <c r="B147" s="103" t="s">
        <v>319</v>
      </c>
      <c r="C147" s="47" t="s">
        <v>93</v>
      </c>
      <c r="D147" s="98" t="s">
        <v>598</v>
      </c>
      <c r="E147" s="103">
        <v>1</v>
      </c>
      <c r="F147" s="103" t="s">
        <v>152</v>
      </c>
      <c r="G147" s="180">
        <v>1</v>
      </c>
      <c r="H147" s="180">
        <v>1</v>
      </c>
      <c r="I147" s="102">
        <v>69</v>
      </c>
      <c r="J147" s="212" cm="1">
        <f t="array" ref="J147">_xlfn.XLOOKUP($I147,Inputs!$C$6:$C$23,Inputs!$D$6:D$23)*$G147</f>
        <v>0.38428571428571429</v>
      </c>
      <c r="K147" s="217">
        <f t="shared" si="2"/>
        <v>3</v>
      </c>
      <c r="L147" s="123"/>
      <c r="M147" s="123"/>
      <c r="N147" s="123"/>
      <c r="O147" s="123"/>
      <c r="P147" s="123"/>
      <c r="Q147" s="218">
        <f>_xlfn.XLOOKUP($I147,Inputs!$G$6:$G$23,Inputs!$J$6:$J$23)*$K147</f>
        <v>36</v>
      </c>
      <c r="R147" s="218">
        <f>_xlfn.XLOOKUP($I147,Inputs!$G$6:$G$23,Inputs!$K$6:$K$23)*$K147</f>
        <v>39</v>
      </c>
      <c r="S147" s="103" t="s">
        <v>631</v>
      </c>
      <c r="T147" s="98" t="s">
        <v>743</v>
      </c>
      <c r="U147" s="103" t="s">
        <v>1039</v>
      </c>
      <c r="V147" s="98" t="s">
        <v>1240</v>
      </c>
      <c r="W147" s="47"/>
      <c r="X147" s="18"/>
      <c r="Y147" s="68">
        <v>131</v>
      </c>
    </row>
    <row r="148" spans="2:25" s="14" customFormat="1" ht="18">
      <c r="B148" s="103" t="s">
        <v>318</v>
      </c>
      <c r="C148" s="47" t="s">
        <v>93</v>
      </c>
      <c r="D148" s="98" t="s">
        <v>598</v>
      </c>
      <c r="E148" s="103">
        <v>1</v>
      </c>
      <c r="F148" s="103" t="s">
        <v>152</v>
      </c>
      <c r="G148" s="180">
        <v>9</v>
      </c>
      <c r="H148" s="180">
        <v>5</v>
      </c>
      <c r="I148" s="102">
        <v>69</v>
      </c>
      <c r="J148" s="212" cm="1">
        <f t="array" ref="J148">_xlfn.XLOOKUP($I148,Inputs!$C$6:$C$23,Inputs!$D$6:D$23)*$G148</f>
        <v>3.4585714285714286</v>
      </c>
      <c r="K148" s="217">
        <f t="shared" si="2"/>
        <v>3</v>
      </c>
      <c r="L148" s="123"/>
      <c r="M148" s="123"/>
      <c r="N148" s="123"/>
      <c r="O148" s="123"/>
      <c r="P148" s="123"/>
      <c r="Q148" s="218">
        <f>_xlfn.XLOOKUP($I148,Inputs!$G$6:$G$23,Inputs!$J$6:$J$23)*$K148</f>
        <v>36</v>
      </c>
      <c r="R148" s="218">
        <f>_xlfn.XLOOKUP($I148,Inputs!$G$6:$G$23,Inputs!$K$6:$K$23)*$K148</f>
        <v>39</v>
      </c>
      <c r="S148" s="103" t="s">
        <v>631</v>
      </c>
      <c r="T148" s="98" t="s">
        <v>743</v>
      </c>
      <c r="U148" s="103" t="s">
        <v>1122</v>
      </c>
      <c r="V148" s="98" t="s">
        <v>1429</v>
      </c>
      <c r="W148" s="47"/>
      <c r="X148" s="18"/>
      <c r="Y148" s="68">
        <v>80</v>
      </c>
    </row>
    <row r="149" spans="2:25" s="14" customFormat="1" ht="18">
      <c r="B149" s="103" t="s">
        <v>653</v>
      </c>
      <c r="C149" s="47" t="s">
        <v>93</v>
      </c>
      <c r="D149" s="98" t="s">
        <v>598</v>
      </c>
      <c r="E149" s="103">
        <v>1</v>
      </c>
      <c r="F149" s="103" t="s">
        <v>152</v>
      </c>
      <c r="G149" s="180">
        <v>19</v>
      </c>
      <c r="H149" s="180">
        <v>12</v>
      </c>
      <c r="I149" s="102">
        <v>69</v>
      </c>
      <c r="J149" s="212" cm="1">
        <f t="array" ref="J149">_xlfn.XLOOKUP($I149,Inputs!$C$6:$C$23,Inputs!$D$6:D$23)*$G149</f>
        <v>7.3014285714285716</v>
      </c>
      <c r="K149" s="217">
        <f t="shared" si="2"/>
        <v>3</v>
      </c>
      <c r="L149" s="123"/>
      <c r="M149" s="123"/>
      <c r="N149" s="123"/>
      <c r="O149" s="123"/>
      <c r="P149" s="123"/>
      <c r="Q149" s="218">
        <f>_xlfn.XLOOKUP($I149,Inputs!$G$6:$G$23,Inputs!$J$6:$J$23)*$K149</f>
        <v>36</v>
      </c>
      <c r="R149" s="218">
        <f>_xlfn.XLOOKUP($I149,Inputs!$G$6:$G$23,Inputs!$K$6:$K$23)*$K149</f>
        <v>39</v>
      </c>
      <c r="S149" s="103" t="s">
        <v>652</v>
      </c>
      <c r="T149" s="98" t="s">
        <v>754</v>
      </c>
      <c r="U149" s="103" t="s">
        <v>1044</v>
      </c>
      <c r="V149" s="98" t="s">
        <v>1225</v>
      </c>
      <c r="W149" s="47"/>
      <c r="X149" s="18"/>
      <c r="Y149" s="68">
        <v>145</v>
      </c>
    </row>
    <row r="150" spans="2:25" s="14" customFormat="1" ht="18">
      <c r="B150" s="103" t="s">
        <v>244</v>
      </c>
      <c r="C150" s="47" t="s">
        <v>93</v>
      </c>
      <c r="D150" s="98" t="s">
        <v>598</v>
      </c>
      <c r="E150" s="103">
        <v>1</v>
      </c>
      <c r="F150" s="103" t="s">
        <v>152</v>
      </c>
      <c r="G150" s="180">
        <v>3</v>
      </c>
      <c r="H150" s="180">
        <v>2</v>
      </c>
      <c r="I150" s="102">
        <v>69</v>
      </c>
      <c r="J150" s="212" cm="1">
        <f t="array" ref="J150">_xlfn.XLOOKUP($I150,Inputs!$C$6:$C$23,Inputs!$D$6:D$23)*$G150</f>
        <v>1.1528571428571428</v>
      </c>
      <c r="K150" s="217">
        <f t="shared" si="2"/>
        <v>3</v>
      </c>
      <c r="L150" s="123"/>
      <c r="M150" s="123"/>
      <c r="N150" s="123"/>
      <c r="O150" s="123"/>
      <c r="P150" s="123"/>
      <c r="Q150" s="218">
        <f>_xlfn.XLOOKUP($I150,Inputs!$G$6:$G$23,Inputs!$J$6:$J$23)*$K150</f>
        <v>36</v>
      </c>
      <c r="R150" s="218">
        <f>_xlfn.XLOOKUP($I150,Inputs!$G$6:$G$23,Inputs!$K$6:$K$23)*$K150</f>
        <v>39</v>
      </c>
      <c r="S150" s="103" t="s">
        <v>652</v>
      </c>
      <c r="T150" s="98" t="s">
        <v>754</v>
      </c>
      <c r="U150" s="103" t="s">
        <v>1043</v>
      </c>
      <c r="V150" s="98" t="s">
        <v>1337</v>
      </c>
      <c r="W150" s="47"/>
      <c r="X150" s="18"/>
      <c r="Y150" s="68">
        <v>144</v>
      </c>
    </row>
    <row r="151" spans="2:25" s="14" customFormat="1" ht="18">
      <c r="B151" s="103" t="s">
        <v>308</v>
      </c>
      <c r="C151" s="47" t="s">
        <v>93</v>
      </c>
      <c r="D151" s="98" t="s">
        <v>598</v>
      </c>
      <c r="E151" s="103">
        <v>1</v>
      </c>
      <c r="F151" s="103" t="s">
        <v>152</v>
      </c>
      <c r="G151" s="180">
        <v>21</v>
      </c>
      <c r="H151" s="180">
        <v>13</v>
      </c>
      <c r="I151" s="102">
        <v>69</v>
      </c>
      <c r="J151" s="212" cm="1">
        <f t="array" ref="J151">_xlfn.XLOOKUP($I151,Inputs!$C$6:$C$23,Inputs!$D$6:D$23)*$G151</f>
        <v>8.07</v>
      </c>
      <c r="K151" s="217">
        <f t="shared" si="2"/>
        <v>3</v>
      </c>
      <c r="L151" s="123"/>
      <c r="M151" s="123"/>
      <c r="N151" s="123"/>
      <c r="O151" s="123"/>
      <c r="P151" s="123"/>
      <c r="Q151" s="218">
        <f>_xlfn.XLOOKUP($I151,Inputs!$G$6:$G$23,Inputs!$J$6:$J$23)*$K151</f>
        <v>36</v>
      </c>
      <c r="R151" s="218">
        <f>_xlfn.XLOOKUP($I151,Inputs!$G$6:$G$23,Inputs!$K$6:$K$23)*$K151</f>
        <v>39</v>
      </c>
      <c r="S151" s="103" t="s">
        <v>624</v>
      </c>
      <c r="T151" s="98" t="s">
        <v>739</v>
      </c>
      <c r="U151" s="103" t="s">
        <v>989</v>
      </c>
      <c r="V151" s="98" t="s">
        <v>1246</v>
      </c>
      <c r="W151" s="47"/>
      <c r="X151" s="18"/>
      <c r="Y151" s="68">
        <v>146</v>
      </c>
    </row>
    <row r="152" spans="2:25" s="14" customFormat="1" ht="18">
      <c r="B152" s="103" t="s">
        <v>307</v>
      </c>
      <c r="C152" s="47" t="s">
        <v>93</v>
      </c>
      <c r="D152" s="98" t="s">
        <v>598</v>
      </c>
      <c r="E152" s="103">
        <v>1</v>
      </c>
      <c r="F152" s="103" t="s">
        <v>152</v>
      </c>
      <c r="G152" s="180">
        <v>3</v>
      </c>
      <c r="H152" s="180">
        <v>2</v>
      </c>
      <c r="I152" s="102">
        <v>69</v>
      </c>
      <c r="J152" s="212" cm="1">
        <f t="array" ref="J152">_xlfn.XLOOKUP($I152,Inputs!$C$6:$C$23,Inputs!$D$6:D$23)*$G152</f>
        <v>1.1528571428571428</v>
      </c>
      <c r="K152" s="217">
        <f t="shared" si="2"/>
        <v>3</v>
      </c>
      <c r="L152" s="123"/>
      <c r="M152" s="123"/>
      <c r="N152" s="123"/>
      <c r="O152" s="123"/>
      <c r="P152" s="123"/>
      <c r="Q152" s="218">
        <f>_xlfn.XLOOKUP($I152,Inputs!$G$6:$G$23,Inputs!$J$6:$J$23)*$K152</f>
        <v>36</v>
      </c>
      <c r="R152" s="218">
        <f>_xlfn.XLOOKUP($I152,Inputs!$G$6:$G$23,Inputs!$K$6:$K$23)*$K152</f>
        <v>39</v>
      </c>
      <c r="S152" s="103" t="s">
        <v>624</v>
      </c>
      <c r="T152" s="98" t="s">
        <v>739</v>
      </c>
      <c r="U152" s="103" t="s">
        <v>955</v>
      </c>
      <c r="V152" s="98" t="s">
        <v>1347</v>
      </c>
      <c r="W152" s="47"/>
      <c r="X152" s="18"/>
      <c r="Y152" s="68">
        <v>54</v>
      </c>
    </row>
    <row r="153" spans="2:25" s="14" customFormat="1" ht="18">
      <c r="B153" s="103" t="s">
        <v>315</v>
      </c>
      <c r="C153" s="47" t="s">
        <v>93</v>
      </c>
      <c r="D153" s="98" t="s">
        <v>598</v>
      </c>
      <c r="E153" s="103">
        <v>1</v>
      </c>
      <c r="F153" s="103" t="s">
        <v>152</v>
      </c>
      <c r="G153" s="180">
        <v>0.3</v>
      </c>
      <c r="H153" s="180">
        <v>0.2</v>
      </c>
      <c r="I153" s="102">
        <v>69</v>
      </c>
      <c r="J153" s="212" cm="1">
        <f t="array" ref="J153">_xlfn.XLOOKUP($I153,Inputs!$C$6:$C$23,Inputs!$D$6:D$23)*$G153</f>
        <v>0.11528571428571428</v>
      </c>
      <c r="K153" s="217">
        <f t="shared" si="2"/>
        <v>3</v>
      </c>
      <c r="L153" s="123"/>
      <c r="M153" s="123"/>
      <c r="N153" s="123"/>
      <c r="O153" s="123"/>
      <c r="P153" s="123"/>
      <c r="Q153" s="218">
        <f>_xlfn.XLOOKUP($I153,Inputs!$G$6:$G$23,Inputs!$J$6:$J$23)*$K153</f>
        <v>36</v>
      </c>
      <c r="R153" s="218">
        <f>_xlfn.XLOOKUP($I153,Inputs!$G$6:$G$23,Inputs!$K$6:$K$23)*$K153</f>
        <v>39</v>
      </c>
      <c r="S153" s="103" t="s">
        <v>626</v>
      </c>
      <c r="T153" s="98" t="s">
        <v>742</v>
      </c>
      <c r="U153" s="103" t="s">
        <v>1047</v>
      </c>
      <c r="V153" s="98" t="s">
        <v>1304</v>
      </c>
      <c r="W153" s="47"/>
      <c r="X153" s="18"/>
      <c r="Y153" s="68">
        <v>154</v>
      </c>
    </row>
    <row r="154" spans="2:25" s="14" customFormat="1" ht="18">
      <c r="B154" s="103" t="s">
        <v>314</v>
      </c>
      <c r="C154" s="47" t="s">
        <v>93</v>
      </c>
      <c r="D154" s="98" t="s">
        <v>598</v>
      </c>
      <c r="E154" s="103">
        <v>1</v>
      </c>
      <c r="F154" s="103" t="s">
        <v>152</v>
      </c>
      <c r="G154" s="180">
        <v>16</v>
      </c>
      <c r="H154" s="180">
        <v>10</v>
      </c>
      <c r="I154" s="102">
        <v>69</v>
      </c>
      <c r="J154" s="212" cm="1">
        <f t="array" ref="J154">_xlfn.XLOOKUP($I154,Inputs!$C$6:$C$23,Inputs!$D$6:D$23)*$G154</f>
        <v>6.1485714285714286</v>
      </c>
      <c r="K154" s="217">
        <f t="shared" si="2"/>
        <v>3</v>
      </c>
      <c r="L154" s="123"/>
      <c r="M154" s="123"/>
      <c r="N154" s="123"/>
      <c r="O154" s="123"/>
      <c r="P154" s="123"/>
      <c r="Q154" s="218">
        <f>_xlfn.XLOOKUP($I154,Inputs!$G$6:$G$23,Inputs!$J$6:$J$23)*$K154</f>
        <v>36</v>
      </c>
      <c r="R154" s="218">
        <f>_xlfn.XLOOKUP($I154,Inputs!$G$6:$G$23,Inputs!$K$6:$K$23)*$K154</f>
        <v>39</v>
      </c>
      <c r="S154" s="103" t="s">
        <v>626</v>
      </c>
      <c r="T154" s="98" t="s">
        <v>742</v>
      </c>
      <c r="U154" s="103" t="s">
        <v>958</v>
      </c>
      <c r="V154" s="98" t="s">
        <v>1361</v>
      </c>
      <c r="W154" s="47"/>
      <c r="X154" s="18"/>
      <c r="Y154" s="68">
        <v>61</v>
      </c>
    </row>
    <row r="155" spans="2:25" s="14" customFormat="1" ht="18">
      <c r="B155" s="103" t="s">
        <v>218</v>
      </c>
      <c r="C155" s="47" t="s">
        <v>93</v>
      </c>
      <c r="D155" s="98" t="s">
        <v>598</v>
      </c>
      <c r="E155" s="103">
        <v>1</v>
      </c>
      <c r="F155" s="103" t="s">
        <v>152</v>
      </c>
      <c r="G155" s="180">
        <v>15</v>
      </c>
      <c r="H155" s="180">
        <v>9</v>
      </c>
      <c r="I155" s="102">
        <v>69</v>
      </c>
      <c r="J155" s="212" cm="1">
        <f t="array" ref="J155">_xlfn.XLOOKUP($I155,Inputs!$C$6:$C$23,Inputs!$D$6:D$23)*$G155</f>
        <v>5.7642857142857142</v>
      </c>
      <c r="K155" s="217">
        <f t="shared" si="2"/>
        <v>3</v>
      </c>
      <c r="L155" s="123"/>
      <c r="M155" s="123"/>
      <c r="N155" s="123"/>
      <c r="O155" s="123"/>
      <c r="P155" s="123"/>
      <c r="Q155" s="218">
        <f>_xlfn.XLOOKUP($I155,Inputs!$G$6:$G$23,Inputs!$J$6:$J$23)*$K155</f>
        <v>36</v>
      </c>
      <c r="R155" s="218">
        <f>_xlfn.XLOOKUP($I155,Inputs!$G$6:$G$23,Inputs!$K$6:$K$23)*$K155</f>
        <v>39</v>
      </c>
      <c r="S155" s="103" t="s">
        <v>657</v>
      </c>
      <c r="T155" s="98" t="s">
        <v>709</v>
      </c>
      <c r="U155" s="103" t="s">
        <v>658</v>
      </c>
      <c r="V155" s="98" t="s">
        <v>733</v>
      </c>
      <c r="W155" s="47"/>
      <c r="X155" s="18"/>
      <c r="Y155" s="68">
        <v>166</v>
      </c>
    </row>
    <row r="156" spans="2:25" s="14" customFormat="1" ht="18">
      <c r="B156" s="103" t="s">
        <v>189</v>
      </c>
      <c r="C156" s="47" t="s">
        <v>93</v>
      </c>
      <c r="D156" s="98" t="s">
        <v>598</v>
      </c>
      <c r="E156" s="103">
        <v>1</v>
      </c>
      <c r="F156" s="103" t="s">
        <v>152</v>
      </c>
      <c r="G156" s="180">
        <v>28</v>
      </c>
      <c r="H156" s="180">
        <v>17</v>
      </c>
      <c r="I156" s="102">
        <v>69</v>
      </c>
      <c r="J156" s="212" cm="1">
        <f t="array" ref="J156">_xlfn.XLOOKUP($I156,Inputs!$C$6:$C$23,Inputs!$D$6:D$23)*$G156</f>
        <v>10.76</v>
      </c>
      <c r="K156" s="217">
        <f t="shared" si="2"/>
        <v>3</v>
      </c>
      <c r="L156" s="123"/>
      <c r="M156" s="123"/>
      <c r="N156" s="123"/>
      <c r="O156" s="123"/>
      <c r="P156" s="123"/>
      <c r="Q156" s="218">
        <f>_xlfn.XLOOKUP($I156,Inputs!$G$6:$G$23,Inputs!$J$6:$J$23)*$K156</f>
        <v>36</v>
      </c>
      <c r="R156" s="218">
        <f>_xlfn.XLOOKUP($I156,Inputs!$G$6:$G$23,Inputs!$K$6:$K$23)*$K156</f>
        <v>39</v>
      </c>
      <c r="S156" s="103" t="s">
        <v>645</v>
      </c>
      <c r="T156" s="98" t="s">
        <v>699</v>
      </c>
      <c r="U156" s="103" t="s">
        <v>190</v>
      </c>
      <c r="V156" s="98" t="s">
        <v>1388</v>
      </c>
      <c r="W156" s="47"/>
      <c r="X156" s="18"/>
      <c r="Y156" s="68">
        <v>171</v>
      </c>
    </row>
    <row r="157" spans="2:25" s="14" customFormat="1" ht="18">
      <c r="B157" s="103" t="s">
        <v>188</v>
      </c>
      <c r="C157" s="47" t="s">
        <v>93</v>
      </c>
      <c r="D157" s="98" t="s">
        <v>598</v>
      </c>
      <c r="E157" s="103">
        <v>1</v>
      </c>
      <c r="F157" s="103" t="s">
        <v>152</v>
      </c>
      <c r="G157" s="180">
        <v>7</v>
      </c>
      <c r="H157" s="180">
        <v>5</v>
      </c>
      <c r="I157" s="102">
        <v>69</v>
      </c>
      <c r="J157" s="212" cm="1">
        <f t="array" ref="J157">_xlfn.XLOOKUP($I157,Inputs!$C$6:$C$23,Inputs!$D$6:D$23)*$G157</f>
        <v>2.69</v>
      </c>
      <c r="K157" s="217">
        <f t="shared" si="2"/>
        <v>3</v>
      </c>
      <c r="L157" s="123"/>
      <c r="M157" s="123"/>
      <c r="N157" s="123"/>
      <c r="O157" s="123"/>
      <c r="P157" s="123"/>
      <c r="Q157" s="218">
        <f>_xlfn.XLOOKUP($I157,Inputs!$G$6:$G$23,Inputs!$J$6:$J$23)*$K157</f>
        <v>36</v>
      </c>
      <c r="R157" s="218">
        <f>_xlfn.XLOOKUP($I157,Inputs!$G$6:$G$23,Inputs!$K$6:$K$23)*$K157</f>
        <v>39</v>
      </c>
      <c r="S157" s="103" t="s">
        <v>645</v>
      </c>
      <c r="T157" s="98" t="s">
        <v>699</v>
      </c>
      <c r="U157" s="103" t="s">
        <v>978</v>
      </c>
      <c r="V157" s="98" t="s">
        <v>1352</v>
      </c>
      <c r="W157" s="47"/>
      <c r="X157" s="18"/>
      <c r="Y157" s="68">
        <v>114</v>
      </c>
    </row>
    <row r="158" spans="2:25" s="14" customFormat="1" ht="18">
      <c r="B158" s="103" t="s">
        <v>264</v>
      </c>
      <c r="C158" s="47" t="s">
        <v>93</v>
      </c>
      <c r="D158" s="98" t="s">
        <v>598</v>
      </c>
      <c r="E158" s="103">
        <v>1</v>
      </c>
      <c r="F158" s="103" t="s">
        <v>152</v>
      </c>
      <c r="G158" s="180">
        <v>24</v>
      </c>
      <c r="H158" s="180">
        <v>15</v>
      </c>
      <c r="I158" s="102">
        <v>69</v>
      </c>
      <c r="J158" s="212" cm="1">
        <f t="array" ref="J158">_xlfn.XLOOKUP($I158,Inputs!$C$6:$C$23,Inputs!$D$6:D$23)*$G158</f>
        <v>9.2228571428571424</v>
      </c>
      <c r="K158" s="217">
        <f t="shared" si="2"/>
        <v>3</v>
      </c>
      <c r="L158" s="123"/>
      <c r="M158" s="123"/>
      <c r="N158" s="123"/>
      <c r="O158" s="123"/>
      <c r="P158" s="123"/>
      <c r="Q158" s="218">
        <f>_xlfn.XLOOKUP($I158,Inputs!$G$6:$G$23,Inputs!$J$6:$J$23)*$K158</f>
        <v>36</v>
      </c>
      <c r="R158" s="218">
        <f>_xlfn.XLOOKUP($I158,Inputs!$G$6:$G$23,Inputs!$K$6:$K$23)*$K158</f>
        <v>39</v>
      </c>
      <c r="S158" s="103" t="s">
        <v>623</v>
      </c>
      <c r="T158" s="98" t="s">
        <v>756</v>
      </c>
      <c r="U158" s="103" t="s">
        <v>1048</v>
      </c>
      <c r="V158" s="98" t="s">
        <v>1197</v>
      </c>
      <c r="W158" s="47"/>
      <c r="X158" s="18"/>
      <c r="Y158" s="68">
        <v>172</v>
      </c>
    </row>
    <row r="159" spans="2:25" s="14" customFormat="1" ht="18">
      <c r="B159" s="103" t="s">
        <v>262</v>
      </c>
      <c r="C159" s="47" t="s">
        <v>93</v>
      </c>
      <c r="D159" s="98" t="s">
        <v>598</v>
      </c>
      <c r="E159" s="103">
        <v>1</v>
      </c>
      <c r="F159" s="103" t="s">
        <v>152</v>
      </c>
      <c r="G159" s="180">
        <v>2</v>
      </c>
      <c r="H159" s="180">
        <v>1</v>
      </c>
      <c r="I159" s="102">
        <v>69</v>
      </c>
      <c r="J159" s="212" cm="1">
        <f t="array" ref="J159">_xlfn.XLOOKUP($I159,Inputs!$C$6:$C$23,Inputs!$D$6:D$23)*$G159</f>
        <v>0.76857142857142857</v>
      </c>
      <c r="K159" s="217">
        <f t="shared" si="2"/>
        <v>3</v>
      </c>
      <c r="L159" s="123"/>
      <c r="M159" s="123"/>
      <c r="N159" s="123"/>
      <c r="O159" s="123"/>
      <c r="P159" s="123"/>
      <c r="Q159" s="218">
        <f>_xlfn.XLOOKUP($I159,Inputs!$G$6:$G$23,Inputs!$J$6:$J$23)*$K159</f>
        <v>36</v>
      </c>
      <c r="R159" s="218">
        <f>_xlfn.XLOOKUP($I159,Inputs!$G$6:$G$23,Inputs!$K$6:$K$23)*$K159</f>
        <v>39</v>
      </c>
      <c r="S159" s="103" t="s">
        <v>623</v>
      </c>
      <c r="T159" s="98" t="s">
        <v>756</v>
      </c>
      <c r="U159" s="103" t="s">
        <v>1034</v>
      </c>
      <c r="V159" s="98" t="s">
        <v>1284</v>
      </c>
      <c r="W159" s="47"/>
      <c r="X159" s="18"/>
      <c r="Y159" s="68">
        <v>52</v>
      </c>
    </row>
    <row r="160" spans="2:25" s="14" customFormat="1" ht="18">
      <c r="B160" s="103" t="s">
        <v>284</v>
      </c>
      <c r="C160" s="47" t="s">
        <v>93</v>
      </c>
      <c r="D160" s="98" t="s">
        <v>598</v>
      </c>
      <c r="E160" s="103">
        <v>1</v>
      </c>
      <c r="F160" s="103" t="s">
        <v>152</v>
      </c>
      <c r="G160" s="257">
        <v>5</v>
      </c>
      <c r="H160" s="257">
        <v>3</v>
      </c>
      <c r="I160" s="102">
        <v>69</v>
      </c>
      <c r="J160" s="212" cm="1">
        <f t="array" ref="J160">_xlfn.XLOOKUP($I160,Inputs!$C$6:$C$23,Inputs!$D$6:D$23)*$G160</f>
        <v>1.9214285714285715</v>
      </c>
      <c r="K160" s="217">
        <f t="shared" si="2"/>
        <v>3</v>
      </c>
      <c r="L160" s="123"/>
      <c r="M160" s="123"/>
      <c r="N160" s="123"/>
      <c r="O160" s="123"/>
      <c r="P160" s="123"/>
      <c r="Q160" s="218">
        <f>_xlfn.XLOOKUP($I160,Inputs!$G$6:$G$23,Inputs!$J$6:$J$23)*$K160</f>
        <v>36</v>
      </c>
      <c r="R160" s="218">
        <f>_xlfn.XLOOKUP($I160,Inputs!$G$6:$G$23,Inputs!$K$6:$K$23)*$K160</f>
        <v>39</v>
      </c>
      <c r="S160" s="103" t="s">
        <v>617</v>
      </c>
      <c r="T160" s="98" t="s">
        <v>728</v>
      </c>
      <c r="U160" s="103" t="s">
        <v>1115</v>
      </c>
      <c r="V160" s="98" t="s">
        <v>1416</v>
      </c>
      <c r="W160" s="47"/>
      <c r="X160" s="18"/>
      <c r="Y160" s="68">
        <v>4</v>
      </c>
    </row>
    <row r="161" spans="2:25" s="14" customFormat="1" ht="18">
      <c r="B161" s="103" t="s">
        <v>292</v>
      </c>
      <c r="C161" s="47" t="s">
        <v>93</v>
      </c>
      <c r="D161" s="98" t="s">
        <v>598</v>
      </c>
      <c r="E161" s="103">
        <v>1</v>
      </c>
      <c r="F161" s="103" t="s">
        <v>152</v>
      </c>
      <c r="G161" s="257">
        <v>3</v>
      </c>
      <c r="H161" s="257">
        <v>2</v>
      </c>
      <c r="I161" s="102">
        <v>69</v>
      </c>
      <c r="J161" s="212" cm="1">
        <f t="array" ref="J161">_xlfn.XLOOKUP($I161,Inputs!$C$6:$C$23,Inputs!$D$6:D$23)*$G161</f>
        <v>1.1528571428571428</v>
      </c>
      <c r="K161" s="217">
        <f t="shared" si="2"/>
        <v>3</v>
      </c>
      <c r="L161" s="123"/>
      <c r="M161" s="123"/>
      <c r="N161" s="123"/>
      <c r="O161" s="123"/>
      <c r="P161" s="123"/>
      <c r="Q161" s="218">
        <f>_xlfn.XLOOKUP($I161,Inputs!$G$6:$G$23,Inputs!$J$6:$J$23)*$K161</f>
        <v>36</v>
      </c>
      <c r="R161" s="218">
        <f>_xlfn.XLOOKUP($I161,Inputs!$G$6:$G$23,Inputs!$K$6:$K$23)*$K161</f>
        <v>39</v>
      </c>
      <c r="S161" s="103" t="s">
        <v>617</v>
      </c>
      <c r="T161" s="98" t="s">
        <v>728</v>
      </c>
      <c r="U161" s="103" t="s">
        <v>1001</v>
      </c>
      <c r="V161" s="98" t="s">
        <v>1324</v>
      </c>
      <c r="W161" s="47"/>
      <c r="X161" s="18"/>
      <c r="Y161" s="68">
        <v>173</v>
      </c>
    </row>
    <row r="162" spans="2:25" s="14" customFormat="1" ht="18">
      <c r="B162" s="103" t="s">
        <v>197</v>
      </c>
      <c r="C162" s="47" t="s">
        <v>93</v>
      </c>
      <c r="D162" s="98" t="s">
        <v>598</v>
      </c>
      <c r="E162" s="103">
        <v>1</v>
      </c>
      <c r="F162" s="103" t="s">
        <v>152</v>
      </c>
      <c r="G162" s="257">
        <v>4</v>
      </c>
      <c r="H162" s="257">
        <v>2</v>
      </c>
      <c r="I162" s="102">
        <v>69</v>
      </c>
      <c r="J162" s="212" cm="1">
        <f t="array" ref="J162">_xlfn.XLOOKUP($I162,Inputs!$C$6:$C$23,Inputs!$D$6:D$23)*$G162</f>
        <v>1.5371428571428571</v>
      </c>
      <c r="K162" s="217">
        <f t="shared" si="2"/>
        <v>3</v>
      </c>
      <c r="L162" s="123"/>
      <c r="M162" s="123"/>
      <c r="N162" s="123"/>
      <c r="O162" s="123"/>
      <c r="P162" s="123"/>
      <c r="Q162" s="218">
        <f>_xlfn.XLOOKUP($I162,Inputs!$G$6:$G$23,Inputs!$J$6:$J$23)*$K162</f>
        <v>36</v>
      </c>
      <c r="R162" s="218">
        <f>_xlfn.XLOOKUP($I162,Inputs!$G$6:$G$23,Inputs!$K$6:$K$23)*$K162</f>
        <v>39</v>
      </c>
      <c r="S162" s="103" t="s">
        <v>656</v>
      </c>
      <c r="T162" s="98" t="s">
        <v>731</v>
      </c>
      <c r="U162" s="103" t="s">
        <v>1051</v>
      </c>
      <c r="V162" s="98" t="s">
        <v>1244</v>
      </c>
      <c r="W162" s="47"/>
      <c r="X162" s="18" t="s">
        <v>1491</v>
      </c>
      <c r="Y162" s="68">
        <v>182</v>
      </c>
    </row>
    <row r="163" spans="2:25" s="14" customFormat="1" ht="18">
      <c r="B163" s="103" t="s">
        <v>321</v>
      </c>
      <c r="C163" s="47" t="s">
        <v>93</v>
      </c>
      <c r="D163" s="98" t="s">
        <v>598</v>
      </c>
      <c r="E163" s="103">
        <v>1</v>
      </c>
      <c r="F163" s="103" t="s">
        <v>152</v>
      </c>
      <c r="G163" s="180">
        <v>7</v>
      </c>
      <c r="H163" s="180">
        <v>4</v>
      </c>
      <c r="I163" s="102">
        <v>69</v>
      </c>
      <c r="J163" s="212" cm="1">
        <f t="array" ref="J163">_xlfn.XLOOKUP($I163,Inputs!$C$6:$C$23,Inputs!$D$6:D$23)*$G163</f>
        <v>2.69</v>
      </c>
      <c r="K163" s="217">
        <f t="shared" si="2"/>
        <v>3</v>
      </c>
      <c r="L163" s="123"/>
      <c r="M163" s="123"/>
      <c r="N163" s="123"/>
      <c r="O163" s="123"/>
      <c r="P163" s="123"/>
      <c r="Q163" s="218">
        <f>_xlfn.XLOOKUP($I163,Inputs!$G$6:$G$23,Inputs!$J$6:$J$23)*$K163</f>
        <v>36</v>
      </c>
      <c r="R163" s="218">
        <f>_xlfn.XLOOKUP($I163,Inputs!$G$6:$G$23,Inputs!$K$6:$K$23)*$K163</f>
        <v>39</v>
      </c>
      <c r="S163" s="103" t="s">
        <v>650</v>
      </c>
      <c r="T163" s="98" t="s">
        <v>738</v>
      </c>
      <c r="U163" s="103" t="s">
        <v>1056</v>
      </c>
      <c r="V163" s="98" t="s">
        <v>1281</v>
      </c>
      <c r="W163" s="47"/>
      <c r="X163" s="18"/>
      <c r="Y163" s="68">
        <v>197</v>
      </c>
    </row>
    <row r="164" spans="2:25" s="14" customFormat="1" ht="18">
      <c r="B164" s="103" t="s">
        <v>320</v>
      </c>
      <c r="C164" s="47" t="s">
        <v>93</v>
      </c>
      <c r="D164" s="98" t="s">
        <v>598</v>
      </c>
      <c r="E164" s="103">
        <v>1</v>
      </c>
      <c r="F164" s="103" t="s">
        <v>152</v>
      </c>
      <c r="G164" s="180">
        <v>15</v>
      </c>
      <c r="H164" s="180">
        <v>9</v>
      </c>
      <c r="I164" s="102">
        <v>69</v>
      </c>
      <c r="J164" s="212" cm="1">
        <f t="array" ref="J164">_xlfn.XLOOKUP($I164,Inputs!$C$6:$C$23,Inputs!$D$6:D$23)*$G164</f>
        <v>5.7642857142857142</v>
      </c>
      <c r="K164" s="217">
        <f t="shared" si="2"/>
        <v>3</v>
      </c>
      <c r="L164" s="123"/>
      <c r="M164" s="123"/>
      <c r="N164" s="123"/>
      <c r="O164" s="123"/>
      <c r="P164" s="123"/>
      <c r="Q164" s="218">
        <f>_xlfn.XLOOKUP($I164,Inputs!$G$6:$G$23,Inputs!$J$6:$J$23)*$K164</f>
        <v>36</v>
      </c>
      <c r="R164" s="218">
        <f>_xlfn.XLOOKUP($I164,Inputs!$G$6:$G$23,Inputs!$K$6:$K$23)*$K164</f>
        <v>39</v>
      </c>
      <c r="S164" s="103" t="s">
        <v>650</v>
      </c>
      <c r="T164" s="98" t="s">
        <v>738</v>
      </c>
      <c r="U164" s="103" t="s">
        <v>991</v>
      </c>
      <c r="V164" s="98" t="s">
        <v>1286</v>
      </c>
      <c r="W164" s="47"/>
      <c r="X164" s="18"/>
      <c r="Y164" s="68">
        <v>253</v>
      </c>
    </row>
    <row r="165" spans="2:25" s="14" customFormat="1" ht="18">
      <c r="B165" s="103" t="s">
        <v>307</v>
      </c>
      <c r="C165" s="47" t="s">
        <v>93</v>
      </c>
      <c r="D165" s="98" t="s">
        <v>598</v>
      </c>
      <c r="E165" s="103">
        <v>1</v>
      </c>
      <c r="F165" s="103" t="s">
        <v>152</v>
      </c>
      <c r="G165" s="180">
        <v>0.2</v>
      </c>
      <c r="H165" s="180">
        <v>0.1</v>
      </c>
      <c r="I165" s="102">
        <v>69</v>
      </c>
      <c r="J165" s="212" cm="1">
        <f t="array" ref="J165">_xlfn.XLOOKUP($I165,Inputs!$C$6:$C$23,Inputs!$D$6:D$23)*$G165</f>
        <v>7.685714285714286E-2</v>
      </c>
      <c r="K165" s="217">
        <f t="shared" si="2"/>
        <v>3</v>
      </c>
      <c r="L165" s="123"/>
      <c r="M165" s="123"/>
      <c r="N165" s="123"/>
      <c r="O165" s="123"/>
      <c r="P165" s="123"/>
      <c r="Q165" s="218">
        <f>_xlfn.XLOOKUP($I165,Inputs!$G$6:$G$23,Inputs!$J$6:$J$23)*$K165</f>
        <v>36</v>
      </c>
      <c r="R165" s="218">
        <f>_xlfn.XLOOKUP($I165,Inputs!$G$6:$G$23,Inputs!$K$6:$K$23)*$K165</f>
        <v>39</v>
      </c>
      <c r="S165" s="103" t="s">
        <v>625</v>
      </c>
      <c r="T165" s="98" t="s">
        <v>744</v>
      </c>
      <c r="U165" s="103" t="s">
        <v>956</v>
      </c>
      <c r="V165" s="98" t="s">
        <v>1494</v>
      </c>
      <c r="W165" s="47"/>
      <c r="X165" s="18"/>
      <c r="Y165" s="68">
        <v>57</v>
      </c>
    </row>
    <row r="166" spans="2:25" s="14" customFormat="1" ht="18">
      <c r="B166" s="103" t="s">
        <v>310</v>
      </c>
      <c r="C166" s="47" t="s">
        <v>93</v>
      </c>
      <c r="D166" s="98" t="s">
        <v>598</v>
      </c>
      <c r="E166" s="103">
        <v>1</v>
      </c>
      <c r="F166" s="103" t="s">
        <v>152</v>
      </c>
      <c r="G166" s="180">
        <v>10</v>
      </c>
      <c r="H166" s="180">
        <v>6</v>
      </c>
      <c r="I166" s="102">
        <v>69</v>
      </c>
      <c r="J166" s="212" cm="1">
        <f t="array" ref="J166">_xlfn.XLOOKUP($I166,Inputs!$C$6:$C$23,Inputs!$D$6:D$23)*$G166</f>
        <v>3.842857142857143</v>
      </c>
      <c r="K166" s="217">
        <f t="shared" si="2"/>
        <v>3</v>
      </c>
      <c r="L166" s="123"/>
      <c r="M166" s="123"/>
      <c r="N166" s="123"/>
      <c r="O166" s="123"/>
      <c r="P166" s="123"/>
      <c r="Q166" s="218">
        <f>_xlfn.XLOOKUP($I166,Inputs!$G$6:$G$23,Inputs!$J$6:$J$23)*$K166</f>
        <v>36</v>
      </c>
      <c r="R166" s="218">
        <f>_xlfn.XLOOKUP($I166,Inputs!$G$6:$G$23,Inputs!$K$6:$K$23)*$K166</f>
        <v>39</v>
      </c>
      <c r="S166" s="103" t="s">
        <v>625</v>
      </c>
      <c r="T166" s="98" t="s">
        <v>744</v>
      </c>
      <c r="U166" s="103" t="s">
        <v>1057</v>
      </c>
      <c r="V166" s="98" t="s">
        <v>1344</v>
      </c>
      <c r="W166" s="47"/>
      <c r="X166" s="18"/>
      <c r="Y166" s="68">
        <v>198</v>
      </c>
    </row>
    <row r="167" spans="2:25" s="14" customFormat="1" ht="18">
      <c r="B167" s="103" t="s">
        <v>247</v>
      </c>
      <c r="C167" s="47" t="s">
        <v>93</v>
      </c>
      <c r="D167" s="98" t="s">
        <v>598</v>
      </c>
      <c r="E167" s="103">
        <v>1</v>
      </c>
      <c r="F167" s="103" t="s">
        <v>152</v>
      </c>
      <c r="G167" s="180">
        <v>8</v>
      </c>
      <c r="H167" s="180">
        <v>5</v>
      </c>
      <c r="I167" s="102">
        <v>69</v>
      </c>
      <c r="J167" s="212" cm="1">
        <f t="array" ref="J167">_xlfn.XLOOKUP($I167,Inputs!$C$6:$C$23,Inputs!$D$6:D$23)*$G167</f>
        <v>3.0742857142857143</v>
      </c>
      <c r="K167" s="217">
        <f t="shared" si="2"/>
        <v>3</v>
      </c>
      <c r="L167" s="123"/>
      <c r="M167" s="123"/>
      <c r="N167" s="123"/>
      <c r="O167" s="123"/>
      <c r="P167" s="123"/>
      <c r="Q167" s="218">
        <f>_xlfn.XLOOKUP($I167,Inputs!$G$6:$G$23,Inputs!$J$6:$J$23)*$K167</f>
        <v>36</v>
      </c>
      <c r="R167" s="218">
        <f>_xlfn.XLOOKUP($I167,Inputs!$G$6:$G$23,Inputs!$K$6:$K$23)*$K167</f>
        <v>39</v>
      </c>
      <c r="S167" s="103" t="s">
        <v>662</v>
      </c>
      <c r="T167" s="98" t="s">
        <v>755</v>
      </c>
      <c r="U167" s="103" t="s">
        <v>1058</v>
      </c>
      <c r="V167" s="98" t="s">
        <v>1253</v>
      </c>
      <c r="W167" s="47"/>
      <c r="X167" s="18"/>
      <c r="Y167" s="68">
        <v>199</v>
      </c>
    </row>
    <row r="168" spans="2:25" s="14" customFormat="1" ht="18">
      <c r="B168" s="103" t="s">
        <v>246</v>
      </c>
      <c r="C168" s="47" t="s">
        <v>93</v>
      </c>
      <c r="D168" s="98" t="s">
        <v>598</v>
      </c>
      <c r="E168" s="103">
        <v>1</v>
      </c>
      <c r="F168" s="103" t="s">
        <v>152</v>
      </c>
      <c r="G168" s="180">
        <v>8</v>
      </c>
      <c r="H168" s="180">
        <v>5</v>
      </c>
      <c r="I168" s="102">
        <v>69</v>
      </c>
      <c r="J168" s="212" cm="1">
        <f t="array" ref="J168">_xlfn.XLOOKUP($I168,Inputs!$C$6:$C$23,Inputs!$D$6:D$23)*$G168</f>
        <v>3.0742857142857143</v>
      </c>
      <c r="K168" s="217">
        <f t="shared" si="2"/>
        <v>3</v>
      </c>
      <c r="L168" s="123"/>
      <c r="M168" s="123"/>
      <c r="N168" s="123"/>
      <c r="O168" s="123"/>
      <c r="P168" s="123"/>
      <c r="Q168" s="218">
        <f>_xlfn.XLOOKUP($I168,Inputs!$G$6:$G$23,Inputs!$J$6:$J$23)*$K168</f>
        <v>36</v>
      </c>
      <c r="R168" s="218">
        <f>_xlfn.XLOOKUP($I168,Inputs!$G$6:$G$23,Inputs!$K$6:$K$23)*$K168</f>
        <v>39</v>
      </c>
      <c r="S168" s="103" t="s">
        <v>662</v>
      </c>
      <c r="T168" s="98" t="s">
        <v>755</v>
      </c>
      <c r="U168" s="103" t="s">
        <v>1009</v>
      </c>
      <c r="V168" s="98" t="s">
        <v>1334</v>
      </c>
      <c r="W168" s="47"/>
      <c r="X168" s="18"/>
      <c r="Y168" s="68">
        <v>228</v>
      </c>
    </row>
    <row r="169" spans="2:25" s="14" customFormat="1" ht="18">
      <c r="B169" s="103" t="s">
        <v>202</v>
      </c>
      <c r="C169" s="47" t="s">
        <v>93</v>
      </c>
      <c r="D169" s="98" t="s">
        <v>598</v>
      </c>
      <c r="E169" s="103">
        <v>1</v>
      </c>
      <c r="F169" s="103" t="s">
        <v>152</v>
      </c>
      <c r="G169" s="180">
        <v>4</v>
      </c>
      <c r="H169" s="180">
        <v>2</v>
      </c>
      <c r="I169" s="102">
        <v>69</v>
      </c>
      <c r="J169" s="212" cm="1">
        <f t="array" ref="J169">_xlfn.XLOOKUP($I169,Inputs!$C$6:$C$23,Inputs!$D$6:D$23)*$G169</f>
        <v>1.5371428571428571</v>
      </c>
      <c r="K169" s="217">
        <f t="shared" si="2"/>
        <v>3</v>
      </c>
      <c r="L169" s="123"/>
      <c r="M169" s="123"/>
      <c r="N169" s="123"/>
      <c r="O169" s="123"/>
      <c r="P169" s="123"/>
      <c r="Q169" s="218">
        <f>_xlfn.XLOOKUP($I169,Inputs!$G$6:$G$23,Inputs!$J$6:$J$23)*$K169</f>
        <v>36</v>
      </c>
      <c r="R169" s="218">
        <f>_xlfn.XLOOKUP($I169,Inputs!$G$6:$G$23,Inputs!$K$6:$K$23)*$K169</f>
        <v>39</v>
      </c>
      <c r="S169" s="103" t="s">
        <v>641</v>
      </c>
      <c r="T169" s="98" t="s">
        <v>751</v>
      </c>
      <c r="U169" s="103" t="s">
        <v>1059</v>
      </c>
      <c r="V169" s="98" t="s">
        <v>1287</v>
      </c>
      <c r="W169" s="47"/>
      <c r="X169" s="18"/>
      <c r="Y169" s="68">
        <v>202</v>
      </c>
    </row>
    <row r="170" spans="2:25" s="14" customFormat="1" ht="18">
      <c r="B170" s="103" t="s">
        <v>198</v>
      </c>
      <c r="C170" s="47" t="s">
        <v>93</v>
      </c>
      <c r="D170" s="98" t="s">
        <v>598</v>
      </c>
      <c r="E170" s="103">
        <v>1</v>
      </c>
      <c r="F170" s="103" t="s">
        <v>152</v>
      </c>
      <c r="G170" s="180">
        <v>24</v>
      </c>
      <c r="H170" s="180">
        <v>15</v>
      </c>
      <c r="I170" s="102">
        <v>69</v>
      </c>
      <c r="J170" s="212" cm="1">
        <f t="array" ref="J170">_xlfn.XLOOKUP($I170,Inputs!$C$6:$C$23,Inputs!$D$6:D$23)*$G170</f>
        <v>9.2228571428571424</v>
      </c>
      <c r="K170" s="217">
        <f t="shared" si="2"/>
        <v>3</v>
      </c>
      <c r="L170" s="123"/>
      <c r="M170" s="123"/>
      <c r="N170" s="123"/>
      <c r="O170" s="123"/>
      <c r="P170" s="123"/>
      <c r="Q170" s="218">
        <f>_xlfn.XLOOKUP($I170,Inputs!$G$6:$G$23,Inputs!$J$6:$J$23)*$K170</f>
        <v>36</v>
      </c>
      <c r="R170" s="218">
        <f>_xlfn.XLOOKUP($I170,Inputs!$G$6:$G$23,Inputs!$K$6:$K$23)*$K170</f>
        <v>39</v>
      </c>
      <c r="S170" s="103" t="s">
        <v>641</v>
      </c>
      <c r="T170" s="98" t="s">
        <v>751</v>
      </c>
      <c r="U170" s="103" t="s">
        <v>974</v>
      </c>
      <c r="V170" s="98" t="s">
        <v>1319</v>
      </c>
      <c r="W170" s="47"/>
      <c r="X170" s="18"/>
      <c r="Y170" s="68">
        <v>103</v>
      </c>
    </row>
    <row r="171" spans="2:25" s="14" customFormat="1" ht="18">
      <c r="B171" s="103" t="s">
        <v>192</v>
      </c>
      <c r="C171" s="47" t="s">
        <v>93</v>
      </c>
      <c r="D171" s="98" t="s">
        <v>598</v>
      </c>
      <c r="E171" s="103">
        <v>1</v>
      </c>
      <c r="F171" s="103" t="s">
        <v>152</v>
      </c>
      <c r="G171" s="257">
        <v>2</v>
      </c>
      <c r="H171" s="257">
        <v>1</v>
      </c>
      <c r="I171" s="102">
        <v>69</v>
      </c>
      <c r="J171" s="212" cm="1">
        <f t="array" ref="J171">_xlfn.XLOOKUP($I171,Inputs!$C$6:$C$23,Inputs!$D$6:D$23)*$G171</f>
        <v>0.76857142857142857</v>
      </c>
      <c r="K171" s="217">
        <f t="shared" si="2"/>
        <v>3</v>
      </c>
      <c r="L171" s="123"/>
      <c r="M171" s="123"/>
      <c r="N171" s="123"/>
      <c r="O171" s="123"/>
      <c r="P171" s="123"/>
      <c r="Q171" s="218">
        <f>_xlfn.XLOOKUP($I171,Inputs!$G$6:$G$23,Inputs!$J$6:$J$23)*$K171</f>
        <v>36</v>
      </c>
      <c r="R171" s="218">
        <f>_xlfn.XLOOKUP($I171,Inputs!$G$6:$G$23,Inputs!$K$6:$K$23)*$K171</f>
        <v>39</v>
      </c>
      <c r="S171" s="103" t="s">
        <v>663</v>
      </c>
      <c r="T171" s="98" t="s">
        <v>710</v>
      </c>
      <c r="U171" s="103" t="s">
        <v>664</v>
      </c>
      <c r="V171" s="98" t="s">
        <v>711</v>
      </c>
      <c r="W171" s="47"/>
      <c r="X171" s="18"/>
      <c r="Y171" s="68">
        <v>204</v>
      </c>
    </row>
    <row r="172" spans="2:25" s="14" customFormat="1" ht="18">
      <c r="B172" s="103" t="s">
        <v>195</v>
      </c>
      <c r="C172" s="47" t="s">
        <v>93</v>
      </c>
      <c r="D172" s="98" t="s">
        <v>598</v>
      </c>
      <c r="E172" s="103">
        <v>1</v>
      </c>
      <c r="F172" s="103" t="s">
        <v>152</v>
      </c>
      <c r="G172" s="180">
        <v>2</v>
      </c>
      <c r="H172" s="180">
        <v>1</v>
      </c>
      <c r="I172" s="102">
        <v>69</v>
      </c>
      <c r="J172" s="212" cm="1">
        <f t="array" ref="J172">_xlfn.XLOOKUP($I172,Inputs!$C$6:$C$23,Inputs!$D$6:D$23)*$G172</f>
        <v>0.76857142857142857</v>
      </c>
      <c r="K172" s="217">
        <f t="shared" si="2"/>
        <v>3</v>
      </c>
      <c r="L172" s="123"/>
      <c r="M172" s="123"/>
      <c r="N172" s="123"/>
      <c r="O172" s="123"/>
      <c r="P172" s="123"/>
      <c r="Q172" s="218">
        <f>_xlfn.XLOOKUP($I172,Inputs!$G$6:$G$23,Inputs!$J$6:$J$23)*$K172</f>
        <v>36</v>
      </c>
      <c r="R172" s="218">
        <f>_xlfn.XLOOKUP($I172,Inputs!$G$6:$G$23,Inputs!$K$6:$K$23)*$K172</f>
        <v>39</v>
      </c>
      <c r="S172" s="103" t="s">
        <v>663</v>
      </c>
      <c r="T172" s="98" t="s">
        <v>710</v>
      </c>
      <c r="U172" s="103" t="s">
        <v>1061</v>
      </c>
      <c r="V172" s="98" t="s">
        <v>1354</v>
      </c>
      <c r="W172" s="47"/>
      <c r="X172" s="18"/>
      <c r="Y172" s="68">
        <v>207</v>
      </c>
    </row>
    <row r="173" spans="2:25" s="14" customFormat="1" ht="18">
      <c r="B173" s="103" t="s">
        <v>188</v>
      </c>
      <c r="C173" s="47" t="s">
        <v>93</v>
      </c>
      <c r="D173" s="98" t="s">
        <v>598</v>
      </c>
      <c r="E173" s="103">
        <v>1</v>
      </c>
      <c r="F173" s="103" t="s">
        <v>152</v>
      </c>
      <c r="G173" s="180">
        <v>29</v>
      </c>
      <c r="H173" s="180">
        <v>18</v>
      </c>
      <c r="I173" s="102">
        <v>69</v>
      </c>
      <c r="J173" s="212" cm="1">
        <f t="array" ref="J173">_xlfn.XLOOKUP($I173,Inputs!$C$6:$C$23,Inputs!$D$6:D$23)*$G173</f>
        <v>11.144285714285715</v>
      </c>
      <c r="K173" s="217">
        <f t="shared" si="2"/>
        <v>3</v>
      </c>
      <c r="L173" s="123"/>
      <c r="M173" s="123"/>
      <c r="N173" s="123"/>
      <c r="O173" s="123"/>
      <c r="P173" s="123"/>
      <c r="Q173" s="218">
        <f>_xlfn.XLOOKUP($I173,Inputs!$G$6:$G$23,Inputs!$J$6:$J$23)*$K173</f>
        <v>36</v>
      </c>
      <c r="R173" s="218">
        <f>_xlfn.XLOOKUP($I173,Inputs!$G$6:$G$23,Inputs!$K$6:$K$23)*$K173</f>
        <v>39</v>
      </c>
      <c r="S173" s="103" t="s">
        <v>644</v>
      </c>
      <c r="T173" s="98" t="s">
        <v>705</v>
      </c>
      <c r="U173" s="103" t="s">
        <v>645</v>
      </c>
      <c r="V173" s="98" t="s">
        <v>699</v>
      </c>
      <c r="W173" s="47"/>
      <c r="X173" s="18"/>
      <c r="Y173" s="68">
        <v>113</v>
      </c>
    </row>
    <row r="174" spans="2:25" s="14" customFormat="1" ht="18">
      <c r="B174" s="103" t="s">
        <v>201</v>
      </c>
      <c r="C174" s="47" t="s">
        <v>93</v>
      </c>
      <c r="D174" s="98" t="s">
        <v>598</v>
      </c>
      <c r="E174" s="103">
        <v>1</v>
      </c>
      <c r="F174" s="103" t="s">
        <v>152</v>
      </c>
      <c r="G174" s="180">
        <v>3</v>
      </c>
      <c r="H174" s="180">
        <v>2</v>
      </c>
      <c r="I174" s="102">
        <v>69</v>
      </c>
      <c r="J174" s="212" cm="1">
        <f t="array" ref="J174">_xlfn.XLOOKUP($I174,Inputs!$C$6:$C$23,Inputs!$D$6:D$23)*$G174</f>
        <v>1.1528571428571428</v>
      </c>
      <c r="K174" s="217">
        <f t="shared" si="2"/>
        <v>3</v>
      </c>
      <c r="L174" s="123"/>
      <c r="M174" s="123"/>
      <c r="N174" s="123"/>
      <c r="O174" s="123"/>
      <c r="P174" s="123"/>
      <c r="Q174" s="218">
        <f>_xlfn.XLOOKUP($I174,Inputs!$G$6:$G$23,Inputs!$J$6:$J$23)*$K174</f>
        <v>36</v>
      </c>
      <c r="R174" s="218">
        <f>_xlfn.XLOOKUP($I174,Inputs!$G$6:$G$23,Inputs!$K$6:$K$23)*$K174</f>
        <v>39</v>
      </c>
      <c r="S174" s="103" t="s">
        <v>644</v>
      </c>
      <c r="T174" s="98" t="s">
        <v>705</v>
      </c>
      <c r="U174" s="103" t="s">
        <v>1064</v>
      </c>
      <c r="V174" s="98" t="s">
        <v>1367</v>
      </c>
      <c r="W174" s="47"/>
      <c r="X174" s="18"/>
      <c r="Y174" s="68">
        <v>210</v>
      </c>
    </row>
    <row r="175" spans="2:25" s="14" customFormat="1" ht="18">
      <c r="B175" s="103" t="s">
        <v>317</v>
      </c>
      <c r="C175" s="47" t="s">
        <v>93</v>
      </c>
      <c r="D175" s="98" t="s">
        <v>598</v>
      </c>
      <c r="E175" s="103">
        <v>1</v>
      </c>
      <c r="F175" s="103" t="s">
        <v>152</v>
      </c>
      <c r="G175" s="180">
        <v>20</v>
      </c>
      <c r="H175" s="180">
        <v>12</v>
      </c>
      <c r="I175" s="102">
        <v>69</v>
      </c>
      <c r="J175" s="212" cm="1">
        <f t="array" ref="J175">_xlfn.XLOOKUP($I175,Inputs!$C$6:$C$23,Inputs!$D$6:D$23)*$G175</f>
        <v>7.6857142857142859</v>
      </c>
      <c r="K175" s="217">
        <f t="shared" si="2"/>
        <v>3</v>
      </c>
      <c r="L175" s="123"/>
      <c r="M175" s="123"/>
      <c r="N175" s="123"/>
      <c r="O175" s="123"/>
      <c r="P175" s="123"/>
      <c r="Q175" s="218">
        <f>_xlfn.XLOOKUP($I175,Inputs!$G$6:$G$23,Inputs!$J$6:$J$23)*$K175</f>
        <v>36</v>
      </c>
      <c r="R175" s="218">
        <f>_xlfn.XLOOKUP($I175,Inputs!$G$6:$G$23,Inputs!$K$6:$K$23)*$K175</f>
        <v>39</v>
      </c>
      <c r="S175" s="103" t="s">
        <v>629</v>
      </c>
      <c r="T175" s="98" t="s">
        <v>735</v>
      </c>
      <c r="U175" s="103" t="s">
        <v>1065</v>
      </c>
      <c r="V175" s="98" t="s">
        <v>1224</v>
      </c>
      <c r="W175" s="47"/>
      <c r="X175" s="18"/>
      <c r="Y175" s="68">
        <v>211</v>
      </c>
    </row>
    <row r="176" spans="2:25" s="14" customFormat="1" ht="18">
      <c r="B176" s="103" t="s">
        <v>314</v>
      </c>
      <c r="C176" s="47" t="s">
        <v>93</v>
      </c>
      <c r="D176" s="98" t="s">
        <v>598</v>
      </c>
      <c r="E176" s="103">
        <v>1</v>
      </c>
      <c r="F176" s="103" t="s">
        <v>152</v>
      </c>
      <c r="G176" s="257">
        <v>2</v>
      </c>
      <c r="H176" s="257">
        <v>1</v>
      </c>
      <c r="I176" s="102">
        <v>69</v>
      </c>
      <c r="J176" s="212" cm="1">
        <f t="array" ref="J176">_xlfn.XLOOKUP($I176,Inputs!$C$6:$C$23,Inputs!$D$6:D$23)*$G176</f>
        <v>0.76857142857142857</v>
      </c>
      <c r="K176" s="217">
        <f t="shared" si="2"/>
        <v>3</v>
      </c>
      <c r="L176" s="123"/>
      <c r="M176" s="123"/>
      <c r="N176" s="123"/>
      <c r="O176" s="123"/>
      <c r="P176" s="123"/>
      <c r="Q176" s="218">
        <f>_xlfn.XLOOKUP($I176,Inputs!$G$6:$G$23,Inputs!$J$6:$J$23)*$K176</f>
        <v>36</v>
      </c>
      <c r="R176" s="218">
        <f>_xlfn.XLOOKUP($I176,Inputs!$G$6:$G$23,Inputs!$K$6:$K$23)*$K176</f>
        <v>39</v>
      </c>
      <c r="S176" s="103" t="s">
        <v>629</v>
      </c>
      <c r="T176" s="98" t="s">
        <v>735</v>
      </c>
      <c r="U176" s="103" t="s">
        <v>959</v>
      </c>
      <c r="V176" s="98" t="s">
        <v>1309</v>
      </c>
      <c r="W176" s="47"/>
      <c r="X176" s="18"/>
      <c r="Y176" s="68">
        <v>65</v>
      </c>
    </row>
    <row r="177" spans="2:25" s="14" customFormat="1" ht="18">
      <c r="B177" s="103" t="s">
        <v>356</v>
      </c>
      <c r="C177" s="47" t="s">
        <v>93</v>
      </c>
      <c r="D177" s="98" t="s">
        <v>598</v>
      </c>
      <c r="E177" s="103">
        <v>1</v>
      </c>
      <c r="F177" s="103" t="s">
        <v>152</v>
      </c>
      <c r="G177" s="257">
        <v>2</v>
      </c>
      <c r="H177" s="257">
        <v>1</v>
      </c>
      <c r="I177" s="102">
        <v>69</v>
      </c>
      <c r="J177" s="212" cm="1">
        <f t="array" ref="J177">_xlfn.XLOOKUP($I177,Inputs!$C$6:$C$23,Inputs!$D$6:D$23)*$G177</f>
        <v>0.76857142857142857</v>
      </c>
      <c r="K177" s="217">
        <f t="shared" si="2"/>
        <v>3</v>
      </c>
      <c r="L177" s="123"/>
      <c r="M177" s="123"/>
      <c r="N177" s="123"/>
      <c r="O177" s="123"/>
      <c r="P177" s="123"/>
      <c r="Q177" s="218">
        <f>_xlfn.XLOOKUP($I177,Inputs!$G$6:$G$23,Inputs!$J$6:$J$23)*$K177</f>
        <v>36</v>
      </c>
      <c r="R177" s="218">
        <f>_xlfn.XLOOKUP($I177,Inputs!$G$6:$G$23,Inputs!$K$6:$K$23)*$K177</f>
        <v>39</v>
      </c>
      <c r="S177" s="103" t="s">
        <v>621</v>
      </c>
      <c r="T177" s="98" t="s">
        <v>730</v>
      </c>
      <c r="U177" s="103" t="s">
        <v>1066</v>
      </c>
      <c r="V177" s="98" t="s">
        <v>1395</v>
      </c>
      <c r="W177" s="47"/>
      <c r="X177" s="18"/>
      <c r="Y177" s="68">
        <v>212</v>
      </c>
    </row>
    <row r="178" spans="2:25" s="14" customFormat="1" ht="18">
      <c r="B178" s="103" t="s">
        <v>239</v>
      </c>
      <c r="C178" s="47" t="s">
        <v>93</v>
      </c>
      <c r="D178" s="98" t="s">
        <v>598</v>
      </c>
      <c r="E178" s="103">
        <v>1</v>
      </c>
      <c r="F178" s="103" t="s">
        <v>152</v>
      </c>
      <c r="G178" s="257">
        <v>3</v>
      </c>
      <c r="H178" s="257">
        <v>2</v>
      </c>
      <c r="I178" s="102">
        <v>69</v>
      </c>
      <c r="J178" s="212" cm="1">
        <f t="array" ref="J178">_xlfn.XLOOKUP($I178,Inputs!$C$6:$C$23,Inputs!$D$6:D$23)*$G178</f>
        <v>1.1528571428571428</v>
      </c>
      <c r="K178" s="217">
        <f t="shared" si="2"/>
        <v>3</v>
      </c>
      <c r="L178" s="123"/>
      <c r="M178" s="123"/>
      <c r="N178" s="123"/>
      <c r="O178" s="123"/>
      <c r="P178" s="123"/>
      <c r="Q178" s="218">
        <f>_xlfn.XLOOKUP($I178,Inputs!$G$6:$G$23,Inputs!$J$6:$J$23)*$K178</f>
        <v>36</v>
      </c>
      <c r="R178" s="218">
        <f>_xlfn.XLOOKUP($I178,Inputs!$G$6:$G$23,Inputs!$K$6:$K$23)*$K178</f>
        <v>39</v>
      </c>
      <c r="S178" s="103" t="s">
        <v>621</v>
      </c>
      <c r="T178" s="98" t="s">
        <v>730</v>
      </c>
      <c r="U178" s="103" t="s">
        <v>1138</v>
      </c>
      <c r="V178" s="98" t="s">
        <v>1399</v>
      </c>
      <c r="W178" s="47"/>
      <c r="X178" s="18"/>
      <c r="Y178" s="68">
        <v>28</v>
      </c>
    </row>
    <row r="179" spans="2:25" s="14" customFormat="1" ht="18">
      <c r="B179" s="103" t="s">
        <v>258</v>
      </c>
      <c r="C179" s="47" t="s">
        <v>93</v>
      </c>
      <c r="D179" s="98" t="s">
        <v>598</v>
      </c>
      <c r="E179" s="103">
        <v>1</v>
      </c>
      <c r="F179" s="103" t="s">
        <v>152</v>
      </c>
      <c r="G179" s="180">
        <v>2</v>
      </c>
      <c r="H179" s="180">
        <v>1</v>
      </c>
      <c r="I179" s="102">
        <v>69</v>
      </c>
      <c r="J179" s="212" cm="1">
        <f t="array" ref="J179">_xlfn.XLOOKUP($I179,Inputs!$C$6:$C$23,Inputs!$D$6:D$23)*$G179</f>
        <v>0.76857142857142857</v>
      </c>
      <c r="K179" s="217">
        <f t="shared" si="2"/>
        <v>3</v>
      </c>
      <c r="L179" s="123"/>
      <c r="M179" s="123"/>
      <c r="N179" s="123"/>
      <c r="O179" s="123"/>
      <c r="P179" s="123"/>
      <c r="Q179" s="218">
        <f>_xlfn.XLOOKUP($I179,Inputs!$G$6:$G$23,Inputs!$J$6:$J$23)*$K179</f>
        <v>36</v>
      </c>
      <c r="R179" s="218">
        <f>_xlfn.XLOOKUP($I179,Inputs!$G$6:$G$23,Inputs!$K$6:$K$23)*$K179</f>
        <v>39</v>
      </c>
      <c r="S179" s="103" t="s">
        <v>648</v>
      </c>
      <c r="T179" s="98" t="s">
        <v>753</v>
      </c>
      <c r="U179" s="103" t="s">
        <v>1068</v>
      </c>
      <c r="V179" s="98" t="s">
        <v>1229</v>
      </c>
      <c r="W179" s="47"/>
      <c r="X179" s="18"/>
      <c r="Y179" s="68">
        <v>214</v>
      </c>
    </row>
    <row r="180" spans="2:25" s="14" customFormat="1" ht="18">
      <c r="B180" s="103" t="s">
        <v>257</v>
      </c>
      <c r="C180" s="47" t="s">
        <v>93</v>
      </c>
      <c r="D180" s="98" t="s">
        <v>598</v>
      </c>
      <c r="E180" s="103">
        <v>1</v>
      </c>
      <c r="F180" s="103" t="s">
        <v>152</v>
      </c>
      <c r="G180" s="257">
        <v>3</v>
      </c>
      <c r="H180" s="257">
        <v>2</v>
      </c>
      <c r="I180" s="102">
        <v>69</v>
      </c>
      <c r="J180" s="212" cm="1">
        <f t="array" ref="J180">_xlfn.XLOOKUP($I180,Inputs!$C$6:$C$23,Inputs!$D$6:D$23)*$G180</f>
        <v>1.1528571428571428</v>
      </c>
      <c r="K180" s="217">
        <f t="shared" si="2"/>
        <v>3</v>
      </c>
      <c r="L180" s="123"/>
      <c r="M180" s="123"/>
      <c r="N180" s="123"/>
      <c r="O180" s="123"/>
      <c r="P180" s="123"/>
      <c r="Q180" s="218">
        <f>_xlfn.XLOOKUP($I180,Inputs!$G$6:$G$23,Inputs!$J$6:$J$23)*$K180</f>
        <v>36</v>
      </c>
      <c r="R180" s="218">
        <f>_xlfn.XLOOKUP($I180,Inputs!$G$6:$G$23,Inputs!$K$6:$K$23)*$K180</f>
        <v>39</v>
      </c>
      <c r="S180" s="103" t="s">
        <v>648</v>
      </c>
      <c r="T180" s="98" t="s">
        <v>753</v>
      </c>
      <c r="U180" s="103" t="s">
        <v>980</v>
      </c>
      <c r="V180" s="98" t="s">
        <v>1239</v>
      </c>
      <c r="W180" s="47"/>
      <c r="X180" s="18"/>
      <c r="Y180" s="68">
        <v>118</v>
      </c>
    </row>
    <row r="181" spans="2:25" s="14" customFormat="1" ht="18">
      <c r="B181" s="103" t="s">
        <v>227</v>
      </c>
      <c r="C181" s="47" t="s">
        <v>93</v>
      </c>
      <c r="D181" s="98" t="s">
        <v>598</v>
      </c>
      <c r="E181" s="103">
        <v>1</v>
      </c>
      <c r="F181" s="103" t="s">
        <v>152</v>
      </c>
      <c r="G181" s="180">
        <v>23</v>
      </c>
      <c r="H181" s="180">
        <v>14</v>
      </c>
      <c r="I181" s="102">
        <v>69</v>
      </c>
      <c r="J181" s="212" cm="1">
        <f t="array" ref="J181">_xlfn.XLOOKUP($I181,Inputs!$C$6:$C$23,Inputs!$D$6:D$23)*$G181</f>
        <v>8.838571428571429</v>
      </c>
      <c r="K181" s="217">
        <f t="shared" si="2"/>
        <v>3</v>
      </c>
      <c r="L181" s="123"/>
      <c r="M181" s="123"/>
      <c r="N181" s="123"/>
      <c r="O181" s="123"/>
      <c r="P181" s="123"/>
      <c r="Q181" s="218">
        <f>_xlfn.XLOOKUP($I181,Inputs!$G$6:$G$23,Inputs!$J$6:$J$23)*$K181</f>
        <v>36</v>
      </c>
      <c r="R181" s="218">
        <f>_xlfn.XLOOKUP($I181,Inputs!$G$6:$G$23,Inputs!$K$6:$K$23)*$K181</f>
        <v>39</v>
      </c>
      <c r="S181" s="103" t="s">
        <v>622</v>
      </c>
      <c r="T181" s="98" t="s">
        <v>749</v>
      </c>
      <c r="U181" s="103" t="s">
        <v>1069</v>
      </c>
      <c r="V181" s="98" t="s">
        <v>1311</v>
      </c>
      <c r="W181" s="47"/>
      <c r="X181" s="18"/>
      <c r="Y181" s="68">
        <v>215</v>
      </c>
    </row>
    <row r="182" spans="2:25" s="14" customFormat="1" ht="18">
      <c r="B182" s="103" t="s">
        <v>238</v>
      </c>
      <c r="C182" s="47" t="s">
        <v>93</v>
      </c>
      <c r="D182" s="98" t="s">
        <v>598</v>
      </c>
      <c r="E182" s="103">
        <v>1</v>
      </c>
      <c r="F182" s="103" t="s">
        <v>152</v>
      </c>
      <c r="G182" s="180">
        <v>21</v>
      </c>
      <c r="H182" s="180">
        <v>13</v>
      </c>
      <c r="I182" s="102">
        <v>69</v>
      </c>
      <c r="J182" s="212" cm="1">
        <f t="array" ref="J182">_xlfn.XLOOKUP($I182,Inputs!$C$6:$C$23,Inputs!$D$6:D$23)*$G182</f>
        <v>8.07</v>
      </c>
      <c r="K182" s="217">
        <f t="shared" si="2"/>
        <v>3</v>
      </c>
      <c r="L182" s="123"/>
      <c r="M182" s="123"/>
      <c r="N182" s="123"/>
      <c r="O182" s="123"/>
      <c r="P182" s="123"/>
      <c r="Q182" s="218">
        <f>_xlfn.XLOOKUP($I182,Inputs!$G$6:$G$23,Inputs!$J$6:$J$23)*$K182</f>
        <v>36</v>
      </c>
      <c r="R182" s="218">
        <f>_xlfn.XLOOKUP($I182,Inputs!$G$6:$G$23,Inputs!$K$6:$K$23)*$K182</f>
        <v>39</v>
      </c>
      <c r="S182" s="103" t="s">
        <v>616</v>
      </c>
      <c r="T182" s="98" t="s">
        <v>750</v>
      </c>
      <c r="U182" s="103" t="s">
        <v>1008</v>
      </c>
      <c r="V182" s="98" t="s">
        <v>1208</v>
      </c>
      <c r="W182" s="47"/>
      <c r="X182" s="18"/>
      <c r="Y182" s="68">
        <v>217</v>
      </c>
    </row>
    <row r="183" spans="2:25" s="14" customFormat="1" ht="18">
      <c r="B183" s="103" t="s">
        <v>233</v>
      </c>
      <c r="C183" s="47" t="s">
        <v>93</v>
      </c>
      <c r="D183" s="98" t="s">
        <v>598</v>
      </c>
      <c r="E183" s="103">
        <v>1</v>
      </c>
      <c r="F183" s="103" t="s">
        <v>152</v>
      </c>
      <c r="G183" s="180">
        <v>29</v>
      </c>
      <c r="H183" s="180">
        <v>18</v>
      </c>
      <c r="I183" s="102">
        <v>69</v>
      </c>
      <c r="J183" s="212" cm="1">
        <f t="array" ref="J183">_xlfn.XLOOKUP($I183,Inputs!$C$6:$C$23,Inputs!$D$6:D$23)*$G183</f>
        <v>11.144285714285715</v>
      </c>
      <c r="K183" s="217">
        <f t="shared" si="2"/>
        <v>3</v>
      </c>
      <c r="L183" s="123"/>
      <c r="M183" s="123"/>
      <c r="N183" s="123"/>
      <c r="O183" s="123"/>
      <c r="P183" s="123"/>
      <c r="Q183" s="218">
        <f>_xlfn.XLOOKUP($I183,Inputs!$G$6:$G$23,Inputs!$J$6:$J$23)*$K183</f>
        <v>36</v>
      </c>
      <c r="R183" s="218">
        <f>_xlfn.XLOOKUP($I183,Inputs!$G$6:$G$23,Inputs!$K$6:$K$23)*$K183</f>
        <v>39</v>
      </c>
      <c r="S183" s="103" t="s">
        <v>616</v>
      </c>
      <c r="T183" s="98" t="s">
        <v>750</v>
      </c>
      <c r="U183" s="103" t="s">
        <v>946</v>
      </c>
      <c r="V183" s="98" t="s">
        <v>1330</v>
      </c>
      <c r="W183" s="47"/>
      <c r="X183" s="18"/>
      <c r="Y183" s="68">
        <v>35</v>
      </c>
    </row>
    <row r="184" spans="2:25" s="14" customFormat="1" ht="18">
      <c r="B184" s="103" t="s">
        <v>304</v>
      </c>
      <c r="C184" s="47" t="s">
        <v>93</v>
      </c>
      <c r="D184" s="98" t="s">
        <v>598</v>
      </c>
      <c r="E184" s="103">
        <v>1</v>
      </c>
      <c r="F184" s="103" t="s">
        <v>152</v>
      </c>
      <c r="G184" s="180">
        <v>16</v>
      </c>
      <c r="H184" s="180">
        <v>10</v>
      </c>
      <c r="I184" s="102">
        <v>69</v>
      </c>
      <c r="J184" s="212" cm="1">
        <f t="array" ref="J184">_xlfn.XLOOKUP($I184,Inputs!$C$6:$C$23,Inputs!$D$6:D$23)*$G184</f>
        <v>6.1485714285714286</v>
      </c>
      <c r="K184" s="217">
        <f t="shared" si="2"/>
        <v>3</v>
      </c>
      <c r="L184" s="123"/>
      <c r="M184" s="123"/>
      <c r="N184" s="123"/>
      <c r="O184" s="123"/>
      <c r="P184" s="123"/>
      <c r="Q184" s="218">
        <f>_xlfn.XLOOKUP($I184,Inputs!$G$6:$G$23,Inputs!$J$6:$J$23)*$K184</f>
        <v>36</v>
      </c>
      <c r="R184" s="218">
        <f>_xlfn.XLOOKUP($I184,Inputs!$G$6:$G$23,Inputs!$K$6:$K$23)*$K184</f>
        <v>39</v>
      </c>
      <c r="S184" s="103" t="s">
        <v>646</v>
      </c>
      <c r="T184" s="98" t="s">
        <v>726</v>
      </c>
      <c r="U184" s="103" t="s">
        <v>1012</v>
      </c>
      <c r="V184" s="98" t="s">
        <v>1297</v>
      </c>
      <c r="W184" s="47"/>
      <c r="X184" s="18" t="s">
        <v>1492</v>
      </c>
      <c r="Y184" s="68">
        <v>249</v>
      </c>
    </row>
    <row r="185" spans="2:25" s="14" customFormat="1" ht="18">
      <c r="B185" s="103" t="s">
        <v>1479</v>
      </c>
      <c r="C185" s="47" t="s">
        <v>93</v>
      </c>
      <c r="D185" s="98" t="s">
        <v>598</v>
      </c>
      <c r="E185" s="103">
        <v>1</v>
      </c>
      <c r="F185" s="103" t="s">
        <v>152</v>
      </c>
      <c r="G185" s="180">
        <v>4.5</v>
      </c>
      <c r="H185" s="180">
        <v>2.7777777777777777</v>
      </c>
      <c r="I185" s="102">
        <v>69</v>
      </c>
      <c r="J185" s="212" cm="1">
        <f t="array" ref="J185">_xlfn.XLOOKUP($I185,Inputs!$C$6:$C$23,Inputs!$D$6:D$23)*$G185</f>
        <v>1.7292857142857143</v>
      </c>
      <c r="K185" s="217">
        <f t="shared" si="2"/>
        <v>3</v>
      </c>
      <c r="L185" s="123"/>
      <c r="M185" s="123"/>
      <c r="N185" s="123"/>
      <c r="O185" s="123"/>
      <c r="P185" s="123"/>
      <c r="Q185" s="218">
        <f>_xlfn.XLOOKUP($I185,Inputs!$G$6:$G$23,Inputs!$J$6:$J$23)*$K185</f>
        <v>36</v>
      </c>
      <c r="R185" s="218">
        <f>_xlfn.XLOOKUP($I185,Inputs!$G$6:$G$23,Inputs!$K$6:$K$23)*$K185</f>
        <v>39</v>
      </c>
      <c r="S185" s="103" t="s">
        <v>646</v>
      </c>
      <c r="T185" s="47" t="s">
        <v>726</v>
      </c>
      <c r="U185" s="103" t="s">
        <v>1480</v>
      </c>
      <c r="V185" s="47" t="s">
        <v>1481</v>
      </c>
      <c r="W185" s="47"/>
      <c r="X185" s="18"/>
      <c r="Y185" s="68">
        <v>232</v>
      </c>
    </row>
    <row r="186" spans="2:25" s="158" customFormat="1" ht="18">
      <c r="B186" s="103" t="s">
        <v>200</v>
      </c>
      <c r="C186" s="47" t="s">
        <v>93</v>
      </c>
      <c r="D186" s="98" t="s">
        <v>598</v>
      </c>
      <c r="E186" s="103">
        <v>1</v>
      </c>
      <c r="F186" s="103" t="s">
        <v>152</v>
      </c>
      <c r="G186" s="180">
        <v>3</v>
      </c>
      <c r="H186" s="180">
        <v>2</v>
      </c>
      <c r="I186" s="102">
        <v>69</v>
      </c>
      <c r="J186" s="212" cm="1">
        <f t="array" ref="J186">_xlfn.XLOOKUP($I186,Inputs!$C$6:$C$23,Inputs!$D$6:D$23)*$G186</f>
        <v>1.1528571428571428</v>
      </c>
      <c r="K186" s="217">
        <f t="shared" si="2"/>
        <v>3</v>
      </c>
      <c r="L186" s="123"/>
      <c r="M186" s="123"/>
      <c r="N186" s="123"/>
      <c r="O186" s="123"/>
      <c r="P186" s="123"/>
      <c r="Q186" s="218">
        <f>_xlfn.XLOOKUP($I186,Inputs!$G$6:$G$23,Inputs!$J$6:$J$23)*$K186</f>
        <v>36</v>
      </c>
      <c r="R186" s="218">
        <f>_xlfn.XLOOKUP($I186,Inputs!$G$6:$G$23,Inputs!$K$6:$K$23)*$K186</f>
        <v>39</v>
      </c>
      <c r="S186" s="103" t="s">
        <v>632</v>
      </c>
      <c r="T186" s="98" t="s">
        <v>723</v>
      </c>
      <c r="U186" s="103" t="s">
        <v>1071</v>
      </c>
      <c r="V186" s="98" t="s">
        <v>1458</v>
      </c>
      <c r="W186" s="47"/>
      <c r="X186" s="18"/>
      <c r="Y186" s="68">
        <v>218</v>
      </c>
    </row>
    <row r="187" spans="2:25" s="14" customFormat="1" ht="18">
      <c r="B187" s="103" t="s">
        <v>180</v>
      </c>
      <c r="C187" s="47" t="s">
        <v>93</v>
      </c>
      <c r="D187" s="98" t="s">
        <v>598</v>
      </c>
      <c r="E187" s="103">
        <v>1</v>
      </c>
      <c r="F187" s="103" t="s">
        <v>152</v>
      </c>
      <c r="G187" s="257">
        <v>2</v>
      </c>
      <c r="H187" s="257">
        <v>1</v>
      </c>
      <c r="I187" s="102">
        <v>69</v>
      </c>
      <c r="J187" s="212" cm="1">
        <f t="array" ref="J187">_xlfn.XLOOKUP($I187,Inputs!$C$6:$C$23,Inputs!$D$6:D$23)*$G187</f>
        <v>0.76857142857142857</v>
      </c>
      <c r="K187" s="217">
        <f t="shared" si="2"/>
        <v>3</v>
      </c>
      <c r="L187" s="123"/>
      <c r="M187" s="123"/>
      <c r="N187" s="123"/>
      <c r="O187" s="123"/>
      <c r="P187" s="123"/>
      <c r="Q187" s="218">
        <f>_xlfn.XLOOKUP($I187,Inputs!$G$6:$G$23,Inputs!$J$6:$J$23)*$K187</f>
        <v>36</v>
      </c>
      <c r="R187" s="218">
        <f>_xlfn.XLOOKUP($I187,Inputs!$G$6:$G$23,Inputs!$K$6:$K$23)*$K187</f>
        <v>39</v>
      </c>
      <c r="S187" s="103" t="s">
        <v>632</v>
      </c>
      <c r="T187" s="98" t="s">
        <v>723</v>
      </c>
      <c r="U187" s="103" t="s">
        <v>968</v>
      </c>
      <c r="V187" s="98" t="s">
        <v>1346</v>
      </c>
      <c r="W187" s="47"/>
      <c r="X187" s="18"/>
      <c r="Y187" s="68">
        <v>83</v>
      </c>
    </row>
    <row r="188" spans="2:25" s="14" customFormat="1" ht="18">
      <c r="B188" s="103" t="s">
        <v>198</v>
      </c>
      <c r="C188" s="47" t="s">
        <v>93</v>
      </c>
      <c r="D188" s="98" t="s">
        <v>598</v>
      </c>
      <c r="E188" s="103">
        <v>1</v>
      </c>
      <c r="F188" s="103" t="s">
        <v>152</v>
      </c>
      <c r="G188" s="180">
        <v>9</v>
      </c>
      <c r="H188" s="180">
        <v>6</v>
      </c>
      <c r="I188" s="102">
        <v>69</v>
      </c>
      <c r="J188" s="212" cm="1">
        <f t="array" ref="J188">_xlfn.XLOOKUP($I188,Inputs!$C$6:$C$23,Inputs!$D$6:D$23)*$G188</f>
        <v>3.4585714285714286</v>
      </c>
      <c r="K188" s="217">
        <f t="shared" si="2"/>
        <v>3</v>
      </c>
      <c r="L188" s="123"/>
      <c r="M188" s="123"/>
      <c r="N188" s="123"/>
      <c r="O188" s="123"/>
      <c r="P188" s="123"/>
      <c r="Q188" s="218">
        <f>_xlfn.XLOOKUP($I188,Inputs!$G$6:$G$23,Inputs!$J$6:$J$23)*$K188</f>
        <v>36</v>
      </c>
      <c r="R188" s="218">
        <f>_xlfn.XLOOKUP($I188,Inputs!$G$6:$G$23,Inputs!$K$6:$K$23)*$K188</f>
        <v>39</v>
      </c>
      <c r="S188" s="103" t="s">
        <v>642</v>
      </c>
      <c r="T188" s="98" t="s">
        <v>722</v>
      </c>
      <c r="U188" s="103" t="s">
        <v>1397</v>
      </c>
      <c r="V188" s="98" t="s">
        <v>1207</v>
      </c>
      <c r="W188" s="47"/>
      <c r="X188" s="18"/>
      <c r="Y188" s="68">
        <v>105</v>
      </c>
    </row>
    <row r="189" spans="2:25" s="14" customFormat="1" ht="18">
      <c r="B189" s="103" t="s">
        <v>204</v>
      </c>
      <c r="C189" s="47" t="s">
        <v>93</v>
      </c>
      <c r="D189" s="98" t="s">
        <v>598</v>
      </c>
      <c r="E189" s="103">
        <v>1</v>
      </c>
      <c r="F189" s="103" t="s">
        <v>152</v>
      </c>
      <c r="G189" s="180">
        <v>4</v>
      </c>
      <c r="H189" s="180">
        <v>2</v>
      </c>
      <c r="I189" s="102">
        <v>69</v>
      </c>
      <c r="J189" s="212" cm="1">
        <f t="array" ref="J189">_xlfn.XLOOKUP($I189,Inputs!$C$6:$C$23,Inputs!$D$6:D$23)*$G189</f>
        <v>1.5371428571428571</v>
      </c>
      <c r="K189" s="217">
        <f t="shared" si="2"/>
        <v>3</v>
      </c>
      <c r="L189" s="123"/>
      <c r="M189" s="123"/>
      <c r="N189" s="123"/>
      <c r="O189" s="123"/>
      <c r="P189" s="123"/>
      <c r="Q189" s="218">
        <f>_xlfn.XLOOKUP($I189,Inputs!$G$6:$G$23,Inputs!$J$6:$J$23)*$K189</f>
        <v>36</v>
      </c>
      <c r="R189" s="218">
        <f>_xlfn.XLOOKUP($I189,Inputs!$G$6:$G$23,Inputs!$K$6:$K$23)*$K189</f>
        <v>39</v>
      </c>
      <c r="S189" s="103" t="s">
        <v>642</v>
      </c>
      <c r="T189" s="98" t="s">
        <v>722</v>
      </c>
      <c r="U189" s="103" t="s">
        <v>1072</v>
      </c>
      <c r="V189" s="98" t="s">
        <v>1212</v>
      </c>
      <c r="W189" s="47"/>
      <c r="X189" s="18"/>
      <c r="Y189" s="68">
        <v>219</v>
      </c>
    </row>
    <row r="190" spans="2:25" s="14" customFormat="1" ht="18">
      <c r="B190" s="103" t="s">
        <v>312</v>
      </c>
      <c r="C190" s="47" t="s">
        <v>93</v>
      </c>
      <c r="D190" s="98" t="s">
        <v>598</v>
      </c>
      <c r="E190" s="103">
        <v>1</v>
      </c>
      <c r="F190" s="103" t="s">
        <v>152</v>
      </c>
      <c r="G190" s="180">
        <v>1</v>
      </c>
      <c r="H190" s="180">
        <v>1</v>
      </c>
      <c r="I190" s="102">
        <v>69</v>
      </c>
      <c r="J190" s="212" cm="1">
        <f t="array" ref="J190">_xlfn.XLOOKUP($I190,Inputs!$C$6:$C$23,Inputs!$D$6:D$23)*$G190</f>
        <v>0.38428571428571429</v>
      </c>
      <c r="K190" s="217">
        <f t="shared" si="2"/>
        <v>3</v>
      </c>
      <c r="L190" s="123"/>
      <c r="M190" s="123"/>
      <c r="N190" s="123"/>
      <c r="O190" s="123"/>
      <c r="P190" s="123"/>
      <c r="Q190" s="218">
        <f>_xlfn.XLOOKUP($I190,Inputs!$G$6:$G$23,Inputs!$J$6:$J$23)*$K190</f>
        <v>36</v>
      </c>
      <c r="R190" s="218">
        <f>_xlfn.XLOOKUP($I190,Inputs!$G$6:$G$23,Inputs!$K$6:$K$23)*$K190</f>
        <v>39</v>
      </c>
      <c r="S190" s="103" t="s">
        <v>655</v>
      </c>
      <c r="T190" s="98" t="s">
        <v>698</v>
      </c>
      <c r="U190" s="103" t="s">
        <v>1073</v>
      </c>
      <c r="V190" s="98" t="s">
        <v>1454</v>
      </c>
      <c r="W190" s="47"/>
      <c r="X190" s="18"/>
      <c r="Y190" s="68">
        <v>220</v>
      </c>
    </row>
    <row r="191" spans="2:25" s="14" customFormat="1" ht="18">
      <c r="B191" s="103" t="s">
        <v>311</v>
      </c>
      <c r="C191" s="47" t="s">
        <v>93</v>
      </c>
      <c r="D191" s="98" t="s">
        <v>598</v>
      </c>
      <c r="E191" s="103">
        <v>1</v>
      </c>
      <c r="F191" s="103" t="s">
        <v>152</v>
      </c>
      <c r="G191" s="180">
        <v>4</v>
      </c>
      <c r="H191" s="180">
        <v>2</v>
      </c>
      <c r="I191" s="102">
        <v>69</v>
      </c>
      <c r="J191" s="212" cm="1">
        <f t="array" ref="J191">_xlfn.XLOOKUP($I191,Inputs!$C$6:$C$23,Inputs!$D$6:D$23)*$G191</f>
        <v>1.5371428571428571</v>
      </c>
      <c r="K191" s="217">
        <f t="shared" si="2"/>
        <v>3</v>
      </c>
      <c r="L191" s="123"/>
      <c r="M191" s="123"/>
      <c r="N191" s="123"/>
      <c r="O191" s="123"/>
      <c r="P191" s="123"/>
      <c r="Q191" s="218">
        <f>_xlfn.XLOOKUP($I191,Inputs!$G$6:$G$23,Inputs!$J$6:$J$23)*$K191</f>
        <v>36</v>
      </c>
      <c r="R191" s="218">
        <f>_xlfn.XLOOKUP($I191,Inputs!$G$6:$G$23,Inputs!$K$6:$K$23)*$K191</f>
        <v>39</v>
      </c>
      <c r="S191" s="103" t="s">
        <v>655</v>
      </c>
      <c r="T191" s="98" t="s">
        <v>698</v>
      </c>
      <c r="U191" s="103" t="s">
        <v>368</v>
      </c>
      <c r="V191" s="98" t="s">
        <v>1386</v>
      </c>
      <c r="W191" s="47"/>
      <c r="X191" s="18"/>
      <c r="Y191" s="68">
        <v>161</v>
      </c>
    </row>
    <row r="192" spans="2:25" s="14" customFormat="1" ht="18">
      <c r="B192" s="103" t="s">
        <v>219</v>
      </c>
      <c r="C192" s="47" t="s">
        <v>93</v>
      </c>
      <c r="D192" s="98" t="s">
        <v>598</v>
      </c>
      <c r="E192" s="103">
        <v>1</v>
      </c>
      <c r="F192" s="103" t="s">
        <v>152</v>
      </c>
      <c r="G192" s="180">
        <v>6</v>
      </c>
      <c r="H192" s="180">
        <v>4</v>
      </c>
      <c r="I192" s="102">
        <v>69</v>
      </c>
      <c r="J192" s="212" cm="1">
        <f t="array" ref="J192">_xlfn.XLOOKUP($I192,Inputs!$C$6:$C$23,Inputs!$D$6:D$23)*$G192</f>
        <v>2.3057142857142856</v>
      </c>
      <c r="K192" s="217">
        <f t="shared" si="2"/>
        <v>3</v>
      </c>
      <c r="L192" s="123"/>
      <c r="M192" s="123"/>
      <c r="N192" s="123"/>
      <c r="O192" s="123"/>
      <c r="P192" s="123"/>
      <c r="Q192" s="218">
        <f>_xlfn.XLOOKUP($I192,Inputs!$G$6:$G$23,Inputs!$J$6:$J$23)*$K192</f>
        <v>36</v>
      </c>
      <c r="R192" s="218">
        <f>_xlfn.XLOOKUP($I192,Inputs!$G$6:$G$23,Inputs!$K$6:$K$23)*$K192</f>
        <v>39</v>
      </c>
      <c r="S192" s="103" t="s">
        <v>658</v>
      </c>
      <c r="T192" s="98" t="s">
        <v>733</v>
      </c>
      <c r="U192" s="103" t="s">
        <v>1074</v>
      </c>
      <c r="V192" s="98" t="s">
        <v>1449</v>
      </c>
      <c r="W192" s="47"/>
      <c r="X192" s="18"/>
      <c r="Y192" s="68">
        <v>222</v>
      </c>
    </row>
    <row r="193" spans="2:25" s="14" customFormat="1" ht="18">
      <c r="B193" s="103" t="s">
        <v>193</v>
      </c>
      <c r="C193" s="47" t="s">
        <v>93</v>
      </c>
      <c r="D193" s="98" t="s">
        <v>598</v>
      </c>
      <c r="E193" s="103">
        <v>1</v>
      </c>
      <c r="F193" s="103" t="s">
        <v>152</v>
      </c>
      <c r="G193" s="180">
        <v>9</v>
      </c>
      <c r="H193" s="180">
        <v>5</v>
      </c>
      <c r="I193" s="102">
        <v>69</v>
      </c>
      <c r="J193" s="212" cm="1">
        <f t="array" ref="J193">_xlfn.XLOOKUP($I193,Inputs!$C$6:$C$23,Inputs!$D$6:D$23)*$G193</f>
        <v>3.4585714285714286</v>
      </c>
      <c r="K193" s="217">
        <f t="shared" si="2"/>
        <v>3</v>
      </c>
      <c r="L193" s="123"/>
      <c r="M193" s="123"/>
      <c r="N193" s="123"/>
      <c r="O193" s="123"/>
      <c r="P193" s="123"/>
      <c r="Q193" s="218">
        <f>_xlfn.XLOOKUP($I193,Inputs!$G$6:$G$23,Inputs!$J$6:$J$23)*$K193</f>
        <v>36</v>
      </c>
      <c r="R193" s="218">
        <f>_xlfn.XLOOKUP($I193,Inputs!$G$6:$G$23,Inputs!$K$6:$K$23)*$K193</f>
        <v>39</v>
      </c>
      <c r="S193" s="103" t="s">
        <v>664</v>
      </c>
      <c r="T193" s="98" t="s">
        <v>711</v>
      </c>
      <c r="U193" s="103" t="s">
        <v>1075</v>
      </c>
      <c r="V193" s="98" t="s">
        <v>1231</v>
      </c>
      <c r="W193" s="47"/>
      <c r="X193" s="18"/>
      <c r="Y193" s="68">
        <v>223</v>
      </c>
    </row>
    <row r="194" spans="2:25" s="14" customFormat="1" ht="18">
      <c r="B194" s="103" t="s">
        <v>192</v>
      </c>
      <c r="C194" s="47" t="s">
        <v>93</v>
      </c>
      <c r="D194" s="98" t="s">
        <v>598</v>
      </c>
      <c r="E194" s="103">
        <v>1</v>
      </c>
      <c r="F194" s="103" t="s">
        <v>152</v>
      </c>
      <c r="G194" s="257">
        <v>2</v>
      </c>
      <c r="H194" s="257">
        <v>1</v>
      </c>
      <c r="I194" s="102">
        <v>69</v>
      </c>
      <c r="J194" s="212" cm="1">
        <f t="array" ref="J194">_xlfn.XLOOKUP($I194,Inputs!$C$6:$C$23,Inputs!$D$6:D$23)*$G194</f>
        <v>0.76857142857142857</v>
      </c>
      <c r="K194" s="217">
        <f t="shared" si="2"/>
        <v>3</v>
      </c>
      <c r="L194" s="123"/>
      <c r="M194" s="123"/>
      <c r="N194" s="123"/>
      <c r="O194" s="123"/>
      <c r="P194" s="123"/>
      <c r="Q194" s="218">
        <f>_xlfn.XLOOKUP($I194,Inputs!$G$6:$G$23,Inputs!$J$6:$J$23)*$K194</f>
        <v>36</v>
      </c>
      <c r="R194" s="218">
        <f>_xlfn.XLOOKUP($I194,Inputs!$G$6:$G$23,Inputs!$K$6:$K$23)*$K194</f>
        <v>39</v>
      </c>
      <c r="S194" s="103" t="s">
        <v>664</v>
      </c>
      <c r="T194" s="98" t="s">
        <v>711</v>
      </c>
      <c r="U194" s="103" t="s">
        <v>665</v>
      </c>
      <c r="V194" s="98" t="s">
        <v>748</v>
      </c>
      <c r="W194" s="47"/>
      <c r="X194" s="18"/>
      <c r="Y194" s="68">
        <v>205</v>
      </c>
    </row>
    <row r="195" spans="2:25" s="14" customFormat="1" ht="18">
      <c r="B195" s="103" t="s">
        <v>352</v>
      </c>
      <c r="C195" s="47" t="s">
        <v>93</v>
      </c>
      <c r="D195" s="98" t="s">
        <v>598</v>
      </c>
      <c r="E195" s="103">
        <v>1</v>
      </c>
      <c r="F195" s="103" t="s">
        <v>152</v>
      </c>
      <c r="G195" s="257">
        <v>1</v>
      </c>
      <c r="H195" s="257">
        <v>1</v>
      </c>
      <c r="I195" s="102">
        <v>69</v>
      </c>
      <c r="J195" s="212" cm="1">
        <f t="array" ref="J195">_xlfn.XLOOKUP($I195,Inputs!$C$6:$C$23,Inputs!$D$6:D$23)*$G195</f>
        <v>0.38428571428571429</v>
      </c>
      <c r="K195" s="217">
        <f t="shared" si="2"/>
        <v>3</v>
      </c>
      <c r="L195" s="123"/>
      <c r="M195" s="123"/>
      <c r="N195" s="123"/>
      <c r="O195" s="123"/>
      <c r="P195" s="123"/>
      <c r="Q195" s="218">
        <f>_xlfn.XLOOKUP($I195,Inputs!$G$6:$G$23,Inputs!$J$6:$J$23)*$K195</f>
        <v>36</v>
      </c>
      <c r="R195" s="218">
        <f>_xlfn.XLOOKUP($I195,Inputs!$G$6:$G$23,Inputs!$K$6:$K$23)*$K195</f>
        <v>39</v>
      </c>
      <c r="S195" s="103" t="s">
        <v>633</v>
      </c>
      <c r="T195" s="98" t="s">
        <v>724</v>
      </c>
      <c r="U195" s="103" t="s">
        <v>1076</v>
      </c>
      <c r="V195" s="98" t="s">
        <v>1448</v>
      </c>
      <c r="W195" s="47"/>
      <c r="X195" s="18"/>
      <c r="Y195" s="68">
        <v>224</v>
      </c>
    </row>
    <row r="196" spans="2:25" s="14" customFormat="1" ht="18">
      <c r="B196" s="103" t="s">
        <v>180</v>
      </c>
      <c r="C196" s="47" t="s">
        <v>93</v>
      </c>
      <c r="D196" s="98" t="s">
        <v>598</v>
      </c>
      <c r="E196" s="103">
        <v>1</v>
      </c>
      <c r="F196" s="103" t="s">
        <v>152</v>
      </c>
      <c r="G196" s="180">
        <v>3</v>
      </c>
      <c r="H196" s="180">
        <v>2</v>
      </c>
      <c r="I196" s="102">
        <v>69</v>
      </c>
      <c r="J196" s="212" cm="1">
        <f t="array" ref="J196">_xlfn.XLOOKUP($I196,Inputs!$C$6:$C$23,Inputs!$D$6:D$23)*$G196</f>
        <v>1.1528571428571428</v>
      </c>
      <c r="K196" s="217">
        <f t="shared" ref="K196:K259" si="3">IF((42.4*(H196)^(-0.6595))&gt;=3,3,(IF(42.4*(H196)^(-0.6595)&lt;=0.5,0.5,(42.4*(H196)^(-0.6595)))))</f>
        <v>3</v>
      </c>
      <c r="L196" s="123"/>
      <c r="M196" s="123"/>
      <c r="N196" s="123"/>
      <c r="O196" s="123"/>
      <c r="P196" s="123"/>
      <c r="Q196" s="218">
        <f>_xlfn.XLOOKUP($I196,Inputs!$G$6:$G$23,Inputs!$J$6:$J$23)*$K196</f>
        <v>36</v>
      </c>
      <c r="R196" s="218">
        <f>_xlfn.XLOOKUP($I196,Inputs!$G$6:$G$23,Inputs!$K$6:$K$23)*$K196</f>
        <v>39</v>
      </c>
      <c r="S196" s="103" t="s">
        <v>633</v>
      </c>
      <c r="T196" s="98" t="s">
        <v>724</v>
      </c>
      <c r="U196" s="103" t="s">
        <v>1140</v>
      </c>
      <c r="V196" s="98" t="s">
        <v>1428</v>
      </c>
      <c r="W196" s="47"/>
      <c r="X196" s="18"/>
      <c r="Y196" s="68">
        <v>86</v>
      </c>
    </row>
    <row r="197" spans="2:25" s="14" customFormat="1" ht="18">
      <c r="B197" s="103" t="s">
        <v>245</v>
      </c>
      <c r="C197" s="47" t="s">
        <v>93</v>
      </c>
      <c r="D197" s="98" t="s">
        <v>598</v>
      </c>
      <c r="E197" s="103">
        <v>1</v>
      </c>
      <c r="F197" s="103" t="s">
        <v>152</v>
      </c>
      <c r="G197" s="180">
        <v>2</v>
      </c>
      <c r="H197" s="180">
        <v>1</v>
      </c>
      <c r="I197" s="102">
        <v>69</v>
      </c>
      <c r="J197" s="212" cm="1">
        <f t="array" ref="J197">_xlfn.XLOOKUP($I197,Inputs!$C$6:$C$23,Inputs!$D$6:D$23)*$G197</f>
        <v>0.76857142857142857</v>
      </c>
      <c r="K197" s="217">
        <f t="shared" si="3"/>
        <v>3</v>
      </c>
      <c r="L197" s="123"/>
      <c r="M197" s="123"/>
      <c r="N197" s="123"/>
      <c r="O197" s="123"/>
      <c r="P197" s="123"/>
      <c r="Q197" s="218">
        <f>_xlfn.XLOOKUP($I197,Inputs!$G$6:$G$23,Inputs!$J$6:$J$23)*$K197</f>
        <v>36</v>
      </c>
      <c r="R197" s="218">
        <f>_xlfn.XLOOKUP($I197,Inputs!$G$6:$G$23,Inputs!$K$6:$K$23)*$K197</f>
        <v>39</v>
      </c>
      <c r="S197" s="103" t="s">
        <v>639</v>
      </c>
      <c r="T197" s="98" t="s">
        <v>758</v>
      </c>
      <c r="U197" s="103" t="s">
        <v>1078</v>
      </c>
      <c r="V197" s="98" t="s">
        <v>1263</v>
      </c>
      <c r="W197" s="47"/>
      <c r="X197" s="18"/>
      <c r="Y197" s="68">
        <v>231</v>
      </c>
    </row>
    <row r="198" spans="2:25" s="14" customFormat="1" ht="18">
      <c r="B198" s="103" t="s">
        <v>243</v>
      </c>
      <c r="C198" s="47" t="s">
        <v>93</v>
      </c>
      <c r="D198" s="98" t="s">
        <v>598</v>
      </c>
      <c r="E198" s="103">
        <v>1</v>
      </c>
      <c r="F198" s="103" t="s">
        <v>152</v>
      </c>
      <c r="G198" s="180">
        <v>7</v>
      </c>
      <c r="H198" s="180">
        <v>5</v>
      </c>
      <c r="I198" s="102">
        <v>69</v>
      </c>
      <c r="J198" s="212" cm="1">
        <f t="array" ref="J198">_xlfn.XLOOKUP($I198,Inputs!$C$6:$C$23,Inputs!$D$6:D$23)*$G198</f>
        <v>2.69</v>
      </c>
      <c r="K198" s="217">
        <f t="shared" si="3"/>
        <v>3</v>
      </c>
      <c r="L198" s="123"/>
      <c r="M198" s="123"/>
      <c r="N198" s="123"/>
      <c r="O198" s="123"/>
      <c r="P198" s="123"/>
      <c r="Q198" s="218">
        <f>_xlfn.XLOOKUP($I198,Inputs!$G$6:$G$23,Inputs!$J$6:$J$23)*$K198</f>
        <v>36</v>
      </c>
      <c r="R198" s="218">
        <f>_xlfn.XLOOKUP($I198,Inputs!$G$6:$G$23,Inputs!$K$6:$K$23)*$K198</f>
        <v>39</v>
      </c>
      <c r="S198" s="103" t="s">
        <v>639</v>
      </c>
      <c r="T198" s="98" t="s">
        <v>758</v>
      </c>
      <c r="U198" s="103" t="s">
        <v>1123</v>
      </c>
      <c r="V198" s="98" t="s">
        <v>1417</v>
      </c>
      <c r="W198" s="47"/>
      <c r="X198" s="18"/>
      <c r="Y198" s="68">
        <v>98</v>
      </c>
    </row>
    <row r="199" spans="2:25" s="14" customFormat="1" ht="18">
      <c r="B199" s="103" t="s">
        <v>360</v>
      </c>
      <c r="C199" s="47" t="s">
        <v>93</v>
      </c>
      <c r="D199" s="98" t="s">
        <v>598</v>
      </c>
      <c r="E199" s="103">
        <v>1</v>
      </c>
      <c r="F199" s="103" t="s">
        <v>152</v>
      </c>
      <c r="G199" s="180">
        <v>2</v>
      </c>
      <c r="H199" s="180">
        <v>1</v>
      </c>
      <c r="I199" s="102">
        <v>69</v>
      </c>
      <c r="J199" s="212" cm="1">
        <f t="array" ref="J199">_xlfn.XLOOKUP($I199,Inputs!$C$6:$C$23,Inputs!$D$6:D$23)*$G199</f>
        <v>0.76857142857142857</v>
      </c>
      <c r="K199" s="217">
        <f t="shared" si="3"/>
        <v>3</v>
      </c>
      <c r="L199" s="123"/>
      <c r="M199" s="123"/>
      <c r="N199" s="123"/>
      <c r="O199" s="123"/>
      <c r="P199" s="123"/>
      <c r="Q199" s="218">
        <f>_xlfn.XLOOKUP($I199,Inputs!$G$6:$G$23,Inputs!$J$6:$J$23)*$K199</f>
        <v>36</v>
      </c>
      <c r="R199" s="218">
        <f>_xlfn.XLOOKUP($I199,Inputs!$G$6:$G$23,Inputs!$K$6:$K$23)*$K199</f>
        <v>39</v>
      </c>
      <c r="S199" s="103" t="s">
        <v>666</v>
      </c>
      <c r="T199" s="98" t="s">
        <v>706</v>
      </c>
      <c r="U199" s="103" t="s">
        <v>1079</v>
      </c>
      <c r="V199" s="98" t="s">
        <v>1238</v>
      </c>
      <c r="W199" s="47"/>
      <c r="X199" s="18"/>
      <c r="Y199" s="68">
        <v>233</v>
      </c>
    </row>
    <row r="200" spans="2:25" s="14" customFormat="1" ht="18">
      <c r="B200" s="103" t="s">
        <v>246</v>
      </c>
      <c r="C200" s="47" t="s">
        <v>93</v>
      </c>
      <c r="D200" s="98" t="s">
        <v>598</v>
      </c>
      <c r="E200" s="103">
        <v>1</v>
      </c>
      <c r="F200" s="103" t="s">
        <v>152</v>
      </c>
      <c r="G200" s="180">
        <v>7</v>
      </c>
      <c r="H200" s="180">
        <v>4</v>
      </c>
      <c r="I200" s="102">
        <v>69</v>
      </c>
      <c r="J200" s="212" cm="1">
        <f t="array" ref="J200">_xlfn.XLOOKUP($I200,Inputs!$C$6:$C$23,Inputs!$D$6:D$23)*$G200</f>
        <v>2.69</v>
      </c>
      <c r="K200" s="217">
        <f t="shared" si="3"/>
        <v>3</v>
      </c>
      <c r="L200" s="123"/>
      <c r="M200" s="123"/>
      <c r="N200" s="123"/>
      <c r="O200" s="123"/>
      <c r="P200" s="123"/>
      <c r="Q200" s="218">
        <f>_xlfn.XLOOKUP($I200,Inputs!$G$6:$G$23,Inputs!$J$6:$J$23)*$K200</f>
        <v>36</v>
      </c>
      <c r="R200" s="218">
        <f>_xlfn.XLOOKUP($I200,Inputs!$G$6:$G$23,Inputs!$K$6:$K$23)*$K200</f>
        <v>39</v>
      </c>
      <c r="S200" s="103" t="s">
        <v>666</v>
      </c>
      <c r="T200" s="98" t="s">
        <v>706</v>
      </c>
      <c r="U200" s="103" t="s">
        <v>662</v>
      </c>
      <c r="V200" s="98" t="s">
        <v>755</v>
      </c>
      <c r="W200" s="47"/>
      <c r="X200" s="18"/>
      <c r="Y200" s="68">
        <v>227</v>
      </c>
    </row>
    <row r="201" spans="2:25" s="14" customFormat="1" ht="18">
      <c r="B201" s="103" t="s">
        <v>659</v>
      </c>
      <c r="C201" s="47" t="s">
        <v>93</v>
      </c>
      <c r="D201" s="98" t="s">
        <v>598</v>
      </c>
      <c r="E201" s="103">
        <v>1</v>
      </c>
      <c r="F201" s="103" t="s">
        <v>152</v>
      </c>
      <c r="G201" s="257">
        <v>1</v>
      </c>
      <c r="H201" s="257">
        <v>1</v>
      </c>
      <c r="I201" s="102">
        <v>69</v>
      </c>
      <c r="J201" s="212" cm="1">
        <f t="array" ref="J201">_xlfn.XLOOKUP($I201,Inputs!$C$6:$C$23,Inputs!$D$6:D$23)*$G201</f>
        <v>0.38428571428571429</v>
      </c>
      <c r="K201" s="217">
        <f t="shared" si="3"/>
        <v>3</v>
      </c>
      <c r="L201" s="123"/>
      <c r="M201" s="123"/>
      <c r="N201" s="123"/>
      <c r="O201" s="123"/>
      <c r="P201" s="123"/>
      <c r="Q201" s="218">
        <f>_xlfn.XLOOKUP($I201,Inputs!$G$6:$G$23,Inputs!$J$6:$J$23)*$K201</f>
        <v>36</v>
      </c>
      <c r="R201" s="218">
        <f>_xlfn.XLOOKUP($I201,Inputs!$G$6:$G$23,Inputs!$K$6:$K$23)*$K201</f>
        <v>39</v>
      </c>
      <c r="S201" s="103" t="s">
        <v>660</v>
      </c>
      <c r="T201" s="98" t="s">
        <v>745</v>
      </c>
      <c r="U201" s="103" t="s">
        <v>1080</v>
      </c>
      <c r="V201" s="98" t="s">
        <v>1256</v>
      </c>
      <c r="W201" s="47"/>
      <c r="X201" s="18"/>
      <c r="Y201" s="68">
        <v>236</v>
      </c>
    </row>
    <row r="202" spans="2:25" s="14" customFormat="1" ht="18">
      <c r="B202" s="103" t="s">
        <v>176</v>
      </c>
      <c r="C202" s="47" t="s">
        <v>93</v>
      </c>
      <c r="D202" s="98" t="s">
        <v>598</v>
      </c>
      <c r="E202" s="103">
        <v>1</v>
      </c>
      <c r="F202" s="103" t="s">
        <v>152</v>
      </c>
      <c r="G202" s="180">
        <v>3</v>
      </c>
      <c r="H202" s="180">
        <v>2</v>
      </c>
      <c r="I202" s="102">
        <v>69</v>
      </c>
      <c r="J202" s="212" cm="1">
        <f t="array" ref="J202">_xlfn.XLOOKUP($I202,Inputs!$C$6:$C$23,Inputs!$D$6:D$23)*$G202</f>
        <v>1.1528571428571428</v>
      </c>
      <c r="K202" s="217">
        <f t="shared" si="3"/>
        <v>3</v>
      </c>
      <c r="L202" s="123"/>
      <c r="M202" s="123"/>
      <c r="N202" s="123"/>
      <c r="O202" s="123"/>
      <c r="P202" s="123"/>
      <c r="Q202" s="218">
        <f>_xlfn.XLOOKUP($I202,Inputs!$G$6:$G$23,Inputs!$J$6:$J$23)*$K202</f>
        <v>36</v>
      </c>
      <c r="R202" s="218">
        <f>_xlfn.XLOOKUP($I202,Inputs!$G$6:$G$23,Inputs!$K$6:$K$23)*$K202</f>
        <v>39</v>
      </c>
      <c r="S202" s="103" t="s">
        <v>660</v>
      </c>
      <c r="T202" s="98" t="s">
        <v>745</v>
      </c>
      <c r="U202" s="103" t="s">
        <v>1003</v>
      </c>
      <c r="V202" s="98" t="s">
        <v>1257</v>
      </c>
      <c r="W202" s="47"/>
      <c r="X202" s="18"/>
      <c r="Y202" s="68">
        <v>179</v>
      </c>
    </row>
    <row r="203" spans="2:25" s="14" customFormat="1" ht="18">
      <c r="B203" s="103" t="s">
        <v>192</v>
      </c>
      <c r="C203" s="47" t="s">
        <v>93</v>
      </c>
      <c r="D203" s="98" t="s">
        <v>598</v>
      </c>
      <c r="E203" s="103">
        <v>1</v>
      </c>
      <c r="F203" s="103" t="s">
        <v>152</v>
      </c>
      <c r="G203" s="180">
        <v>2</v>
      </c>
      <c r="H203" s="180">
        <v>1</v>
      </c>
      <c r="I203" s="102">
        <v>69</v>
      </c>
      <c r="J203" s="212" cm="1">
        <f t="array" ref="J203">_xlfn.XLOOKUP($I203,Inputs!$C$6:$C$23,Inputs!$D$6:D$23)*$G203</f>
        <v>0.76857142857142857</v>
      </c>
      <c r="K203" s="217">
        <f t="shared" si="3"/>
        <v>3</v>
      </c>
      <c r="L203" s="123"/>
      <c r="M203" s="123"/>
      <c r="N203" s="123"/>
      <c r="O203" s="123"/>
      <c r="P203" s="123"/>
      <c r="Q203" s="218">
        <f>_xlfn.XLOOKUP($I203,Inputs!$G$6:$G$23,Inputs!$J$6:$J$23)*$K203</f>
        <v>36</v>
      </c>
      <c r="R203" s="218">
        <f>_xlfn.XLOOKUP($I203,Inputs!$G$6:$G$23,Inputs!$K$6:$K$23)*$K203</f>
        <v>39</v>
      </c>
      <c r="S203" s="103" t="s">
        <v>665</v>
      </c>
      <c r="T203" s="98" t="s">
        <v>748</v>
      </c>
      <c r="U203" s="103" t="s">
        <v>1463</v>
      </c>
      <c r="V203" s="98" t="s">
        <v>1462</v>
      </c>
      <c r="W203" s="47"/>
      <c r="X203" s="18"/>
      <c r="Y203" s="68">
        <v>206</v>
      </c>
    </row>
    <row r="204" spans="2:25" s="14" customFormat="1" ht="18">
      <c r="B204" s="103" t="s">
        <v>194</v>
      </c>
      <c r="C204" s="47" t="s">
        <v>93</v>
      </c>
      <c r="D204" s="98" t="s">
        <v>598</v>
      </c>
      <c r="E204" s="103">
        <v>1</v>
      </c>
      <c r="F204" s="103" t="s">
        <v>152</v>
      </c>
      <c r="G204" s="180">
        <v>8</v>
      </c>
      <c r="H204" s="180">
        <v>5</v>
      </c>
      <c r="I204" s="102">
        <v>69</v>
      </c>
      <c r="J204" s="212" cm="1">
        <f t="array" ref="J204">_xlfn.XLOOKUP($I204,Inputs!$C$6:$C$23,Inputs!$D$6:D$23)*$G204</f>
        <v>3.0742857142857143</v>
      </c>
      <c r="K204" s="217">
        <f t="shared" si="3"/>
        <v>3</v>
      </c>
      <c r="L204" s="123"/>
      <c r="M204" s="123"/>
      <c r="N204" s="123"/>
      <c r="O204" s="123"/>
      <c r="P204" s="123"/>
      <c r="Q204" s="218">
        <f>_xlfn.XLOOKUP($I204,Inputs!$G$6:$G$23,Inputs!$J$6:$J$23)*$K204</f>
        <v>36</v>
      </c>
      <c r="R204" s="218">
        <f>_xlfn.XLOOKUP($I204,Inputs!$G$6:$G$23,Inputs!$K$6:$K$23)*$K204</f>
        <v>39</v>
      </c>
      <c r="S204" s="103" t="s">
        <v>665</v>
      </c>
      <c r="T204" s="98" t="s">
        <v>748</v>
      </c>
      <c r="U204" s="103" t="s">
        <v>1081</v>
      </c>
      <c r="V204" s="98" t="s">
        <v>1221</v>
      </c>
      <c r="W204" s="47"/>
      <c r="X204" s="18"/>
      <c r="Y204" s="68">
        <v>237</v>
      </c>
    </row>
    <row r="205" spans="2:25" s="14" customFormat="1" ht="18">
      <c r="B205" s="103" t="s">
        <v>217</v>
      </c>
      <c r="C205" s="47" t="s">
        <v>93</v>
      </c>
      <c r="D205" s="98" t="s">
        <v>598</v>
      </c>
      <c r="E205" s="103">
        <v>1</v>
      </c>
      <c r="F205" s="103" t="s">
        <v>152</v>
      </c>
      <c r="G205" s="180">
        <v>4</v>
      </c>
      <c r="H205" s="180">
        <v>2</v>
      </c>
      <c r="I205" s="102">
        <v>69</v>
      </c>
      <c r="J205" s="212" cm="1">
        <f t="array" ref="J205">_xlfn.XLOOKUP($I205,Inputs!$C$6:$C$23,Inputs!$D$6:D$23)*$G205</f>
        <v>1.5371428571428571</v>
      </c>
      <c r="K205" s="217">
        <f t="shared" si="3"/>
        <v>3</v>
      </c>
      <c r="L205" s="123"/>
      <c r="M205" s="123"/>
      <c r="N205" s="123"/>
      <c r="O205" s="123"/>
      <c r="P205" s="123"/>
      <c r="Q205" s="218">
        <f>_xlfn.XLOOKUP($I205,Inputs!$G$6:$G$23,Inputs!$J$6:$J$23)*$K205</f>
        <v>36</v>
      </c>
      <c r="R205" s="218">
        <f>_xlfn.XLOOKUP($I205,Inputs!$G$6:$G$23,Inputs!$K$6:$K$23)*$K205</f>
        <v>39</v>
      </c>
      <c r="S205" s="103" t="s">
        <v>643</v>
      </c>
      <c r="T205" s="98" t="s">
        <v>703</v>
      </c>
      <c r="U205" s="103" t="s">
        <v>657</v>
      </c>
      <c r="V205" s="98" t="s">
        <v>709</v>
      </c>
      <c r="W205" s="47"/>
      <c r="X205" s="18"/>
      <c r="Y205" s="68">
        <v>238</v>
      </c>
    </row>
    <row r="206" spans="2:25" s="14" customFormat="1" ht="18">
      <c r="B206" s="103" t="s">
        <v>198</v>
      </c>
      <c r="C206" s="47" t="s">
        <v>93</v>
      </c>
      <c r="D206" s="98" t="s">
        <v>598</v>
      </c>
      <c r="E206" s="103">
        <v>1</v>
      </c>
      <c r="F206" s="103" t="s">
        <v>152</v>
      </c>
      <c r="G206" s="180">
        <v>4</v>
      </c>
      <c r="H206" s="180">
        <v>3</v>
      </c>
      <c r="I206" s="102">
        <v>69</v>
      </c>
      <c r="J206" s="212" cm="1">
        <f t="array" ref="J206">_xlfn.XLOOKUP($I206,Inputs!$C$6:$C$23,Inputs!$D$6:D$23)*$G206</f>
        <v>1.5371428571428571</v>
      </c>
      <c r="K206" s="217">
        <f t="shared" si="3"/>
        <v>3</v>
      </c>
      <c r="L206" s="123"/>
      <c r="M206" s="123"/>
      <c r="N206" s="123"/>
      <c r="O206" s="123"/>
      <c r="P206" s="123"/>
      <c r="Q206" s="218">
        <f>_xlfn.XLOOKUP($I206,Inputs!$G$6:$G$23,Inputs!$J$6:$J$23)*$K206</f>
        <v>36</v>
      </c>
      <c r="R206" s="218">
        <f>_xlfn.XLOOKUP($I206,Inputs!$G$6:$G$23,Inputs!$K$6:$K$23)*$K206</f>
        <v>39</v>
      </c>
      <c r="S206" s="103" t="s">
        <v>643</v>
      </c>
      <c r="T206" s="98" t="s">
        <v>703</v>
      </c>
      <c r="U206" s="103" t="s">
        <v>975</v>
      </c>
      <c r="V206" s="98" t="s">
        <v>1342</v>
      </c>
      <c r="W206" s="47"/>
      <c r="X206" s="18"/>
      <c r="Y206" s="68">
        <v>107</v>
      </c>
    </row>
    <row r="207" spans="2:25" s="14" customFormat="1" ht="18">
      <c r="B207" s="103" t="s">
        <v>203</v>
      </c>
      <c r="C207" s="47" t="s">
        <v>93</v>
      </c>
      <c r="D207" s="98" t="s">
        <v>598</v>
      </c>
      <c r="E207" s="103">
        <v>1</v>
      </c>
      <c r="F207" s="103" t="s">
        <v>152</v>
      </c>
      <c r="G207" s="257">
        <v>1</v>
      </c>
      <c r="H207" s="257">
        <v>1</v>
      </c>
      <c r="I207" s="102">
        <v>69</v>
      </c>
      <c r="J207" s="212" cm="1">
        <f t="array" ref="J207">_xlfn.XLOOKUP($I207,Inputs!$C$6:$C$23,Inputs!$D$6:D$23)*$G207</f>
        <v>0.38428571428571429</v>
      </c>
      <c r="K207" s="217">
        <f t="shared" si="3"/>
        <v>3</v>
      </c>
      <c r="L207" s="123"/>
      <c r="M207" s="123"/>
      <c r="N207" s="123"/>
      <c r="O207" s="123"/>
      <c r="P207" s="123"/>
      <c r="Q207" s="218">
        <f>_xlfn.XLOOKUP($I207,Inputs!$G$6:$G$23,Inputs!$J$6:$J$23)*$K207</f>
        <v>36</v>
      </c>
      <c r="R207" s="218">
        <f>_xlfn.XLOOKUP($I207,Inputs!$G$6:$G$23,Inputs!$K$6:$K$23)*$K207</f>
        <v>39</v>
      </c>
      <c r="S207" s="103" t="s">
        <v>640</v>
      </c>
      <c r="T207" s="98" t="s">
        <v>707</v>
      </c>
      <c r="U207" s="103" t="s">
        <v>1082</v>
      </c>
      <c r="V207" s="98" t="s">
        <v>1228</v>
      </c>
      <c r="W207" s="47"/>
      <c r="X207" s="18"/>
      <c r="Y207" s="68">
        <v>239</v>
      </c>
    </row>
    <row r="208" spans="2:25" s="14" customFormat="1" ht="18">
      <c r="B208" s="103" t="s">
        <v>198</v>
      </c>
      <c r="C208" s="47" t="s">
        <v>93</v>
      </c>
      <c r="D208" s="98" t="s">
        <v>598</v>
      </c>
      <c r="E208" s="103">
        <v>1</v>
      </c>
      <c r="F208" s="103" t="s">
        <v>152</v>
      </c>
      <c r="G208" s="180">
        <v>25</v>
      </c>
      <c r="H208" s="180">
        <v>15</v>
      </c>
      <c r="I208" s="102">
        <v>69</v>
      </c>
      <c r="J208" s="212" cm="1">
        <f t="array" ref="J208">_xlfn.XLOOKUP($I208,Inputs!$C$6:$C$23,Inputs!$D$6:D$23)*$G208</f>
        <v>9.6071428571428577</v>
      </c>
      <c r="K208" s="217">
        <f t="shared" si="3"/>
        <v>3</v>
      </c>
      <c r="L208" s="123"/>
      <c r="M208" s="123"/>
      <c r="N208" s="123"/>
      <c r="O208" s="123"/>
      <c r="P208" s="123"/>
      <c r="Q208" s="218">
        <f>_xlfn.XLOOKUP($I208,Inputs!$G$6:$G$23,Inputs!$J$6:$J$23)*$K208</f>
        <v>36</v>
      </c>
      <c r="R208" s="218">
        <f>_xlfn.XLOOKUP($I208,Inputs!$G$6:$G$23,Inputs!$K$6:$K$23)*$K208</f>
        <v>39</v>
      </c>
      <c r="S208" s="103" t="s">
        <v>640</v>
      </c>
      <c r="T208" s="98" t="s">
        <v>707</v>
      </c>
      <c r="U208" s="103" t="s">
        <v>641</v>
      </c>
      <c r="V208" s="98" t="s">
        <v>751</v>
      </c>
      <c r="W208" s="47"/>
      <c r="X208" s="18"/>
      <c r="Y208" s="68">
        <v>102</v>
      </c>
    </row>
    <row r="209" spans="2:25" s="14" customFormat="1" ht="18">
      <c r="B209" s="103" t="s">
        <v>314</v>
      </c>
      <c r="C209" s="47" t="s">
        <v>93</v>
      </c>
      <c r="D209" s="98" t="s">
        <v>598</v>
      </c>
      <c r="E209" s="103">
        <v>1</v>
      </c>
      <c r="F209" s="103" t="s">
        <v>152</v>
      </c>
      <c r="G209" s="180">
        <v>17</v>
      </c>
      <c r="H209" s="180">
        <v>10</v>
      </c>
      <c r="I209" s="102">
        <v>69</v>
      </c>
      <c r="J209" s="212" cm="1">
        <f t="array" ref="J209">_xlfn.XLOOKUP($I209,Inputs!$C$6:$C$23,Inputs!$D$6:D$23)*$G209</f>
        <v>6.5328571428571429</v>
      </c>
      <c r="K209" s="217">
        <f t="shared" si="3"/>
        <v>3</v>
      </c>
      <c r="L209" s="123"/>
      <c r="M209" s="123"/>
      <c r="N209" s="123"/>
      <c r="O209" s="123"/>
      <c r="P209" s="123"/>
      <c r="Q209" s="218">
        <f>_xlfn.XLOOKUP($I209,Inputs!$G$6:$G$23,Inputs!$J$6:$J$23)*$K209</f>
        <v>36</v>
      </c>
      <c r="R209" s="218">
        <f>_xlfn.XLOOKUP($I209,Inputs!$G$6:$G$23,Inputs!$K$6:$K$23)*$K209</f>
        <v>39</v>
      </c>
      <c r="S209" s="103" t="s">
        <v>628</v>
      </c>
      <c r="T209" s="98" t="s">
        <v>708</v>
      </c>
      <c r="U209" s="103" t="s">
        <v>629</v>
      </c>
      <c r="V209" s="98" t="s">
        <v>735</v>
      </c>
      <c r="W209" s="47"/>
      <c r="X209" s="18"/>
      <c r="Y209" s="68">
        <v>64</v>
      </c>
    </row>
    <row r="210" spans="2:25" s="14" customFormat="1" ht="18">
      <c r="B210" s="103" t="s">
        <v>316</v>
      </c>
      <c r="C210" s="47" t="s">
        <v>93</v>
      </c>
      <c r="D210" s="98" t="s">
        <v>598</v>
      </c>
      <c r="E210" s="103">
        <v>1</v>
      </c>
      <c r="F210" s="103" t="s">
        <v>152</v>
      </c>
      <c r="G210" s="180">
        <v>11</v>
      </c>
      <c r="H210" s="180">
        <v>7</v>
      </c>
      <c r="I210" s="102">
        <v>69</v>
      </c>
      <c r="J210" s="212" cm="1">
        <f t="array" ref="J210">_xlfn.XLOOKUP($I210,Inputs!$C$6:$C$23,Inputs!$D$6:D$23)*$G210</f>
        <v>4.2271428571428569</v>
      </c>
      <c r="K210" s="217">
        <f t="shared" si="3"/>
        <v>3</v>
      </c>
      <c r="L210" s="123"/>
      <c r="M210" s="123"/>
      <c r="N210" s="123"/>
      <c r="O210" s="123"/>
      <c r="P210" s="123"/>
      <c r="Q210" s="218">
        <f>_xlfn.XLOOKUP($I210,Inputs!$G$6:$G$23,Inputs!$J$6:$J$23)*$K210</f>
        <v>36</v>
      </c>
      <c r="R210" s="218">
        <f>_xlfn.XLOOKUP($I210,Inputs!$G$6:$G$23,Inputs!$K$6:$K$23)*$K210</f>
        <v>39</v>
      </c>
      <c r="S210" s="103" t="s">
        <v>628</v>
      </c>
      <c r="T210" s="98" t="s">
        <v>708</v>
      </c>
      <c r="U210" s="103" t="s">
        <v>1083</v>
      </c>
      <c r="V210" s="98" t="s">
        <v>1293</v>
      </c>
      <c r="W210" s="47"/>
      <c r="X210" s="18"/>
      <c r="Y210" s="68">
        <v>240</v>
      </c>
    </row>
    <row r="211" spans="2:25" s="14" customFormat="1" ht="18">
      <c r="B211" s="103" t="s">
        <v>647</v>
      </c>
      <c r="C211" s="47" t="s">
        <v>93</v>
      </c>
      <c r="D211" s="98" t="s">
        <v>598</v>
      </c>
      <c r="E211" s="103">
        <v>1</v>
      </c>
      <c r="F211" s="103" t="s">
        <v>152</v>
      </c>
      <c r="G211" s="180">
        <v>16</v>
      </c>
      <c r="H211" s="180">
        <v>10</v>
      </c>
      <c r="I211" s="102">
        <v>69</v>
      </c>
      <c r="J211" s="212" cm="1">
        <f t="array" ref="J211">_xlfn.XLOOKUP($I211,Inputs!$C$6:$C$23,Inputs!$D$6:D$23)*$G211</f>
        <v>6.1485714285714286</v>
      </c>
      <c r="K211" s="217">
        <f t="shared" si="3"/>
        <v>3</v>
      </c>
      <c r="L211" s="123"/>
      <c r="M211" s="123"/>
      <c r="N211" s="123"/>
      <c r="O211" s="123"/>
      <c r="P211" s="123"/>
      <c r="Q211" s="218">
        <f>_xlfn.XLOOKUP($I211,Inputs!$G$6:$G$23,Inputs!$J$6:$J$23)*$K211</f>
        <v>36</v>
      </c>
      <c r="R211" s="218">
        <f>_xlfn.XLOOKUP($I211,Inputs!$G$6:$G$23,Inputs!$K$6:$K$23)*$K211</f>
        <v>39</v>
      </c>
      <c r="S211" s="103" t="s">
        <v>1450</v>
      </c>
      <c r="T211" s="98" t="s">
        <v>769</v>
      </c>
      <c r="U211" s="103" t="s">
        <v>952</v>
      </c>
      <c r="V211" s="98" t="s">
        <v>1296</v>
      </c>
      <c r="W211" s="47"/>
      <c r="X211" s="18"/>
      <c r="Y211" s="68">
        <v>46</v>
      </c>
    </row>
    <row r="212" spans="2:25" s="14" customFormat="1" ht="18">
      <c r="B212" s="103" t="s">
        <v>355</v>
      </c>
      <c r="C212" s="47" t="s">
        <v>93</v>
      </c>
      <c r="D212" s="98" t="s">
        <v>598</v>
      </c>
      <c r="E212" s="103">
        <v>1</v>
      </c>
      <c r="F212" s="103" t="s">
        <v>152</v>
      </c>
      <c r="G212" s="180">
        <v>2</v>
      </c>
      <c r="H212" s="180">
        <v>1</v>
      </c>
      <c r="I212" s="102">
        <v>69</v>
      </c>
      <c r="J212" s="212" cm="1">
        <f t="array" ref="J212">_xlfn.XLOOKUP($I212,Inputs!$C$6:$C$23,Inputs!$D$6:D$23)*$G212</f>
        <v>0.76857142857142857</v>
      </c>
      <c r="K212" s="217">
        <f t="shared" si="3"/>
        <v>3</v>
      </c>
      <c r="L212" s="123"/>
      <c r="M212" s="123"/>
      <c r="N212" s="123"/>
      <c r="O212" s="123"/>
      <c r="P212" s="123"/>
      <c r="Q212" s="218">
        <f>_xlfn.XLOOKUP($I212,Inputs!$G$6:$G$23,Inputs!$J$6:$J$23)*$K212</f>
        <v>36</v>
      </c>
      <c r="R212" s="218">
        <f>_xlfn.XLOOKUP($I212,Inputs!$G$6:$G$23,Inputs!$K$6:$K$23)*$K212</f>
        <v>39</v>
      </c>
      <c r="S212" s="103" t="s">
        <v>1450</v>
      </c>
      <c r="T212" s="98" t="s">
        <v>769</v>
      </c>
      <c r="U212" s="103" t="s">
        <v>1084</v>
      </c>
      <c r="V212" s="98" t="s">
        <v>1340</v>
      </c>
      <c r="W212" s="47"/>
      <c r="X212" s="18"/>
      <c r="Y212" s="68">
        <v>242</v>
      </c>
    </row>
    <row r="213" spans="2:25" s="14" customFormat="1" ht="18">
      <c r="B213" s="103" t="s">
        <v>276</v>
      </c>
      <c r="C213" s="47" t="s">
        <v>93</v>
      </c>
      <c r="D213" s="98" t="s">
        <v>598</v>
      </c>
      <c r="E213" s="103">
        <v>1</v>
      </c>
      <c r="F213" s="103" t="s">
        <v>152</v>
      </c>
      <c r="G213" s="180">
        <v>1</v>
      </c>
      <c r="H213" s="180">
        <v>1</v>
      </c>
      <c r="I213" s="102">
        <v>69</v>
      </c>
      <c r="J213" s="212" cm="1">
        <f t="array" ref="J213">_xlfn.XLOOKUP($I213,Inputs!$C$6:$C$23,Inputs!$D$6:D$23)*$G213</f>
        <v>0.38428571428571429</v>
      </c>
      <c r="K213" s="217">
        <f t="shared" si="3"/>
        <v>3</v>
      </c>
      <c r="L213" s="123"/>
      <c r="M213" s="123"/>
      <c r="N213" s="123"/>
      <c r="O213" s="123"/>
      <c r="P213" s="123"/>
      <c r="Q213" s="218">
        <f>_xlfn.XLOOKUP($I213,Inputs!$G$6:$G$23,Inputs!$J$6:$J$23)*$K213</f>
        <v>36</v>
      </c>
      <c r="R213" s="218">
        <f>_xlfn.XLOOKUP($I213,Inputs!$G$6:$G$23,Inputs!$K$6:$K$23)*$K213</f>
        <v>39</v>
      </c>
      <c r="S213" s="103" t="s">
        <v>620</v>
      </c>
      <c r="T213" s="98" t="s">
        <v>740</v>
      </c>
      <c r="U213" s="103" t="s">
        <v>939</v>
      </c>
      <c r="V213" s="98" t="s">
        <v>1237</v>
      </c>
      <c r="W213" s="47"/>
      <c r="X213" s="18"/>
      <c r="Y213" s="68">
        <v>22</v>
      </c>
    </row>
    <row r="214" spans="2:25" s="14" customFormat="1" ht="18">
      <c r="B214" s="103" t="s">
        <v>277</v>
      </c>
      <c r="C214" s="47" t="s">
        <v>93</v>
      </c>
      <c r="D214" s="98" t="s">
        <v>598</v>
      </c>
      <c r="E214" s="103">
        <v>1</v>
      </c>
      <c r="F214" s="103" t="s">
        <v>152</v>
      </c>
      <c r="G214" s="180">
        <v>31</v>
      </c>
      <c r="H214" s="180">
        <v>19</v>
      </c>
      <c r="I214" s="102">
        <v>69</v>
      </c>
      <c r="J214" s="212" cm="1">
        <f t="array" ref="J214">_xlfn.XLOOKUP($I214,Inputs!$C$6:$C$23,Inputs!$D$6:D$23)*$G214</f>
        <v>11.912857142857144</v>
      </c>
      <c r="K214" s="217">
        <f t="shared" si="3"/>
        <v>3</v>
      </c>
      <c r="L214" s="123"/>
      <c r="M214" s="123"/>
      <c r="N214" s="123"/>
      <c r="O214" s="123"/>
      <c r="P214" s="123"/>
      <c r="Q214" s="218">
        <f>_xlfn.XLOOKUP($I214,Inputs!$G$6:$G$23,Inputs!$J$6:$J$23)*$K214</f>
        <v>36</v>
      </c>
      <c r="R214" s="218">
        <f>_xlfn.XLOOKUP($I214,Inputs!$G$6:$G$23,Inputs!$K$6:$K$23)*$K214</f>
        <v>39</v>
      </c>
      <c r="S214" s="103" t="s">
        <v>620</v>
      </c>
      <c r="T214" s="98" t="s">
        <v>740</v>
      </c>
      <c r="U214" s="103" t="s">
        <v>1085</v>
      </c>
      <c r="V214" s="98" t="s">
        <v>1288</v>
      </c>
      <c r="W214" s="47"/>
      <c r="X214" s="18"/>
      <c r="Y214" s="68">
        <v>243</v>
      </c>
    </row>
    <row r="215" spans="2:25" s="14" customFormat="1" ht="18">
      <c r="B215" s="103" t="s">
        <v>331</v>
      </c>
      <c r="C215" s="47" t="s">
        <v>93</v>
      </c>
      <c r="D215" s="98" t="s">
        <v>598</v>
      </c>
      <c r="E215" s="103">
        <v>1</v>
      </c>
      <c r="F215" s="103" t="s">
        <v>152</v>
      </c>
      <c r="G215" s="180">
        <v>30</v>
      </c>
      <c r="H215" s="180">
        <v>18</v>
      </c>
      <c r="I215" s="102">
        <v>69</v>
      </c>
      <c r="J215" s="212" cm="1">
        <f t="array" ref="J215">_xlfn.XLOOKUP($I215,Inputs!$C$6:$C$23,Inputs!$D$6:D$23)*$G215</f>
        <v>11.528571428571428</v>
      </c>
      <c r="K215" s="217">
        <f t="shared" si="3"/>
        <v>3</v>
      </c>
      <c r="L215" s="123"/>
      <c r="M215" s="123"/>
      <c r="N215" s="123"/>
      <c r="O215" s="123"/>
      <c r="P215" s="123"/>
      <c r="Q215" s="218">
        <f>_xlfn.XLOOKUP($I215,Inputs!$G$6:$G$23,Inputs!$J$6:$J$23)*$K215</f>
        <v>36</v>
      </c>
      <c r="R215" s="218">
        <f>_xlfn.XLOOKUP($I215,Inputs!$G$6:$G$23,Inputs!$K$6:$K$23)*$K215</f>
        <v>39</v>
      </c>
      <c r="S215" s="103" t="s">
        <v>651</v>
      </c>
      <c r="T215" s="98" t="s">
        <v>736</v>
      </c>
      <c r="U215" s="103" t="s">
        <v>1158</v>
      </c>
      <c r="V215" s="98" t="s">
        <v>1215</v>
      </c>
      <c r="W215" s="47"/>
      <c r="X215" s="18"/>
      <c r="Y215" s="68">
        <v>134</v>
      </c>
    </row>
    <row r="216" spans="2:25" s="14" customFormat="1" ht="18">
      <c r="B216" s="103" t="s">
        <v>332</v>
      </c>
      <c r="C216" s="47" t="s">
        <v>93</v>
      </c>
      <c r="D216" s="98" t="s">
        <v>598</v>
      </c>
      <c r="E216" s="103">
        <v>1</v>
      </c>
      <c r="F216" s="103" t="s">
        <v>152</v>
      </c>
      <c r="G216" s="180">
        <v>30</v>
      </c>
      <c r="H216" s="180">
        <v>18</v>
      </c>
      <c r="I216" s="102">
        <v>69</v>
      </c>
      <c r="J216" s="212" cm="1">
        <f t="array" ref="J216">_xlfn.XLOOKUP($I216,Inputs!$C$6:$C$23,Inputs!$D$6:D$23)*$G216</f>
        <v>11.528571428571428</v>
      </c>
      <c r="K216" s="217">
        <f t="shared" si="3"/>
        <v>3</v>
      </c>
      <c r="L216" s="123"/>
      <c r="M216" s="123"/>
      <c r="N216" s="123"/>
      <c r="O216" s="123"/>
      <c r="P216" s="123"/>
      <c r="Q216" s="218">
        <f>_xlfn.XLOOKUP($I216,Inputs!$G$6:$G$23,Inputs!$J$6:$J$23)*$K216</f>
        <v>36</v>
      </c>
      <c r="R216" s="218">
        <f>_xlfn.XLOOKUP($I216,Inputs!$G$6:$G$23,Inputs!$K$6:$K$23)*$K216</f>
        <v>39</v>
      </c>
      <c r="S216" s="103" t="s">
        <v>651</v>
      </c>
      <c r="T216" s="98" t="s">
        <v>736</v>
      </c>
      <c r="U216" s="103" t="s">
        <v>1086</v>
      </c>
      <c r="V216" s="98" t="s">
        <v>1242</v>
      </c>
      <c r="W216" s="47"/>
      <c r="X216" s="18"/>
      <c r="Y216" s="68">
        <v>244</v>
      </c>
    </row>
    <row r="217" spans="2:25" s="14" customFormat="1" ht="18">
      <c r="B217" s="103" t="s">
        <v>199</v>
      </c>
      <c r="C217" s="47" t="s">
        <v>93</v>
      </c>
      <c r="D217" s="98" t="s">
        <v>598</v>
      </c>
      <c r="E217" s="103">
        <v>1</v>
      </c>
      <c r="F217" s="103" t="s">
        <v>152</v>
      </c>
      <c r="G217" s="180">
        <v>0.5</v>
      </c>
      <c r="H217" s="180">
        <v>0.3</v>
      </c>
      <c r="I217" s="102">
        <v>69</v>
      </c>
      <c r="J217" s="212" cm="1">
        <f t="array" ref="J217">_xlfn.XLOOKUP($I217,Inputs!$C$6:$C$23,Inputs!$D$6:D$23)*$G217</f>
        <v>0.19214285714285714</v>
      </c>
      <c r="K217" s="217">
        <f t="shared" si="3"/>
        <v>3</v>
      </c>
      <c r="L217" s="123"/>
      <c r="M217" s="123"/>
      <c r="N217" s="123"/>
      <c r="O217" s="123"/>
      <c r="P217" s="123"/>
      <c r="Q217" s="218">
        <f>_xlfn.XLOOKUP($I217,Inputs!$G$6:$G$23,Inputs!$J$6:$J$23)*$K217</f>
        <v>36</v>
      </c>
      <c r="R217" s="218">
        <f>_xlfn.XLOOKUP($I217,Inputs!$G$6:$G$23,Inputs!$K$6:$K$23)*$K217</f>
        <v>39</v>
      </c>
      <c r="S217" s="103" t="s">
        <v>667</v>
      </c>
      <c r="T217" s="98" t="s">
        <v>747</v>
      </c>
      <c r="U217" s="103" t="s">
        <v>1088</v>
      </c>
      <c r="V217" s="98" t="s">
        <v>1204</v>
      </c>
      <c r="W217" s="47"/>
      <c r="X217" s="18"/>
      <c r="Y217" s="68">
        <v>246</v>
      </c>
    </row>
    <row r="218" spans="2:25" s="14" customFormat="1" ht="18">
      <c r="B218" s="103" t="s">
        <v>176</v>
      </c>
      <c r="C218" s="47" t="s">
        <v>93</v>
      </c>
      <c r="D218" s="98" t="s">
        <v>598</v>
      </c>
      <c r="E218" s="103">
        <v>1</v>
      </c>
      <c r="F218" s="103" t="s">
        <v>152</v>
      </c>
      <c r="G218" s="180">
        <v>12</v>
      </c>
      <c r="H218" s="180">
        <v>8</v>
      </c>
      <c r="I218" s="102">
        <v>69</v>
      </c>
      <c r="J218" s="212" cm="1">
        <f t="array" ref="J218">_xlfn.XLOOKUP($I218,Inputs!$C$6:$C$23,Inputs!$D$6:D$23)*$G218</f>
        <v>4.6114285714285712</v>
      </c>
      <c r="K218" s="217">
        <f t="shared" si="3"/>
        <v>3</v>
      </c>
      <c r="L218" s="123"/>
      <c r="M218" s="123"/>
      <c r="N218" s="123"/>
      <c r="O218" s="123"/>
      <c r="P218" s="123"/>
      <c r="Q218" s="218">
        <f>_xlfn.XLOOKUP($I218,Inputs!$G$6:$G$23,Inputs!$J$6:$J$23)*$K218</f>
        <v>36</v>
      </c>
      <c r="R218" s="218">
        <f>_xlfn.XLOOKUP($I218,Inputs!$G$6:$G$23,Inputs!$K$6:$K$23)*$K218</f>
        <v>39</v>
      </c>
      <c r="S218" s="103" t="s">
        <v>667</v>
      </c>
      <c r="T218" s="98" t="s">
        <v>747</v>
      </c>
      <c r="U218" s="103" t="s">
        <v>1050</v>
      </c>
      <c r="V218" s="98" t="s">
        <v>1233</v>
      </c>
      <c r="W218" s="47"/>
      <c r="X218" s="18"/>
      <c r="Y218" s="68">
        <v>181</v>
      </c>
    </row>
    <row r="219" spans="2:25" s="14" customFormat="1" ht="18">
      <c r="B219" s="103" t="s">
        <v>637</v>
      </c>
      <c r="C219" s="47" t="s">
        <v>93</v>
      </c>
      <c r="D219" s="98" t="s">
        <v>598</v>
      </c>
      <c r="E219" s="103">
        <v>1</v>
      </c>
      <c r="F219" s="103" t="s">
        <v>152</v>
      </c>
      <c r="G219" s="257">
        <v>1</v>
      </c>
      <c r="H219" s="257">
        <v>0.6</v>
      </c>
      <c r="I219" s="102">
        <v>69</v>
      </c>
      <c r="J219" s="212" cm="1">
        <f t="array" ref="J219">_xlfn.XLOOKUP($I219,Inputs!$C$6:$C$23,Inputs!$D$6:D$23)*$G219</f>
        <v>0.38428571428571429</v>
      </c>
      <c r="K219" s="217">
        <f t="shared" si="3"/>
        <v>3</v>
      </c>
      <c r="L219" s="123"/>
      <c r="M219" s="123"/>
      <c r="N219" s="123"/>
      <c r="O219" s="123"/>
      <c r="P219" s="123"/>
      <c r="Q219" s="218">
        <f>_xlfn.XLOOKUP($I219,Inputs!$G$6:$G$23,Inputs!$J$6:$J$23)*$K219</f>
        <v>36</v>
      </c>
      <c r="R219" s="218">
        <f>_xlfn.XLOOKUP($I219,Inputs!$G$6:$G$23,Inputs!$K$6:$K$23)*$K219</f>
        <v>39</v>
      </c>
      <c r="S219" s="103" t="s">
        <v>636</v>
      </c>
      <c r="T219" s="98" t="s">
        <v>697</v>
      </c>
      <c r="U219" s="103" t="s">
        <v>996</v>
      </c>
      <c r="V219" s="47" t="s">
        <v>1270</v>
      </c>
      <c r="W219" s="47"/>
      <c r="X219" s="18"/>
      <c r="Y219" s="68">
        <v>247</v>
      </c>
    </row>
    <row r="220" spans="2:25" s="14" customFormat="1" ht="18">
      <c r="B220" s="103" t="s">
        <v>180</v>
      </c>
      <c r="C220" s="47" t="s">
        <v>93</v>
      </c>
      <c r="D220" s="98" t="s">
        <v>598</v>
      </c>
      <c r="E220" s="103">
        <v>1</v>
      </c>
      <c r="F220" s="103" t="s">
        <v>152</v>
      </c>
      <c r="G220" s="180">
        <v>4</v>
      </c>
      <c r="H220" s="180">
        <v>2</v>
      </c>
      <c r="I220" s="102">
        <v>69</v>
      </c>
      <c r="J220" s="212" cm="1">
        <f t="array" ref="J220">_xlfn.XLOOKUP($I220,Inputs!$C$6:$C$23,Inputs!$D$6:D$23)*$G220</f>
        <v>1.5371428571428571</v>
      </c>
      <c r="K220" s="217">
        <f t="shared" si="3"/>
        <v>3</v>
      </c>
      <c r="L220" s="123"/>
      <c r="M220" s="123"/>
      <c r="N220" s="123"/>
      <c r="O220" s="123"/>
      <c r="P220" s="123"/>
      <c r="Q220" s="218">
        <f>_xlfn.XLOOKUP($I220,Inputs!$G$6:$G$23,Inputs!$J$6:$J$23)*$K220</f>
        <v>36</v>
      </c>
      <c r="R220" s="218">
        <f>_xlfn.XLOOKUP($I220,Inputs!$G$6:$G$23,Inputs!$K$6:$K$23)*$K220</f>
        <v>39</v>
      </c>
      <c r="S220" s="103" t="s">
        <v>636</v>
      </c>
      <c r="T220" s="98" t="s">
        <v>697</v>
      </c>
      <c r="U220" s="103" t="s">
        <v>635</v>
      </c>
      <c r="V220" s="98" t="s">
        <v>765</v>
      </c>
      <c r="W220" s="47"/>
      <c r="X220" s="18"/>
      <c r="Y220" s="68">
        <v>89</v>
      </c>
    </row>
    <row r="221" spans="2:25" s="14" customFormat="1" ht="18">
      <c r="B221" s="103" t="s">
        <v>362</v>
      </c>
      <c r="C221" s="47" t="s">
        <v>93</v>
      </c>
      <c r="D221" s="98" t="s">
        <v>598</v>
      </c>
      <c r="E221" s="103">
        <v>1</v>
      </c>
      <c r="F221" s="103" t="s">
        <v>152</v>
      </c>
      <c r="G221" s="180">
        <v>2</v>
      </c>
      <c r="H221" s="180">
        <v>1</v>
      </c>
      <c r="I221" s="102">
        <v>69</v>
      </c>
      <c r="J221" s="212" cm="1">
        <f t="array" ref="J221">_xlfn.XLOOKUP($I221,Inputs!$C$6:$C$23,Inputs!$D$6:D$23)*$G221</f>
        <v>0.76857142857142857</v>
      </c>
      <c r="K221" s="217">
        <f t="shared" si="3"/>
        <v>3</v>
      </c>
      <c r="L221" s="123"/>
      <c r="M221" s="123"/>
      <c r="N221" s="123"/>
      <c r="O221" s="123"/>
      <c r="P221" s="123"/>
      <c r="Q221" s="218">
        <f>_xlfn.XLOOKUP($I221,Inputs!$G$6:$G$23,Inputs!$J$6:$J$23)*$K221</f>
        <v>36</v>
      </c>
      <c r="R221" s="218">
        <f>_xlfn.XLOOKUP($I221,Inputs!$G$6:$G$23,Inputs!$K$6:$K$23)*$K221</f>
        <v>39</v>
      </c>
      <c r="S221" s="103" t="s">
        <v>627</v>
      </c>
      <c r="T221" s="98" t="s">
        <v>712</v>
      </c>
      <c r="U221" s="103" t="s">
        <v>1089</v>
      </c>
      <c r="V221" s="98" t="s">
        <v>1282</v>
      </c>
      <c r="W221" s="47"/>
      <c r="X221" s="18"/>
      <c r="Y221" s="68">
        <v>248</v>
      </c>
    </row>
    <row r="222" spans="2:25" s="14" customFormat="1" ht="18">
      <c r="B222" s="103" t="s">
        <v>314</v>
      </c>
      <c r="C222" s="47" t="s">
        <v>93</v>
      </c>
      <c r="D222" s="98" t="s">
        <v>598</v>
      </c>
      <c r="E222" s="103">
        <v>1</v>
      </c>
      <c r="F222" s="103" t="s">
        <v>152</v>
      </c>
      <c r="G222" s="180">
        <v>6</v>
      </c>
      <c r="H222" s="180">
        <v>4</v>
      </c>
      <c r="I222" s="102">
        <v>69</v>
      </c>
      <c r="J222" s="212" cm="1">
        <f t="array" ref="J222">_xlfn.XLOOKUP($I222,Inputs!$C$6:$C$23,Inputs!$D$6:D$23)*$G222</f>
        <v>2.3057142857142856</v>
      </c>
      <c r="K222" s="217">
        <f t="shared" si="3"/>
        <v>3</v>
      </c>
      <c r="L222" s="123"/>
      <c r="M222" s="123"/>
      <c r="N222" s="123"/>
      <c r="O222" s="123"/>
      <c r="P222" s="123"/>
      <c r="Q222" s="218">
        <f>_xlfn.XLOOKUP($I222,Inputs!$G$6:$G$23,Inputs!$J$6:$J$23)*$K222</f>
        <v>36</v>
      </c>
      <c r="R222" s="218">
        <f>_xlfn.XLOOKUP($I222,Inputs!$G$6:$G$23,Inputs!$K$6:$K$23)*$K222</f>
        <v>39</v>
      </c>
      <c r="S222" s="103" t="s">
        <v>627</v>
      </c>
      <c r="T222" s="98" t="s">
        <v>712</v>
      </c>
      <c r="U222" s="103" t="s">
        <v>628</v>
      </c>
      <c r="V222" s="98" t="s">
        <v>708</v>
      </c>
      <c r="W222" s="47"/>
      <c r="X222" s="18"/>
      <c r="Y222" s="68">
        <v>63</v>
      </c>
    </row>
    <row r="223" spans="2:25" s="14" customFormat="1" ht="18">
      <c r="B223" s="103" t="s">
        <v>294</v>
      </c>
      <c r="C223" s="47" t="s">
        <v>93</v>
      </c>
      <c r="D223" s="98" t="s">
        <v>598</v>
      </c>
      <c r="E223" s="103">
        <v>1</v>
      </c>
      <c r="F223" s="103" t="s">
        <v>152</v>
      </c>
      <c r="G223" s="180">
        <v>36</v>
      </c>
      <c r="H223" s="180">
        <v>22</v>
      </c>
      <c r="I223" s="102">
        <v>138</v>
      </c>
      <c r="J223" s="212" cm="1">
        <f t="array" ref="J223">_xlfn.XLOOKUP($I223,Inputs!$C$6:$C$23,Inputs!$D$6:D$23)*$G223</f>
        <v>15.60857142857143</v>
      </c>
      <c r="K223" s="217">
        <f t="shared" si="3"/>
        <v>3</v>
      </c>
      <c r="L223" s="123"/>
      <c r="M223" s="123"/>
      <c r="N223" s="123"/>
      <c r="O223" s="123"/>
      <c r="P223" s="123"/>
      <c r="Q223" s="218">
        <f>_xlfn.XLOOKUP($I223,Inputs!$G$6:$G$23,Inputs!$J$6:$J$23)*$K223</f>
        <v>141</v>
      </c>
      <c r="R223" s="218">
        <f>_xlfn.XLOOKUP($I223,Inputs!$G$6:$G$23,Inputs!$K$6:$K$23)*$K223</f>
        <v>156</v>
      </c>
      <c r="S223" s="103" t="s">
        <v>668</v>
      </c>
      <c r="T223" s="98" t="s">
        <v>713</v>
      </c>
      <c r="U223" s="103" t="s">
        <v>677</v>
      </c>
      <c r="V223" s="98" t="s">
        <v>729</v>
      </c>
      <c r="W223" s="47"/>
      <c r="X223" s="18"/>
      <c r="Y223" s="68">
        <v>289</v>
      </c>
    </row>
    <row r="224" spans="2:25" s="14" customFormat="1" ht="18">
      <c r="B224" s="103" t="s">
        <v>293</v>
      </c>
      <c r="C224" s="47" t="s">
        <v>93</v>
      </c>
      <c r="D224" s="98" t="s">
        <v>598</v>
      </c>
      <c r="E224" s="103">
        <v>1</v>
      </c>
      <c r="F224" s="103" t="s">
        <v>152</v>
      </c>
      <c r="G224" s="180">
        <v>18</v>
      </c>
      <c r="H224" s="180">
        <v>11</v>
      </c>
      <c r="I224" s="102">
        <v>138</v>
      </c>
      <c r="J224" s="212" cm="1">
        <f t="array" ref="J224">_xlfn.XLOOKUP($I224,Inputs!$C$6:$C$23,Inputs!$D$6:D$23)*$G224</f>
        <v>7.8042857142857152</v>
      </c>
      <c r="K224" s="217">
        <f t="shared" si="3"/>
        <v>3</v>
      </c>
      <c r="L224" s="123"/>
      <c r="M224" s="123"/>
      <c r="N224" s="123"/>
      <c r="O224" s="123"/>
      <c r="P224" s="123"/>
      <c r="Q224" s="218">
        <f>_xlfn.XLOOKUP($I224,Inputs!$G$6:$G$23,Inputs!$J$6:$J$23)*$K224</f>
        <v>141</v>
      </c>
      <c r="R224" s="218">
        <f>_xlfn.XLOOKUP($I224,Inputs!$G$6:$G$23,Inputs!$K$6:$K$23)*$K224</f>
        <v>156</v>
      </c>
      <c r="S224" s="103" t="s">
        <v>668</v>
      </c>
      <c r="T224" s="98" t="s">
        <v>713</v>
      </c>
      <c r="U224" s="103" t="s">
        <v>1141</v>
      </c>
      <c r="V224" s="98" t="s">
        <v>1368</v>
      </c>
      <c r="W224" s="47"/>
      <c r="X224" s="18"/>
      <c r="Y224" s="68">
        <v>261</v>
      </c>
    </row>
    <row r="225" spans="2:25" s="14" customFormat="1" ht="18">
      <c r="B225" s="103" t="s">
        <v>212</v>
      </c>
      <c r="C225" s="47" t="s">
        <v>93</v>
      </c>
      <c r="D225" s="98" t="s">
        <v>598</v>
      </c>
      <c r="E225" s="103">
        <v>1</v>
      </c>
      <c r="F225" s="103" t="s">
        <v>152</v>
      </c>
      <c r="G225" s="180">
        <v>7</v>
      </c>
      <c r="H225" s="180">
        <v>4</v>
      </c>
      <c r="I225" s="102">
        <v>138</v>
      </c>
      <c r="J225" s="212" cm="1">
        <f t="array" ref="J225">_xlfn.XLOOKUP($I225,Inputs!$C$6:$C$23,Inputs!$D$6:D$23)*$G225</f>
        <v>3.0350000000000001</v>
      </c>
      <c r="K225" s="217">
        <f t="shared" si="3"/>
        <v>3</v>
      </c>
      <c r="L225" s="123"/>
      <c r="M225" s="123"/>
      <c r="N225" s="123"/>
      <c r="O225" s="123"/>
      <c r="P225" s="123"/>
      <c r="Q225" s="218">
        <f>_xlfn.XLOOKUP($I225,Inputs!$G$6:$G$23,Inputs!$J$6:$J$23)*$K225</f>
        <v>141</v>
      </c>
      <c r="R225" s="218">
        <f>_xlfn.XLOOKUP($I225,Inputs!$G$6:$G$23,Inputs!$K$6:$K$23)*$K225</f>
        <v>156</v>
      </c>
      <c r="S225" s="103" t="s">
        <v>676</v>
      </c>
      <c r="T225" s="98" t="s">
        <v>752</v>
      </c>
      <c r="U225" s="103" t="s">
        <v>1031</v>
      </c>
      <c r="V225" s="98" t="s">
        <v>1211</v>
      </c>
      <c r="W225" s="47"/>
      <c r="X225" s="18"/>
      <c r="Y225" s="68">
        <v>297</v>
      </c>
    </row>
    <row r="226" spans="2:25" s="14" customFormat="1" ht="18">
      <c r="B226" s="103" t="s">
        <v>206</v>
      </c>
      <c r="C226" s="47" t="s">
        <v>93</v>
      </c>
      <c r="D226" s="98" t="s">
        <v>598</v>
      </c>
      <c r="E226" s="103">
        <v>1</v>
      </c>
      <c r="F226" s="103" t="s">
        <v>152</v>
      </c>
      <c r="G226" s="180">
        <v>27</v>
      </c>
      <c r="H226" s="180">
        <v>16</v>
      </c>
      <c r="I226" s="102">
        <v>138</v>
      </c>
      <c r="J226" s="212" cm="1">
        <f t="array" ref="J226">_xlfn.XLOOKUP($I226,Inputs!$C$6:$C$23,Inputs!$D$6:D$23)*$G226</f>
        <v>11.706428571428573</v>
      </c>
      <c r="K226" s="217">
        <f t="shared" si="3"/>
        <v>3</v>
      </c>
      <c r="L226" s="123"/>
      <c r="M226" s="123"/>
      <c r="N226" s="123"/>
      <c r="O226" s="123"/>
      <c r="P226" s="123"/>
      <c r="Q226" s="218">
        <f>_xlfn.XLOOKUP($I226,Inputs!$G$6:$G$23,Inputs!$J$6:$J$23)*$K226</f>
        <v>141</v>
      </c>
      <c r="R226" s="218">
        <f>_xlfn.XLOOKUP($I226,Inputs!$G$6:$G$23,Inputs!$K$6:$K$23)*$K226</f>
        <v>156</v>
      </c>
      <c r="S226" s="103" t="s">
        <v>676</v>
      </c>
      <c r="T226" s="98" t="s">
        <v>752</v>
      </c>
      <c r="U226" s="103" t="s">
        <v>1016</v>
      </c>
      <c r="V226" s="98" t="s">
        <v>1360</v>
      </c>
      <c r="W226" s="47"/>
      <c r="X226" s="18"/>
      <c r="Y226" s="68">
        <v>282</v>
      </c>
    </row>
    <row r="227" spans="2:25" s="14" customFormat="1" ht="18">
      <c r="B227" s="103" t="s">
        <v>295</v>
      </c>
      <c r="C227" s="47" t="s">
        <v>93</v>
      </c>
      <c r="D227" s="98" t="s">
        <v>598</v>
      </c>
      <c r="E227" s="103">
        <v>1</v>
      </c>
      <c r="F227" s="103" t="s">
        <v>152</v>
      </c>
      <c r="G227" s="180">
        <v>3</v>
      </c>
      <c r="H227" s="180">
        <v>2</v>
      </c>
      <c r="I227" s="102">
        <v>138</v>
      </c>
      <c r="J227" s="212" cm="1">
        <f t="array" ref="J227">_xlfn.XLOOKUP($I227,Inputs!$C$6:$C$23,Inputs!$D$6:D$23)*$G227</f>
        <v>1.3007142857142857</v>
      </c>
      <c r="K227" s="217">
        <f t="shared" si="3"/>
        <v>3</v>
      </c>
      <c r="L227" s="123"/>
      <c r="M227" s="123"/>
      <c r="N227" s="123"/>
      <c r="O227" s="123"/>
      <c r="P227" s="123"/>
      <c r="Q227" s="218">
        <f>_xlfn.XLOOKUP($I227,Inputs!$G$6:$G$23,Inputs!$J$6:$J$23)*$K227</f>
        <v>141</v>
      </c>
      <c r="R227" s="218">
        <f>_xlfn.XLOOKUP($I227,Inputs!$G$6:$G$23,Inputs!$K$6:$K$23)*$K227</f>
        <v>156</v>
      </c>
      <c r="S227" s="103" t="s">
        <v>677</v>
      </c>
      <c r="T227" s="98" t="s">
        <v>729</v>
      </c>
      <c r="U227" s="103" t="s">
        <v>1091</v>
      </c>
      <c r="V227" s="98" t="s">
        <v>1308</v>
      </c>
      <c r="W227" s="47"/>
      <c r="X227" s="18"/>
      <c r="Y227" s="68">
        <v>298</v>
      </c>
    </row>
    <row r="228" spans="2:25" s="14" customFormat="1" ht="18">
      <c r="B228" s="103" t="s">
        <v>294</v>
      </c>
      <c r="C228" s="47" t="s">
        <v>93</v>
      </c>
      <c r="D228" s="98" t="s">
        <v>598</v>
      </c>
      <c r="E228" s="103">
        <v>1</v>
      </c>
      <c r="F228" s="103" t="s">
        <v>152</v>
      </c>
      <c r="G228" s="180">
        <v>30</v>
      </c>
      <c r="H228" s="180">
        <v>19</v>
      </c>
      <c r="I228" s="102">
        <v>138</v>
      </c>
      <c r="J228" s="212" cm="1">
        <f t="array" ref="J228">_xlfn.XLOOKUP($I228,Inputs!$C$6:$C$23,Inputs!$D$6:D$23)*$G228</f>
        <v>13.007142857142858</v>
      </c>
      <c r="K228" s="217">
        <f t="shared" si="3"/>
        <v>3</v>
      </c>
      <c r="L228" s="123"/>
      <c r="M228" s="123"/>
      <c r="N228" s="123"/>
      <c r="O228" s="123"/>
      <c r="P228" s="123"/>
      <c r="Q228" s="218">
        <f>_xlfn.XLOOKUP($I228,Inputs!$G$6:$G$23,Inputs!$J$6:$J$23)*$K228</f>
        <v>141</v>
      </c>
      <c r="R228" s="218">
        <f>_xlfn.XLOOKUP($I228,Inputs!$G$6:$G$23,Inputs!$K$6:$K$23)*$K228</f>
        <v>156</v>
      </c>
      <c r="S228" s="103" t="s">
        <v>677</v>
      </c>
      <c r="T228" s="98" t="s">
        <v>729</v>
      </c>
      <c r="U228" s="103" t="s">
        <v>1119</v>
      </c>
      <c r="V228" s="98" t="s">
        <v>1423</v>
      </c>
      <c r="W228" s="47"/>
      <c r="X228" s="18"/>
      <c r="Y228" s="68">
        <v>290</v>
      </c>
    </row>
    <row r="229" spans="2:25" s="14" customFormat="1" ht="18">
      <c r="B229" s="103" t="s">
        <v>187</v>
      </c>
      <c r="C229" s="47" t="s">
        <v>93</v>
      </c>
      <c r="D229" s="98" t="s">
        <v>598</v>
      </c>
      <c r="E229" s="103">
        <v>1</v>
      </c>
      <c r="F229" s="103" t="s">
        <v>152</v>
      </c>
      <c r="G229" s="180">
        <v>14</v>
      </c>
      <c r="H229" s="180">
        <v>9</v>
      </c>
      <c r="I229" s="102">
        <v>138</v>
      </c>
      <c r="J229" s="212" cm="1">
        <f t="array" ref="J229">_xlfn.XLOOKUP($I229,Inputs!$C$6:$C$23,Inputs!$D$6:D$23)*$G229</f>
        <v>6.07</v>
      </c>
      <c r="K229" s="217">
        <f t="shared" si="3"/>
        <v>3</v>
      </c>
      <c r="L229" s="123"/>
      <c r="M229" s="123"/>
      <c r="N229" s="123"/>
      <c r="O229" s="123"/>
      <c r="P229" s="123"/>
      <c r="Q229" s="218">
        <f>_xlfn.XLOOKUP($I229,Inputs!$G$6:$G$23,Inputs!$J$6:$J$23)*$K229</f>
        <v>141</v>
      </c>
      <c r="R229" s="218">
        <f>_xlfn.XLOOKUP($I229,Inputs!$G$6:$G$23,Inputs!$K$6:$K$23)*$K229</f>
        <v>156</v>
      </c>
      <c r="S229" s="103" t="s">
        <v>696</v>
      </c>
      <c r="T229" s="98" t="s">
        <v>732</v>
      </c>
      <c r="U229" s="103" t="s">
        <v>1125</v>
      </c>
      <c r="V229" s="98" t="s">
        <v>1405</v>
      </c>
      <c r="W229" s="47"/>
      <c r="X229" s="18"/>
      <c r="Y229" s="68">
        <v>273</v>
      </c>
    </row>
    <row r="230" spans="2:25" s="14" customFormat="1" ht="18">
      <c r="B230" s="103" t="s">
        <v>191</v>
      </c>
      <c r="C230" s="47" t="s">
        <v>93</v>
      </c>
      <c r="D230" s="98" t="s">
        <v>598</v>
      </c>
      <c r="E230" s="103">
        <v>1</v>
      </c>
      <c r="F230" s="103" t="s">
        <v>152</v>
      </c>
      <c r="G230" s="180">
        <v>8</v>
      </c>
      <c r="H230" s="180">
        <v>5</v>
      </c>
      <c r="I230" s="102">
        <v>138</v>
      </c>
      <c r="J230" s="212" cm="1">
        <f t="array" ref="J230">_xlfn.XLOOKUP($I230,Inputs!$C$6:$C$23,Inputs!$D$6:D$23)*$G230</f>
        <v>3.4685714285714289</v>
      </c>
      <c r="K230" s="217">
        <f t="shared" si="3"/>
        <v>3</v>
      </c>
      <c r="L230" s="123"/>
      <c r="M230" s="123"/>
      <c r="N230" s="123"/>
      <c r="O230" s="123"/>
      <c r="P230" s="123"/>
      <c r="Q230" s="218">
        <f>_xlfn.XLOOKUP($I230,Inputs!$G$6:$G$23,Inputs!$J$6:$J$23)*$K230</f>
        <v>141</v>
      </c>
      <c r="R230" s="218">
        <f>_xlfn.XLOOKUP($I230,Inputs!$G$6:$G$23,Inputs!$K$6:$K$23)*$K230</f>
        <v>156</v>
      </c>
      <c r="S230" s="103" t="s">
        <v>696</v>
      </c>
      <c r="T230" s="98" t="s">
        <v>732</v>
      </c>
      <c r="U230" s="103" t="s">
        <v>1092</v>
      </c>
      <c r="V230" s="98" t="s">
        <v>1261</v>
      </c>
      <c r="W230" s="47"/>
      <c r="X230" s="18"/>
      <c r="Y230" s="68">
        <v>302</v>
      </c>
    </row>
    <row r="231" spans="2:25" s="14" customFormat="1" ht="18">
      <c r="B231" s="103" t="s">
        <v>165</v>
      </c>
      <c r="C231" s="47" t="s">
        <v>378</v>
      </c>
      <c r="D231" s="98" t="s">
        <v>598</v>
      </c>
      <c r="E231" s="103">
        <v>1</v>
      </c>
      <c r="F231" s="103" t="s">
        <v>152</v>
      </c>
      <c r="G231" s="257">
        <v>5</v>
      </c>
      <c r="H231" s="257">
        <v>3</v>
      </c>
      <c r="I231" s="102">
        <v>138</v>
      </c>
      <c r="J231" s="212" cm="1">
        <f t="array" ref="J231">_xlfn.XLOOKUP($I231,Inputs!$C$6:$C$23,Inputs!$D$6:D$23)*$G231</f>
        <v>2.1678571428571431</v>
      </c>
      <c r="K231" s="217">
        <f t="shared" si="3"/>
        <v>3</v>
      </c>
      <c r="L231" s="123"/>
      <c r="M231" s="123"/>
      <c r="N231" s="123"/>
      <c r="O231" s="123"/>
      <c r="P231" s="123"/>
      <c r="Q231" s="218">
        <f>_xlfn.XLOOKUP($I231,Inputs!$G$6:$G$23,Inputs!$J$6:$J$23)*$K231</f>
        <v>141</v>
      </c>
      <c r="R231" s="218">
        <f>_xlfn.XLOOKUP($I231,Inputs!$G$6:$G$23,Inputs!$K$6:$K$23)*$K231</f>
        <v>156</v>
      </c>
      <c r="S231" s="103" t="s">
        <v>674</v>
      </c>
      <c r="T231" s="98" t="s">
        <v>700</v>
      </c>
      <c r="U231" s="103" t="s">
        <v>1467</v>
      </c>
      <c r="V231" s="47" t="s">
        <v>1468</v>
      </c>
      <c r="W231" s="47"/>
      <c r="X231" s="18"/>
      <c r="Y231" s="68">
        <v>311</v>
      </c>
    </row>
    <row r="232" spans="2:25" s="14" customFormat="1" ht="18">
      <c r="B232" s="103" t="s">
        <v>183</v>
      </c>
      <c r="C232" s="47" t="s">
        <v>93</v>
      </c>
      <c r="D232" s="98" t="s">
        <v>598</v>
      </c>
      <c r="E232" s="103">
        <v>1</v>
      </c>
      <c r="F232" s="103" t="s">
        <v>152</v>
      </c>
      <c r="G232" s="180">
        <v>6</v>
      </c>
      <c r="H232" s="180">
        <v>4</v>
      </c>
      <c r="I232" s="102">
        <v>138</v>
      </c>
      <c r="J232" s="212" cm="1">
        <f t="array" ref="J232">_xlfn.XLOOKUP($I232,Inputs!$C$6:$C$23,Inputs!$D$6:D$23)*$G232</f>
        <v>2.6014285714285714</v>
      </c>
      <c r="K232" s="217">
        <f t="shared" si="3"/>
        <v>3</v>
      </c>
      <c r="L232" s="123"/>
      <c r="M232" s="123"/>
      <c r="N232" s="123"/>
      <c r="O232" s="123"/>
      <c r="P232" s="123"/>
      <c r="Q232" s="218">
        <f>_xlfn.XLOOKUP($I232,Inputs!$G$6:$G$23,Inputs!$J$6:$J$23)*$K232</f>
        <v>141</v>
      </c>
      <c r="R232" s="218">
        <f>_xlfn.XLOOKUP($I232,Inputs!$G$6:$G$23,Inputs!$K$6:$K$23)*$K232</f>
        <v>156</v>
      </c>
      <c r="S232" s="103" t="s">
        <v>674</v>
      </c>
      <c r="T232" s="98" t="s">
        <v>700</v>
      </c>
      <c r="U232" s="103" t="s">
        <v>181</v>
      </c>
      <c r="V232" s="98" t="s">
        <v>1391</v>
      </c>
      <c r="W232" s="47"/>
      <c r="X232" s="18"/>
      <c r="Y232" s="68">
        <v>276</v>
      </c>
    </row>
    <row r="233" spans="2:25" s="14" customFormat="1" ht="18">
      <c r="B233" s="103" t="s">
        <v>335</v>
      </c>
      <c r="C233" s="47" t="s">
        <v>93</v>
      </c>
      <c r="D233" s="98" t="s">
        <v>598</v>
      </c>
      <c r="E233" s="103">
        <v>1</v>
      </c>
      <c r="F233" s="103" t="s">
        <v>152</v>
      </c>
      <c r="G233" s="180">
        <v>77</v>
      </c>
      <c r="H233" s="180">
        <v>48</v>
      </c>
      <c r="I233" s="102">
        <v>138</v>
      </c>
      <c r="J233" s="212" cm="1">
        <f t="array" ref="J233">_xlfn.XLOOKUP($I233,Inputs!$C$6:$C$23,Inputs!$D$6:D$23)*$G233</f>
        <v>33.385000000000005</v>
      </c>
      <c r="K233" s="217">
        <f t="shared" si="3"/>
        <v>3</v>
      </c>
      <c r="L233" s="123"/>
      <c r="M233" s="123"/>
      <c r="N233" s="123"/>
      <c r="O233" s="123"/>
      <c r="P233" s="123"/>
      <c r="Q233" s="218">
        <f>_xlfn.XLOOKUP($I233,Inputs!$G$6:$G$23,Inputs!$J$6:$J$23)*$K233</f>
        <v>141</v>
      </c>
      <c r="R233" s="218">
        <f>_xlfn.XLOOKUP($I233,Inputs!$G$6:$G$23,Inputs!$K$6:$K$23)*$K233</f>
        <v>156</v>
      </c>
      <c r="S233" s="103" t="s">
        <v>672</v>
      </c>
      <c r="T233" s="98" t="s">
        <v>725</v>
      </c>
      <c r="U233" s="103" t="s">
        <v>1116</v>
      </c>
      <c r="V233" s="98" t="s">
        <v>1407</v>
      </c>
      <c r="W233" s="47"/>
      <c r="X233" s="18"/>
      <c r="Y233" s="68">
        <v>267</v>
      </c>
    </row>
    <row r="234" spans="2:25" s="14" customFormat="1" ht="18">
      <c r="B234" s="103" t="s">
        <v>336</v>
      </c>
      <c r="C234" s="47" t="s">
        <v>93</v>
      </c>
      <c r="D234" s="98" t="s">
        <v>598</v>
      </c>
      <c r="E234" s="103">
        <v>1</v>
      </c>
      <c r="F234" s="103" t="s">
        <v>152</v>
      </c>
      <c r="G234" s="180">
        <v>8</v>
      </c>
      <c r="H234" s="180">
        <v>5</v>
      </c>
      <c r="I234" s="102">
        <v>138</v>
      </c>
      <c r="J234" s="212" cm="1">
        <f t="array" ref="J234">_xlfn.XLOOKUP($I234,Inputs!$C$6:$C$23,Inputs!$D$6:D$23)*$G234</f>
        <v>3.4685714285714289</v>
      </c>
      <c r="K234" s="217">
        <f t="shared" si="3"/>
        <v>3</v>
      </c>
      <c r="L234" s="123"/>
      <c r="M234" s="123"/>
      <c r="N234" s="123"/>
      <c r="O234" s="123"/>
      <c r="P234" s="123"/>
      <c r="Q234" s="218">
        <f>_xlfn.XLOOKUP($I234,Inputs!$G$6:$G$23,Inputs!$J$6:$J$23)*$K234</f>
        <v>141</v>
      </c>
      <c r="R234" s="218">
        <f>_xlfn.XLOOKUP($I234,Inputs!$G$6:$G$23,Inputs!$K$6:$K$23)*$K234</f>
        <v>156</v>
      </c>
      <c r="S234" s="103" t="s">
        <v>672</v>
      </c>
      <c r="T234" s="98" t="s">
        <v>725</v>
      </c>
      <c r="U234" s="103" t="s">
        <v>1093</v>
      </c>
      <c r="V234" s="98" t="s">
        <v>1285</v>
      </c>
      <c r="W234" s="47"/>
      <c r="X234" s="18" t="s">
        <v>365</v>
      </c>
      <c r="Y234" s="68">
        <v>326</v>
      </c>
    </row>
    <row r="235" spans="2:25" s="14" customFormat="1" ht="18">
      <c r="B235" s="103" t="s">
        <v>353</v>
      </c>
      <c r="C235" s="47" t="s">
        <v>93</v>
      </c>
      <c r="D235" s="98" t="s">
        <v>598</v>
      </c>
      <c r="E235" s="103">
        <v>1</v>
      </c>
      <c r="F235" s="103" t="s">
        <v>152</v>
      </c>
      <c r="G235" s="257">
        <v>1</v>
      </c>
      <c r="H235" s="257">
        <v>1</v>
      </c>
      <c r="I235" s="102">
        <v>138</v>
      </c>
      <c r="J235" s="212" cm="1">
        <f t="array" ref="J235">_xlfn.XLOOKUP($I235,Inputs!$C$6:$C$23,Inputs!$D$6:D$23)*$G235</f>
        <v>0.43357142857142861</v>
      </c>
      <c r="K235" s="217">
        <f t="shared" si="3"/>
        <v>3</v>
      </c>
      <c r="L235" s="123"/>
      <c r="M235" s="123"/>
      <c r="N235" s="123"/>
      <c r="O235" s="123"/>
      <c r="P235" s="123"/>
      <c r="Q235" s="218">
        <f>_xlfn.XLOOKUP($I235,Inputs!$G$6:$G$23,Inputs!$J$6:$J$23)*$K235</f>
        <v>141</v>
      </c>
      <c r="R235" s="218">
        <f>_xlfn.XLOOKUP($I235,Inputs!$G$6:$G$23,Inputs!$K$6:$K$23)*$K235</f>
        <v>156</v>
      </c>
      <c r="S235" s="103" t="s">
        <v>687</v>
      </c>
      <c r="T235" s="98" t="s">
        <v>746</v>
      </c>
      <c r="U235" s="103" t="s">
        <v>1097</v>
      </c>
      <c r="V235" s="98" t="s">
        <v>1268</v>
      </c>
      <c r="W235" s="47"/>
      <c r="X235" s="18"/>
      <c r="Y235" s="68">
        <v>344</v>
      </c>
    </row>
    <row r="236" spans="2:25" s="14" customFormat="1" ht="18">
      <c r="B236" s="103" t="s">
        <v>179</v>
      </c>
      <c r="C236" s="47" t="s">
        <v>93</v>
      </c>
      <c r="D236" s="98" t="s">
        <v>598</v>
      </c>
      <c r="E236" s="103">
        <v>1</v>
      </c>
      <c r="F236" s="103" t="s">
        <v>152</v>
      </c>
      <c r="G236" s="180">
        <v>13</v>
      </c>
      <c r="H236" s="180">
        <v>8</v>
      </c>
      <c r="I236" s="102">
        <v>138</v>
      </c>
      <c r="J236" s="212" cm="1">
        <f t="array" ref="J236">_xlfn.XLOOKUP($I236,Inputs!$C$6:$C$23,Inputs!$D$6:D$23)*$G236</f>
        <v>5.6364285714285716</v>
      </c>
      <c r="K236" s="217">
        <f t="shared" si="3"/>
        <v>3</v>
      </c>
      <c r="L236" s="123"/>
      <c r="M236" s="123"/>
      <c r="N236" s="123"/>
      <c r="O236" s="123"/>
      <c r="P236" s="123"/>
      <c r="Q236" s="218">
        <f>_xlfn.XLOOKUP($I236,Inputs!$G$6:$G$23,Inputs!$J$6:$J$23)*$K236</f>
        <v>141</v>
      </c>
      <c r="R236" s="218">
        <f>_xlfn.XLOOKUP($I236,Inputs!$G$6:$G$23,Inputs!$K$6:$K$23)*$K236</f>
        <v>156</v>
      </c>
      <c r="S236" s="103" t="s">
        <v>687</v>
      </c>
      <c r="T236" s="98" t="s">
        <v>746</v>
      </c>
      <c r="U236" s="103" t="s">
        <v>1129</v>
      </c>
      <c r="V236" s="98" t="s">
        <v>1427</v>
      </c>
      <c r="W236" s="47"/>
      <c r="X236" s="18"/>
      <c r="Y236" s="68">
        <v>356</v>
      </c>
    </row>
    <row r="237" spans="2:25" s="14" customFormat="1" ht="18">
      <c r="B237" s="103" t="s">
        <v>273</v>
      </c>
      <c r="C237" s="47" t="s">
        <v>93</v>
      </c>
      <c r="D237" s="98" t="s">
        <v>598</v>
      </c>
      <c r="E237" s="103">
        <v>1</v>
      </c>
      <c r="F237" s="103" t="s">
        <v>152</v>
      </c>
      <c r="G237" s="180">
        <v>6</v>
      </c>
      <c r="H237" s="180">
        <v>4</v>
      </c>
      <c r="I237" s="102">
        <v>138</v>
      </c>
      <c r="J237" s="212" cm="1">
        <f t="array" ref="J237">_xlfn.XLOOKUP($I237,Inputs!$C$6:$C$23,Inputs!$D$6:D$23)*$G237</f>
        <v>2.6014285714285714</v>
      </c>
      <c r="K237" s="217">
        <f t="shared" si="3"/>
        <v>3</v>
      </c>
      <c r="L237" s="123"/>
      <c r="M237" s="123"/>
      <c r="N237" s="123"/>
      <c r="O237" s="123"/>
      <c r="P237" s="123"/>
      <c r="Q237" s="218">
        <f>_xlfn.XLOOKUP($I237,Inputs!$G$6:$G$23,Inputs!$J$6:$J$23)*$K237</f>
        <v>141</v>
      </c>
      <c r="R237" s="218">
        <f>_xlfn.XLOOKUP($I237,Inputs!$G$6:$G$23,Inputs!$K$6:$K$23)*$K237</f>
        <v>156</v>
      </c>
      <c r="S237" s="103" t="s">
        <v>684</v>
      </c>
      <c r="T237" s="98" t="s">
        <v>721</v>
      </c>
      <c r="U237" s="103" t="s">
        <v>1098</v>
      </c>
      <c r="V237" s="98" t="s">
        <v>1264</v>
      </c>
      <c r="W237" s="47"/>
      <c r="X237" s="18"/>
      <c r="Y237" s="68">
        <v>345</v>
      </c>
    </row>
    <row r="238" spans="2:25" s="14" customFormat="1" ht="18">
      <c r="B238" s="103" t="s">
        <v>271</v>
      </c>
      <c r="C238" s="47" t="s">
        <v>93</v>
      </c>
      <c r="D238" s="98" t="s">
        <v>598</v>
      </c>
      <c r="E238" s="103">
        <v>1</v>
      </c>
      <c r="F238" s="103" t="s">
        <v>152</v>
      </c>
      <c r="G238" s="180">
        <v>6</v>
      </c>
      <c r="H238" s="180">
        <v>4</v>
      </c>
      <c r="I238" s="102">
        <v>138</v>
      </c>
      <c r="J238" s="212" cm="1">
        <f t="array" ref="J238">_xlfn.XLOOKUP($I238,Inputs!$C$6:$C$23,Inputs!$D$6:D$23)*$G238</f>
        <v>2.6014285714285714</v>
      </c>
      <c r="K238" s="217">
        <f t="shared" si="3"/>
        <v>3</v>
      </c>
      <c r="L238" s="123"/>
      <c r="M238" s="123"/>
      <c r="N238" s="123"/>
      <c r="O238" s="123"/>
      <c r="P238" s="123"/>
      <c r="Q238" s="218">
        <f>_xlfn.XLOOKUP($I238,Inputs!$G$6:$G$23,Inputs!$J$6:$J$23)*$K238</f>
        <v>141</v>
      </c>
      <c r="R238" s="218">
        <f>_xlfn.XLOOKUP($I238,Inputs!$G$6:$G$23,Inputs!$K$6:$K$23)*$K238</f>
        <v>156</v>
      </c>
      <c r="S238" s="103" t="s">
        <v>684</v>
      </c>
      <c r="T238" s="98" t="s">
        <v>721</v>
      </c>
      <c r="U238" s="103" t="s">
        <v>690</v>
      </c>
      <c r="V238" s="98" t="s">
        <v>719</v>
      </c>
      <c r="W238" s="47"/>
      <c r="X238" s="18"/>
      <c r="Y238" s="68">
        <v>319</v>
      </c>
    </row>
    <row r="239" spans="2:25" s="14" customFormat="1" ht="18">
      <c r="B239" s="103" t="s">
        <v>293</v>
      </c>
      <c r="C239" s="47" t="s">
        <v>93</v>
      </c>
      <c r="D239" s="98" t="s">
        <v>598</v>
      </c>
      <c r="E239" s="103">
        <v>1</v>
      </c>
      <c r="F239" s="103" t="s">
        <v>152</v>
      </c>
      <c r="G239" s="257">
        <v>0.3</v>
      </c>
      <c r="H239" s="257">
        <v>0.2</v>
      </c>
      <c r="I239" s="102">
        <v>138</v>
      </c>
      <c r="J239" s="212" cm="1">
        <f t="array" ref="J239">_xlfn.XLOOKUP($I239,Inputs!$C$6:$C$23,Inputs!$D$6:D$23)*$G239</f>
        <v>0.13007142857142859</v>
      </c>
      <c r="K239" s="217">
        <f t="shared" si="3"/>
        <v>3</v>
      </c>
      <c r="L239" s="123"/>
      <c r="M239" s="123"/>
      <c r="N239" s="123"/>
      <c r="O239" s="123"/>
      <c r="P239" s="123"/>
      <c r="Q239" s="218">
        <f>_xlfn.XLOOKUP($I239,Inputs!$G$6:$G$23,Inputs!$J$6:$J$23)*$K239</f>
        <v>141</v>
      </c>
      <c r="R239" s="218">
        <f>_xlfn.XLOOKUP($I239,Inputs!$G$6:$G$23,Inputs!$K$6:$K$23)*$K239</f>
        <v>156</v>
      </c>
      <c r="S239" s="103" t="s">
        <v>669</v>
      </c>
      <c r="T239" s="98" t="s">
        <v>720</v>
      </c>
      <c r="U239" s="103" t="s">
        <v>670</v>
      </c>
      <c r="V239" s="98" t="s">
        <v>717</v>
      </c>
      <c r="W239" s="47"/>
      <c r="X239" s="18"/>
      <c r="Y239" s="68">
        <v>263</v>
      </c>
    </row>
    <row r="240" spans="2:25" s="14" customFormat="1" ht="18">
      <c r="B240" s="103" t="s">
        <v>347</v>
      </c>
      <c r="C240" s="47" t="s">
        <v>93</v>
      </c>
      <c r="D240" s="98" t="s">
        <v>598</v>
      </c>
      <c r="E240" s="103">
        <v>1</v>
      </c>
      <c r="F240" s="103" t="s">
        <v>152</v>
      </c>
      <c r="G240" s="257">
        <v>12</v>
      </c>
      <c r="H240" s="257">
        <v>7</v>
      </c>
      <c r="I240" s="102">
        <v>138</v>
      </c>
      <c r="J240" s="212" cm="1">
        <f t="array" ref="J240">_xlfn.XLOOKUP($I240,Inputs!$C$6:$C$23,Inputs!$D$6:D$23)*$G240</f>
        <v>5.2028571428571428</v>
      </c>
      <c r="K240" s="217">
        <f t="shared" si="3"/>
        <v>3</v>
      </c>
      <c r="L240" s="123"/>
      <c r="M240" s="123"/>
      <c r="N240" s="123"/>
      <c r="O240" s="123"/>
      <c r="P240" s="123"/>
      <c r="Q240" s="218">
        <f>_xlfn.XLOOKUP($I240,Inputs!$G$6:$G$23,Inputs!$J$6:$J$23)*$K240</f>
        <v>141</v>
      </c>
      <c r="R240" s="218">
        <f>_xlfn.XLOOKUP($I240,Inputs!$G$6:$G$23,Inputs!$K$6:$K$23)*$K240</f>
        <v>156</v>
      </c>
      <c r="S240" s="103" t="s">
        <v>669</v>
      </c>
      <c r="T240" s="98" t="s">
        <v>720</v>
      </c>
      <c r="U240" s="103" t="s">
        <v>1100</v>
      </c>
      <c r="V240" s="98" t="s">
        <v>1317</v>
      </c>
      <c r="W240" s="47"/>
      <c r="X240" s="18"/>
      <c r="Y240" s="68">
        <v>348</v>
      </c>
    </row>
    <row r="241" spans="2:25" s="14" customFormat="1" ht="18">
      <c r="B241" s="103" t="s">
        <v>250</v>
      </c>
      <c r="C241" s="47" t="s">
        <v>93</v>
      </c>
      <c r="D241" s="98" t="s">
        <v>598</v>
      </c>
      <c r="E241" s="103">
        <v>1</v>
      </c>
      <c r="F241" s="103" t="s">
        <v>152</v>
      </c>
      <c r="G241" s="257">
        <v>2</v>
      </c>
      <c r="H241" s="257">
        <v>1</v>
      </c>
      <c r="I241" s="102">
        <v>138</v>
      </c>
      <c r="J241" s="212" cm="1">
        <f t="array" ref="J241">_xlfn.XLOOKUP($I241,Inputs!$C$6:$C$23,Inputs!$D$6:D$23)*$G241</f>
        <v>0.86714285714285722</v>
      </c>
      <c r="K241" s="217">
        <f t="shared" si="3"/>
        <v>3</v>
      </c>
      <c r="L241" s="123"/>
      <c r="M241" s="123"/>
      <c r="N241" s="123"/>
      <c r="O241" s="123"/>
      <c r="P241" s="123"/>
      <c r="Q241" s="218">
        <f>_xlfn.XLOOKUP($I241,Inputs!$G$6:$G$23,Inputs!$J$6:$J$23)*$K241</f>
        <v>141</v>
      </c>
      <c r="R241" s="218">
        <f>_xlfn.XLOOKUP($I241,Inputs!$G$6:$G$23,Inputs!$K$6:$K$23)*$K241</f>
        <v>156</v>
      </c>
      <c r="S241" s="103" t="s">
        <v>673</v>
      </c>
      <c r="T241" s="98" t="s">
        <v>760</v>
      </c>
      <c r="U241" s="103" t="s">
        <v>1101</v>
      </c>
      <c r="V241" s="98" t="s">
        <v>1274</v>
      </c>
      <c r="W241" s="47"/>
      <c r="X241" s="18"/>
      <c r="Y241" s="68">
        <v>349</v>
      </c>
    </row>
    <row r="242" spans="2:25" s="14" customFormat="1" ht="18">
      <c r="B242" s="103" t="s">
        <v>248</v>
      </c>
      <c r="C242" s="47" t="s">
        <v>93</v>
      </c>
      <c r="D242" s="98" t="s">
        <v>598</v>
      </c>
      <c r="E242" s="103">
        <v>1</v>
      </c>
      <c r="F242" s="103" t="s">
        <v>152</v>
      </c>
      <c r="G242" s="257">
        <v>20</v>
      </c>
      <c r="H242" s="257">
        <v>12</v>
      </c>
      <c r="I242" s="102">
        <v>138</v>
      </c>
      <c r="J242" s="212" cm="1">
        <f t="array" ref="J242">_xlfn.XLOOKUP($I242,Inputs!$C$6:$C$23,Inputs!$D$6:D$23)*$G242</f>
        <v>8.6714285714285726</v>
      </c>
      <c r="K242" s="217">
        <f t="shared" si="3"/>
        <v>3</v>
      </c>
      <c r="L242" s="123"/>
      <c r="M242" s="123"/>
      <c r="N242" s="123"/>
      <c r="O242" s="123"/>
      <c r="P242" s="123"/>
      <c r="Q242" s="218">
        <f>_xlfn.XLOOKUP($I242,Inputs!$G$6:$G$23,Inputs!$J$6:$J$23)*$K242</f>
        <v>141</v>
      </c>
      <c r="R242" s="218">
        <f>_xlfn.XLOOKUP($I242,Inputs!$G$6:$G$23,Inputs!$K$6:$K$23)*$K242</f>
        <v>156</v>
      </c>
      <c r="S242" s="103" t="s">
        <v>673</v>
      </c>
      <c r="T242" s="98" t="s">
        <v>760</v>
      </c>
      <c r="U242" s="103" t="s">
        <v>1123</v>
      </c>
      <c r="V242" s="98" t="s">
        <v>1417</v>
      </c>
      <c r="W242" s="47"/>
      <c r="X242" s="18"/>
      <c r="Y242" s="68">
        <v>270</v>
      </c>
    </row>
    <row r="243" spans="2:25" s="14" customFormat="1" ht="18">
      <c r="B243" s="103" t="s">
        <v>325</v>
      </c>
      <c r="C243" s="47" t="s">
        <v>93</v>
      </c>
      <c r="D243" s="98" t="s">
        <v>598</v>
      </c>
      <c r="E243" s="103">
        <v>1</v>
      </c>
      <c r="F243" s="103" t="s">
        <v>152</v>
      </c>
      <c r="G243" s="180">
        <v>24</v>
      </c>
      <c r="H243" s="180">
        <v>15</v>
      </c>
      <c r="I243" s="102">
        <v>138</v>
      </c>
      <c r="J243" s="212" cm="1">
        <f t="array" ref="J243">_xlfn.XLOOKUP($I243,Inputs!$C$6:$C$23,Inputs!$D$6:D$23)*$G243</f>
        <v>10.405714285714286</v>
      </c>
      <c r="K243" s="217">
        <f t="shared" si="3"/>
        <v>3</v>
      </c>
      <c r="L243" s="123"/>
      <c r="M243" s="123"/>
      <c r="N243" s="123"/>
      <c r="O243" s="123"/>
      <c r="P243" s="123"/>
      <c r="Q243" s="218">
        <f>_xlfn.XLOOKUP($I243,Inputs!$G$6:$G$23,Inputs!$J$6:$J$23)*$K243</f>
        <v>141</v>
      </c>
      <c r="R243" s="218">
        <f>_xlfn.XLOOKUP($I243,Inputs!$G$6:$G$23,Inputs!$K$6:$K$23)*$K243</f>
        <v>156</v>
      </c>
      <c r="S243" s="103" t="s">
        <v>678</v>
      </c>
      <c r="T243" s="98" t="s">
        <v>763</v>
      </c>
      <c r="U243" s="103" t="s">
        <v>1126</v>
      </c>
      <c r="V243" s="98" t="s">
        <v>1415</v>
      </c>
      <c r="W243" s="47"/>
      <c r="X243" s="18"/>
      <c r="Y243" s="68">
        <v>294</v>
      </c>
    </row>
    <row r="244" spans="2:25" s="14" customFormat="1" ht="18">
      <c r="B244" s="103" t="s">
        <v>326</v>
      </c>
      <c r="C244" s="47" t="s">
        <v>93</v>
      </c>
      <c r="D244" s="98" t="s">
        <v>598</v>
      </c>
      <c r="E244" s="103">
        <v>1</v>
      </c>
      <c r="F244" s="103" t="s">
        <v>152</v>
      </c>
      <c r="G244" s="180">
        <v>7</v>
      </c>
      <c r="H244" s="180">
        <v>4</v>
      </c>
      <c r="I244" s="102">
        <v>138</v>
      </c>
      <c r="J244" s="212" cm="1">
        <f t="array" ref="J244">_xlfn.XLOOKUP($I244,Inputs!$C$6:$C$23,Inputs!$D$6:D$23)*$G244</f>
        <v>3.0350000000000001</v>
      </c>
      <c r="K244" s="217">
        <f t="shared" si="3"/>
        <v>3</v>
      </c>
      <c r="L244" s="123"/>
      <c r="M244" s="123"/>
      <c r="N244" s="123"/>
      <c r="O244" s="123"/>
      <c r="P244" s="123"/>
      <c r="Q244" s="218">
        <f>_xlfn.XLOOKUP($I244,Inputs!$G$6:$G$23,Inputs!$J$6:$J$23)*$K244</f>
        <v>141</v>
      </c>
      <c r="R244" s="218">
        <f>_xlfn.XLOOKUP($I244,Inputs!$G$6:$G$23,Inputs!$K$6:$K$23)*$K244</f>
        <v>156</v>
      </c>
      <c r="S244" s="103" t="s">
        <v>678</v>
      </c>
      <c r="T244" s="98" t="s">
        <v>763</v>
      </c>
      <c r="U244" s="103" t="s">
        <v>1121</v>
      </c>
      <c r="V244" s="98" t="s">
        <v>1418</v>
      </c>
      <c r="W244" s="47"/>
      <c r="X244" s="18"/>
      <c r="Y244" s="68">
        <v>351</v>
      </c>
    </row>
    <row r="245" spans="2:25" s="14" customFormat="1" ht="18">
      <c r="B245" s="103" t="s">
        <v>272</v>
      </c>
      <c r="C245" s="47" t="s">
        <v>93</v>
      </c>
      <c r="D245" s="98" t="s">
        <v>598</v>
      </c>
      <c r="E245" s="103">
        <v>1</v>
      </c>
      <c r="F245" s="103" t="s">
        <v>152</v>
      </c>
      <c r="G245" s="257">
        <v>1</v>
      </c>
      <c r="H245" s="257">
        <v>1</v>
      </c>
      <c r="I245" s="102">
        <v>138</v>
      </c>
      <c r="J245" s="212" cm="1">
        <f t="array" ref="J245">_xlfn.XLOOKUP($I245,Inputs!$C$6:$C$23,Inputs!$D$6:D$23)*$G245</f>
        <v>0.43357142857142861</v>
      </c>
      <c r="K245" s="217">
        <f t="shared" si="3"/>
        <v>3</v>
      </c>
      <c r="L245" s="123"/>
      <c r="M245" s="123"/>
      <c r="N245" s="123"/>
      <c r="O245" s="123"/>
      <c r="P245" s="123"/>
      <c r="Q245" s="218">
        <f>_xlfn.XLOOKUP($I245,Inputs!$G$6:$G$23,Inputs!$J$6:$J$23)*$K245</f>
        <v>141</v>
      </c>
      <c r="R245" s="218">
        <f>_xlfn.XLOOKUP($I245,Inputs!$G$6:$G$23,Inputs!$K$6:$K$23)*$K245</f>
        <v>156</v>
      </c>
      <c r="S245" s="103" t="s">
        <v>683</v>
      </c>
      <c r="T245" s="98" t="s">
        <v>715</v>
      </c>
      <c r="U245" s="103" t="s">
        <v>1103</v>
      </c>
      <c r="V245" s="98" t="s">
        <v>1277</v>
      </c>
      <c r="W245" s="47"/>
      <c r="X245" s="18"/>
      <c r="Y245" s="68">
        <v>352</v>
      </c>
    </row>
    <row r="246" spans="2:25" s="14" customFormat="1" ht="18">
      <c r="B246" s="103" t="s">
        <v>271</v>
      </c>
      <c r="C246" s="47" t="s">
        <v>93</v>
      </c>
      <c r="D246" s="98" t="s">
        <v>598</v>
      </c>
      <c r="E246" s="103">
        <v>1</v>
      </c>
      <c r="F246" s="103" t="s">
        <v>152</v>
      </c>
      <c r="G246" s="180">
        <v>6</v>
      </c>
      <c r="H246" s="180">
        <v>4</v>
      </c>
      <c r="I246" s="102">
        <v>138</v>
      </c>
      <c r="J246" s="212" cm="1">
        <f t="array" ref="J246">_xlfn.XLOOKUP($I246,Inputs!$C$6:$C$23,Inputs!$D$6:D$23)*$G246</f>
        <v>2.6014285714285714</v>
      </c>
      <c r="K246" s="217">
        <f t="shared" si="3"/>
        <v>3</v>
      </c>
      <c r="L246" s="123"/>
      <c r="M246" s="123"/>
      <c r="N246" s="123"/>
      <c r="O246" s="123"/>
      <c r="P246" s="123"/>
      <c r="Q246" s="218">
        <f>_xlfn.XLOOKUP($I246,Inputs!$G$6:$G$23,Inputs!$J$6:$J$23)*$K246</f>
        <v>141</v>
      </c>
      <c r="R246" s="218">
        <f>_xlfn.XLOOKUP($I246,Inputs!$G$6:$G$23,Inputs!$K$6:$K$23)*$K246</f>
        <v>156</v>
      </c>
      <c r="S246" s="103" t="s">
        <v>683</v>
      </c>
      <c r="T246" s="98" t="s">
        <v>715</v>
      </c>
      <c r="U246" s="103" t="s">
        <v>684</v>
      </c>
      <c r="V246" s="98" t="s">
        <v>721</v>
      </c>
      <c r="W246" s="47"/>
      <c r="X246" s="18"/>
      <c r="Y246" s="68">
        <v>318</v>
      </c>
    </row>
    <row r="247" spans="2:25" s="14" customFormat="1" ht="18">
      <c r="B247" s="103" t="s">
        <v>293</v>
      </c>
      <c r="C247" s="47" t="s">
        <v>93</v>
      </c>
      <c r="D247" s="98" t="s">
        <v>598</v>
      </c>
      <c r="E247" s="103">
        <v>1</v>
      </c>
      <c r="F247" s="103" t="s">
        <v>152</v>
      </c>
      <c r="G247" s="257">
        <v>20</v>
      </c>
      <c r="H247" s="257">
        <v>12</v>
      </c>
      <c r="I247" s="102">
        <v>138</v>
      </c>
      <c r="J247" s="212" cm="1">
        <f t="array" ref="J247">_xlfn.XLOOKUP($I247,Inputs!$C$6:$C$23,Inputs!$D$6:D$23)*$G247</f>
        <v>8.6714285714285726</v>
      </c>
      <c r="K247" s="217">
        <f t="shared" si="3"/>
        <v>3</v>
      </c>
      <c r="L247" s="123"/>
      <c r="M247" s="123"/>
      <c r="N247" s="123"/>
      <c r="O247" s="123"/>
      <c r="P247" s="123"/>
      <c r="Q247" s="218">
        <f>_xlfn.XLOOKUP($I247,Inputs!$G$6:$G$23,Inputs!$J$6:$J$23)*$K247</f>
        <v>141</v>
      </c>
      <c r="R247" s="218">
        <f>_xlfn.XLOOKUP($I247,Inputs!$G$6:$G$23,Inputs!$K$6:$K$23)*$K247</f>
        <v>156</v>
      </c>
      <c r="S247" s="103" t="s">
        <v>671</v>
      </c>
      <c r="T247" s="98" t="s">
        <v>737</v>
      </c>
      <c r="U247" s="103" t="s">
        <v>1120</v>
      </c>
      <c r="V247" s="98" t="s">
        <v>1431</v>
      </c>
      <c r="W247" s="47"/>
      <c r="X247" s="18"/>
      <c r="Y247" s="68">
        <v>265</v>
      </c>
    </row>
    <row r="248" spans="2:25" s="14" customFormat="1" ht="18">
      <c r="B248" s="103" t="s">
        <v>343</v>
      </c>
      <c r="C248" s="47" t="s">
        <v>93</v>
      </c>
      <c r="D248" s="98" t="s">
        <v>598</v>
      </c>
      <c r="E248" s="103">
        <v>1</v>
      </c>
      <c r="F248" s="103" t="s">
        <v>152</v>
      </c>
      <c r="G248" s="257">
        <v>2</v>
      </c>
      <c r="H248" s="257">
        <v>1</v>
      </c>
      <c r="I248" s="102">
        <v>138</v>
      </c>
      <c r="J248" s="212" cm="1">
        <f t="array" ref="J248">_xlfn.XLOOKUP($I248,Inputs!$C$6:$C$23,Inputs!$D$6:D$23)*$G248</f>
        <v>0.86714285714285722</v>
      </c>
      <c r="K248" s="217">
        <f t="shared" si="3"/>
        <v>3</v>
      </c>
      <c r="L248" s="123"/>
      <c r="M248" s="123"/>
      <c r="N248" s="123"/>
      <c r="O248" s="123"/>
      <c r="P248" s="123"/>
      <c r="Q248" s="218">
        <f>_xlfn.XLOOKUP($I248,Inputs!$G$6:$G$23,Inputs!$J$6:$J$23)*$K248</f>
        <v>141</v>
      </c>
      <c r="R248" s="218">
        <f>_xlfn.XLOOKUP($I248,Inputs!$G$6:$G$23,Inputs!$K$6:$K$23)*$K248</f>
        <v>156</v>
      </c>
      <c r="S248" s="103" t="s">
        <v>671</v>
      </c>
      <c r="T248" s="98" t="s">
        <v>737</v>
      </c>
      <c r="U248" s="103" t="s">
        <v>1027</v>
      </c>
      <c r="V248" s="98" t="s">
        <v>1366</v>
      </c>
      <c r="W248" s="47"/>
      <c r="X248" s="18"/>
      <c r="Y248" s="68">
        <v>353</v>
      </c>
    </row>
    <row r="249" spans="2:25" s="14" customFormat="1" ht="18">
      <c r="B249" s="103" t="s">
        <v>266</v>
      </c>
      <c r="C249" s="47" t="s">
        <v>93</v>
      </c>
      <c r="D249" s="98" t="s">
        <v>598</v>
      </c>
      <c r="E249" s="103">
        <v>1</v>
      </c>
      <c r="F249" s="103" t="s">
        <v>152</v>
      </c>
      <c r="G249" s="180">
        <v>75</v>
      </c>
      <c r="H249" s="180">
        <v>46</v>
      </c>
      <c r="I249" s="102">
        <v>138</v>
      </c>
      <c r="J249" s="212" cm="1">
        <f t="array" ref="J249">_xlfn.XLOOKUP($I249,Inputs!$C$6:$C$23,Inputs!$D$6:D$23)*$G249</f>
        <v>32.517857142857146</v>
      </c>
      <c r="K249" s="217">
        <f t="shared" si="3"/>
        <v>3</v>
      </c>
      <c r="L249" s="123"/>
      <c r="M249" s="123"/>
      <c r="N249" s="123"/>
      <c r="O249" s="123"/>
      <c r="P249" s="123"/>
      <c r="Q249" s="218">
        <f>_xlfn.XLOOKUP($I249,Inputs!$G$6:$G$23,Inputs!$J$6:$J$23)*$K249</f>
        <v>141</v>
      </c>
      <c r="R249" s="218">
        <f>_xlfn.XLOOKUP($I249,Inputs!$G$6:$G$23,Inputs!$K$6:$K$23)*$K249</f>
        <v>156</v>
      </c>
      <c r="S249" s="103" t="s">
        <v>688</v>
      </c>
      <c r="T249" s="98" t="s">
        <v>761</v>
      </c>
      <c r="U249" s="103" t="s">
        <v>1131</v>
      </c>
      <c r="V249" s="98" t="s">
        <v>1422</v>
      </c>
      <c r="W249" s="47"/>
      <c r="X249" s="18"/>
      <c r="Y249" s="68">
        <v>377</v>
      </c>
    </row>
    <row r="250" spans="2:25" s="14" customFormat="1" ht="18">
      <c r="B250" s="103" t="s">
        <v>268</v>
      </c>
      <c r="C250" s="47" t="s">
        <v>93</v>
      </c>
      <c r="D250" s="98" t="s">
        <v>598</v>
      </c>
      <c r="E250" s="103">
        <v>1</v>
      </c>
      <c r="F250" s="103" t="s">
        <v>152</v>
      </c>
      <c r="G250" s="180">
        <v>7</v>
      </c>
      <c r="H250" s="180">
        <v>4</v>
      </c>
      <c r="I250" s="102">
        <v>138</v>
      </c>
      <c r="J250" s="212" cm="1">
        <f t="array" ref="J250">_xlfn.XLOOKUP($I250,Inputs!$C$6:$C$23,Inputs!$D$6:D$23)*$G250</f>
        <v>3.0350000000000001</v>
      </c>
      <c r="K250" s="217">
        <f t="shared" si="3"/>
        <v>3</v>
      </c>
      <c r="L250" s="123"/>
      <c r="M250" s="123"/>
      <c r="N250" s="123"/>
      <c r="O250" s="123"/>
      <c r="P250" s="123"/>
      <c r="Q250" s="218">
        <f>_xlfn.XLOOKUP($I250,Inputs!$G$6:$G$23,Inputs!$J$6:$J$23)*$K250</f>
        <v>141</v>
      </c>
      <c r="R250" s="218">
        <f>_xlfn.XLOOKUP($I250,Inputs!$G$6:$G$23,Inputs!$K$6:$K$23)*$K250</f>
        <v>156</v>
      </c>
      <c r="S250" s="103" t="s">
        <v>688</v>
      </c>
      <c r="T250" s="98" t="s">
        <v>761</v>
      </c>
      <c r="U250" s="103" t="s">
        <v>1104</v>
      </c>
      <c r="V250" s="98" t="s">
        <v>1355</v>
      </c>
      <c r="W250" s="47"/>
      <c r="X250" s="18"/>
      <c r="Y250" s="68">
        <v>358</v>
      </c>
    </row>
    <row r="251" spans="2:25" s="14" customFormat="1" ht="18">
      <c r="B251" s="103" t="s">
        <v>682</v>
      </c>
      <c r="C251" s="47" t="s">
        <v>93</v>
      </c>
      <c r="D251" s="98" t="s">
        <v>598</v>
      </c>
      <c r="E251" s="103">
        <v>1</v>
      </c>
      <c r="F251" s="103" t="s">
        <v>152</v>
      </c>
      <c r="G251" s="180">
        <v>13</v>
      </c>
      <c r="H251" s="180">
        <v>8</v>
      </c>
      <c r="I251" s="102">
        <v>138</v>
      </c>
      <c r="J251" s="212" cm="1">
        <f t="array" ref="J251">_xlfn.XLOOKUP($I251,Inputs!$C$6:$C$23,Inputs!$D$6:D$23)*$G251</f>
        <v>5.6364285714285716</v>
      </c>
      <c r="K251" s="217">
        <f t="shared" si="3"/>
        <v>3</v>
      </c>
      <c r="L251" s="123"/>
      <c r="M251" s="123"/>
      <c r="N251" s="123"/>
      <c r="O251" s="123"/>
      <c r="P251" s="123"/>
      <c r="Q251" s="218">
        <f>_xlfn.XLOOKUP($I251,Inputs!$G$6:$G$23,Inputs!$J$6:$J$23)*$K251</f>
        <v>141</v>
      </c>
      <c r="R251" s="218">
        <f>_xlfn.XLOOKUP($I251,Inputs!$G$6:$G$23,Inputs!$K$6:$K$23)*$K251</f>
        <v>156</v>
      </c>
      <c r="S251" s="103" t="s">
        <v>681</v>
      </c>
      <c r="T251" s="98" t="s">
        <v>716</v>
      </c>
      <c r="U251" s="103" t="s">
        <v>1159</v>
      </c>
      <c r="V251" s="98" t="s">
        <v>1248</v>
      </c>
      <c r="W251" s="47"/>
      <c r="X251" s="18"/>
      <c r="Y251" s="68">
        <v>359</v>
      </c>
    </row>
    <row r="252" spans="2:25" s="14" customFormat="1" ht="18">
      <c r="B252" s="103" t="s">
        <v>271</v>
      </c>
      <c r="C252" s="47" t="s">
        <v>93</v>
      </c>
      <c r="D252" s="98" t="s">
        <v>598</v>
      </c>
      <c r="E252" s="103">
        <v>1</v>
      </c>
      <c r="F252" s="103" t="s">
        <v>152</v>
      </c>
      <c r="G252" s="180">
        <v>14</v>
      </c>
      <c r="H252" s="180">
        <v>8</v>
      </c>
      <c r="I252" s="102">
        <v>138</v>
      </c>
      <c r="J252" s="212" cm="1">
        <f t="array" ref="J252">_xlfn.XLOOKUP($I252,Inputs!$C$6:$C$23,Inputs!$D$6:D$23)*$G252</f>
        <v>6.07</v>
      </c>
      <c r="K252" s="217">
        <f t="shared" si="3"/>
        <v>3</v>
      </c>
      <c r="L252" s="123"/>
      <c r="M252" s="123"/>
      <c r="N252" s="123"/>
      <c r="O252" s="123"/>
      <c r="P252" s="123"/>
      <c r="Q252" s="218">
        <f>_xlfn.XLOOKUP($I252,Inputs!$G$6:$G$23,Inputs!$J$6:$J$23)*$K252</f>
        <v>141</v>
      </c>
      <c r="R252" s="218">
        <f>_xlfn.XLOOKUP($I252,Inputs!$G$6:$G$23,Inputs!$K$6:$K$23)*$K252</f>
        <v>156</v>
      </c>
      <c r="S252" s="103" t="s">
        <v>681</v>
      </c>
      <c r="T252" s="98" t="s">
        <v>716</v>
      </c>
      <c r="U252" s="103" t="s">
        <v>683</v>
      </c>
      <c r="V252" s="98" t="s">
        <v>715</v>
      </c>
      <c r="W252" s="47"/>
      <c r="X252" s="18"/>
      <c r="Y252" s="68">
        <v>317</v>
      </c>
    </row>
    <row r="253" spans="2:25" s="14" customFormat="1" ht="18">
      <c r="B253" s="103" t="s">
        <v>1155</v>
      </c>
      <c r="C253" s="47" t="s">
        <v>93</v>
      </c>
      <c r="D253" s="98" t="s">
        <v>598</v>
      </c>
      <c r="E253" s="103">
        <v>1</v>
      </c>
      <c r="F253" s="103" t="s">
        <v>152</v>
      </c>
      <c r="G253" s="180">
        <v>0.3</v>
      </c>
      <c r="H253" s="180">
        <v>0.2</v>
      </c>
      <c r="I253" s="102">
        <v>138</v>
      </c>
      <c r="J253" s="212" cm="1">
        <f t="array" ref="J253">_xlfn.XLOOKUP($I253,Inputs!$C$6:$C$23,Inputs!$D$6:D$23)*$G253</f>
        <v>0.13007142857142859</v>
      </c>
      <c r="K253" s="217">
        <f t="shared" si="3"/>
        <v>3</v>
      </c>
      <c r="L253" s="123"/>
      <c r="M253" s="123"/>
      <c r="N253" s="123"/>
      <c r="O253" s="123"/>
      <c r="P253" s="123"/>
      <c r="Q253" s="218">
        <f>_xlfn.XLOOKUP($I253,Inputs!$G$6:$G$23,Inputs!$J$6:$J$23)*$K253</f>
        <v>141</v>
      </c>
      <c r="R253" s="218">
        <f>_xlfn.XLOOKUP($I253,Inputs!$G$6:$G$23,Inputs!$K$6:$K$23)*$K253</f>
        <v>156</v>
      </c>
      <c r="S253" s="103" t="s">
        <v>1153</v>
      </c>
      <c r="T253" s="98" t="s">
        <v>1154</v>
      </c>
      <c r="U253" s="103" t="s">
        <v>1156</v>
      </c>
      <c r="V253" s="98" t="s">
        <v>1439</v>
      </c>
      <c r="W253" s="47"/>
      <c r="X253" s="18"/>
      <c r="Y253" s="68">
        <v>360</v>
      </c>
    </row>
    <row r="254" spans="2:25" s="14" customFormat="1" ht="18">
      <c r="B254" s="103" t="s">
        <v>254</v>
      </c>
      <c r="C254" s="47" t="s">
        <v>93</v>
      </c>
      <c r="D254" s="98" t="s">
        <v>598</v>
      </c>
      <c r="E254" s="103">
        <v>1</v>
      </c>
      <c r="F254" s="103" t="s">
        <v>152</v>
      </c>
      <c r="G254" s="180">
        <v>5</v>
      </c>
      <c r="H254" s="180">
        <v>3</v>
      </c>
      <c r="I254" s="102">
        <v>138</v>
      </c>
      <c r="J254" s="212" cm="1">
        <f t="array" ref="J254">_xlfn.XLOOKUP($I254,Inputs!$C$6:$C$23,Inputs!$D$6:D$23)*$G254</f>
        <v>2.1678571428571431</v>
      </c>
      <c r="K254" s="217">
        <f t="shared" si="3"/>
        <v>3</v>
      </c>
      <c r="L254" s="123"/>
      <c r="M254" s="123"/>
      <c r="N254" s="123"/>
      <c r="O254" s="123"/>
      <c r="P254" s="123"/>
      <c r="Q254" s="218">
        <f>_xlfn.XLOOKUP($I254,Inputs!$G$6:$G$23,Inputs!$J$6:$J$23)*$K254</f>
        <v>141</v>
      </c>
      <c r="R254" s="218">
        <f>_xlfn.XLOOKUP($I254,Inputs!$G$6:$G$23,Inputs!$K$6:$K$23)*$K254</f>
        <v>156</v>
      </c>
      <c r="S254" s="103" t="s">
        <v>1153</v>
      </c>
      <c r="T254" s="98" t="s">
        <v>1154</v>
      </c>
      <c r="U254" s="103" t="s">
        <v>686</v>
      </c>
      <c r="V254" s="98" t="s">
        <v>759</v>
      </c>
      <c r="W254" s="47"/>
      <c r="X254" s="18"/>
      <c r="Y254" s="68">
        <v>337</v>
      </c>
    </row>
    <row r="255" spans="2:25" s="14" customFormat="1" ht="18">
      <c r="B255" s="103" t="s">
        <v>266</v>
      </c>
      <c r="C255" s="47" t="s">
        <v>93</v>
      </c>
      <c r="D255" s="98" t="s">
        <v>598</v>
      </c>
      <c r="E255" s="103">
        <v>1</v>
      </c>
      <c r="F255" s="103" t="s">
        <v>152</v>
      </c>
      <c r="G255" s="180">
        <v>3</v>
      </c>
      <c r="H255" s="180">
        <v>2</v>
      </c>
      <c r="I255" s="102">
        <v>138</v>
      </c>
      <c r="J255" s="212" cm="1">
        <f t="array" ref="J255">_xlfn.XLOOKUP($I255,Inputs!$C$6:$C$23,Inputs!$D$6:D$23)*$G255</f>
        <v>1.3007142857142857</v>
      </c>
      <c r="K255" s="217">
        <f t="shared" si="3"/>
        <v>3</v>
      </c>
      <c r="L255" s="123"/>
      <c r="M255" s="123"/>
      <c r="N255" s="123"/>
      <c r="O255" s="123"/>
      <c r="P255" s="123"/>
      <c r="Q255" s="218">
        <f>_xlfn.XLOOKUP($I255,Inputs!$G$6:$G$23,Inputs!$J$6:$J$23)*$K255</f>
        <v>141</v>
      </c>
      <c r="R255" s="218">
        <f>_xlfn.XLOOKUP($I255,Inputs!$G$6:$G$23,Inputs!$K$6:$K$23)*$K255</f>
        <v>156</v>
      </c>
      <c r="S255" s="103" t="s">
        <v>689</v>
      </c>
      <c r="T255" s="98" t="s">
        <v>718</v>
      </c>
      <c r="U255" s="103" t="s">
        <v>688</v>
      </c>
      <c r="V255" s="98" t="s">
        <v>761</v>
      </c>
      <c r="W255" s="47"/>
      <c r="X255" s="18"/>
      <c r="Y255" s="68">
        <v>376</v>
      </c>
    </row>
    <row r="256" spans="2:25" s="14" customFormat="1" ht="18">
      <c r="B256" s="103" t="s">
        <v>267</v>
      </c>
      <c r="C256" s="47" t="s">
        <v>93</v>
      </c>
      <c r="D256" s="98" t="s">
        <v>598</v>
      </c>
      <c r="E256" s="103">
        <v>1</v>
      </c>
      <c r="F256" s="103" t="s">
        <v>152</v>
      </c>
      <c r="G256" s="180">
        <v>2</v>
      </c>
      <c r="H256" s="180">
        <v>1</v>
      </c>
      <c r="I256" s="102">
        <v>138</v>
      </c>
      <c r="J256" s="212" cm="1">
        <f t="array" ref="J256">_xlfn.XLOOKUP($I256,Inputs!$C$6:$C$23,Inputs!$D$6:D$23)*$G256</f>
        <v>0.86714285714285722</v>
      </c>
      <c r="K256" s="217">
        <f t="shared" si="3"/>
        <v>3</v>
      </c>
      <c r="L256" s="123"/>
      <c r="M256" s="123"/>
      <c r="N256" s="123"/>
      <c r="O256" s="123"/>
      <c r="P256" s="123"/>
      <c r="Q256" s="218">
        <f>_xlfn.XLOOKUP($I256,Inputs!$G$6:$G$23,Inputs!$J$6:$J$23)*$K256</f>
        <v>141</v>
      </c>
      <c r="R256" s="218">
        <f>_xlfn.XLOOKUP($I256,Inputs!$G$6:$G$23,Inputs!$K$6:$K$23)*$K256</f>
        <v>156</v>
      </c>
      <c r="S256" s="103" t="s">
        <v>689</v>
      </c>
      <c r="T256" s="98" t="s">
        <v>718</v>
      </c>
      <c r="U256" s="103" t="s">
        <v>1105</v>
      </c>
      <c r="V256" s="98" t="s">
        <v>1445</v>
      </c>
      <c r="W256" s="47"/>
      <c r="X256" s="18"/>
      <c r="Y256" s="68">
        <v>361</v>
      </c>
    </row>
    <row r="257" spans="2:25" s="14" customFormat="1" ht="18">
      <c r="B257" s="103" t="s">
        <v>271</v>
      </c>
      <c r="C257" s="47" t="s">
        <v>93</v>
      </c>
      <c r="D257" s="98" t="s">
        <v>598</v>
      </c>
      <c r="E257" s="103">
        <v>1</v>
      </c>
      <c r="F257" s="103" t="s">
        <v>152</v>
      </c>
      <c r="G257" s="180">
        <v>10</v>
      </c>
      <c r="H257" s="180">
        <v>6</v>
      </c>
      <c r="I257" s="102">
        <v>138</v>
      </c>
      <c r="J257" s="212" cm="1">
        <f t="array" ref="J257">_xlfn.XLOOKUP($I257,Inputs!$C$6:$C$23,Inputs!$D$6:D$23)*$G257</f>
        <v>4.3357142857142863</v>
      </c>
      <c r="K257" s="217">
        <f t="shared" si="3"/>
        <v>3</v>
      </c>
      <c r="L257" s="123"/>
      <c r="M257" s="123"/>
      <c r="N257" s="123"/>
      <c r="O257" s="123"/>
      <c r="P257" s="123"/>
      <c r="Q257" s="218">
        <f>_xlfn.XLOOKUP($I257,Inputs!$G$6:$G$23,Inputs!$J$6:$J$23)*$K257</f>
        <v>141</v>
      </c>
      <c r="R257" s="218">
        <f>_xlfn.XLOOKUP($I257,Inputs!$G$6:$G$23,Inputs!$K$6:$K$23)*$K257</f>
        <v>156</v>
      </c>
      <c r="S257" s="103" t="s">
        <v>685</v>
      </c>
      <c r="T257" s="98" t="s">
        <v>727</v>
      </c>
      <c r="U257" s="103" t="s">
        <v>1020</v>
      </c>
      <c r="V257" s="98" t="s">
        <v>1295</v>
      </c>
      <c r="W257" s="47"/>
      <c r="X257" s="18"/>
      <c r="Y257" s="68">
        <v>321</v>
      </c>
    </row>
    <row r="258" spans="2:25" s="14" customFormat="1" ht="18">
      <c r="B258" s="103" t="s">
        <v>275</v>
      </c>
      <c r="C258" s="47" t="s">
        <v>93</v>
      </c>
      <c r="D258" s="98" t="s">
        <v>598</v>
      </c>
      <c r="E258" s="103">
        <v>1</v>
      </c>
      <c r="F258" s="103" t="s">
        <v>152</v>
      </c>
      <c r="G258" s="180">
        <v>8</v>
      </c>
      <c r="H258" s="180">
        <v>5</v>
      </c>
      <c r="I258" s="102">
        <v>138</v>
      </c>
      <c r="J258" s="212" cm="1">
        <f t="array" ref="J258">_xlfn.XLOOKUP($I258,Inputs!$C$6:$C$23,Inputs!$D$6:D$23)*$G258</f>
        <v>3.4685714285714289</v>
      </c>
      <c r="K258" s="217">
        <f t="shared" si="3"/>
        <v>3</v>
      </c>
      <c r="L258" s="123"/>
      <c r="M258" s="123"/>
      <c r="N258" s="123"/>
      <c r="O258" s="123"/>
      <c r="P258" s="123"/>
      <c r="Q258" s="218">
        <f>_xlfn.XLOOKUP($I258,Inputs!$G$6:$G$23,Inputs!$J$6:$J$23)*$K258</f>
        <v>141</v>
      </c>
      <c r="R258" s="218">
        <f>_xlfn.XLOOKUP($I258,Inputs!$G$6:$G$23,Inputs!$K$6:$K$23)*$K258</f>
        <v>156</v>
      </c>
      <c r="S258" s="103" t="s">
        <v>685</v>
      </c>
      <c r="T258" s="98" t="s">
        <v>727</v>
      </c>
      <c r="U258" s="103" t="s">
        <v>1107</v>
      </c>
      <c r="V258" s="98" t="s">
        <v>1298</v>
      </c>
      <c r="W258" s="47"/>
      <c r="X258" s="18"/>
      <c r="Y258" s="68">
        <v>365</v>
      </c>
    </row>
    <row r="259" spans="2:25" s="14" customFormat="1" ht="18">
      <c r="B259" s="103" t="s">
        <v>255</v>
      </c>
      <c r="C259" s="47" t="s">
        <v>93</v>
      </c>
      <c r="D259" s="98" t="s">
        <v>598</v>
      </c>
      <c r="E259" s="103">
        <v>1</v>
      </c>
      <c r="F259" s="103" t="s">
        <v>152</v>
      </c>
      <c r="G259" s="180">
        <v>5</v>
      </c>
      <c r="H259" s="180">
        <v>3</v>
      </c>
      <c r="I259" s="102">
        <v>138</v>
      </c>
      <c r="J259" s="212" cm="1">
        <f t="array" ref="J259">_xlfn.XLOOKUP($I259,Inputs!$C$6:$C$23,Inputs!$D$6:D$23)*$G259</f>
        <v>2.1678571428571431</v>
      </c>
      <c r="K259" s="217">
        <f t="shared" si="3"/>
        <v>3</v>
      </c>
      <c r="L259" s="123"/>
      <c r="M259" s="123"/>
      <c r="N259" s="123"/>
      <c r="O259" s="123"/>
      <c r="P259" s="123"/>
      <c r="Q259" s="218">
        <f>_xlfn.XLOOKUP($I259,Inputs!$G$6:$G$23,Inputs!$J$6:$J$23)*$K259</f>
        <v>141</v>
      </c>
      <c r="R259" s="218">
        <f>_xlfn.XLOOKUP($I259,Inputs!$G$6:$G$23,Inputs!$K$6:$K$23)*$K259</f>
        <v>156</v>
      </c>
      <c r="S259" s="103" t="s">
        <v>686</v>
      </c>
      <c r="T259" s="98" t="s">
        <v>759</v>
      </c>
      <c r="U259" s="103" t="s">
        <v>1109</v>
      </c>
      <c r="V259" s="98" t="s">
        <v>1232</v>
      </c>
      <c r="W259" s="47"/>
      <c r="X259" s="18"/>
      <c r="Y259" s="68">
        <v>369</v>
      </c>
    </row>
    <row r="260" spans="2:25" s="14" customFormat="1" ht="18">
      <c r="B260" s="103" t="s">
        <v>254</v>
      </c>
      <c r="C260" s="47" t="s">
        <v>93</v>
      </c>
      <c r="D260" s="98" t="s">
        <v>598</v>
      </c>
      <c r="E260" s="103">
        <v>1</v>
      </c>
      <c r="F260" s="103" t="s">
        <v>152</v>
      </c>
      <c r="G260" s="180">
        <v>1</v>
      </c>
      <c r="H260" s="180">
        <v>0.6</v>
      </c>
      <c r="I260" s="102">
        <v>138</v>
      </c>
      <c r="J260" s="212" cm="1">
        <f t="array" ref="J260">_xlfn.XLOOKUP($I260,Inputs!$C$6:$C$23,Inputs!$D$6:D$23)*$G260</f>
        <v>0.43357142857142861</v>
      </c>
      <c r="K260" s="217">
        <f t="shared" ref="K260:K323" si="4">IF((42.4*(H260)^(-0.6595))&gt;=3,3,(IF(42.4*(H260)^(-0.6595)&lt;=0.5,0.5,(42.4*(H260)^(-0.6595)))))</f>
        <v>3</v>
      </c>
      <c r="L260" s="123"/>
      <c r="M260" s="123"/>
      <c r="N260" s="123"/>
      <c r="O260" s="123"/>
      <c r="P260" s="123"/>
      <c r="Q260" s="218">
        <f>_xlfn.XLOOKUP($I260,Inputs!$G$6:$G$23,Inputs!$J$6:$J$23)*$K260</f>
        <v>141</v>
      </c>
      <c r="R260" s="218">
        <f>_xlfn.XLOOKUP($I260,Inputs!$G$6:$G$23,Inputs!$K$6:$K$23)*$K260</f>
        <v>156</v>
      </c>
      <c r="S260" s="103" t="s">
        <v>686</v>
      </c>
      <c r="T260" s="98" t="s">
        <v>759</v>
      </c>
      <c r="U260" s="103" t="s">
        <v>1094</v>
      </c>
      <c r="V260" s="98" t="s">
        <v>1251</v>
      </c>
      <c r="W260" s="47"/>
      <c r="X260" s="18"/>
      <c r="Y260" s="68">
        <v>338</v>
      </c>
    </row>
    <row r="261" spans="2:25" s="14" customFormat="1" ht="18">
      <c r="B261" s="103" t="s">
        <v>363</v>
      </c>
      <c r="C261" s="47" t="s">
        <v>93</v>
      </c>
      <c r="D261" s="98" t="s">
        <v>598</v>
      </c>
      <c r="E261" s="103">
        <v>1</v>
      </c>
      <c r="F261" s="103" t="s">
        <v>152</v>
      </c>
      <c r="G261" s="257">
        <v>1</v>
      </c>
      <c r="H261" s="257">
        <v>1</v>
      </c>
      <c r="I261" s="102">
        <v>138</v>
      </c>
      <c r="J261" s="212" cm="1">
        <f t="array" ref="J261">_xlfn.XLOOKUP($I261,Inputs!$C$6:$C$23,Inputs!$D$6:D$23)*$G261</f>
        <v>0.43357142857142861</v>
      </c>
      <c r="K261" s="217">
        <f t="shared" si="4"/>
        <v>3</v>
      </c>
      <c r="L261" s="123"/>
      <c r="M261" s="123"/>
      <c r="N261" s="123"/>
      <c r="O261" s="123"/>
      <c r="P261" s="123"/>
      <c r="Q261" s="218">
        <f>_xlfn.XLOOKUP($I261,Inputs!$G$6:$G$23,Inputs!$J$6:$J$23)*$K261</f>
        <v>141</v>
      </c>
      <c r="R261" s="218">
        <f>_xlfn.XLOOKUP($I261,Inputs!$G$6:$G$23,Inputs!$K$6:$K$23)*$K261</f>
        <v>156</v>
      </c>
      <c r="S261" s="103" t="s">
        <v>675</v>
      </c>
      <c r="T261" s="98" t="s">
        <v>741</v>
      </c>
      <c r="U261" s="103" t="s">
        <v>1110</v>
      </c>
      <c r="V261" s="98" t="s">
        <v>1250</v>
      </c>
      <c r="W261" s="47"/>
      <c r="X261" s="18"/>
      <c r="Y261" s="68">
        <v>370</v>
      </c>
    </row>
    <row r="262" spans="2:25" s="14" customFormat="1" ht="18">
      <c r="B262" s="103" t="s">
        <v>349</v>
      </c>
      <c r="C262" s="47" t="s">
        <v>93</v>
      </c>
      <c r="D262" s="98" t="s">
        <v>598</v>
      </c>
      <c r="E262" s="103">
        <v>1</v>
      </c>
      <c r="F262" s="103" t="s">
        <v>152</v>
      </c>
      <c r="G262" s="257">
        <v>2</v>
      </c>
      <c r="H262" s="257">
        <v>1</v>
      </c>
      <c r="I262" s="102">
        <v>138</v>
      </c>
      <c r="J262" s="212" cm="1">
        <f t="array" ref="J262">_xlfn.XLOOKUP($I262,Inputs!$C$6:$C$23,Inputs!$D$6:D$23)*$G262</f>
        <v>0.86714285714285722</v>
      </c>
      <c r="K262" s="217">
        <f t="shared" si="4"/>
        <v>3</v>
      </c>
      <c r="L262" s="123"/>
      <c r="M262" s="123"/>
      <c r="N262" s="123"/>
      <c r="O262" s="123"/>
      <c r="P262" s="123"/>
      <c r="Q262" s="218">
        <f>_xlfn.XLOOKUP($I262,Inputs!$G$6:$G$23,Inputs!$J$6:$J$23)*$K262</f>
        <v>141</v>
      </c>
      <c r="R262" s="218">
        <f>_xlfn.XLOOKUP($I262,Inputs!$G$6:$G$23,Inputs!$K$6:$K$23)*$K262</f>
        <v>156</v>
      </c>
      <c r="S262" s="103" t="s">
        <v>675</v>
      </c>
      <c r="T262" s="98" t="s">
        <v>741</v>
      </c>
      <c r="U262" s="103" t="s">
        <v>1120</v>
      </c>
      <c r="V262" s="98" t="s">
        <v>1431</v>
      </c>
      <c r="W262" s="47"/>
      <c r="X262" s="18"/>
      <c r="Y262" s="68">
        <v>280</v>
      </c>
    </row>
    <row r="263" spans="2:25" s="14" customFormat="1" ht="18">
      <c r="B263" s="103" t="s">
        <v>216</v>
      </c>
      <c r="C263" s="47" t="s">
        <v>93</v>
      </c>
      <c r="D263" s="98" t="s">
        <v>598</v>
      </c>
      <c r="E263" s="103">
        <v>1</v>
      </c>
      <c r="F263" s="103" t="s">
        <v>152</v>
      </c>
      <c r="G263" s="180">
        <v>34</v>
      </c>
      <c r="H263" s="180">
        <v>21</v>
      </c>
      <c r="I263" s="102">
        <v>138</v>
      </c>
      <c r="J263" s="212" cm="1">
        <f t="array" ref="J263">_xlfn.XLOOKUP($I263,Inputs!$C$6:$C$23,Inputs!$D$6:D$23)*$G263</f>
        <v>14.741428571428573</v>
      </c>
      <c r="K263" s="217">
        <f t="shared" si="4"/>
        <v>3</v>
      </c>
      <c r="L263" s="123"/>
      <c r="M263" s="123"/>
      <c r="N263" s="123"/>
      <c r="O263" s="123"/>
      <c r="P263" s="123"/>
      <c r="Q263" s="218">
        <f>_xlfn.XLOOKUP($I263,Inputs!$G$6:$G$23,Inputs!$J$6:$J$23)*$K263</f>
        <v>141</v>
      </c>
      <c r="R263" s="218">
        <f>_xlfn.XLOOKUP($I263,Inputs!$G$6:$G$23,Inputs!$K$6:$K$23)*$K263</f>
        <v>156</v>
      </c>
      <c r="S263" s="103" t="s">
        <v>680</v>
      </c>
      <c r="T263" s="98" t="s">
        <v>734</v>
      </c>
      <c r="U263" s="103" t="s">
        <v>1030</v>
      </c>
      <c r="V263" s="98" t="s">
        <v>1441</v>
      </c>
      <c r="W263" s="47"/>
      <c r="X263" s="18"/>
      <c r="Y263" s="68">
        <v>373</v>
      </c>
    </row>
    <row r="264" spans="2:25" s="14" customFormat="1" ht="18">
      <c r="B264" s="103" t="s">
        <v>293</v>
      </c>
      <c r="C264" s="47" t="s">
        <v>93</v>
      </c>
      <c r="D264" s="98" t="s">
        <v>598</v>
      </c>
      <c r="E264" s="103">
        <v>1</v>
      </c>
      <c r="F264" s="103" t="s">
        <v>152</v>
      </c>
      <c r="G264" s="257">
        <v>8</v>
      </c>
      <c r="H264" s="257">
        <v>5</v>
      </c>
      <c r="I264" s="102">
        <v>138</v>
      </c>
      <c r="J264" s="212" cm="1">
        <f t="array" ref="J264">_xlfn.XLOOKUP($I264,Inputs!$C$6:$C$23,Inputs!$D$6:D$23)*$G264</f>
        <v>3.4685714285714289</v>
      </c>
      <c r="K264" s="217">
        <f t="shared" si="4"/>
        <v>3</v>
      </c>
      <c r="L264" s="123"/>
      <c r="M264" s="123"/>
      <c r="N264" s="123"/>
      <c r="O264" s="123"/>
      <c r="P264" s="123"/>
      <c r="Q264" s="218">
        <f>_xlfn.XLOOKUP($I264,Inputs!$G$6:$G$23,Inputs!$J$6:$J$23)*$K264</f>
        <v>141</v>
      </c>
      <c r="R264" s="218">
        <f>_xlfn.XLOOKUP($I264,Inputs!$G$6:$G$23,Inputs!$K$6:$K$23)*$K264</f>
        <v>156</v>
      </c>
      <c r="S264" s="103" t="s">
        <v>670</v>
      </c>
      <c r="T264" s="98" t="s">
        <v>717</v>
      </c>
      <c r="U264" s="103" t="s">
        <v>671</v>
      </c>
      <c r="V264" s="98" t="s">
        <v>737</v>
      </c>
      <c r="W264" s="47"/>
      <c r="X264" s="18"/>
      <c r="Y264" s="68">
        <v>264</v>
      </c>
    </row>
    <row r="265" spans="2:25" s="14" customFormat="1" ht="18">
      <c r="B265" s="103" t="s">
        <v>346</v>
      </c>
      <c r="C265" s="47" t="s">
        <v>93</v>
      </c>
      <c r="D265" s="98" t="s">
        <v>598</v>
      </c>
      <c r="E265" s="103">
        <v>1</v>
      </c>
      <c r="F265" s="103" t="s">
        <v>152</v>
      </c>
      <c r="G265" s="257">
        <v>5</v>
      </c>
      <c r="H265" s="257">
        <v>3</v>
      </c>
      <c r="I265" s="102">
        <v>138</v>
      </c>
      <c r="J265" s="212" cm="1">
        <f t="array" ref="J265">_xlfn.XLOOKUP($I265,Inputs!$C$6:$C$23,Inputs!$D$6:D$23)*$G265</f>
        <v>2.1678571428571431</v>
      </c>
      <c r="K265" s="217">
        <f t="shared" si="4"/>
        <v>3</v>
      </c>
      <c r="L265" s="123"/>
      <c r="M265" s="123"/>
      <c r="N265" s="123"/>
      <c r="O265" s="123"/>
      <c r="P265" s="123"/>
      <c r="Q265" s="218">
        <f>_xlfn.XLOOKUP($I265,Inputs!$G$6:$G$23,Inputs!$J$6:$J$23)*$K265</f>
        <v>141</v>
      </c>
      <c r="R265" s="218">
        <f>_xlfn.XLOOKUP($I265,Inputs!$G$6:$G$23,Inputs!$K$6:$K$23)*$K265</f>
        <v>156</v>
      </c>
      <c r="S265" s="103" t="s">
        <v>670</v>
      </c>
      <c r="T265" s="98" t="s">
        <v>717</v>
      </c>
      <c r="U265" s="103" t="s">
        <v>1111</v>
      </c>
      <c r="V265" s="98" t="s">
        <v>1315</v>
      </c>
      <c r="W265" s="47"/>
      <c r="X265" s="18"/>
      <c r="Y265" s="68">
        <v>374</v>
      </c>
    </row>
    <row r="266" spans="2:25" s="14" customFormat="1" ht="18">
      <c r="B266" s="103" t="s">
        <v>323</v>
      </c>
      <c r="C266" s="47" t="s">
        <v>93</v>
      </c>
      <c r="D266" s="98" t="s">
        <v>598</v>
      </c>
      <c r="E266" s="103">
        <v>1</v>
      </c>
      <c r="F266" s="103" t="s">
        <v>152</v>
      </c>
      <c r="G266" s="180">
        <v>52</v>
      </c>
      <c r="H266" s="180">
        <v>32</v>
      </c>
      <c r="I266" s="102">
        <v>138</v>
      </c>
      <c r="J266" s="212" cm="1">
        <f t="array" ref="J266">_xlfn.XLOOKUP($I266,Inputs!$C$6:$C$23,Inputs!$D$6:D$23)*$G266</f>
        <v>22.545714285714286</v>
      </c>
      <c r="K266" s="217">
        <f t="shared" si="4"/>
        <v>3</v>
      </c>
      <c r="L266" s="123"/>
      <c r="M266" s="123"/>
      <c r="N266" s="123"/>
      <c r="O266" s="123"/>
      <c r="P266" s="123"/>
      <c r="Q266" s="218">
        <f>_xlfn.XLOOKUP($I266,Inputs!$G$6:$G$23,Inputs!$J$6:$J$23)*$K266</f>
        <v>141</v>
      </c>
      <c r="R266" s="218">
        <f>_xlfn.XLOOKUP($I266,Inputs!$G$6:$G$23,Inputs!$K$6:$K$23)*$K266</f>
        <v>156</v>
      </c>
      <c r="S266" s="103" t="s">
        <v>679</v>
      </c>
      <c r="T266" s="98" t="s">
        <v>764</v>
      </c>
      <c r="U266" s="103" t="s">
        <v>1126</v>
      </c>
      <c r="V266" s="98" t="s">
        <v>1415</v>
      </c>
      <c r="W266" s="47"/>
      <c r="X266" s="18"/>
      <c r="Y266" s="68">
        <v>296</v>
      </c>
    </row>
    <row r="267" spans="2:25" s="14" customFormat="1" ht="18">
      <c r="B267" s="103" t="s">
        <v>324</v>
      </c>
      <c r="C267" s="47" t="s">
        <v>93</v>
      </c>
      <c r="D267" s="98" t="s">
        <v>598</v>
      </c>
      <c r="E267" s="103">
        <v>1</v>
      </c>
      <c r="F267" s="103" t="s">
        <v>152</v>
      </c>
      <c r="G267" s="180">
        <v>21</v>
      </c>
      <c r="H267" s="180">
        <v>13</v>
      </c>
      <c r="I267" s="102">
        <v>138</v>
      </c>
      <c r="J267" s="212" cm="1">
        <f t="array" ref="J267">_xlfn.XLOOKUP($I267,Inputs!$C$6:$C$23,Inputs!$D$6:D$23)*$G267</f>
        <v>9.1050000000000004</v>
      </c>
      <c r="K267" s="217">
        <f t="shared" si="4"/>
        <v>3</v>
      </c>
      <c r="L267" s="123"/>
      <c r="M267" s="123"/>
      <c r="N267" s="123"/>
      <c r="O267" s="123"/>
      <c r="P267" s="123"/>
      <c r="Q267" s="218">
        <f>_xlfn.XLOOKUP($I267,Inputs!$G$6:$G$23,Inputs!$J$6:$J$23)*$K267</f>
        <v>141</v>
      </c>
      <c r="R267" s="218">
        <f>_xlfn.XLOOKUP($I267,Inputs!$G$6:$G$23,Inputs!$K$6:$K$23)*$K267</f>
        <v>156</v>
      </c>
      <c r="S267" s="103" t="s">
        <v>679</v>
      </c>
      <c r="T267" s="98" t="s">
        <v>764</v>
      </c>
      <c r="U267" s="103" t="s">
        <v>1122</v>
      </c>
      <c r="V267" s="98" t="s">
        <v>1429</v>
      </c>
      <c r="W267" s="47"/>
      <c r="X267" s="18"/>
      <c r="Y267" s="68">
        <v>380</v>
      </c>
    </row>
    <row r="268" spans="2:25" s="14" customFormat="1" ht="18">
      <c r="B268" s="103" t="s">
        <v>274</v>
      </c>
      <c r="C268" s="47" t="s">
        <v>93</v>
      </c>
      <c r="D268" s="98" t="s">
        <v>598</v>
      </c>
      <c r="E268" s="103">
        <v>1</v>
      </c>
      <c r="F268" s="103" t="s">
        <v>152</v>
      </c>
      <c r="G268" s="257">
        <v>2</v>
      </c>
      <c r="H268" s="257">
        <v>1</v>
      </c>
      <c r="I268" s="102">
        <v>138</v>
      </c>
      <c r="J268" s="212" cm="1">
        <f t="array" ref="J268">_xlfn.XLOOKUP($I268,Inputs!$C$6:$C$23,Inputs!$D$6:D$23)*$G268</f>
        <v>0.86714285714285722</v>
      </c>
      <c r="K268" s="217">
        <f t="shared" si="4"/>
        <v>3</v>
      </c>
      <c r="L268" s="123"/>
      <c r="M268" s="123"/>
      <c r="N268" s="123"/>
      <c r="O268" s="123"/>
      <c r="P268" s="123"/>
      <c r="Q268" s="218">
        <f>_xlfn.XLOOKUP($I268,Inputs!$G$6:$G$23,Inputs!$J$6:$J$23)*$K268</f>
        <v>141</v>
      </c>
      <c r="R268" s="218">
        <f>_xlfn.XLOOKUP($I268,Inputs!$G$6:$G$23,Inputs!$K$6:$K$23)*$K268</f>
        <v>156</v>
      </c>
      <c r="S268" s="103" t="s">
        <v>690</v>
      </c>
      <c r="T268" s="98" t="s">
        <v>719</v>
      </c>
      <c r="U268" s="103" t="s">
        <v>1112</v>
      </c>
      <c r="V268" s="98" t="s">
        <v>1259</v>
      </c>
      <c r="W268" s="47"/>
      <c r="X268" s="18"/>
      <c r="Y268" s="68">
        <v>381</v>
      </c>
    </row>
    <row r="269" spans="2:25" s="14" customFormat="1" ht="18">
      <c r="B269" s="103" t="s">
        <v>271</v>
      </c>
      <c r="C269" s="47" t="s">
        <v>93</v>
      </c>
      <c r="D269" s="98" t="s">
        <v>598</v>
      </c>
      <c r="E269" s="103">
        <v>1</v>
      </c>
      <c r="F269" s="103" t="s">
        <v>152</v>
      </c>
      <c r="G269" s="180">
        <v>0.3</v>
      </c>
      <c r="H269" s="180">
        <v>0.2</v>
      </c>
      <c r="I269" s="102">
        <v>138</v>
      </c>
      <c r="J269" s="212" cm="1">
        <f t="array" ref="J269">_xlfn.XLOOKUP($I269,Inputs!$C$6:$C$23,Inputs!$D$6:D$23)*$G269</f>
        <v>0.13007142857142859</v>
      </c>
      <c r="K269" s="217">
        <f t="shared" si="4"/>
        <v>3</v>
      </c>
      <c r="L269" s="123"/>
      <c r="M269" s="123"/>
      <c r="N269" s="123"/>
      <c r="O269" s="123"/>
      <c r="P269" s="123"/>
      <c r="Q269" s="218">
        <f>_xlfn.XLOOKUP($I269,Inputs!$G$6:$G$23,Inputs!$J$6:$J$23)*$K269</f>
        <v>141</v>
      </c>
      <c r="R269" s="218">
        <f>_xlfn.XLOOKUP($I269,Inputs!$G$6:$G$23,Inputs!$K$6:$K$23)*$K269</f>
        <v>156</v>
      </c>
      <c r="S269" s="103" t="s">
        <v>690</v>
      </c>
      <c r="T269" s="98" t="s">
        <v>719</v>
      </c>
      <c r="U269" s="103" t="s">
        <v>685</v>
      </c>
      <c r="V269" s="98" t="s">
        <v>727</v>
      </c>
      <c r="W269" s="47"/>
      <c r="X269" s="18"/>
      <c r="Y269" s="68">
        <v>320</v>
      </c>
    </row>
    <row r="270" spans="2:25" s="14" customFormat="1" ht="18">
      <c r="B270" s="103" t="s">
        <v>322</v>
      </c>
      <c r="C270" s="47" t="s">
        <v>93</v>
      </c>
      <c r="D270" s="98" t="s">
        <v>598</v>
      </c>
      <c r="E270" s="103">
        <v>1</v>
      </c>
      <c r="F270" s="103" t="s">
        <v>152</v>
      </c>
      <c r="G270" s="180">
        <v>16</v>
      </c>
      <c r="H270" s="180">
        <v>10</v>
      </c>
      <c r="I270" s="102">
        <v>69</v>
      </c>
      <c r="J270" s="212" cm="1">
        <f t="array" ref="J270">_xlfn.XLOOKUP($I270,Inputs!$C$6:$C$23,Inputs!$D$6:D$23)*$G270</f>
        <v>6.1485714285714286</v>
      </c>
      <c r="K270" s="217">
        <f t="shared" si="4"/>
        <v>3</v>
      </c>
      <c r="L270" s="123"/>
      <c r="M270" s="123"/>
      <c r="N270" s="123"/>
      <c r="O270" s="123"/>
      <c r="P270" s="123"/>
      <c r="Q270" s="218">
        <f>_xlfn.XLOOKUP($I270,Inputs!$G$6:$G$23,Inputs!$J$6:$J$23)*$K270</f>
        <v>36</v>
      </c>
      <c r="R270" s="218">
        <f>_xlfn.XLOOKUP($I270,Inputs!$G$6:$G$23,Inputs!$K$6:$K$23)*$K270</f>
        <v>39</v>
      </c>
      <c r="S270" s="103" t="s">
        <v>993</v>
      </c>
      <c r="T270" s="98" t="s">
        <v>1289</v>
      </c>
      <c r="U270" s="103" t="s">
        <v>1045</v>
      </c>
      <c r="V270" s="98" t="s">
        <v>1247</v>
      </c>
      <c r="W270" s="47"/>
      <c r="X270" s="18"/>
      <c r="Y270" s="68">
        <v>152</v>
      </c>
    </row>
    <row r="271" spans="2:25" s="14" customFormat="1" ht="18">
      <c r="B271" s="103" t="s">
        <v>329</v>
      </c>
      <c r="C271" s="47" t="s">
        <v>93</v>
      </c>
      <c r="D271" s="98" t="s">
        <v>598</v>
      </c>
      <c r="E271" s="103">
        <v>1</v>
      </c>
      <c r="F271" s="103" t="s">
        <v>152</v>
      </c>
      <c r="G271" s="257">
        <v>6</v>
      </c>
      <c r="H271" s="257">
        <v>4</v>
      </c>
      <c r="I271" s="102">
        <v>138</v>
      </c>
      <c r="J271" s="212" cm="1">
        <f t="array" ref="J271">_xlfn.XLOOKUP($I271,Inputs!$C$6:$C$23,Inputs!$D$6:D$23)*$G271</f>
        <v>2.6014285714285714</v>
      </c>
      <c r="K271" s="217">
        <f t="shared" si="4"/>
        <v>3</v>
      </c>
      <c r="L271" s="123"/>
      <c r="M271" s="123"/>
      <c r="N271" s="123"/>
      <c r="O271" s="123"/>
      <c r="P271" s="123"/>
      <c r="Q271" s="218">
        <f>_xlfn.XLOOKUP($I271,Inputs!$G$6:$G$23,Inputs!$J$6:$J$23)*$K271</f>
        <v>141</v>
      </c>
      <c r="R271" s="218">
        <f>_xlfn.XLOOKUP($I271,Inputs!$G$6:$G$23,Inputs!$K$6:$K$23)*$K271</f>
        <v>156</v>
      </c>
      <c r="S271" s="103" t="s">
        <v>1029</v>
      </c>
      <c r="T271" s="98" t="s">
        <v>1291</v>
      </c>
      <c r="U271" s="103" t="s">
        <v>1108</v>
      </c>
      <c r="V271" s="98" t="s">
        <v>1292</v>
      </c>
      <c r="W271" s="47"/>
      <c r="X271" s="18"/>
      <c r="Y271" s="68">
        <v>367</v>
      </c>
    </row>
    <row r="272" spans="2:25" s="14" customFormat="1" ht="18">
      <c r="B272" s="103" t="s">
        <v>171</v>
      </c>
      <c r="C272" s="47" t="s">
        <v>170</v>
      </c>
      <c r="D272" s="98" t="s">
        <v>598</v>
      </c>
      <c r="E272" s="103">
        <v>1</v>
      </c>
      <c r="F272" s="103" t="s">
        <v>152</v>
      </c>
      <c r="G272" s="180">
        <v>78</v>
      </c>
      <c r="H272" s="180">
        <v>48</v>
      </c>
      <c r="I272" s="102">
        <v>345</v>
      </c>
      <c r="J272" s="212" cm="1">
        <f t="array" ref="J272">_xlfn.XLOOKUP($I272,Inputs!$C$6:$C$23,Inputs!$D$6:D$23)*$G272</f>
        <v>34.61611111111111</v>
      </c>
      <c r="K272" s="217">
        <f t="shared" si="4"/>
        <v>3</v>
      </c>
      <c r="L272" s="123"/>
      <c r="M272" s="123"/>
      <c r="N272" s="123"/>
      <c r="O272" s="123"/>
      <c r="P272" s="123"/>
      <c r="Q272" s="266">
        <v>700</v>
      </c>
      <c r="R272" s="266">
        <v>700</v>
      </c>
      <c r="S272" s="103" t="s">
        <v>1126</v>
      </c>
      <c r="T272" s="98" t="s">
        <v>1415</v>
      </c>
      <c r="U272" s="103" t="s">
        <v>1506</v>
      </c>
      <c r="V272" s="98" t="s">
        <v>1476</v>
      </c>
      <c r="W272" s="47"/>
      <c r="X272" s="18"/>
      <c r="Y272" s="68">
        <v>391</v>
      </c>
    </row>
    <row r="273" spans="2:25" s="14" customFormat="1" ht="18">
      <c r="B273" s="103" t="s">
        <v>348</v>
      </c>
      <c r="C273" s="47" t="s">
        <v>93</v>
      </c>
      <c r="D273" s="98" t="s">
        <v>598</v>
      </c>
      <c r="E273" s="103">
        <v>1</v>
      </c>
      <c r="F273" s="103" t="s">
        <v>152</v>
      </c>
      <c r="G273" s="180">
        <v>17</v>
      </c>
      <c r="H273" s="180">
        <v>11</v>
      </c>
      <c r="I273" s="102">
        <v>138</v>
      </c>
      <c r="J273" s="212" cm="1">
        <f t="array" ref="J273">_xlfn.XLOOKUP($I273,Inputs!$C$6:$C$23,Inputs!$D$6:D$23)*$G273</f>
        <v>7.3707142857142864</v>
      </c>
      <c r="K273" s="217">
        <f t="shared" si="4"/>
        <v>3</v>
      </c>
      <c r="L273" s="123"/>
      <c r="M273" s="123"/>
      <c r="N273" s="123"/>
      <c r="O273" s="123"/>
      <c r="P273" s="123"/>
      <c r="Q273" s="218">
        <f>_xlfn.XLOOKUP($I273,Inputs!$G$6:$G$23,Inputs!$J$6:$J$23)*$K273</f>
        <v>141</v>
      </c>
      <c r="R273" s="218">
        <f>_xlfn.XLOOKUP($I273,Inputs!$G$6:$G$23,Inputs!$K$6:$K$23)*$K273</f>
        <v>156</v>
      </c>
      <c r="S273" s="103" t="s">
        <v>1126</v>
      </c>
      <c r="T273" s="98" t="s">
        <v>1415</v>
      </c>
      <c r="U273" s="103" t="s">
        <v>1015</v>
      </c>
      <c r="V273" s="98" t="s">
        <v>1310</v>
      </c>
      <c r="W273" s="47"/>
      <c r="X273" s="18"/>
      <c r="Y273" s="68">
        <v>258</v>
      </c>
    </row>
    <row r="274" spans="2:25" s="14" customFormat="1" ht="18">
      <c r="B274" s="103" t="s">
        <v>349</v>
      </c>
      <c r="C274" s="47" t="s">
        <v>93</v>
      </c>
      <c r="D274" s="98" t="s">
        <v>598</v>
      </c>
      <c r="E274" s="103">
        <v>1</v>
      </c>
      <c r="F274" s="103" t="s">
        <v>152</v>
      </c>
      <c r="G274" s="180">
        <v>17</v>
      </c>
      <c r="H274" s="180">
        <v>11</v>
      </c>
      <c r="I274" s="102">
        <v>138</v>
      </c>
      <c r="J274" s="212" cm="1">
        <f t="array" ref="J274">_xlfn.XLOOKUP($I274,Inputs!$C$6:$C$23,Inputs!$D$6:D$23)*$G274</f>
        <v>7.3707142857142864</v>
      </c>
      <c r="K274" s="217">
        <f t="shared" si="4"/>
        <v>3</v>
      </c>
      <c r="L274" s="123"/>
      <c r="M274" s="123"/>
      <c r="N274" s="123"/>
      <c r="O274" s="123"/>
      <c r="P274" s="123"/>
      <c r="Q274" s="218">
        <f>_xlfn.XLOOKUP($I274,Inputs!$G$6:$G$23,Inputs!$J$6:$J$23)*$K274</f>
        <v>141</v>
      </c>
      <c r="R274" s="218">
        <f>_xlfn.XLOOKUP($I274,Inputs!$G$6:$G$23,Inputs!$K$6:$K$23)*$K274</f>
        <v>156</v>
      </c>
      <c r="S274" s="103" t="s">
        <v>1126</v>
      </c>
      <c r="T274" s="98" t="s">
        <v>1415</v>
      </c>
      <c r="U274" s="103" t="s">
        <v>1015</v>
      </c>
      <c r="V274" s="98" t="s">
        <v>1310</v>
      </c>
      <c r="W274" s="47"/>
      <c r="X274" s="18"/>
      <c r="Y274" s="68">
        <v>278</v>
      </c>
    </row>
    <row r="275" spans="2:25" s="14" customFormat="1" ht="18">
      <c r="B275" s="103" t="s">
        <v>333</v>
      </c>
      <c r="C275" s="47" t="s">
        <v>93</v>
      </c>
      <c r="D275" s="98" t="s">
        <v>598</v>
      </c>
      <c r="E275" s="103">
        <v>1</v>
      </c>
      <c r="F275" s="103" t="s">
        <v>152</v>
      </c>
      <c r="G275" s="180">
        <v>145</v>
      </c>
      <c r="H275" s="180">
        <v>90</v>
      </c>
      <c r="I275" s="102">
        <v>230</v>
      </c>
      <c r="J275" s="212" cm="1">
        <f t="array" ref="J275">_xlfn.XLOOKUP($I275,Inputs!$C$6:$C$23,Inputs!$D$6:D$23)*$G275</f>
        <v>69.599999999999994</v>
      </c>
      <c r="K275" s="217">
        <f t="shared" si="4"/>
        <v>2.1804338802933096</v>
      </c>
      <c r="L275" s="123"/>
      <c r="M275" s="123"/>
      <c r="N275" s="123"/>
      <c r="O275" s="123"/>
      <c r="P275" s="123"/>
      <c r="Q275" s="218">
        <f>_xlfn.XLOOKUP($I275,Inputs!$G$6:$G$23,Inputs!$J$6:$J$23)*$K275</f>
        <v>292.17813995930351</v>
      </c>
      <c r="R275" s="218">
        <f>_xlfn.XLOOKUP($I275,Inputs!$G$6:$G$23,Inputs!$K$6:$K$23)*$K275</f>
        <v>316.16291264252988</v>
      </c>
      <c r="S275" s="103" t="s">
        <v>1126</v>
      </c>
      <c r="T275" s="98" t="s">
        <v>1415</v>
      </c>
      <c r="U275" s="103" t="s">
        <v>1117</v>
      </c>
      <c r="V275" s="98" t="s">
        <v>1421</v>
      </c>
      <c r="W275" s="47"/>
      <c r="X275" s="18"/>
      <c r="Y275" s="68">
        <v>387</v>
      </c>
    </row>
    <row r="276" spans="2:25" s="14" customFormat="1" ht="18">
      <c r="B276" s="103" t="s">
        <v>243</v>
      </c>
      <c r="C276" s="47" t="s">
        <v>93</v>
      </c>
      <c r="D276" s="98" t="s">
        <v>598</v>
      </c>
      <c r="E276" s="103">
        <v>1</v>
      </c>
      <c r="F276" s="103" t="s">
        <v>152</v>
      </c>
      <c r="G276" s="257">
        <v>5</v>
      </c>
      <c r="H276" s="257">
        <v>3</v>
      </c>
      <c r="I276" s="102">
        <v>69</v>
      </c>
      <c r="J276" s="212" cm="1">
        <f t="array" ref="J276">_xlfn.XLOOKUP($I276,Inputs!$C$6:$C$23,Inputs!$D$6:D$23)*$G276</f>
        <v>1.9214285714285715</v>
      </c>
      <c r="K276" s="217">
        <f t="shared" si="4"/>
        <v>3</v>
      </c>
      <c r="L276" s="123"/>
      <c r="M276" s="123"/>
      <c r="N276" s="123"/>
      <c r="O276" s="123"/>
      <c r="P276" s="123"/>
      <c r="Q276" s="218">
        <f>_xlfn.XLOOKUP($I276,Inputs!$G$6:$G$23,Inputs!$J$6:$J$23)*$K276</f>
        <v>36</v>
      </c>
      <c r="R276" s="218">
        <f>_xlfn.XLOOKUP($I276,Inputs!$G$6:$G$23,Inputs!$K$6:$K$23)*$K276</f>
        <v>39</v>
      </c>
      <c r="S276" s="103" t="s">
        <v>971</v>
      </c>
      <c r="T276" s="98" t="s">
        <v>1294</v>
      </c>
      <c r="U276" s="103" t="s">
        <v>972</v>
      </c>
      <c r="V276" s="98" t="s">
        <v>1336</v>
      </c>
      <c r="W276" s="47"/>
      <c r="X276" s="18"/>
      <c r="Y276" s="68">
        <v>96</v>
      </c>
    </row>
    <row r="277" spans="2:25" s="14" customFormat="1" ht="18">
      <c r="B277" s="103" t="s">
        <v>243</v>
      </c>
      <c r="C277" s="47" t="s">
        <v>93</v>
      </c>
      <c r="D277" s="98" t="s">
        <v>598</v>
      </c>
      <c r="E277" s="103">
        <v>1</v>
      </c>
      <c r="F277" s="103" t="s">
        <v>152</v>
      </c>
      <c r="G277" s="180">
        <v>5</v>
      </c>
      <c r="H277" s="180">
        <v>3</v>
      </c>
      <c r="I277" s="102">
        <v>69</v>
      </c>
      <c r="J277" s="212" cm="1">
        <f t="array" ref="J277">_xlfn.XLOOKUP($I277,Inputs!$C$6:$C$23,Inputs!$D$6:D$23)*$G277</f>
        <v>1.9214285714285715</v>
      </c>
      <c r="K277" s="217">
        <f t="shared" si="4"/>
        <v>3</v>
      </c>
      <c r="L277" s="123"/>
      <c r="M277" s="123"/>
      <c r="N277" s="123"/>
      <c r="O277" s="123"/>
      <c r="P277" s="123"/>
      <c r="Q277" s="218">
        <f>_xlfn.XLOOKUP($I277,Inputs!$G$6:$G$23,Inputs!$J$6:$J$23)*$K277</f>
        <v>36</v>
      </c>
      <c r="R277" s="218">
        <f>_xlfn.XLOOKUP($I277,Inputs!$G$6:$G$23,Inputs!$K$6:$K$23)*$K277</f>
        <v>39</v>
      </c>
      <c r="S277" s="103" t="s">
        <v>971</v>
      </c>
      <c r="T277" s="98" t="s">
        <v>1294</v>
      </c>
      <c r="U277" s="103" t="s">
        <v>972</v>
      </c>
      <c r="V277" s="98" t="s">
        <v>1336</v>
      </c>
      <c r="W277" s="47"/>
      <c r="X277" s="18"/>
      <c r="Y277" s="68">
        <v>99</v>
      </c>
    </row>
    <row r="278" spans="2:25" s="14" customFormat="1" ht="18">
      <c r="B278" s="103" t="s">
        <v>271</v>
      </c>
      <c r="C278" s="47" t="s">
        <v>93</v>
      </c>
      <c r="D278" s="98" t="s">
        <v>598</v>
      </c>
      <c r="E278" s="103">
        <v>1</v>
      </c>
      <c r="F278" s="103" t="s">
        <v>152</v>
      </c>
      <c r="G278" s="180">
        <v>4</v>
      </c>
      <c r="H278" s="180">
        <v>2</v>
      </c>
      <c r="I278" s="102">
        <v>138</v>
      </c>
      <c r="J278" s="212" cm="1">
        <f t="array" ref="J278">_xlfn.XLOOKUP($I278,Inputs!$C$6:$C$23,Inputs!$D$6:D$23)*$G278</f>
        <v>1.7342857142857144</v>
      </c>
      <c r="K278" s="217">
        <f t="shared" si="4"/>
        <v>3</v>
      </c>
      <c r="L278" s="123"/>
      <c r="M278" s="123"/>
      <c r="N278" s="123"/>
      <c r="O278" s="123"/>
      <c r="P278" s="123"/>
      <c r="Q278" s="218">
        <f>_xlfn.XLOOKUP($I278,Inputs!$G$6:$G$23,Inputs!$J$6:$J$23)*$K278</f>
        <v>141</v>
      </c>
      <c r="R278" s="218">
        <f>_xlfn.XLOOKUP($I278,Inputs!$G$6:$G$23,Inputs!$K$6:$K$23)*$K278</f>
        <v>156</v>
      </c>
      <c r="S278" s="103" t="s">
        <v>1020</v>
      </c>
      <c r="T278" s="98" t="s">
        <v>1295</v>
      </c>
      <c r="U278" s="103" t="s">
        <v>1451</v>
      </c>
      <c r="V278" s="47" t="s">
        <v>1411</v>
      </c>
      <c r="W278" s="47"/>
      <c r="X278" s="18"/>
      <c r="Y278" s="68">
        <v>322</v>
      </c>
    </row>
    <row r="279" spans="2:25" s="14" customFormat="1" ht="18">
      <c r="B279" s="99" t="s">
        <v>647</v>
      </c>
      <c r="C279" s="99" t="s">
        <v>93</v>
      </c>
      <c r="D279" s="98" t="s">
        <v>598</v>
      </c>
      <c r="E279" s="99">
        <v>1</v>
      </c>
      <c r="F279" s="99" t="s">
        <v>152</v>
      </c>
      <c r="G279" s="257">
        <v>5</v>
      </c>
      <c r="H279" s="257">
        <v>3</v>
      </c>
      <c r="I279" s="100">
        <v>69</v>
      </c>
      <c r="J279" s="212" cm="1">
        <f t="array" ref="J279">_xlfn.XLOOKUP($I279,Inputs!$C$6:$C$23,Inputs!$D$6:D$23)*$G279</f>
        <v>1.9214285714285715</v>
      </c>
      <c r="K279" s="217">
        <f t="shared" si="4"/>
        <v>3</v>
      </c>
      <c r="L279" s="123"/>
      <c r="M279" s="123"/>
      <c r="N279" s="123"/>
      <c r="O279" s="123"/>
      <c r="P279" s="123"/>
      <c r="Q279" s="218">
        <f>_xlfn.XLOOKUP($I279,Inputs!$G$6:$G$23,Inputs!$J$6:$J$23)*$K279</f>
        <v>36</v>
      </c>
      <c r="R279" s="218">
        <f>_xlfn.XLOOKUP($I279,Inputs!$G$6:$G$23,Inputs!$K$6:$K$23)*$K279</f>
        <v>39</v>
      </c>
      <c r="S279" s="99" t="s">
        <v>952</v>
      </c>
      <c r="T279" s="98" t="s">
        <v>1296</v>
      </c>
      <c r="U279" s="99" t="s">
        <v>371</v>
      </c>
      <c r="V279" s="98" t="s">
        <v>1383</v>
      </c>
      <c r="W279" s="47"/>
      <c r="X279" s="18"/>
      <c r="Y279" s="68">
        <v>47</v>
      </c>
    </row>
    <row r="280" spans="2:25" s="14" customFormat="1" ht="18">
      <c r="B280" s="103" t="s">
        <v>361</v>
      </c>
      <c r="C280" s="47" t="s">
        <v>93</v>
      </c>
      <c r="D280" s="98" t="s">
        <v>598</v>
      </c>
      <c r="E280" s="103">
        <v>1</v>
      </c>
      <c r="F280" s="103" t="s">
        <v>152</v>
      </c>
      <c r="G280" s="180">
        <v>9</v>
      </c>
      <c r="H280" s="180">
        <v>6</v>
      </c>
      <c r="I280" s="102">
        <v>69</v>
      </c>
      <c r="J280" s="212" cm="1">
        <f t="array" ref="J280">_xlfn.XLOOKUP($I280,Inputs!$C$6:$C$23,Inputs!$D$6:D$23)*$G280</f>
        <v>3.4585714285714286</v>
      </c>
      <c r="K280" s="217">
        <f t="shared" si="4"/>
        <v>3</v>
      </c>
      <c r="L280" s="123"/>
      <c r="M280" s="123"/>
      <c r="N280" s="123"/>
      <c r="O280" s="123"/>
      <c r="P280" s="123"/>
      <c r="Q280" s="218">
        <f>_xlfn.XLOOKUP($I280,Inputs!$G$6:$G$23,Inputs!$J$6:$J$23)*$K280</f>
        <v>36</v>
      </c>
      <c r="R280" s="218">
        <f>_xlfn.XLOOKUP($I280,Inputs!$G$6:$G$23,Inputs!$K$6:$K$23)*$K280</f>
        <v>39</v>
      </c>
      <c r="S280" s="103" t="s">
        <v>1115</v>
      </c>
      <c r="T280" s="98" t="s">
        <v>1416</v>
      </c>
      <c r="U280" s="103" t="s">
        <v>1011</v>
      </c>
      <c r="V280" s="98" t="s">
        <v>1267</v>
      </c>
      <c r="W280" s="47"/>
      <c r="X280" s="18"/>
      <c r="Y280" s="68">
        <v>235</v>
      </c>
    </row>
    <row r="281" spans="2:25" s="14" customFormat="1" ht="18">
      <c r="B281" s="103" t="s">
        <v>302</v>
      </c>
      <c r="C281" s="47" t="s">
        <v>93</v>
      </c>
      <c r="D281" s="98" t="s">
        <v>598</v>
      </c>
      <c r="E281" s="103">
        <v>1</v>
      </c>
      <c r="F281" s="103" t="s">
        <v>152</v>
      </c>
      <c r="G281" s="180">
        <v>14</v>
      </c>
      <c r="H281" s="180">
        <v>9</v>
      </c>
      <c r="I281" s="102">
        <v>69</v>
      </c>
      <c r="J281" s="212" cm="1">
        <f t="array" ref="J281">_xlfn.XLOOKUP($I281,Inputs!$C$6:$C$23,Inputs!$D$6:D$23)*$G281</f>
        <v>5.38</v>
      </c>
      <c r="K281" s="217">
        <f t="shared" si="4"/>
        <v>3</v>
      </c>
      <c r="L281" s="123"/>
      <c r="M281" s="123"/>
      <c r="N281" s="123"/>
      <c r="O281" s="123"/>
      <c r="P281" s="123"/>
      <c r="Q281" s="218">
        <f>_xlfn.XLOOKUP($I281,Inputs!$G$6:$G$23,Inputs!$J$6:$J$23)*$K281</f>
        <v>36</v>
      </c>
      <c r="R281" s="218">
        <f>_xlfn.XLOOKUP($I281,Inputs!$G$6:$G$23,Inputs!$K$6:$K$23)*$K281</f>
        <v>39</v>
      </c>
      <c r="S281" s="103" t="s">
        <v>1115</v>
      </c>
      <c r="T281" s="98" t="s">
        <v>1416</v>
      </c>
      <c r="U281" s="103" t="s">
        <v>646</v>
      </c>
      <c r="V281" s="98" t="s">
        <v>726</v>
      </c>
      <c r="W281" s="47"/>
      <c r="X281" s="18"/>
      <c r="Y281" s="68">
        <v>1</v>
      </c>
    </row>
    <row r="282" spans="2:25" s="14" customFormat="1" ht="18">
      <c r="B282" s="103" t="s">
        <v>283</v>
      </c>
      <c r="C282" s="47" t="s">
        <v>93</v>
      </c>
      <c r="D282" s="98" t="s">
        <v>598</v>
      </c>
      <c r="E282" s="103">
        <v>1</v>
      </c>
      <c r="F282" s="103" t="s">
        <v>152</v>
      </c>
      <c r="G282" s="257">
        <v>1</v>
      </c>
      <c r="H282" s="257">
        <v>1</v>
      </c>
      <c r="I282" s="102">
        <v>69</v>
      </c>
      <c r="J282" s="212" cm="1">
        <f t="array" ref="J282">_xlfn.XLOOKUP($I282,Inputs!$C$6:$C$23,Inputs!$D$6:D$23)*$G282</f>
        <v>0.38428571428571429</v>
      </c>
      <c r="K282" s="217">
        <f t="shared" si="4"/>
        <v>3</v>
      </c>
      <c r="L282" s="123"/>
      <c r="M282" s="123"/>
      <c r="N282" s="123"/>
      <c r="O282" s="123"/>
      <c r="P282" s="123"/>
      <c r="Q282" s="218">
        <f>_xlfn.XLOOKUP($I282,Inputs!$G$6:$G$23,Inputs!$J$6:$J$23)*$K282</f>
        <v>36</v>
      </c>
      <c r="R282" s="218">
        <f>_xlfn.XLOOKUP($I282,Inputs!$G$6:$G$23,Inputs!$K$6:$K$23)*$K282</f>
        <v>39</v>
      </c>
      <c r="S282" s="103" t="s">
        <v>1115</v>
      </c>
      <c r="T282" s="98" t="s">
        <v>1416</v>
      </c>
      <c r="U282" s="103" t="s">
        <v>985</v>
      </c>
      <c r="V282" s="98" t="s">
        <v>1301</v>
      </c>
      <c r="W282" s="47"/>
      <c r="X282" s="18"/>
      <c r="Y282" s="68">
        <v>137</v>
      </c>
    </row>
    <row r="283" spans="2:25" s="14" customFormat="1" ht="18">
      <c r="B283" s="103" t="s">
        <v>301</v>
      </c>
      <c r="C283" s="47" t="s">
        <v>93</v>
      </c>
      <c r="D283" s="98" t="s">
        <v>598</v>
      </c>
      <c r="E283" s="103">
        <v>1</v>
      </c>
      <c r="F283" s="103" t="s">
        <v>152</v>
      </c>
      <c r="G283" s="180">
        <v>16</v>
      </c>
      <c r="H283" s="180">
        <v>10</v>
      </c>
      <c r="I283" s="102">
        <v>69</v>
      </c>
      <c r="J283" s="212" cm="1">
        <f t="array" ref="J283">_xlfn.XLOOKUP($I283,Inputs!$C$6:$C$23,Inputs!$D$6:D$23)*$G283</f>
        <v>6.1485714285714286</v>
      </c>
      <c r="K283" s="217">
        <f t="shared" si="4"/>
        <v>3</v>
      </c>
      <c r="L283" s="123"/>
      <c r="M283" s="123"/>
      <c r="N283" s="123"/>
      <c r="O283" s="123"/>
      <c r="P283" s="123"/>
      <c r="Q283" s="218">
        <f>_xlfn.XLOOKUP($I283,Inputs!$G$6:$G$23,Inputs!$J$6:$J$23)*$K283</f>
        <v>36</v>
      </c>
      <c r="R283" s="218">
        <f>_xlfn.XLOOKUP($I283,Inputs!$G$6:$G$23,Inputs!$K$6:$K$23)*$K283</f>
        <v>39</v>
      </c>
      <c r="S283" s="103" t="s">
        <v>1115</v>
      </c>
      <c r="T283" s="98" t="s">
        <v>1416</v>
      </c>
      <c r="U283" s="103" t="s">
        <v>1041</v>
      </c>
      <c r="V283" s="98" t="s">
        <v>1372</v>
      </c>
      <c r="W283" s="47"/>
      <c r="X283" s="18"/>
      <c r="Y283" s="68">
        <v>136</v>
      </c>
    </row>
    <row r="284" spans="2:25" s="14" customFormat="1" ht="18">
      <c r="B284" s="103" t="s">
        <v>304</v>
      </c>
      <c r="C284" s="47" t="s">
        <v>93</v>
      </c>
      <c r="D284" s="98" t="s">
        <v>598</v>
      </c>
      <c r="E284" s="103">
        <v>1</v>
      </c>
      <c r="F284" s="103" t="s">
        <v>152</v>
      </c>
      <c r="G284" s="180">
        <v>22</v>
      </c>
      <c r="H284" s="180">
        <v>14</v>
      </c>
      <c r="I284" s="102">
        <v>69</v>
      </c>
      <c r="J284" s="212" cm="1">
        <f t="array" ref="J284">_xlfn.XLOOKUP($I284,Inputs!$C$6:$C$23,Inputs!$D$6:D$23)*$G284</f>
        <v>8.4542857142857137</v>
      </c>
      <c r="K284" s="217">
        <f t="shared" si="4"/>
        <v>3</v>
      </c>
      <c r="L284" s="123"/>
      <c r="M284" s="123"/>
      <c r="N284" s="123"/>
      <c r="O284" s="123"/>
      <c r="P284" s="123"/>
      <c r="Q284" s="218">
        <f>_xlfn.XLOOKUP($I284,Inputs!$G$6:$G$23,Inputs!$J$6:$J$23)*$K284</f>
        <v>36</v>
      </c>
      <c r="R284" s="218">
        <f>_xlfn.XLOOKUP($I284,Inputs!$G$6:$G$23,Inputs!$K$6:$K$23)*$K284</f>
        <v>39</v>
      </c>
      <c r="S284" s="103" t="s">
        <v>1012</v>
      </c>
      <c r="T284" s="98" t="s">
        <v>1297</v>
      </c>
      <c r="U284" s="103" t="s">
        <v>1013</v>
      </c>
      <c r="V284" s="98" t="s">
        <v>1318</v>
      </c>
      <c r="W284" s="47"/>
      <c r="X284" s="18"/>
      <c r="Y284" s="68">
        <v>250</v>
      </c>
    </row>
    <row r="285" spans="2:25" s="14" customFormat="1" ht="18">
      <c r="B285" s="103" t="s">
        <v>233</v>
      </c>
      <c r="C285" s="47" t="s">
        <v>93</v>
      </c>
      <c r="D285" s="98" t="s">
        <v>598</v>
      </c>
      <c r="E285" s="103">
        <v>1</v>
      </c>
      <c r="F285" s="103" t="s">
        <v>152</v>
      </c>
      <c r="G285" s="180">
        <v>6</v>
      </c>
      <c r="H285" s="180">
        <v>4</v>
      </c>
      <c r="I285" s="102">
        <v>69</v>
      </c>
      <c r="J285" s="212" cm="1">
        <f t="array" ref="J285">_xlfn.XLOOKUP($I285,Inputs!$C$6:$C$23,Inputs!$D$6:D$23)*$G285</f>
        <v>2.3057142857142856</v>
      </c>
      <c r="K285" s="217">
        <f t="shared" si="4"/>
        <v>3</v>
      </c>
      <c r="L285" s="123"/>
      <c r="M285" s="123"/>
      <c r="N285" s="123"/>
      <c r="O285" s="123"/>
      <c r="P285" s="123"/>
      <c r="Q285" s="218">
        <f>_xlfn.XLOOKUP($I285,Inputs!$G$6:$G$23,Inputs!$J$6:$J$23)*$K285</f>
        <v>36</v>
      </c>
      <c r="R285" s="218">
        <f>_xlfn.XLOOKUP($I285,Inputs!$G$6:$G$23,Inputs!$K$6:$K$23)*$K285</f>
        <v>39</v>
      </c>
      <c r="S285" s="103" t="s">
        <v>949</v>
      </c>
      <c r="T285" s="98" t="s">
        <v>1300</v>
      </c>
      <c r="U285" s="103" t="s">
        <v>1118</v>
      </c>
      <c r="V285" s="98" t="s">
        <v>1419</v>
      </c>
      <c r="W285" s="47"/>
      <c r="X285" s="18"/>
      <c r="Y285" s="68">
        <v>39</v>
      </c>
    </row>
    <row r="286" spans="2:25" s="14" customFormat="1" ht="18">
      <c r="B286" s="103" t="s">
        <v>329</v>
      </c>
      <c r="C286" s="47" t="s">
        <v>93</v>
      </c>
      <c r="D286" s="98" t="s">
        <v>598</v>
      </c>
      <c r="E286" s="103">
        <v>1</v>
      </c>
      <c r="F286" s="103" t="s">
        <v>152</v>
      </c>
      <c r="G286" s="257">
        <v>3</v>
      </c>
      <c r="H286" s="257">
        <v>2</v>
      </c>
      <c r="I286" s="102">
        <v>138</v>
      </c>
      <c r="J286" s="212" cm="1">
        <f t="array" ref="J286">_xlfn.XLOOKUP($I286,Inputs!$C$6:$C$23,Inputs!$D$6:D$23)*$G286</f>
        <v>1.3007142857142857</v>
      </c>
      <c r="K286" s="217">
        <f t="shared" si="4"/>
        <v>3</v>
      </c>
      <c r="L286" s="123"/>
      <c r="M286" s="123"/>
      <c r="N286" s="123"/>
      <c r="O286" s="123"/>
      <c r="P286" s="123"/>
      <c r="Q286" s="218">
        <f>_xlfn.XLOOKUP($I286,Inputs!$G$6:$G$23,Inputs!$J$6:$J$23)*$K286</f>
        <v>141</v>
      </c>
      <c r="R286" s="218">
        <f>_xlfn.XLOOKUP($I286,Inputs!$G$6:$G$23,Inputs!$K$6:$K$23)*$K286</f>
        <v>156</v>
      </c>
      <c r="S286" s="103" t="s">
        <v>297</v>
      </c>
      <c r="T286" s="98" t="s">
        <v>1384</v>
      </c>
      <c r="U286" s="103" t="s">
        <v>1029</v>
      </c>
      <c r="V286" s="98" t="s">
        <v>1291</v>
      </c>
      <c r="W286" s="47"/>
      <c r="X286" s="18"/>
      <c r="Y286" s="68">
        <v>366</v>
      </c>
    </row>
    <row r="287" spans="2:25" s="14" customFormat="1" ht="18">
      <c r="B287" s="103" t="s">
        <v>328</v>
      </c>
      <c r="C287" s="47" t="s">
        <v>93</v>
      </c>
      <c r="D287" s="98" t="s">
        <v>598</v>
      </c>
      <c r="E287" s="103">
        <v>1</v>
      </c>
      <c r="F287" s="103" t="s">
        <v>152</v>
      </c>
      <c r="G287" s="180">
        <v>12</v>
      </c>
      <c r="H287" s="180">
        <v>7</v>
      </c>
      <c r="I287" s="102">
        <v>138</v>
      </c>
      <c r="J287" s="212" cm="1">
        <f t="array" ref="J287">_xlfn.XLOOKUP($I287,Inputs!$C$6:$C$23,Inputs!$D$6:D$23)*$G287</f>
        <v>5.2028571428571428</v>
      </c>
      <c r="K287" s="217">
        <f t="shared" si="4"/>
        <v>3</v>
      </c>
      <c r="L287" s="123"/>
      <c r="M287" s="123"/>
      <c r="N287" s="123"/>
      <c r="O287" s="123"/>
      <c r="P287" s="123"/>
      <c r="Q287" s="218">
        <f>_xlfn.XLOOKUP($I287,Inputs!$G$6:$G$23,Inputs!$J$6:$J$23)*$K287</f>
        <v>141</v>
      </c>
      <c r="R287" s="218">
        <f>_xlfn.XLOOKUP($I287,Inputs!$G$6:$G$23,Inputs!$K$6:$K$23)*$K287</f>
        <v>156</v>
      </c>
      <c r="S287" s="103" t="s">
        <v>297</v>
      </c>
      <c r="T287" s="98" t="s">
        <v>1384</v>
      </c>
      <c r="U287" s="103" t="s">
        <v>1126</v>
      </c>
      <c r="V287" s="98" t="s">
        <v>1415</v>
      </c>
      <c r="W287" s="47"/>
      <c r="X287" s="18"/>
      <c r="Y287" s="68">
        <v>299</v>
      </c>
    </row>
    <row r="288" spans="2:25" s="14" customFormat="1" ht="18">
      <c r="B288" s="103" t="s">
        <v>327</v>
      </c>
      <c r="C288" s="47" t="s">
        <v>93</v>
      </c>
      <c r="D288" s="98" t="s">
        <v>598</v>
      </c>
      <c r="E288" s="103">
        <v>1</v>
      </c>
      <c r="F288" s="103" t="s">
        <v>152</v>
      </c>
      <c r="G288" s="180">
        <v>12</v>
      </c>
      <c r="H288" s="180">
        <v>7</v>
      </c>
      <c r="I288" s="102">
        <v>138</v>
      </c>
      <c r="J288" s="212" cm="1">
        <f t="array" ref="J288">_xlfn.XLOOKUP($I288,Inputs!$C$6:$C$23,Inputs!$D$6:D$23)*$G288</f>
        <v>5.2028571428571428</v>
      </c>
      <c r="K288" s="217">
        <f t="shared" si="4"/>
        <v>3</v>
      </c>
      <c r="L288" s="123"/>
      <c r="M288" s="123"/>
      <c r="N288" s="123"/>
      <c r="O288" s="123"/>
      <c r="P288" s="123"/>
      <c r="Q288" s="218">
        <f>_xlfn.XLOOKUP($I288,Inputs!$G$6:$G$23,Inputs!$J$6:$J$23)*$K288</f>
        <v>141</v>
      </c>
      <c r="R288" s="218">
        <f>_xlfn.XLOOKUP($I288,Inputs!$G$6:$G$23,Inputs!$K$6:$K$23)*$K288</f>
        <v>156</v>
      </c>
      <c r="S288" s="103" t="s">
        <v>297</v>
      </c>
      <c r="T288" s="98" t="s">
        <v>1384</v>
      </c>
      <c r="U288" s="103" t="s">
        <v>1126</v>
      </c>
      <c r="V288" s="98" t="s">
        <v>1415</v>
      </c>
      <c r="W288" s="47"/>
      <c r="X288" s="18"/>
      <c r="Y288" s="68">
        <v>300</v>
      </c>
    </row>
    <row r="289" spans="2:25" s="14" customFormat="1" ht="18">
      <c r="B289" s="103" t="s">
        <v>296</v>
      </c>
      <c r="C289" s="47" t="s">
        <v>93</v>
      </c>
      <c r="D289" s="98" t="s">
        <v>598</v>
      </c>
      <c r="E289" s="103">
        <v>1</v>
      </c>
      <c r="F289" s="103" t="s">
        <v>152</v>
      </c>
      <c r="G289" s="180">
        <v>14</v>
      </c>
      <c r="H289" s="180">
        <v>9</v>
      </c>
      <c r="I289" s="102">
        <v>345</v>
      </c>
      <c r="J289" s="212" cm="1">
        <f t="array" ref="J289">_xlfn.XLOOKUP($I289,Inputs!$C$6:$C$23,Inputs!$D$6:D$23)*$G289</f>
        <v>6.2131481481481483</v>
      </c>
      <c r="K289" s="217">
        <f t="shared" si="4"/>
        <v>3</v>
      </c>
      <c r="L289" s="123"/>
      <c r="M289" s="123"/>
      <c r="N289" s="123"/>
      <c r="O289" s="123"/>
      <c r="P289" s="123"/>
      <c r="Q289" s="218">
        <f>_xlfn.XLOOKUP($I289,Inputs!$G$6:$G$23,Inputs!$J$6:$J$23)*$K289</f>
        <v>975</v>
      </c>
      <c r="R289" s="218">
        <f>_xlfn.XLOOKUP($I289,Inputs!$G$6:$G$23,Inputs!$K$6:$K$23)*$K289</f>
        <v>1275</v>
      </c>
      <c r="S289" s="103" t="s">
        <v>297</v>
      </c>
      <c r="T289" s="98" t="s">
        <v>1384</v>
      </c>
      <c r="U289" s="103" t="s">
        <v>1126</v>
      </c>
      <c r="V289" s="98" t="s">
        <v>1415</v>
      </c>
      <c r="W289" s="47"/>
      <c r="X289" s="18"/>
      <c r="Y289" s="68">
        <v>393</v>
      </c>
    </row>
    <row r="290" spans="2:25" s="14" customFormat="1" ht="18">
      <c r="B290" s="103" t="s">
        <v>298</v>
      </c>
      <c r="C290" s="47" t="s">
        <v>93</v>
      </c>
      <c r="D290" s="98" t="s">
        <v>598</v>
      </c>
      <c r="E290" s="103">
        <v>1</v>
      </c>
      <c r="F290" s="103" t="s">
        <v>152</v>
      </c>
      <c r="G290" s="180">
        <v>14</v>
      </c>
      <c r="H290" s="180">
        <v>9</v>
      </c>
      <c r="I290" s="102">
        <v>345</v>
      </c>
      <c r="J290" s="212" cm="1">
        <f t="array" ref="J290">_xlfn.XLOOKUP($I290,Inputs!$C$6:$C$23,Inputs!$D$6:D$23)*$G290</f>
        <v>6.2131481481481483</v>
      </c>
      <c r="K290" s="217">
        <f t="shared" si="4"/>
        <v>3</v>
      </c>
      <c r="L290" s="123"/>
      <c r="M290" s="123"/>
      <c r="N290" s="123"/>
      <c r="O290" s="123"/>
      <c r="P290" s="123"/>
      <c r="Q290" s="218">
        <f>_xlfn.XLOOKUP($I290,Inputs!$G$6:$G$23,Inputs!$J$6:$J$23)*$K290</f>
        <v>975</v>
      </c>
      <c r="R290" s="218">
        <f>_xlfn.XLOOKUP($I290,Inputs!$G$6:$G$23,Inputs!$K$6:$K$23)*$K290</f>
        <v>1275</v>
      </c>
      <c r="S290" s="103" t="s">
        <v>297</v>
      </c>
      <c r="T290" s="98" t="s">
        <v>1384</v>
      </c>
      <c r="U290" s="103" t="s">
        <v>1126</v>
      </c>
      <c r="V290" s="98" t="s">
        <v>1415</v>
      </c>
      <c r="W290" s="47"/>
      <c r="X290" s="18"/>
      <c r="Y290" s="68">
        <v>394</v>
      </c>
    </row>
    <row r="291" spans="2:25" s="14" customFormat="1" ht="18">
      <c r="B291" s="103" t="s">
        <v>330</v>
      </c>
      <c r="C291" s="47" t="s">
        <v>93</v>
      </c>
      <c r="D291" s="98" t="s">
        <v>598</v>
      </c>
      <c r="E291" s="103">
        <v>1</v>
      </c>
      <c r="F291" s="103" t="s">
        <v>152</v>
      </c>
      <c r="G291" s="180">
        <v>16</v>
      </c>
      <c r="H291" s="180">
        <v>10</v>
      </c>
      <c r="I291" s="102">
        <v>138</v>
      </c>
      <c r="J291" s="212" cm="1">
        <f t="array" ref="J291">_xlfn.XLOOKUP($I291,Inputs!$C$6:$C$23,Inputs!$D$6:D$23)*$G291</f>
        <v>6.9371428571428577</v>
      </c>
      <c r="K291" s="217">
        <f t="shared" si="4"/>
        <v>3</v>
      </c>
      <c r="L291" s="123"/>
      <c r="M291" s="123"/>
      <c r="N291" s="123"/>
      <c r="O291" s="123"/>
      <c r="P291" s="123"/>
      <c r="Q291" s="218">
        <f>_xlfn.XLOOKUP($I291,Inputs!$G$6:$G$23,Inputs!$J$6:$J$23)*$K291</f>
        <v>141</v>
      </c>
      <c r="R291" s="218">
        <f>_xlfn.XLOOKUP($I291,Inputs!$G$6:$G$23,Inputs!$K$6:$K$23)*$K291</f>
        <v>156</v>
      </c>
      <c r="S291" s="103" t="s">
        <v>297</v>
      </c>
      <c r="T291" s="98" t="s">
        <v>1384</v>
      </c>
      <c r="U291" s="103" t="s">
        <v>1028</v>
      </c>
      <c r="V291" s="98" t="s">
        <v>1323</v>
      </c>
      <c r="W291" s="47"/>
      <c r="X291" s="18"/>
      <c r="Y291" s="68">
        <v>301</v>
      </c>
    </row>
    <row r="292" spans="2:25" s="14" customFormat="1" ht="18">
      <c r="B292" s="103" t="s">
        <v>283</v>
      </c>
      <c r="C292" s="47" t="s">
        <v>93</v>
      </c>
      <c r="D292" s="98" t="s">
        <v>598</v>
      </c>
      <c r="E292" s="103">
        <v>1</v>
      </c>
      <c r="F292" s="103" t="s">
        <v>152</v>
      </c>
      <c r="G292" s="257">
        <v>1</v>
      </c>
      <c r="H292" s="257">
        <v>1</v>
      </c>
      <c r="I292" s="102">
        <v>69</v>
      </c>
      <c r="J292" s="212" cm="1">
        <f t="array" ref="J292">_xlfn.XLOOKUP($I292,Inputs!$C$6:$C$23,Inputs!$D$6:D$23)*$G292</f>
        <v>0.38428571428571429</v>
      </c>
      <c r="K292" s="217">
        <f t="shared" si="4"/>
        <v>3</v>
      </c>
      <c r="L292" s="123"/>
      <c r="M292" s="123"/>
      <c r="N292" s="123"/>
      <c r="O292" s="123"/>
      <c r="P292" s="123"/>
      <c r="Q292" s="218">
        <f>_xlfn.XLOOKUP($I292,Inputs!$G$6:$G$23,Inputs!$J$6:$J$23)*$K292</f>
        <v>36</v>
      </c>
      <c r="R292" s="218">
        <f>_xlfn.XLOOKUP($I292,Inputs!$G$6:$G$23,Inputs!$K$6:$K$23)*$K292</f>
        <v>39</v>
      </c>
      <c r="S292" s="103" t="s">
        <v>985</v>
      </c>
      <c r="T292" s="98" t="s">
        <v>1301</v>
      </c>
      <c r="U292" s="103" t="s">
        <v>986</v>
      </c>
      <c r="V292" s="98" t="s">
        <v>1249</v>
      </c>
      <c r="W292" s="47"/>
      <c r="X292" s="18"/>
      <c r="Y292" s="68">
        <v>138</v>
      </c>
    </row>
    <row r="293" spans="2:25" s="14" customFormat="1" ht="18">
      <c r="B293" s="103" t="s">
        <v>340</v>
      </c>
      <c r="C293" s="47" t="s">
        <v>93</v>
      </c>
      <c r="D293" s="98" t="s">
        <v>598</v>
      </c>
      <c r="E293" s="103">
        <v>1</v>
      </c>
      <c r="F293" s="103" t="s">
        <v>152</v>
      </c>
      <c r="G293" s="257">
        <v>4</v>
      </c>
      <c r="H293" s="257">
        <v>2</v>
      </c>
      <c r="I293" s="102">
        <v>69</v>
      </c>
      <c r="J293" s="212" cm="1">
        <f t="array" ref="J293">_xlfn.XLOOKUP($I293,Inputs!$C$6:$C$23,Inputs!$D$6:D$23)*$G293</f>
        <v>1.5371428571428571</v>
      </c>
      <c r="K293" s="217">
        <f t="shared" si="4"/>
        <v>3</v>
      </c>
      <c r="L293" s="123"/>
      <c r="M293" s="123"/>
      <c r="N293" s="123"/>
      <c r="O293" s="123"/>
      <c r="P293" s="123"/>
      <c r="Q293" s="218">
        <f>_xlfn.XLOOKUP($I293,Inputs!$G$6:$G$23,Inputs!$J$6:$J$23)*$K293</f>
        <v>36</v>
      </c>
      <c r="R293" s="218">
        <f>_xlfn.XLOOKUP($I293,Inputs!$G$6:$G$23,Inputs!$K$6:$K$23)*$K293</f>
        <v>39</v>
      </c>
      <c r="S293" s="103" t="s">
        <v>1120</v>
      </c>
      <c r="T293" s="98" t="s">
        <v>1431</v>
      </c>
      <c r="U293" s="103" t="s">
        <v>1007</v>
      </c>
      <c r="V293" s="98" t="s">
        <v>1205</v>
      </c>
      <c r="W293" s="47"/>
      <c r="X293" s="18"/>
      <c r="Y293" s="68">
        <v>196</v>
      </c>
    </row>
    <row r="294" spans="2:25" s="14" customFormat="1" ht="18">
      <c r="B294" s="103" t="s">
        <v>339</v>
      </c>
      <c r="C294" s="47" t="s">
        <v>93</v>
      </c>
      <c r="D294" s="98" t="s">
        <v>598</v>
      </c>
      <c r="E294" s="103">
        <v>1</v>
      </c>
      <c r="F294" s="103" t="s">
        <v>152</v>
      </c>
      <c r="G294" s="257">
        <v>16</v>
      </c>
      <c r="H294" s="257">
        <v>10</v>
      </c>
      <c r="I294" s="102">
        <v>69</v>
      </c>
      <c r="J294" s="212" cm="1">
        <f t="array" ref="J294">_xlfn.XLOOKUP($I294,Inputs!$C$6:$C$23,Inputs!$D$6:D$23)*$G294</f>
        <v>6.1485714285714286</v>
      </c>
      <c r="K294" s="217">
        <f t="shared" si="4"/>
        <v>3</v>
      </c>
      <c r="L294" s="123"/>
      <c r="M294" s="123"/>
      <c r="N294" s="123"/>
      <c r="O294" s="123"/>
      <c r="P294" s="123"/>
      <c r="Q294" s="218">
        <f>_xlfn.XLOOKUP($I294,Inputs!$G$6:$G$23,Inputs!$J$6:$J$23)*$K294</f>
        <v>36</v>
      </c>
      <c r="R294" s="218">
        <f>_xlfn.XLOOKUP($I294,Inputs!$G$6:$G$23,Inputs!$K$6:$K$23)*$K294</f>
        <v>39</v>
      </c>
      <c r="S294" s="103" t="s">
        <v>1120</v>
      </c>
      <c r="T294" s="98" t="s">
        <v>1431</v>
      </c>
      <c r="U294" s="103" t="s">
        <v>1402</v>
      </c>
      <c r="V294" s="98" t="s">
        <v>1403</v>
      </c>
      <c r="W294" s="47"/>
      <c r="X294" s="18"/>
      <c r="Y294" s="68">
        <v>92</v>
      </c>
    </row>
    <row r="295" spans="2:25" s="14" customFormat="1" ht="18">
      <c r="B295" s="103" t="s">
        <v>318</v>
      </c>
      <c r="C295" s="47" t="s">
        <v>93</v>
      </c>
      <c r="D295" s="98" t="s">
        <v>598</v>
      </c>
      <c r="E295" s="103">
        <v>1</v>
      </c>
      <c r="F295" s="103" t="s">
        <v>152</v>
      </c>
      <c r="G295" s="180">
        <v>32</v>
      </c>
      <c r="H295" s="180">
        <v>20</v>
      </c>
      <c r="I295" s="102">
        <v>69</v>
      </c>
      <c r="J295" s="212" cm="1">
        <f t="array" ref="J295">_xlfn.XLOOKUP($I295,Inputs!$C$6:$C$23,Inputs!$D$6:D$23)*$G295</f>
        <v>12.297142857142857</v>
      </c>
      <c r="K295" s="217">
        <f t="shared" si="4"/>
        <v>3</v>
      </c>
      <c r="L295" s="123"/>
      <c r="M295" s="123"/>
      <c r="N295" s="123"/>
      <c r="O295" s="123"/>
      <c r="P295" s="123"/>
      <c r="Q295" s="218">
        <f>_xlfn.XLOOKUP($I295,Inputs!$G$6:$G$23,Inputs!$J$6:$J$23)*$K295</f>
        <v>36</v>
      </c>
      <c r="R295" s="218">
        <f>_xlfn.XLOOKUP($I295,Inputs!$G$6:$G$23,Inputs!$K$6:$K$23)*$K295</f>
        <v>39</v>
      </c>
      <c r="S295" s="103" t="s">
        <v>1120</v>
      </c>
      <c r="T295" s="98" t="s">
        <v>1431</v>
      </c>
      <c r="U295" s="103" t="s">
        <v>965</v>
      </c>
      <c r="V295" s="98" t="s">
        <v>1276</v>
      </c>
      <c r="W295" s="47"/>
      <c r="X295" s="18"/>
      <c r="Y295" s="68">
        <v>75</v>
      </c>
    </row>
    <row r="296" spans="2:25" s="14" customFormat="1" ht="18">
      <c r="B296" s="103" t="s">
        <v>331</v>
      </c>
      <c r="C296" s="47" t="s">
        <v>93</v>
      </c>
      <c r="D296" s="98" t="s">
        <v>598</v>
      </c>
      <c r="E296" s="103">
        <v>1</v>
      </c>
      <c r="F296" s="103" t="s">
        <v>152</v>
      </c>
      <c r="G296" s="180">
        <v>31</v>
      </c>
      <c r="H296" s="180">
        <v>19</v>
      </c>
      <c r="I296" s="102">
        <v>69</v>
      </c>
      <c r="J296" s="212" cm="1">
        <f t="array" ref="J296">_xlfn.XLOOKUP($I296,Inputs!$C$6:$C$23,Inputs!$D$6:D$23)*$G296</f>
        <v>11.912857142857144</v>
      </c>
      <c r="K296" s="217">
        <f t="shared" si="4"/>
        <v>3</v>
      </c>
      <c r="L296" s="123"/>
      <c r="M296" s="123"/>
      <c r="N296" s="123"/>
      <c r="O296" s="123"/>
      <c r="P296" s="123"/>
      <c r="Q296" s="218">
        <f>_xlfn.XLOOKUP($I296,Inputs!$G$6:$G$23,Inputs!$J$6:$J$23)*$K296</f>
        <v>36</v>
      </c>
      <c r="R296" s="218">
        <f>_xlfn.XLOOKUP($I296,Inputs!$G$6:$G$23,Inputs!$K$6:$K$23)*$K296</f>
        <v>39</v>
      </c>
      <c r="S296" s="103" t="s">
        <v>1120</v>
      </c>
      <c r="T296" s="98" t="s">
        <v>1431</v>
      </c>
      <c r="U296" s="103" t="s">
        <v>984</v>
      </c>
      <c r="V296" s="98" t="s">
        <v>1359</v>
      </c>
      <c r="W296" s="47"/>
      <c r="X296" s="18"/>
      <c r="Y296" s="68">
        <v>132</v>
      </c>
    </row>
    <row r="297" spans="2:25" s="14" customFormat="1" ht="18">
      <c r="B297" s="103" t="s">
        <v>314</v>
      </c>
      <c r="C297" s="47" t="s">
        <v>93</v>
      </c>
      <c r="D297" s="98" t="s">
        <v>598</v>
      </c>
      <c r="E297" s="103">
        <v>1</v>
      </c>
      <c r="F297" s="103" t="s">
        <v>152</v>
      </c>
      <c r="G297" s="257">
        <v>2</v>
      </c>
      <c r="H297" s="257">
        <v>1</v>
      </c>
      <c r="I297" s="102">
        <v>69</v>
      </c>
      <c r="J297" s="212" cm="1">
        <f t="array" ref="J297">_xlfn.XLOOKUP($I297,Inputs!$C$6:$C$23,Inputs!$D$6:D$23)*$G297</f>
        <v>0.76857142857142857</v>
      </c>
      <c r="K297" s="217">
        <f t="shared" si="4"/>
        <v>3</v>
      </c>
      <c r="L297" s="123"/>
      <c r="M297" s="123"/>
      <c r="N297" s="123"/>
      <c r="O297" s="123"/>
      <c r="P297" s="123"/>
      <c r="Q297" s="218">
        <f>_xlfn.XLOOKUP($I297,Inputs!$G$6:$G$23,Inputs!$J$6:$J$23)*$K297</f>
        <v>36</v>
      </c>
      <c r="R297" s="218">
        <f>_xlfn.XLOOKUP($I297,Inputs!$G$6:$G$23,Inputs!$K$6:$K$23)*$K297</f>
        <v>39</v>
      </c>
      <c r="S297" s="103" t="s">
        <v>957</v>
      </c>
      <c r="T297" s="98" t="s">
        <v>1302</v>
      </c>
      <c r="U297" s="103" t="s">
        <v>626</v>
      </c>
      <c r="V297" s="98" t="s">
        <v>742</v>
      </c>
      <c r="W297" s="47"/>
      <c r="X297" s="18"/>
      <c r="Y297" s="68">
        <v>60</v>
      </c>
    </row>
    <row r="298" spans="2:25" s="14" customFormat="1" ht="18">
      <c r="B298" s="103" t="s">
        <v>182</v>
      </c>
      <c r="C298" s="47" t="s">
        <v>93</v>
      </c>
      <c r="D298" s="98" t="s">
        <v>598</v>
      </c>
      <c r="E298" s="103">
        <v>1</v>
      </c>
      <c r="F298" s="103" t="s">
        <v>152</v>
      </c>
      <c r="G298" s="257">
        <v>10</v>
      </c>
      <c r="H298" s="257">
        <v>6</v>
      </c>
      <c r="I298" s="102">
        <v>69</v>
      </c>
      <c r="J298" s="212" cm="1">
        <f t="array" ref="J298">_xlfn.XLOOKUP($I298,Inputs!$C$6:$C$23,Inputs!$D$6:D$23)*$G298</f>
        <v>3.842857142857143</v>
      </c>
      <c r="K298" s="217">
        <f t="shared" si="4"/>
        <v>3</v>
      </c>
      <c r="L298" s="123"/>
      <c r="M298" s="123"/>
      <c r="N298" s="123"/>
      <c r="O298" s="123"/>
      <c r="P298" s="123"/>
      <c r="Q298" s="218">
        <f>_xlfn.XLOOKUP($I298,Inputs!$G$6:$G$23,Inputs!$J$6:$J$23)*$K298</f>
        <v>36</v>
      </c>
      <c r="R298" s="218">
        <f>_xlfn.XLOOKUP($I298,Inputs!$G$6:$G$23,Inputs!$K$6:$K$23)*$K298</f>
        <v>39</v>
      </c>
      <c r="S298" s="103" t="s">
        <v>1004</v>
      </c>
      <c r="T298" s="98" t="s">
        <v>1303</v>
      </c>
      <c r="U298" s="103" t="s">
        <v>178</v>
      </c>
      <c r="V298" s="98" t="s">
        <v>1379</v>
      </c>
      <c r="W298" s="47"/>
      <c r="X298" s="18"/>
      <c r="Y298" s="68">
        <v>186</v>
      </c>
    </row>
    <row r="299" spans="2:25" s="14" customFormat="1" ht="18">
      <c r="B299" s="103" t="s">
        <v>162</v>
      </c>
      <c r="C299" s="47" t="s">
        <v>93</v>
      </c>
      <c r="D299" s="98" t="s">
        <v>598</v>
      </c>
      <c r="E299" s="103">
        <v>1</v>
      </c>
      <c r="F299" s="103" t="s">
        <v>152</v>
      </c>
      <c r="G299" s="180">
        <v>39</v>
      </c>
      <c r="H299" s="180">
        <v>24</v>
      </c>
      <c r="I299" s="102">
        <v>138</v>
      </c>
      <c r="J299" s="212" cm="1">
        <f t="array" ref="J299">_xlfn.XLOOKUP($I299,Inputs!$C$6:$C$23,Inputs!$D$6:D$23)*$G299</f>
        <v>16.909285714285716</v>
      </c>
      <c r="K299" s="217">
        <f t="shared" si="4"/>
        <v>3</v>
      </c>
      <c r="L299" s="123"/>
      <c r="M299" s="123"/>
      <c r="N299" s="123"/>
      <c r="O299" s="123"/>
      <c r="P299" s="123"/>
      <c r="Q299" s="218">
        <f>_xlfn.XLOOKUP($I299,Inputs!$G$6:$G$23,Inputs!$J$6:$J$23)*$K299</f>
        <v>141</v>
      </c>
      <c r="R299" s="218">
        <f>_xlfn.XLOOKUP($I299,Inputs!$G$6:$G$23,Inputs!$K$6:$K$23)*$K299</f>
        <v>156</v>
      </c>
      <c r="S299" s="103" t="s">
        <v>1123</v>
      </c>
      <c r="T299" s="98" t="s">
        <v>1417</v>
      </c>
      <c r="U299" s="103" t="s">
        <v>1019</v>
      </c>
      <c r="V299" s="98" t="s">
        <v>1280</v>
      </c>
      <c r="W299" s="47"/>
      <c r="X299" s="18"/>
      <c r="Y299" s="68">
        <v>305</v>
      </c>
    </row>
    <row r="300" spans="2:25" s="14" customFormat="1" ht="18">
      <c r="B300" s="103" t="s">
        <v>242</v>
      </c>
      <c r="C300" s="47" t="s">
        <v>93</v>
      </c>
      <c r="D300" s="98" t="s">
        <v>598</v>
      </c>
      <c r="E300" s="103">
        <v>1</v>
      </c>
      <c r="F300" s="103" t="s">
        <v>152</v>
      </c>
      <c r="G300" s="180">
        <v>39</v>
      </c>
      <c r="H300" s="180">
        <v>24</v>
      </c>
      <c r="I300" s="102">
        <v>138</v>
      </c>
      <c r="J300" s="212" cm="1">
        <f t="array" ref="J300">_xlfn.XLOOKUP($I300,Inputs!$C$6:$C$23,Inputs!$D$6:D$23)*$G300</f>
        <v>16.909285714285716</v>
      </c>
      <c r="K300" s="217">
        <f t="shared" si="4"/>
        <v>3</v>
      </c>
      <c r="L300" s="123"/>
      <c r="M300" s="123"/>
      <c r="N300" s="123"/>
      <c r="O300" s="123"/>
      <c r="P300" s="123"/>
      <c r="Q300" s="218">
        <f>_xlfn.XLOOKUP($I300,Inputs!$G$6:$G$23,Inputs!$J$6:$J$23)*$K300</f>
        <v>141</v>
      </c>
      <c r="R300" s="218">
        <f>_xlfn.XLOOKUP($I300,Inputs!$G$6:$G$23,Inputs!$K$6:$K$23)*$K300</f>
        <v>156</v>
      </c>
      <c r="S300" s="103" t="s">
        <v>1123</v>
      </c>
      <c r="T300" s="98" t="s">
        <v>1417</v>
      </c>
      <c r="U300" s="103" t="s">
        <v>1019</v>
      </c>
      <c r="V300" s="98" t="s">
        <v>1280</v>
      </c>
      <c r="W300" s="47"/>
      <c r="X300" s="18"/>
      <c r="Y300" s="68">
        <v>308</v>
      </c>
    </row>
    <row r="301" spans="2:25" s="14" customFormat="1" ht="18">
      <c r="B301" s="103" t="s">
        <v>161</v>
      </c>
      <c r="C301" s="47" t="s">
        <v>168</v>
      </c>
      <c r="D301" s="98" t="s">
        <v>598</v>
      </c>
      <c r="E301" s="103">
        <v>2</v>
      </c>
      <c r="F301" s="103" t="s">
        <v>152</v>
      </c>
      <c r="G301" s="257">
        <v>15</v>
      </c>
      <c r="H301" s="257">
        <v>9</v>
      </c>
      <c r="I301" s="102">
        <v>138</v>
      </c>
      <c r="J301" s="212" cm="1">
        <f t="array" ref="J301">_xlfn.XLOOKUP($I301,Inputs!$C$6:$C$23,Inputs!$D$6:D$23)*$G301</f>
        <v>6.503571428571429</v>
      </c>
      <c r="K301" s="217">
        <f t="shared" si="4"/>
        <v>3</v>
      </c>
      <c r="L301" s="123"/>
      <c r="M301" s="123"/>
      <c r="N301" s="123"/>
      <c r="O301" s="123"/>
      <c r="P301" s="123"/>
      <c r="Q301" s="218">
        <f>_xlfn.XLOOKUP($I301,Inputs!$G$6:$G$23,Inputs!$J$6:$J$23)*$K301</f>
        <v>141</v>
      </c>
      <c r="R301" s="218">
        <f>_xlfn.XLOOKUP($I301,Inputs!$G$6:$G$23,Inputs!$K$6:$K$23)*$K301</f>
        <v>156</v>
      </c>
      <c r="S301" s="150" t="s">
        <v>1123</v>
      </c>
      <c r="T301" s="98" t="s">
        <v>1417</v>
      </c>
      <c r="U301" s="150" t="s">
        <v>1496</v>
      </c>
      <c r="V301" s="98" t="s">
        <v>577</v>
      </c>
      <c r="W301" s="149"/>
      <c r="X301" s="18"/>
      <c r="Y301" s="68">
        <v>342</v>
      </c>
    </row>
    <row r="302" spans="2:25" s="14" customFormat="1" ht="18">
      <c r="B302" s="103" t="s">
        <v>359</v>
      </c>
      <c r="C302" s="47" t="s">
        <v>168</v>
      </c>
      <c r="D302" s="98" t="s">
        <v>598</v>
      </c>
      <c r="E302" s="103">
        <v>2</v>
      </c>
      <c r="F302" s="103" t="s">
        <v>152</v>
      </c>
      <c r="G302" s="257">
        <v>20</v>
      </c>
      <c r="H302" s="257">
        <v>12</v>
      </c>
      <c r="I302" s="102">
        <v>138</v>
      </c>
      <c r="J302" s="212" cm="1">
        <f t="array" ref="J302">_xlfn.XLOOKUP($I302,Inputs!$C$6:$C$23,Inputs!$D$6:D$23)*$G302</f>
        <v>8.6714285714285726</v>
      </c>
      <c r="K302" s="217">
        <f t="shared" si="4"/>
        <v>3</v>
      </c>
      <c r="L302" s="123"/>
      <c r="M302" s="123"/>
      <c r="N302" s="123"/>
      <c r="O302" s="123"/>
      <c r="P302" s="123"/>
      <c r="Q302" s="218">
        <f>_xlfn.XLOOKUP($I302,Inputs!$G$6:$G$23,Inputs!$J$6:$J$23)*$K302</f>
        <v>141</v>
      </c>
      <c r="R302" s="218">
        <f>_xlfn.XLOOKUP($I302,Inputs!$G$6:$G$23,Inputs!$K$6:$K$23)*$K302</f>
        <v>156</v>
      </c>
      <c r="S302" s="150" t="s">
        <v>1123</v>
      </c>
      <c r="T302" s="98" t="s">
        <v>1417</v>
      </c>
      <c r="U302" s="150" t="s">
        <v>1497</v>
      </c>
      <c r="V302" s="98" t="s">
        <v>576</v>
      </c>
      <c r="W302" s="149"/>
      <c r="X302" s="18"/>
      <c r="Y302" s="68">
        <v>341</v>
      </c>
    </row>
    <row r="303" spans="2:25" s="14" customFormat="1" ht="18">
      <c r="B303" s="103" t="s">
        <v>246</v>
      </c>
      <c r="C303" s="47" t="s">
        <v>93</v>
      </c>
      <c r="D303" s="98" t="s">
        <v>598</v>
      </c>
      <c r="E303" s="103">
        <v>1</v>
      </c>
      <c r="F303" s="103" t="s">
        <v>152</v>
      </c>
      <c r="G303" s="180">
        <v>3</v>
      </c>
      <c r="H303" s="180">
        <v>2</v>
      </c>
      <c r="I303" s="102">
        <v>69</v>
      </c>
      <c r="J303" s="212" cm="1">
        <f t="array" ref="J303">_xlfn.XLOOKUP($I303,Inputs!$C$6:$C$23,Inputs!$D$6:D$23)*$G303</f>
        <v>1.1528571428571428</v>
      </c>
      <c r="K303" s="217">
        <f t="shared" si="4"/>
        <v>3</v>
      </c>
      <c r="L303" s="123"/>
      <c r="M303" s="123"/>
      <c r="N303" s="123"/>
      <c r="O303" s="123"/>
      <c r="P303" s="123"/>
      <c r="Q303" s="218">
        <f>_xlfn.XLOOKUP($I303,Inputs!$G$6:$G$23,Inputs!$J$6:$J$23)*$K303</f>
        <v>36</v>
      </c>
      <c r="R303" s="218">
        <f>_xlfn.XLOOKUP($I303,Inputs!$G$6:$G$23,Inputs!$K$6:$K$23)*$K303</f>
        <v>39</v>
      </c>
      <c r="S303" s="103" t="s">
        <v>1123</v>
      </c>
      <c r="T303" s="98" t="s">
        <v>1417</v>
      </c>
      <c r="U303" s="103" t="s">
        <v>666</v>
      </c>
      <c r="V303" s="98" t="s">
        <v>706</v>
      </c>
      <c r="W303" s="47"/>
      <c r="X303" s="18"/>
      <c r="Y303" s="68">
        <v>226</v>
      </c>
    </row>
    <row r="304" spans="2:25" s="14" customFormat="1" ht="18">
      <c r="B304" s="103" t="s">
        <v>231</v>
      </c>
      <c r="C304" s="47" t="s">
        <v>93</v>
      </c>
      <c r="D304" s="98" t="s">
        <v>598</v>
      </c>
      <c r="E304" s="103">
        <v>1</v>
      </c>
      <c r="F304" s="103" t="s">
        <v>152</v>
      </c>
      <c r="G304" s="180">
        <v>13</v>
      </c>
      <c r="H304" s="180">
        <v>8</v>
      </c>
      <c r="I304" s="102">
        <v>230</v>
      </c>
      <c r="J304" s="212" cm="1">
        <f t="array" ref="J304">_xlfn.XLOOKUP($I304,Inputs!$C$6:$C$23,Inputs!$D$6:D$23)*$G304</f>
        <v>6.24</v>
      </c>
      <c r="K304" s="217">
        <f t="shared" si="4"/>
        <v>3</v>
      </c>
      <c r="L304" s="123"/>
      <c r="M304" s="123"/>
      <c r="N304" s="123"/>
      <c r="O304" s="123"/>
      <c r="P304" s="123"/>
      <c r="Q304" s="218">
        <f>_xlfn.XLOOKUP($I304,Inputs!$G$6:$G$23,Inputs!$J$6:$J$23)*$K304</f>
        <v>402</v>
      </c>
      <c r="R304" s="218">
        <f>_xlfn.XLOOKUP($I304,Inputs!$G$6:$G$23,Inputs!$K$6:$K$23)*$K304</f>
        <v>435</v>
      </c>
      <c r="S304" s="103" t="s">
        <v>229</v>
      </c>
      <c r="T304" s="98" t="s">
        <v>1385</v>
      </c>
      <c r="U304" s="103" t="s">
        <v>1132</v>
      </c>
      <c r="V304" s="98" t="s">
        <v>1406</v>
      </c>
      <c r="W304" s="47"/>
      <c r="X304" s="18"/>
      <c r="Y304" s="68">
        <v>386</v>
      </c>
    </row>
    <row r="305" spans="2:25" s="14" customFormat="1" ht="18">
      <c r="B305" s="103" t="s">
        <v>230</v>
      </c>
      <c r="C305" s="47" t="s">
        <v>93</v>
      </c>
      <c r="D305" s="98" t="s">
        <v>598</v>
      </c>
      <c r="E305" s="103">
        <v>1</v>
      </c>
      <c r="F305" s="103" t="s">
        <v>152</v>
      </c>
      <c r="G305" s="257">
        <v>16</v>
      </c>
      <c r="H305" s="257">
        <v>10</v>
      </c>
      <c r="I305" s="102">
        <v>138</v>
      </c>
      <c r="J305" s="212" cm="1">
        <f t="array" ref="J305">_xlfn.XLOOKUP($I305,Inputs!$C$6:$C$23,Inputs!$D$6:D$23)*$G305</f>
        <v>6.9371428571428577</v>
      </c>
      <c r="K305" s="217">
        <f t="shared" si="4"/>
        <v>3</v>
      </c>
      <c r="L305" s="123"/>
      <c r="M305" s="123"/>
      <c r="N305" s="123"/>
      <c r="O305" s="123"/>
      <c r="P305" s="123"/>
      <c r="Q305" s="218">
        <f>_xlfn.XLOOKUP($I305,Inputs!$G$6:$G$23,Inputs!$J$6:$J$23)*$K305</f>
        <v>141</v>
      </c>
      <c r="R305" s="218">
        <f>_xlfn.XLOOKUP($I305,Inputs!$G$6:$G$23,Inputs!$K$6:$K$23)*$K305</f>
        <v>156</v>
      </c>
      <c r="S305" s="103" t="s">
        <v>229</v>
      </c>
      <c r="T305" s="98" t="s">
        <v>1385</v>
      </c>
      <c r="U305" s="103" t="s">
        <v>1117</v>
      </c>
      <c r="V305" s="98" t="s">
        <v>1421</v>
      </c>
      <c r="W305" s="47"/>
      <c r="X305" s="18"/>
      <c r="Y305" s="68">
        <v>379</v>
      </c>
    </row>
    <row r="306" spans="2:25" s="14" customFormat="1" ht="18">
      <c r="B306" s="103" t="s">
        <v>283</v>
      </c>
      <c r="C306" s="47" t="s">
        <v>93</v>
      </c>
      <c r="D306" s="98" t="s">
        <v>598</v>
      </c>
      <c r="E306" s="103">
        <v>1</v>
      </c>
      <c r="F306" s="103" t="s">
        <v>152</v>
      </c>
      <c r="G306" s="180">
        <v>4</v>
      </c>
      <c r="H306" s="180">
        <v>2</v>
      </c>
      <c r="I306" s="102">
        <v>69</v>
      </c>
      <c r="J306" s="212" cm="1">
        <f t="array" ref="J306">_xlfn.XLOOKUP($I306,Inputs!$C$6:$C$23,Inputs!$D$6:D$23)*$G306</f>
        <v>1.5371428571428571</v>
      </c>
      <c r="K306" s="217">
        <f t="shared" si="4"/>
        <v>3</v>
      </c>
      <c r="L306" s="123"/>
      <c r="M306" s="123"/>
      <c r="N306" s="123"/>
      <c r="O306" s="123"/>
      <c r="P306" s="123"/>
      <c r="Q306" s="218">
        <f>_xlfn.XLOOKUP($I306,Inputs!$G$6:$G$23,Inputs!$J$6:$J$23)*$K306</f>
        <v>36</v>
      </c>
      <c r="R306" s="218">
        <f>_xlfn.XLOOKUP($I306,Inputs!$G$6:$G$23,Inputs!$K$6:$K$23)*$K306</f>
        <v>39</v>
      </c>
      <c r="S306" s="103" t="s">
        <v>987</v>
      </c>
      <c r="T306" s="98" t="s">
        <v>1305</v>
      </c>
      <c r="U306" s="103" t="s">
        <v>1398</v>
      </c>
      <c r="V306" s="98" t="s">
        <v>1216</v>
      </c>
      <c r="W306" s="47"/>
      <c r="X306" s="18"/>
      <c r="Y306" s="68">
        <v>140</v>
      </c>
    </row>
    <row r="307" spans="2:25" s="14" customFormat="1" ht="18">
      <c r="B307" s="103" t="s">
        <v>311</v>
      </c>
      <c r="C307" s="47" t="s">
        <v>172</v>
      </c>
      <c r="D307" s="98" t="s">
        <v>598</v>
      </c>
      <c r="E307" s="103">
        <v>1</v>
      </c>
      <c r="F307" s="103" t="s">
        <v>152</v>
      </c>
      <c r="G307" s="257">
        <v>1</v>
      </c>
      <c r="H307" s="257">
        <v>1</v>
      </c>
      <c r="I307" s="102">
        <v>69</v>
      </c>
      <c r="J307" s="212" cm="1">
        <f t="array" ref="J307">_xlfn.XLOOKUP($I307,Inputs!$C$6:$C$23,Inputs!$D$6:D$23)*$G307</f>
        <v>0.38428571428571429</v>
      </c>
      <c r="K307" s="217">
        <f t="shared" si="4"/>
        <v>3</v>
      </c>
      <c r="L307" s="123"/>
      <c r="M307" s="123"/>
      <c r="N307" s="123"/>
      <c r="O307" s="123"/>
      <c r="P307" s="123"/>
      <c r="Q307" s="265">
        <v>70</v>
      </c>
      <c r="R307" s="265">
        <v>70</v>
      </c>
      <c r="S307" s="103" t="s">
        <v>368</v>
      </c>
      <c r="T307" s="98" t="s">
        <v>1386</v>
      </c>
      <c r="U307" s="103" t="s">
        <v>1478</v>
      </c>
      <c r="V307" s="98" t="s">
        <v>1473</v>
      </c>
      <c r="W307" s="47"/>
      <c r="X307" s="18"/>
      <c r="Y307" s="68">
        <v>162</v>
      </c>
    </row>
    <row r="308" spans="2:25" s="14" customFormat="1" ht="18">
      <c r="B308" s="103" t="s">
        <v>318</v>
      </c>
      <c r="C308" s="47" t="s">
        <v>93</v>
      </c>
      <c r="D308" s="98" t="s">
        <v>598</v>
      </c>
      <c r="E308" s="103">
        <v>1</v>
      </c>
      <c r="F308" s="103" t="s">
        <v>152</v>
      </c>
      <c r="G308" s="180">
        <v>22</v>
      </c>
      <c r="H308" s="180">
        <v>14</v>
      </c>
      <c r="I308" s="102">
        <v>69</v>
      </c>
      <c r="J308" s="212" cm="1">
        <f t="array" ref="J308">_xlfn.XLOOKUP($I308,Inputs!$C$6:$C$23,Inputs!$D$6:D$23)*$G308</f>
        <v>8.4542857142857137</v>
      </c>
      <c r="K308" s="217">
        <f t="shared" si="4"/>
        <v>3</v>
      </c>
      <c r="L308" s="123"/>
      <c r="M308" s="123"/>
      <c r="N308" s="123"/>
      <c r="O308" s="123"/>
      <c r="P308" s="123"/>
      <c r="Q308" s="218">
        <f>_xlfn.XLOOKUP($I308,Inputs!$G$6:$G$23,Inputs!$J$6:$J$23)*$K308</f>
        <v>36</v>
      </c>
      <c r="R308" s="218">
        <f>_xlfn.XLOOKUP($I308,Inputs!$G$6:$G$23,Inputs!$K$6:$K$23)*$K308</f>
        <v>39</v>
      </c>
      <c r="S308" s="103" t="s">
        <v>966</v>
      </c>
      <c r="T308" s="98" t="s">
        <v>1306</v>
      </c>
      <c r="U308" s="103" t="s">
        <v>967</v>
      </c>
      <c r="V308" s="98" t="s">
        <v>1266</v>
      </c>
      <c r="W308" s="47"/>
      <c r="X308" s="18"/>
      <c r="Y308" s="68">
        <v>78</v>
      </c>
    </row>
    <row r="309" spans="2:25" s="14" customFormat="1" ht="18">
      <c r="B309" s="103" t="s">
        <v>318</v>
      </c>
      <c r="C309" s="47" t="s">
        <v>93</v>
      </c>
      <c r="D309" s="98" t="s">
        <v>598</v>
      </c>
      <c r="E309" s="103">
        <v>1</v>
      </c>
      <c r="F309" s="103" t="s">
        <v>152</v>
      </c>
      <c r="G309" s="180">
        <v>3</v>
      </c>
      <c r="H309" s="180">
        <v>2</v>
      </c>
      <c r="I309" s="102">
        <v>69</v>
      </c>
      <c r="J309" s="212" cm="1">
        <f t="array" ref="J309">_xlfn.XLOOKUP($I309,Inputs!$C$6:$C$23,Inputs!$D$6:D$23)*$G309</f>
        <v>1.1528571428571428</v>
      </c>
      <c r="K309" s="217">
        <f t="shared" si="4"/>
        <v>3</v>
      </c>
      <c r="L309" s="123"/>
      <c r="M309" s="123"/>
      <c r="N309" s="123"/>
      <c r="O309" s="123"/>
      <c r="P309" s="123"/>
      <c r="Q309" s="218">
        <f>_xlfn.XLOOKUP($I309,Inputs!$G$6:$G$23,Inputs!$J$6:$J$23)*$K309</f>
        <v>36</v>
      </c>
      <c r="R309" s="218">
        <f>_xlfn.XLOOKUP($I309,Inputs!$G$6:$G$23,Inputs!$K$6:$K$23)*$K309</f>
        <v>39</v>
      </c>
      <c r="S309" s="103" t="s">
        <v>1121</v>
      </c>
      <c r="T309" s="98" t="s">
        <v>1418</v>
      </c>
      <c r="U309" s="103" t="s">
        <v>966</v>
      </c>
      <c r="V309" s="98" t="s">
        <v>1306</v>
      </c>
      <c r="W309" s="47"/>
      <c r="X309" s="18"/>
      <c r="Y309" s="68">
        <v>77</v>
      </c>
    </row>
    <row r="310" spans="2:25" s="14" customFormat="1" ht="18">
      <c r="B310" s="103" t="s">
        <v>326</v>
      </c>
      <c r="C310" s="47" t="s">
        <v>93</v>
      </c>
      <c r="D310" s="98" t="s">
        <v>598</v>
      </c>
      <c r="E310" s="103">
        <v>1</v>
      </c>
      <c r="F310" s="103" t="s">
        <v>152</v>
      </c>
      <c r="G310" s="180">
        <v>12</v>
      </c>
      <c r="H310" s="180">
        <v>7</v>
      </c>
      <c r="I310" s="102">
        <v>138</v>
      </c>
      <c r="J310" s="212" cm="1">
        <f t="array" ref="J310">_xlfn.XLOOKUP($I310,Inputs!$C$6:$C$23,Inputs!$D$6:D$23)*$G310</f>
        <v>5.2028571428571428</v>
      </c>
      <c r="K310" s="217">
        <f t="shared" si="4"/>
        <v>3</v>
      </c>
      <c r="L310" s="123"/>
      <c r="M310" s="123"/>
      <c r="N310" s="123"/>
      <c r="O310" s="123"/>
      <c r="P310" s="123"/>
      <c r="Q310" s="218">
        <f>_xlfn.XLOOKUP($I310,Inputs!$G$6:$G$23,Inputs!$J$6:$J$23)*$K310</f>
        <v>141</v>
      </c>
      <c r="R310" s="218">
        <f>_xlfn.XLOOKUP($I310,Inputs!$G$6:$G$23,Inputs!$K$6:$K$23)*$K310</f>
        <v>156</v>
      </c>
      <c r="S310" s="103" t="s">
        <v>1121</v>
      </c>
      <c r="T310" s="98" t="s">
        <v>1418</v>
      </c>
      <c r="U310" s="103" t="s">
        <v>1102</v>
      </c>
      <c r="V310" s="98" t="s">
        <v>1345</v>
      </c>
      <c r="W310" s="47"/>
      <c r="X310" s="18"/>
      <c r="Y310" s="68">
        <v>350</v>
      </c>
    </row>
    <row r="311" spans="2:25" s="14" customFormat="1" ht="18">
      <c r="B311" s="103" t="s">
        <v>240</v>
      </c>
      <c r="C311" s="47" t="s">
        <v>93</v>
      </c>
      <c r="D311" s="98" t="s">
        <v>598</v>
      </c>
      <c r="E311" s="103">
        <v>1</v>
      </c>
      <c r="F311" s="103" t="s">
        <v>152</v>
      </c>
      <c r="G311" s="180">
        <v>19</v>
      </c>
      <c r="H311" s="180">
        <v>12</v>
      </c>
      <c r="I311" s="102">
        <v>69</v>
      </c>
      <c r="J311" s="212" cm="1">
        <f t="array" ref="J311">_xlfn.XLOOKUP($I311,Inputs!$C$6:$C$23,Inputs!$D$6:D$23)*$G311</f>
        <v>7.3014285714285716</v>
      </c>
      <c r="K311" s="217">
        <f t="shared" si="4"/>
        <v>3</v>
      </c>
      <c r="L311" s="123"/>
      <c r="M311" s="123"/>
      <c r="N311" s="123"/>
      <c r="O311" s="123"/>
      <c r="P311" s="123"/>
      <c r="Q311" s="218">
        <f>_xlfn.XLOOKUP($I311,Inputs!$G$6:$G$23,Inputs!$J$6:$J$23)*$K311</f>
        <v>36</v>
      </c>
      <c r="R311" s="218">
        <f>_xlfn.XLOOKUP($I311,Inputs!$G$6:$G$23,Inputs!$K$6:$K$23)*$K311</f>
        <v>39</v>
      </c>
      <c r="S311" s="103" t="s">
        <v>938</v>
      </c>
      <c r="T311" s="98" t="s">
        <v>1307</v>
      </c>
      <c r="U311" s="103" t="s">
        <v>1032</v>
      </c>
      <c r="V311" s="98" t="s">
        <v>1230</v>
      </c>
      <c r="W311" s="47"/>
      <c r="X311" s="18"/>
      <c r="Y311" s="68">
        <v>19</v>
      </c>
    </row>
    <row r="312" spans="2:25" s="14" customFormat="1" ht="18">
      <c r="B312" s="103" t="s">
        <v>235</v>
      </c>
      <c r="C312" s="47" t="s">
        <v>93</v>
      </c>
      <c r="D312" s="98" t="s">
        <v>598</v>
      </c>
      <c r="E312" s="103">
        <v>1</v>
      </c>
      <c r="F312" s="103" t="s">
        <v>152</v>
      </c>
      <c r="G312" s="180">
        <v>46</v>
      </c>
      <c r="H312" s="180">
        <v>28</v>
      </c>
      <c r="I312" s="102">
        <v>138</v>
      </c>
      <c r="J312" s="212" cm="1">
        <f t="array" ref="J312">_xlfn.XLOOKUP($I312,Inputs!$C$6:$C$23,Inputs!$D$6:D$23)*$G312</f>
        <v>19.944285714285716</v>
      </c>
      <c r="K312" s="217">
        <f t="shared" si="4"/>
        <v>3</v>
      </c>
      <c r="L312" s="123"/>
      <c r="M312" s="123"/>
      <c r="N312" s="123"/>
      <c r="O312" s="123"/>
      <c r="P312" s="123"/>
      <c r="Q312" s="218">
        <f>_xlfn.XLOOKUP($I312,Inputs!$G$6:$G$23,Inputs!$J$6:$J$23)*$K312</f>
        <v>141</v>
      </c>
      <c r="R312" s="218">
        <f>_xlfn.XLOOKUP($I312,Inputs!$G$6:$G$23,Inputs!$K$6:$K$23)*$K312</f>
        <v>156</v>
      </c>
      <c r="S312" s="103" t="s">
        <v>357</v>
      </c>
      <c r="T312" s="98" t="s">
        <v>1452</v>
      </c>
      <c r="U312" s="103" t="s">
        <v>1017</v>
      </c>
      <c r="V312" s="98" t="s">
        <v>1350</v>
      </c>
      <c r="W312" s="47"/>
      <c r="X312" s="18" t="s">
        <v>366</v>
      </c>
      <c r="Y312" s="68">
        <v>286</v>
      </c>
    </row>
    <row r="313" spans="2:25" s="14" customFormat="1" ht="18">
      <c r="B313" s="103" t="s">
        <v>261</v>
      </c>
      <c r="C313" s="47" t="s">
        <v>93</v>
      </c>
      <c r="D313" s="98" t="s">
        <v>598</v>
      </c>
      <c r="E313" s="103">
        <v>1</v>
      </c>
      <c r="F313" s="103" t="s">
        <v>152</v>
      </c>
      <c r="G313" s="180">
        <v>11</v>
      </c>
      <c r="H313" s="180">
        <v>7</v>
      </c>
      <c r="I313" s="102">
        <v>69</v>
      </c>
      <c r="J313" s="212" cm="1">
        <f t="array" ref="J313">_xlfn.XLOOKUP($I313,Inputs!$C$6:$C$23,Inputs!$D$6:D$23)*$G313</f>
        <v>4.2271428571428569</v>
      </c>
      <c r="K313" s="217">
        <f t="shared" si="4"/>
        <v>3</v>
      </c>
      <c r="L313" s="123"/>
      <c r="M313" s="123"/>
      <c r="N313" s="123"/>
      <c r="O313" s="123"/>
      <c r="P313" s="123"/>
      <c r="Q313" s="218">
        <f>_xlfn.XLOOKUP($I313,Inputs!$G$6:$G$23,Inputs!$J$6:$J$23)*$K313</f>
        <v>36</v>
      </c>
      <c r="R313" s="218">
        <f>_xlfn.XLOOKUP($I313,Inputs!$G$6:$G$23,Inputs!$K$6:$K$23)*$K313</f>
        <v>39</v>
      </c>
      <c r="S313" s="103" t="s">
        <v>1118</v>
      </c>
      <c r="T313" s="98" t="s">
        <v>1419</v>
      </c>
      <c r="U313" s="103" t="s">
        <v>929</v>
      </c>
      <c r="V313" s="98" t="s">
        <v>1199</v>
      </c>
      <c r="W313" s="47"/>
      <c r="X313" s="18"/>
      <c r="Y313" s="68">
        <v>5</v>
      </c>
    </row>
    <row r="314" spans="2:25" s="14" customFormat="1" ht="18">
      <c r="B314" s="103" t="s">
        <v>259</v>
      </c>
      <c r="C314" s="47" t="s">
        <v>93</v>
      </c>
      <c r="D314" s="98" t="s">
        <v>598</v>
      </c>
      <c r="E314" s="103">
        <v>1</v>
      </c>
      <c r="F314" s="103" t="s">
        <v>152</v>
      </c>
      <c r="G314" s="257">
        <v>100</v>
      </c>
      <c r="H314" s="257">
        <v>62</v>
      </c>
      <c r="I314" s="102">
        <v>138</v>
      </c>
      <c r="J314" s="212" cm="1">
        <f t="array" ref="J314">_xlfn.XLOOKUP($I314,Inputs!$C$6:$C$23,Inputs!$D$6:D$23)*$G314</f>
        <v>43.357142857142861</v>
      </c>
      <c r="K314" s="217">
        <f t="shared" si="4"/>
        <v>2.7879407344478064</v>
      </c>
      <c r="L314" s="123"/>
      <c r="M314" s="123"/>
      <c r="N314" s="123"/>
      <c r="O314" s="123"/>
      <c r="P314" s="123"/>
      <c r="Q314" s="218">
        <f>_xlfn.XLOOKUP($I314,Inputs!$G$6:$G$23,Inputs!$J$6:$J$23)*$K314</f>
        <v>131.03321451904691</v>
      </c>
      <c r="R314" s="218">
        <f>_xlfn.XLOOKUP($I314,Inputs!$G$6:$G$23,Inputs!$K$6:$K$23)*$K314</f>
        <v>144.97291819128594</v>
      </c>
      <c r="S314" s="103" t="s">
        <v>1118</v>
      </c>
      <c r="T314" s="98" t="s">
        <v>1419</v>
      </c>
      <c r="U314" s="103" t="s">
        <v>1116</v>
      </c>
      <c r="V314" s="98" t="s">
        <v>1407</v>
      </c>
      <c r="W314" s="47"/>
      <c r="X314" s="18"/>
      <c r="Y314" s="68">
        <v>256</v>
      </c>
    </row>
    <row r="315" spans="2:25" s="14" customFormat="1" ht="18">
      <c r="B315" s="103" t="s">
        <v>243</v>
      </c>
      <c r="C315" s="47" t="s">
        <v>93</v>
      </c>
      <c r="D315" s="98" t="s">
        <v>598</v>
      </c>
      <c r="E315" s="103">
        <v>1</v>
      </c>
      <c r="F315" s="103" t="s">
        <v>152</v>
      </c>
      <c r="G315" s="180">
        <v>6</v>
      </c>
      <c r="H315" s="180">
        <v>4</v>
      </c>
      <c r="I315" s="102">
        <v>69</v>
      </c>
      <c r="J315" s="212" cm="1">
        <f t="array" ref="J315">_xlfn.XLOOKUP($I315,Inputs!$C$6:$C$23,Inputs!$D$6:D$23)*$G315</f>
        <v>2.3057142857142856</v>
      </c>
      <c r="K315" s="217">
        <f t="shared" si="4"/>
        <v>3</v>
      </c>
      <c r="L315" s="123"/>
      <c r="M315" s="123"/>
      <c r="N315" s="123"/>
      <c r="O315" s="123"/>
      <c r="P315" s="123"/>
      <c r="Q315" s="218">
        <f>_xlfn.XLOOKUP($I315,Inputs!$G$6:$G$23,Inputs!$J$6:$J$23)*$K315</f>
        <v>36</v>
      </c>
      <c r="R315" s="218">
        <f>_xlfn.XLOOKUP($I315,Inputs!$G$6:$G$23,Inputs!$K$6:$K$23)*$K315</f>
        <v>39</v>
      </c>
      <c r="S315" s="103" t="s">
        <v>1118</v>
      </c>
      <c r="T315" s="98" t="s">
        <v>1419</v>
      </c>
      <c r="U315" s="103" t="s">
        <v>630</v>
      </c>
      <c r="V315" s="98" t="s">
        <v>702</v>
      </c>
      <c r="W315" s="47"/>
      <c r="X315" s="18"/>
      <c r="Y315" s="68">
        <v>93</v>
      </c>
    </row>
    <row r="316" spans="2:25" s="14" customFormat="1" ht="18">
      <c r="B316" s="103" t="s">
        <v>260</v>
      </c>
      <c r="C316" s="47" t="s">
        <v>93</v>
      </c>
      <c r="D316" s="98" t="s">
        <v>598</v>
      </c>
      <c r="E316" s="103">
        <v>1</v>
      </c>
      <c r="F316" s="103" t="s">
        <v>152</v>
      </c>
      <c r="G316" s="180">
        <v>33</v>
      </c>
      <c r="H316" s="180">
        <v>20</v>
      </c>
      <c r="I316" s="102">
        <v>69</v>
      </c>
      <c r="J316" s="212" cm="1">
        <f t="array" ref="J316">_xlfn.XLOOKUP($I316,Inputs!$C$6:$C$23,Inputs!$D$6:D$23)*$G316</f>
        <v>12.681428571428571</v>
      </c>
      <c r="K316" s="217">
        <f t="shared" si="4"/>
        <v>3</v>
      </c>
      <c r="L316" s="123"/>
      <c r="M316" s="123"/>
      <c r="N316" s="123"/>
      <c r="O316" s="123"/>
      <c r="P316" s="123"/>
      <c r="Q316" s="218">
        <f>_xlfn.XLOOKUP($I316,Inputs!$G$6:$G$23,Inputs!$J$6:$J$23)*$K316</f>
        <v>36</v>
      </c>
      <c r="R316" s="218">
        <f>_xlfn.XLOOKUP($I316,Inputs!$G$6:$G$23,Inputs!$K$6:$K$23)*$K316</f>
        <v>39</v>
      </c>
      <c r="S316" s="179" t="s">
        <v>1118</v>
      </c>
      <c r="T316" s="98" t="s">
        <v>1419</v>
      </c>
      <c r="U316" s="179" t="s">
        <v>619</v>
      </c>
      <c r="V316" s="98" t="s">
        <v>701</v>
      </c>
      <c r="W316" s="47"/>
      <c r="X316" s="18"/>
      <c r="Y316" s="68">
        <v>14</v>
      </c>
    </row>
    <row r="317" spans="2:25" s="14" customFormat="1" ht="18">
      <c r="B317" s="103" t="s">
        <v>248</v>
      </c>
      <c r="C317" s="47" t="s">
        <v>93</v>
      </c>
      <c r="D317" s="98" t="s">
        <v>598</v>
      </c>
      <c r="E317" s="103">
        <v>1</v>
      </c>
      <c r="F317" s="103" t="s">
        <v>152</v>
      </c>
      <c r="G317" s="257">
        <v>10</v>
      </c>
      <c r="H317" s="257">
        <v>6</v>
      </c>
      <c r="I317" s="102">
        <v>138</v>
      </c>
      <c r="J317" s="212" cm="1">
        <f t="array" ref="J317">_xlfn.XLOOKUP($I317,Inputs!$C$6:$C$23,Inputs!$D$6:D$23)*$G317</f>
        <v>4.3357142857142863</v>
      </c>
      <c r="K317" s="217">
        <f t="shared" si="4"/>
        <v>3</v>
      </c>
      <c r="L317" s="123"/>
      <c r="M317" s="123"/>
      <c r="N317" s="123"/>
      <c r="O317" s="123"/>
      <c r="P317" s="123"/>
      <c r="Q317" s="218">
        <f>_xlfn.XLOOKUP($I317,Inputs!$G$6:$G$23,Inputs!$J$6:$J$23)*$K317</f>
        <v>141</v>
      </c>
      <c r="R317" s="218">
        <f>_xlfn.XLOOKUP($I317,Inputs!$G$6:$G$23,Inputs!$K$6:$K$23)*$K317</f>
        <v>156</v>
      </c>
      <c r="S317" s="103" t="s">
        <v>1118</v>
      </c>
      <c r="T317" s="98" t="s">
        <v>1419</v>
      </c>
      <c r="U317" s="103" t="s">
        <v>673</v>
      </c>
      <c r="V317" s="98" t="s">
        <v>760</v>
      </c>
      <c r="W317" s="47"/>
      <c r="X317" s="18"/>
      <c r="Y317" s="68">
        <v>269</v>
      </c>
    </row>
    <row r="318" spans="2:25" s="14" customFormat="1" ht="18">
      <c r="B318" s="103" t="s">
        <v>254</v>
      </c>
      <c r="C318" s="47" t="s">
        <v>93</v>
      </c>
      <c r="D318" s="98" t="s">
        <v>598</v>
      </c>
      <c r="E318" s="103">
        <v>1</v>
      </c>
      <c r="F318" s="103" t="s">
        <v>152</v>
      </c>
      <c r="G318" s="180">
        <v>3</v>
      </c>
      <c r="H318" s="180">
        <v>2</v>
      </c>
      <c r="I318" s="102">
        <v>138</v>
      </c>
      <c r="J318" s="212" cm="1">
        <f t="array" ref="J318">_xlfn.XLOOKUP($I318,Inputs!$C$6:$C$23,Inputs!$D$6:D$23)*$G318</f>
        <v>1.3007142857142857</v>
      </c>
      <c r="K318" s="217">
        <f t="shared" si="4"/>
        <v>3</v>
      </c>
      <c r="L318" s="123"/>
      <c r="M318" s="123"/>
      <c r="N318" s="123"/>
      <c r="O318" s="123"/>
      <c r="P318" s="123"/>
      <c r="Q318" s="218">
        <f>_xlfn.XLOOKUP($I318,Inputs!$G$6:$G$23,Inputs!$J$6:$J$23)*$K318</f>
        <v>141</v>
      </c>
      <c r="R318" s="218">
        <f>_xlfn.XLOOKUP($I318,Inputs!$G$6:$G$23,Inputs!$K$6:$K$23)*$K318</f>
        <v>156</v>
      </c>
      <c r="S318" s="103" t="s">
        <v>1118</v>
      </c>
      <c r="T318" s="98" t="s">
        <v>1419</v>
      </c>
      <c r="U318" s="103" t="s">
        <v>1026</v>
      </c>
      <c r="V318" s="98" t="s">
        <v>1333</v>
      </c>
      <c r="W318" s="47"/>
      <c r="X318" s="18"/>
      <c r="Y318" s="68">
        <v>334</v>
      </c>
    </row>
    <row r="319" spans="2:25" s="14" customFormat="1" ht="18">
      <c r="B319" s="103" t="s">
        <v>162</v>
      </c>
      <c r="C319" s="47" t="s">
        <v>93</v>
      </c>
      <c r="D319" s="98" t="s">
        <v>598</v>
      </c>
      <c r="E319" s="103">
        <v>1</v>
      </c>
      <c r="F319" s="103" t="s">
        <v>152</v>
      </c>
      <c r="G319" s="180">
        <v>20</v>
      </c>
      <c r="H319" s="180">
        <v>12</v>
      </c>
      <c r="I319" s="102">
        <v>138</v>
      </c>
      <c r="J319" s="212" cm="1">
        <f t="array" ref="J319">_xlfn.XLOOKUP($I319,Inputs!$C$6:$C$23,Inputs!$D$6:D$23)*$G319</f>
        <v>8.6714285714285726</v>
      </c>
      <c r="K319" s="217">
        <f t="shared" si="4"/>
        <v>3</v>
      </c>
      <c r="L319" s="123"/>
      <c r="M319" s="123"/>
      <c r="N319" s="123"/>
      <c r="O319" s="123"/>
      <c r="P319" s="123"/>
      <c r="Q319" s="218">
        <f>_xlfn.XLOOKUP($I319,Inputs!$G$6:$G$23,Inputs!$J$6:$J$23)*$K319</f>
        <v>141</v>
      </c>
      <c r="R319" s="218">
        <f>_xlfn.XLOOKUP($I319,Inputs!$G$6:$G$23,Inputs!$K$6:$K$23)*$K319</f>
        <v>156</v>
      </c>
      <c r="S319" s="19" t="s">
        <v>1127</v>
      </c>
      <c r="T319" s="98" t="s">
        <v>1420</v>
      </c>
      <c r="U319" s="19" t="s">
        <v>1501</v>
      </c>
      <c r="V319" s="98" t="s">
        <v>766</v>
      </c>
      <c r="W319" s="47"/>
      <c r="X319" s="18"/>
      <c r="Y319" s="68">
        <v>307</v>
      </c>
    </row>
    <row r="320" spans="2:25" s="14" customFormat="1" ht="18">
      <c r="B320" s="103" t="s">
        <v>242</v>
      </c>
      <c r="C320" s="47" t="s">
        <v>93</v>
      </c>
      <c r="D320" s="98" t="s">
        <v>598</v>
      </c>
      <c r="E320" s="103">
        <v>1</v>
      </c>
      <c r="F320" s="103" t="s">
        <v>152</v>
      </c>
      <c r="G320" s="180">
        <v>20</v>
      </c>
      <c r="H320" s="180">
        <v>12</v>
      </c>
      <c r="I320" s="102">
        <v>138</v>
      </c>
      <c r="J320" s="212" cm="1">
        <f t="array" ref="J320">_xlfn.XLOOKUP($I320,Inputs!$C$6:$C$23,Inputs!$D$6:D$23)*$G320</f>
        <v>8.6714285714285726</v>
      </c>
      <c r="K320" s="217">
        <f t="shared" si="4"/>
        <v>3</v>
      </c>
      <c r="L320" s="123"/>
      <c r="M320" s="123"/>
      <c r="N320" s="123"/>
      <c r="O320" s="123"/>
      <c r="P320" s="123"/>
      <c r="Q320" s="218">
        <f>_xlfn.XLOOKUP($I320,Inputs!$G$6:$G$23,Inputs!$J$6:$J$23)*$K320</f>
        <v>141</v>
      </c>
      <c r="R320" s="218">
        <f>_xlfn.XLOOKUP($I320,Inputs!$G$6:$G$23,Inputs!$K$6:$K$23)*$K320</f>
        <v>156</v>
      </c>
      <c r="S320" s="19" t="s">
        <v>1127</v>
      </c>
      <c r="T320" s="98" t="s">
        <v>1420</v>
      </c>
      <c r="U320" s="19" t="s">
        <v>1501</v>
      </c>
      <c r="V320" s="98" t="s">
        <v>766</v>
      </c>
      <c r="W320" s="47"/>
      <c r="X320" s="18"/>
      <c r="Y320" s="68">
        <v>310</v>
      </c>
    </row>
    <row r="321" spans="2:25" s="14" customFormat="1" ht="18">
      <c r="B321" s="103" t="s">
        <v>314</v>
      </c>
      <c r="C321" s="47" t="s">
        <v>93</v>
      </c>
      <c r="D321" s="98" t="s">
        <v>598</v>
      </c>
      <c r="E321" s="103">
        <v>1</v>
      </c>
      <c r="F321" s="103" t="s">
        <v>152</v>
      </c>
      <c r="G321" s="180">
        <v>13</v>
      </c>
      <c r="H321" s="180">
        <v>8</v>
      </c>
      <c r="I321" s="102">
        <v>69</v>
      </c>
      <c r="J321" s="212" cm="1">
        <f t="array" ref="J321">_xlfn.XLOOKUP($I321,Inputs!$C$6:$C$23,Inputs!$D$6:D$23)*$G321</f>
        <v>4.9957142857142856</v>
      </c>
      <c r="K321" s="217">
        <f t="shared" si="4"/>
        <v>3</v>
      </c>
      <c r="L321" s="123"/>
      <c r="M321" s="123"/>
      <c r="N321" s="123"/>
      <c r="O321" s="123"/>
      <c r="P321" s="123"/>
      <c r="Q321" s="218">
        <f>_xlfn.XLOOKUP($I321,Inputs!$G$6:$G$23,Inputs!$J$6:$J$23)*$K321</f>
        <v>36</v>
      </c>
      <c r="R321" s="218">
        <f>_xlfn.XLOOKUP($I321,Inputs!$G$6:$G$23,Inputs!$K$6:$K$23)*$K321</f>
        <v>39</v>
      </c>
      <c r="S321" s="103" t="s">
        <v>959</v>
      </c>
      <c r="T321" s="98" t="s">
        <v>1309</v>
      </c>
      <c r="U321" s="103" t="s">
        <v>966</v>
      </c>
      <c r="V321" s="98" t="s">
        <v>1306</v>
      </c>
      <c r="W321" s="47"/>
      <c r="X321" s="18"/>
      <c r="Y321" s="68">
        <v>66</v>
      </c>
    </row>
    <row r="322" spans="2:25" s="14" customFormat="1" ht="18">
      <c r="B322" s="103" t="s">
        <v>349</v>
      </c>
      <c r="C322" s="47" t="s">
        <v>93</v>
      </c>
      <c r="D322" s="98" t="s">
        <v>598</v>
      </c>
      <c r="E322" s="103">
        <v>1</v>
      </c>
      <c r="F322" s="103" t="s">
        <v>152</v>
      </c>
      <c r="G322" s="257">
        <v>3</v>
      </c>
      <c r="H322" s="257">
        <v>2</v>
      </c>
      <c r="I322" s="102">
        <v>138</v>
      </c>
      <c r="J322" s="212" cm="1">
        <f t="array" ref="J322">_xlfn.XLOOKUP($I322,Inputs!$C$6:$C$23,Inputs!$D$6:D$23)*$G322</f>
        <v>1.3007142857142857</v>
      </c>
      <c r="K322" s="217">
        <f t="shared" si="4"/>
        <v>3</v>
      </c>
      <c r="L322" s="123"/>
      <c r="M322" s="123"/>
      <c r="N322" s="123"/>
      <c r="O322" s="123"/>
      <c r="P322" s="123"/>
      <c r="Q322" s="218">
        <f>_xlfn.XLOOKUP($I322,Inputs!$G$6:$G$23,Inputs!$J$6:$J$23)*$K322</f>
        <v>141</v>
      </c>
      <c r="R322" s="218">
        <f>_xlfn.XLOOKUP($I322,Inputs!$G$6:$G$23,Inputs!$K$6:$K$23)*$K322</f>
        <v>156</v>
      </c>
      <c r="S322" s="103" t="s">
        <v>1015</v>
      </c>
      <c r="T322" s="98" t="s">
        <v>1310</v>
      </c>
      <c r="U322" s="103" t="s">
        <v>675</v>
      </c>
      <c r="V322" s="98" t="s">
        <v>741</v>
      </c>
      <c r="W322" s="47"/>
      <c r="X322" s="18"/>
      <c r="Y322" s="68">
        <v>279</v>
      </c>
    </row>
    <row r="323" spans="2:25" s="14" customFormat="1" ht="18">
      <c r="B323" s="103" t="s">
        <v>348</v>
      </c>
      <c r="C323" s="47" t="s">
        <v>93</v>
      </c>
      <c r="D323" s="98" t="s">
        <v>598</v>
      </c>
      <c r="E323" s="103">
        <v>1</v>
      </c>
      <c r="F323" s="103" t="s">
        <v>152</v>
      </c>
      <c r="G323" s="180">
        <v>5</v>
      </c>
      <c r="H323" s="180">
        <v>3</v>
      </c>
      <c r="I323" s="102">
        <v>138</v>
      </c>
      <c r="J323" s="212" cm="1">
        <f t="array" ref="J323">_xlfn.XLOOKUP($I323,Inputs!$C$6:$C$23,Inputs!$D$6:D$23)*$G323</f>
        <v>2.1678571428571431</v>
      </c>
      <c r="K323" s="217">
        <f t="shared" si="4"/>
        <v>3</v>
      </c>
      <c r="L323" s="123"/>
      <c r="M323" s="123"/>
      <c r="N323" s="123"/>
      <c r="O323" s="123"/>
      <c r="P323" s="123"/>
      <c r="Q323" s="218">
        <f>_xlfn.XLOOKUP($I323,Inputs!$G$6:$G$23,Inputs!$J$6:$J$23)*$K323</f>
        <v>141</v>
      </c>
      <c r="R323" s="218">
        <f>_xlfn.XLOOKUP($I323,Inputs!$G$6:$G$23,Inputs!$K$6:$K$23)*$K323</f>
        <v>156</v>
      </c>
      <c r="S323" s="103" t="s">
        <v>1015</v>
      </c>
      <c r="T323" s="98" t="s">
        <v>1310</v>
      </c>
      <c r="U323" s="103" t="s">
        <v>1120</v>
      </c>
      <c r="V323" s="98" t="s">
        <v>1431</v>
      </c>
      <c r="W323" s="47"/>
      <c r="X323" s="18"/>
      <c r="Y323" s="68">
        <v>259</v>
      </c>
    </row>
    <row r="324" spans="2:25" s="14" customFormat="1" ht="18">
      <c r="B324" s="103" t="s">
        <v>239</v>
      </c>
      <c r="C324" s="47" t="s">
        <v>93</v>
      </c>
      <c r="D324" s="98" t="s">
        <v>598</v>
      </c>
      <c r="E324" s="103">
        <v>1</v>
      </c>
      <c r="F324" s="103" t="s">
        <v>152</v>
      </c>
      <c r="G324" s="180">
        <v>3</v>
      </c>
      <c r="H324" s="180">
        <v>2</v>
      </c>
      <c r="I324" s="102">
        <v>69</v>
      </c>
      <c r="J324" s="212" cm="1">
        <f t="array" ref="J324">_xlfn.XLOOKUP($I324,Inputs!$C$6:$C$23,Inputs!$D$6:D$23)*$G324</f>
        <v>1.1528571428571428</v>
      </c>
      <c r="K324" s="217">
        <f t="shared" ref="K324:K387" si="5">IF((42.4*(H324)^(-0.6595))&gt;=3,3,(IF(42.4*(H324)^(-0.6595)&lt;=0.5,0.5,(42.4*(H324)^(-0.6595)))))</f>
        <v>3</v>
      </c>
      <c r="L324" s="123"/>
      <c r="M324" s="123"/>
      <c r="N324" s="123"/>
      <c r="O324" s="123"/>
      <c r="P324" s="123"/>
      <c r="Q324" s="218">
        <f>_xlfn.XLOOKUP($I324,Inputs!$G$6:$G$23,Inputs!$J$6:$J$23)*$K324</f>
        <v>36</v>
      </c>
      <c r="R324" s="218">
        <f>_xlfn.XLOOKUP($I324,Inputs!$G$6:$G$23,Inputs!$K$6:$K$23)*$K324</f>
        <v>39</v>
      </c>
      <c r="S324" s="103" t="s">
        <v>942</v>
      </c>
      <c r="T324" s="98" t="s">
        <v>1312</v>
      </c>
      <c r="U324" s="103" t="s">
        <v>943</v>
      </c>
      <c r="V324" s="98" t="s">
        <v>1316</v>
      </c>
      <c r="W324" s="47"/>
      <c r="X324" s="18"/>
      <c r="Y324" s="68">
        <v>30</v>
      </c>
    </row>
    <row r="325" spans="2:25" s="14" customFormat="1" ht="18">
      <c r="B325" s="103" t="s">
        <v>184</v>
      </c>
      <c r="C325" s="47" t="s">
        <v>93</v>
      </c>
      <c r="D325" s="98" t="s">
        <v>598</v>
      </c>
      <c r="E325" s="103">
        <v>1</v>
      </c>
      <c r="F325" s="103" t="s">
        <v>152</v>
      </c>
      <c r="G325" s="180">
        <v>19</v>
      </c>
      <c r="H325" s="180">
        <v>12</v>
      </c>
      <c r="I325" s="102">
        <v>69</v>
      </c>
      <c r="J325" s="212" cm="1">
        <f t="array" ref="J325">_xlfn.XLOOKUP($I325,Inputs!$C$6:$C$23,Inputs!$D$6:D$23)*$G325</f>
        <v>7.3014285714285716</v>
      </c>
      <c r="K325" s="217">
        <f t="shared" si="5"/>
        <v>3</v>
      </c>
      <c r="L325" s="123"/>
      <c r="M325" s="123"/>
      <c r="N325" s="123"/>
      <c r="O325" s="123"/>
      <c r="P325" s="123"/>
      <c r="Q325" s="218">
        <f>_xlfn.XLOOKUP($I325,Inputs!$G$6:$G$23,Inputs!$J$6:$J$23)*$K325</f>
        <v>36</v>
      </c>
      <c r="R325" s="218">
        <f>_xlfn.XLOOKUP($I325,Inputs!$G$6:$G$23,Inputs!$K$6:$K$23)*$K325</f>
        <v>39</v>
      </c>
      <c r="S325" s="103" t="s">
        <v>976</v>
      </c>
      <c r="T325" s="98" t="s">
        <v>1314</v>
      </c>
      <c r="U325" s="103" t="s">
        <v>977</v>
      </c>
      <c r="V325" s="98" t="s">
        <v>1321</v>
      </c>
      <c r="W325" s="47"/>
      <c r="X325" s="18"/>
      <c r="Y325" s="68">
        <v>110</v>
      </c>
    </row>
    <row r="326" spans="2:25" s="14" customFormat="1" ht="18">
      <c r="B326" s="103" t="s">
        <v>239</v>
      </c>
      <c r="C326" s="47" t="s">
        <v>93</v>
      </c>
      <c r="D326" s="98" t="s">
        <v>598</v>
      </c>
      <c r="E326" s="103">
        <v>1</v>
      </c>
      <c r="F326" s="103" t="s">
        <v>152</v>
      </c>
      <c r="G326" s="180">
        <v>1</v>
      </c>
      <c r="H326" s="180">
        <v>0.6</v>
      </c>
      <c r="I326" s="102">
        <v>69</v>
      </c>
      <c r="J326" s="212" cm="1">
        <f t="array" ref="J326">_xlfn.XLOOKUP($I326,Inputs!$C$6:$C$23,Inputs!$D$6:D$23)*$G326</f>
        <v>0.38428571428571429</v>
      </c>
      <c r="K326" s="217">
        <f t="shared" si="5"/>
        <v>3</v>
      </c>
      <c r="L326" s="123"/>
      <c r="M326" s="123"/>
      <c r="N326" s="123"/>
      <c r="O326" s="123"/>
      <c r="P326" s="123"/>
      <c r="Q326" s="218">
        <f>_xlfn.XLOOKUP($I326,Inputs!$G$6:$G$23,Inputs!$J$6:$J$23)*$K326</f>
        <v>36</v>
      </c>
      <c r="R326" s="218">
        <f>_xlfn.XLOOKUP($I326,Inputs!$G$6:$G$23,Inputs!$K$6:$K$23)*$K326</f>
        <v>39</v>
      </c>
      <c r="S326" s="103" t="s">
        <v>943</v>
      </c>
      <c r="T326" s="98" t="s">
        <v>1316</v>
      </c>
      <c r="U326" s="103" t="s">
        <v>944</v>
      </c>
      <c r="V326" s="98" t="s">
        <v>1358</v>
      </c>
      <c r="W326" s="47"/>
      <c r="X326" s="18"/>
      <c r="Y326" s="68">
        <v>31</v>
      </c>
    </row>
    <row r="327" spans="2:25" s="14" customFormat="1" ht="18">
      <c r="B327" s="103" t="s">
        <v>335</v>
      </c>
      <c r="C327" s="47" t="s">
        <v>93</v>
      </c>
      <c r="D327" s="98" t="s">
        <v>598</v>
      </c>
      <c r="E327" s="103">
        <v>1</v>
      </c>
      <c r="F327" s="103" t="s">
        <v>152</v>
      </c>
      <c r="G327" s="180">
        <v>39</v>
      </c>
      <c r="H327" s="180">
        <v>24</v>
      </c>
      <c r="I327" s="102">
        <v>138</v>
      </c>
      <c r="J327" s="212" cm="1">
        <f t="array" ref="J327">_xlfn.XLOOKUP($I327,Inputs!$C$6:$C$23,Inputs!$D$6:D$23)*$G327</f>
        <v>16.909285714285716</v>
      </c>
      <c r="K327" s="217">
        <f t="shared" si="5"/>
        <v>3</v>
      </c>
      <c r="L327" s="123"/>
      <c r="M327" s="123"/>
      <c r="N327" s="123"/>
      <c r="O327" s="123"/>
      <c r="P327" s="123"/>
      <c r="Q327" s="218">
        <f>_xlfn.XLOOKUP($I327,Inputs!$G$6:$G$23,Inputs!$J$6:$J$23)*$K327</f>
        <v>141</v>
      </c>
      <c r="R327" s="218">
        <f>_xlfn.XLOOKUP($I327,Inputs!$G$6:$G$23,Inputs!$K$6:$K$23)*$K327</f>
        <v>156</v>
      </c>
      <c r="S327" s="103" t="s">
        <v>1117</v>
      </c>
      <c r="T327" s="98" t="s">
        <v>1421</v>
      </c>
      <c r="U327" s="103" t="s">
        <v>672</v>
      </c>
      <c r="V327" s="98" t="s">
        <v>725</v>
      </c>
      <c r="W327" s="47"/>
      <c r="X327" s="18"/>
      <c r="Y327" s="68">
        <v>266</v>
      </c>
    </row>
    <row r="328" spans="2:25" s="14" customFormat="1" ht="18">
      <c r="B328" s="103" t="s">
        <v>235</v>
      </c>
      <c r="C328" s="47" t="s">
        <v>93</v>
      </c>
      <c r="D328" s="98" t="s">
        <v>598</v>
      </c>
      <c r="E328" s="103">
        <v>1</v>
      </c>
      <c r="F328" s="103" t="s">
        <v>152</v>
      </c>
      <c r="G328" s="257">
        <v>8</v>
      </c>
      <c r="H328" s="257">
        <v>5</v>
      </c>
      <c r="I328" s="102">
        <v>138</v>
      </c>
      <c r="J328" s="212" cm="1">
        <f t="array" ref="J328">_xlfn.XLOOKUP($I328,Inputs!$C$6:$C$23,Inputs!$D$6:D$23)*$G328</f>
        <v>3.4685714285714289</v>
      </c>
      <c r="K328" s="217">
        <f t="shared" si="5"/>
        <v>3</v>
      </c>
      <c r="L328" s="123"/>
      <c r="M328" s="123"/>
      <c r="N328" s="123"/>
      <c r="O328" s="123"/>
      <c r="P328" s="123"/>
      <c r="Q328" s="218">
        <f>_xlfn.XLOOKUP($I328,Inputs!$G$6:$G$23,Inputs!$J$6:$J$23)*$K328</f>
        <v>141</v>
      </c>
      <c r="R328" s="218">
        <f>_xlfn.XLOOKUP($I328,Inputs!$G$6:$G$23,Inputs!$K$6:$K$23)*$K328</f>
        <v>156</v>
      </c>
      <c r="S328" s="103" t="s">
        <v>1117</v>
      </c>
      <c r="T328" s="98" t="s">
        <v>1421</v>
      </c>
      <c r="U328" s="103" t="s">
        <v>357</v>
      </c>
      <c r="V328" s="98" t="s">
        <v>1452</v>
      </c>
      <c r="W328" s="47"/>
      <c r="X328" s="18" t="s">
        <v>1538</v>
      </c>
      <c r="Y328" s="68">
        <v>285</v>
      </c>
    </row>
    <row r="329" spans="2:25" s="14" customFormat="1" ht="18">
      <c r="B329" s="103" t="s">
        <v>334</v>
      </c>
      <c r="C329" s="47" t="s">
        <v>93</v>
      </c>
      <c r="D329" s="98" t="s">
        <v>598</v>
      </c>
      <c r="E329" s="103">
        <v>1</v>
      </c>
      <c r="F329" s="103" t="s">
        <v>152</v>
      </c>
      <c r="G329" s="180">
        <v>18</v>
      </c>
      <c r="H329" s="180">
        <v>11</v>
      </c>
      <c r="I329" s="102">
        <v>69</v>
      </c>
      <c r="J329" s="212" cm="1">
        <f t="array" ref="J329">_xlfn.XLOOKUP($I329,Inputs!$C$6:$C$23,Inputs!$D$6:D$23)*$G329</f>
        <v>6.9171428571428573</v>
      </c>
      <c r="K329" s="217">
        <f t="shared" si="5"/>
        <v>3</v>
      </c>
      <c r="L329" s="123"/>
      <c r="M329" s="123"/>
      <c r="N329" s="123"/>
      <c r="O329" s="123"/>
      <c r="P329" s="123"/>
      <c r="Q329" s="218">
        <f>_xlfn.XLOOKUP($I329,Inputs!$G$6:$G$23,Inputs!$J$6:$J$23)*$K329</f>
        <v>36</v>
      </c>
      <c r="R329" s="218">
        <f>_xlfn.XLOOKUP($I329,Inputs!$G$6:$G$23,Inputs!$K$6:$K$23)*$K329</f>
        <v>39</v>
      </c>
      <c r="S329" s="103" t="s">
        <v>1117</v>
      </c>
      <c r="T329" s="98" t="s">
        <v>1421</v>
      </c>
      <c r="U329" s="103" t="s">
        <v>1077</v>
      </c>
      <c r="V329" s="98" t="s">
        <v>1325</v>
      </c>
      <c r="W329" s="47"/>
      <c r="X329" s="18"/>
      <c r="Y329" s="68">
        <v>225</v>
      </c>
    </row>
    <row r="330" spans="2:25" s="14" customFormat="1" ht="18">
      <c r="B330" s="103" t="s">
        <v>278</v>
      </c>
      <c r="C330" s="47" t="s">
        <v>93</v>
      </c>
      <c r="D330" s="98" t="s">
        <v>598</v>
      </c>
      <c r="E330" s="103">
        <v>1</v>
      </c>
      <c r="F330" s="103" t="s">
        <v>152</v>
      </c>
      <c r="G330" s="180">
        <v>96</v>
      </c>
      <c r="H330" s="180">
        <v>59</v>
      </c>
      <c r="I330" s="102">
        <v>345</v>
      </c>
      <c r="J330" s="212" cm="1">
        <f t="array" ref="J330">_xlfn.XLOOKUP($I330,Inputs!$C$6:$C$23,Inputs!$D$6:D$23)*$G330</f>
        <v>42.604444444444447</v>
      </c>
      <c r="K330" s="217">
        <f t="shared" si="5"/>
        <v>2.880639787696015</v>
      </c>
      <c r="L330" s="123"/>
      <c r="M330" s="123"/>
      <c r="N330" s="123"/>
      <c r="O330" s="123"/>
      <c r="P330" s="123"/>
      <c r="Q330" s="218">
        <f>_xlfn.XLOOKUP($I330,Inputs!$G$6:$G$23,Inputs!$J$6:$J$23)*$K330</f>
        <v>936.20793100120488</v>
      </c>
      <c r="R330" s="218">
        <f>_xlfn.XLOOKUP($I330,Inputs!$G$6:$G$23,Inputs!$K$6:$K$23)*$K330</f>
        <v>1224.2719097708064</v>
      </c>
      <c r="S330" s="103" t="s">
        <v>1131</v>
      </c>
      <c r="T330" s="98" t="s">
        <v>1422</v>
      </c>
      <c r="U330" s="103" t="s">
        <v>279</v>
      </c>
      <c r="V330" s="98" t="s">
        <v>1378</v>
      </c>
      <c r="W330" s="47"/>
      <c r="X330" s="18"/>
      <c r="Y330" s="68">
        <v>396</v>
      </c>
    </row>
    <row r="331" spans="2:25" s="14" customFormat="1" ht="18">
      <c r="B331" s="103" t="s">
        <v>271</v>
      </c>
      <c r="C331" s="47" t="s">
        <v>93</v>
      </c>
      <c r="D331" s="98" t="s">
        <v>598</v>
      </c>
      <c r="E331" s="103">
        <v>1</v>
      </c>
      <c r="F331" s="103" t="s">
        <v>152</v>
      </c>
      <c r="G331" s="180">
        <v>8</v>
      </c>
      <c r="H331" s="180">
        <v>5</v>
      </c>
      <c r="I331" s="102">
        <v>138</v>
      </c>
      <c r="J331" s="212" cm="1">
        <f t="array" ref="J331">_xlfn.XLOOKUP($I331,Inputs!$C$6:$C$23,Inputs!$D$6:D$23)*$G331</f>
        <v>3.4685714285714289</v>
      </c>
      <c r="K331" s="217">
        <f t="shared" si="5"/>
        <v>3</v>
      </c>
      <c r="L331" s="123"/>
      <c r="M331" s="123"/>
      <c r="N331" s="123"/>
      <c r="O331" s="123"/>
      <c r="P331" s="123"/>
      <c r="Q331" s="218">
        <f>_xlfn.XLOOKUP($I331,Inputs!$G$6:$G$23,Inputs!$J$6:$J$23)*$K331</f>
        <v>141</v>
      </c>
      <c r="R331" s="218">
        <f>_xlfn.XLOOKUP($I331,Inputs!$G$6:$G$23,Inputs!$K$6:$K$23)*$K331</f>
        <v>156</v>
      </c>
      <c r="S331" s="103" t="s">
        <v>1131</v>
      </c>
      <c r="T331" s="98" t="s">
        <v>1422</v>
      </c>
      <c r="U331" s="103" t="s">
        <v>681</v>
      </c>
      <c r="V331" s="98" t="s">
        <v>716</v>
      </c>
      <c r="W331" s="47"/>
      <c r="X331" s="18"/>
      <c r="Y331" s="68">
        <v>316</v>
      </c>
    </row>
    <row r="332" spans="2:25" s="14" customFormat="1" ht="18">
      <c r="B332" s="103" t="s">
        <v>313</v>
      </c>
      <c r="C332" s="47" t="s">
        <v>93</v>
      </c>
      <c r="D332" s="98" t="s">
        <v>598</v>
      </c>
      <c r="E332" s="103">
        <v>1</v>
      </c>
      <c r="F332" s="103" t="s">
        <v>152</v>
      </c>
      <c r="G332" s="180">
        <v>14</v>
      </c>
      <c r="H332" s="180">
        <v>9</v>
      </c>
      <c r="I332" s="102">
        <v>138</v>
      </c>
      <c r="J332" s="212" cm="1">
        <f t="array" ref="J332">_xlfn.XLOOKUP($I332,Inputs!$C$6:$C$23,Inputs!$D$6:D$23)*$G332</f>
        <v>6.07</v>
      </c>
      <c r="K332" s="217">
        <f t="shared" si="5"/>
        <v>3</v>
      </c>
      <c r="L332" s="123"/>
      <c r="M332" s="123"/>
      <c r="N332" s="123"/>
      <c r="O332" s="123"/>
      <c r="P332" s="123"/>
      <c r="Q332" s="218">
        <f>_xlfn.XLOOKUP($I332,Inputs!$G$6:$G$23,Inputs!$J$6:$J$23)*$K332</f>
        <v>141</v>
      </c>
      <c r="R332" s="218">
        <f>_xlfn.XLOOKUP($I332,Inputs!$G$6:$G$23,Inputs!$K$6:$K$23)*$K332</f>
        <v>156</v>
      </c>
      <c r="S332" s="103" t="s">
        <v>1119</v>
      </c>
      <c r="T332" s="98" t="s">
        <v>1423</v>
      </c>
      <c r="U332" s="103" t="s">
        <v>1073</v>
      </c>
      <c r="V332" s="98" t="s">
        <v>1454</v>
      </c>
      <c r="W332" s="47"/>
      <c r="X332" s="18"/>
      <c r="Y332" s="68">
        <v>327</v>
      </c>
    </row>
    <row r="333" spans="2:25" s="14" customFormat="1" ht="18">
      <c r="B333" s="103" t="s">
        <v>314</v>
      </c>
      <c r="C333" s="47" t="s">
        <v>93</v>
      </c>
      <c r="D333" s="98" t="s">
        <v>598</v>
      </c>
      <c r="E333" s="103">
        <v>1</v>
      </c>
      <c r="F333" s="103" t="s">
        <v>152</v>
      </c>
      <c r="G333" s="180">
        <v>46</v>
      </c>
      <c r="H333" s="180">
        <v>28</v>
      </c>
      <c r="I333" s="102">
        <v>69</v>
      </c>
      <c r="J333" s="212" cm="1">
        <f t="array" ref="J333">_xlfn.XLOOKUP($I333,Inputs!$C$6:$C$23,Inputs!$D$6:D$23)*$G333</f>
        <v>17.677142857142858</v>
      </c>
      <c r="K333" s="217">
        <f t="shared" si="5"/>
        <v>3</v>
      </c>
      <c r="L333" s="123"/>
      <c r="M333" s="123"/>
      <c r="N333" s="123"/>
      <c r="O333" s="123"/>
      <c r="P333" s="123"/>
      <c r="Q333" s="218">
        <f>_xlfn.XLOOKUP($I333,Inputs!$G$6:$G$23,Inputs!$J$6:$J$23)*$K333</f>
        <v>36</v>
      </c>
      <c r="R333" s="218">
        <f>_xlfn.XLOOKUP($I333,Inputs!$G$6:$G$23,Inputs!$K$6:$K$23)*$K333</f>
        <v>39</v>
      </c>
      <c r="S333" s="103" t="s">
        <v>1119</v>
      </c>
      <c r="T333" s="98" t="s">
        <v>1423</v>
      </c>
      <c r="U333" s="103" t="s">
        <v>957</v>
      </c>
      <c r="V333" s="98" t="s">
        <v>1302</v>
      </c>
      <c r="W333" s="47"/>
      <c r="X333" s="18"/>
      <c r="Y333" s="68">
        <v>59</v>
      </c>
    </row>
    <row r="334" spans="2:25" s="14" customFormat="1" ht="18">
      <c r="B334" s="103" t="s">
        <v>173</v>
      </c>
      <c r="C334" s="47" t="s">
        <v>93</v>
      </c>
      <c r="D334" s="98" t="s">
        <v>598</v>
      </c>
      <c r="E334" s="103">
        <v>1</v>
      </c>
      <c r="F334" s="103" t="s">
        <v>152</v>
      </c>
      <c r="G334" s="180">
        <v>9</v>
      </c>
      <c r="H334" s="180">
        <v>6</v>
      </c>
      <c r="I334" s="102">
        <v>69</v>
      </c>
      <c r="J334" s="212" cm="1">
        <f t="array" ref="J334">_xlfn.XLOOKUP($I334,Inputs!$C$6:$C$23,Inputs!$D$6:D$23)*$G334</f>
        <v>3.4585714285714286</v>
      </c>
      <c r="K334" s="217">
        <f t="shared" si="5"/>
        <v>3</v>
      </c>
      <c r="L334" s="123"/>
      <c r="M334" s="123"/>
      <c r="N334" s="123"/>
      <c r="O334" s="123"/>
      <c r="P334" s="123"/>
      <c r="Q334" s="218">
        <f>_xlfn.XLOOKUP($I334,Inputs!$G$6:$G$23,Inputs!$J$6:$J$23)*$K334</f>
        <v>36</v>
      </c>
      <c r="R334" s="218">
        <f>_xlfn.XLOOKUP($I334,Inputs!$G$6:$G$23,Inputs!$K$6:$K$23)*$K334</f>
        <v>39</v>
      </c>
      <c r="S334" s="103" t="s">
        <v>1119</v>
      </c>
      <c r="T334" s="98" t="s">
        <v>1423</v>
      </c>
      <c r="U334" s="103" t="s">
        <v>997</v>
      </c>
      <c r="V334" s="98" t="s">
        <v>1353</v>
      </c>
      <c r="W334" s="47"/>
      <c r="X334" s="18"/>
      <c r="Y334" s="68">
        <v>193</v>
      </c>
    </row>
    <row r="335" spans="2:25" s="14" customFormat="1" ht="18">
      <c r="B335" s="103" t="s">
        <v>183</v>
      </c>
      <c r="C335" s="47" t="s">
        <v>93</v>
      </c>
      <c r="D335" s="98" t="s">
        <v>598</v>
      </c>
      <c r="E335" s="103">
        <v>1</v>
      </c>
      <c r="F335" s="103" t="s">
        <v>152</v>
      </c>
      <c r="G335" s="180">
        <v>13</v>
      </c>
      <c r="H335" s="180">
        <v>8</v>
      </c>
      <c r="I335" s="102">
        <v>138</v>
      </c>
      <c r="J335" s="212" cm="1">
        <f t="array" ref="J335">_xlfn.XLOOKUP($I335,Inputs!$C$6:$C$23,Inputs!$D$6:D$23)*$G335</f>
        <v>5.6364285714285716</v>
      </c>
      <c r="K335" s="217">
        <f t="shared" si="5"/>
        <v>3</v>
      </c>
      <c r="L335" s="123"/>
      <c r="M335" s="123"/>
      <c r="N335" s="123"/>
      <c r="O335" s="123"/>
      <c r="P335" s="123"/>
      <c r="Q335" s="218">
        <f>_xlfn.XLOOKUP($I335,Inputs!$G$6:$G$23,Inputs!$J$6:$J$23)*$K335</f>
        <v>141</v>
      </c>
      <c r="R335" s="218">
        <f>_xlfn.XLOOKUP($I335,Inputs!$G$6:$G$23,Inputs!$K$6:$K$23)*$K335</f>
        <v>156</v>
      </c>
      <c r="S335" s="103" t="s">
        <v>1139</v>
      </c>
      <c r="T335" s="98" t="s">
        <v>1424</v>
      </c>
      <c r="U335" s="103" t="s">
        <v>674</v>
      </c>
      <c r="V335" s="98" t="s">
        <v>700</v>
      </c>
      <c r="W335" s="47"/>
      <c r="X335" s="18"/>
      <c r="Y335" s="68">
        <v>275</v>
      </c>
    </row>
    <row r="336" spans="2:25" s="14" customFormat="1" ht="18">
      <c r="B336" s="103" t="s">
        <v>184</v>
      </c>
      <c r="C336" s="47" t="s">
        <v>93</v>
      </c>
      <c r="D336" s="98" t="s">
        <v>598</v>
      </c>
      <c r="E336" s="103">
        <v>1</v>
      </c>
      <c r="F336" s="103" t="s">
        <v>152</v>
      </c>
      <c r="G336" s="180">
        <v>10</v>
      </c>
      <c r="H336" s="180">
        <v>6</v>
      </c>
      <c r="I336" s="102">
        <v>69</v>
      </c>
      <c r="J336" s="212" cm="1">
        <f t="array" ref="J336">_xlfn.XLOOKUP($I336,Inputs!$C$6:$C$23,Inputs!$D$6:D$23)*$G336</f>
        <v>3.842857142857143</v>
      </c>
      <c r="K336" s="217">
        <f t="shared" si="5"/>
        <v>3</v>
      </c>
      <c r="L336" s="123"/>
      <c r="M336" s="123"/>
      <c r="N336" s="123"/>
      <c r="O336" s="123"/>
      <c r="P336" s="123"/>
      <c r="Q336" s="218">
        <f>_xlfn.XLOOKUP($I336,Inputs!$G$6:$G$23,Inputs!$J$6:$J$23)*$K336</f>
        <v>36</v>
      </c>
      <c r="R336" s="218">
        <f>_xlfn.XLOOKUP($I336,Inputs!$G$6:$G$23,Inputs!$K$6:$K$23)*$K336</f>
        <v>39</v>
      </c>
      <c r="S336" s="103" t="s">
        <v>1139</v>
      </c>
      <c r="T336" s="98" t="s">
        <v>1424</v>
      </c>
      <c r="U336" s="103" t="s">
        <v>976</v>
      </c>
      <c r="V336" s="98" t="s">
        <v>1314</v>
      </c>
      <c r="W336" s="47"/>
      <c r="X336" s="18"/>
      <c r="Y336" s="68">
        <v>109</v>
      </c>
    </row>
    <row r="337" spans="2:25" s="14" customFormat="1" ht="18">
      <c r="B337" s="103" t="s">
        <v>180</v>
      </c>
      <c r="C337" s="47" t="s">
        <v>93</v>
      </c>
      <c r="D337" s="98" t="s">
        <v>598</v>
      </c>
      <c r="E337" s="103">
        <v>1</v>
      </c>
      <c r="F337" s="103" t="s">
        <v>152</v>
      </c>
      <c r="G337" s="180">
        <v>19</v>
      </c>
      <c r="H337" s="180">
        <v>12</v>
      </c>
      <c r="I337" s="102">
        <v>69</v>
      </c>
      <c r="J337" s="212" cm="1">
        <f t="array" ref="J337">_xlfn.XLOOKUP($I337,Inputs!$C$6:$C$23,Inputs!$D$6:D$23)*$G337</f>
        <v>7.3014285714285716</v>
      </c>
      <c r="K337" s="217">
        <f t="shared" si="5"/>
        <v>3</v>
      </c>
      <c r="L337" s="123"/>
      <c r="M337" s="123"/>
      <c r="N337" s="123"/>
      <c r="O337" s="123"/>
      <c r="P337" s="123"/>
      <c r="Q337" s="218">
        <f>_xlfn.XLOOKUP($I337,Inputs!$G$6:$G$23,Inputs!$J$6:$J$23)*$K337</f>
        <v>36</v>
      </c>
      <c r="R337" s="218">
        <f>_xlfn.XLOOKUP($I337,Inputs!$G$6:$G$23,Inputs!$K$6:$K$23)*$K337</f>
        <v>39</v>
      </c>
      <c r="S337" s="103" t="s">
        <v>1139</v>
      </c>
      <c r="T337" s="98" t="s">
        <v>1424</v>
      </c>
      <c r="U337" s="103" t="s">
        <v>181</v>
      </c>
      <c r="V337" s="98" t="s">
        <v>1391</v>
      </c>
      <c r="W337" s="47"/>
      <c r="X337" s="18"/>
      <c r="Y337" s="68">
        <v>91</v>
      </c>
    </row>
    <row r="338" spans="2:25" s="14" customFormat="1" ht="18">
      <c r="B338" s="103" t="s">
        <v>304</v>
      </c>
      <c r="C338" s="47" t="s">
        <v>93</v>
      </c>
      <c r="D338" s="98" t="s">
        <v>598</v>
      </c>
      <c r="E338" s="103">
        <v>1</v>
      </c>
      <c r="F338" s="103" t="s">
        <v>152</v>
      </c>
      <c r="G338" s="257">
        <v>4</v>
      </c>
      <c r="H338" s="257">
        <v>2</v>
      </c>
      <c r="I338" s="102">
        <v>69</v>
      </c>
      <c r="J338" s="212" cm="1">
        <f t="array" ref="J338">_xlfn.XLOOKUP($I338,Inputs!$C$6:$C$23,Inputs!$D$6:D$23)*$G338</f>
        <v>1.5371428571428571</v>
      </c>
      <c r="K338" s="217">
        <f t="shared" si="5"/>
        <v>3</v>
      </c>
      <c r="L338" s="123"/>
      <c r="M338" s="123"/>
      <c r="N338" s="123"/>
      <c r="O338" s="123"/>
      <c r="P338" s="123"/>
      <c r="Q338" s="218">
        <f>_xlfn.XLOOKUP($I338,Inputs!$G$6:$G$23,Inputs!$J$6:$J$23)*$K338</f>
        <v>36</v>
      </c>
      <c r="R338" s="218">
        <f>_xlfn.XLOOKUP($I338,Inputs!$G$6:$G$23,Inputs!$K$6:$K$23)*$K338</f>
        <v>39</v>
      </c>
      <c r="S338" s="103" t="s">
        <v>1013</v>
      </c>
      <c r="T338" s="98" t="s">
        <v>1318</v>
      </c>
      <c r="U338" s="103" t="s">
        <v>1124</v>
      </c>
      <c r="V338" s="98" t="s">
        <v>1425</v>
      </c>
      <c r="W338" s="47"/>
      <c r="X338" s="18"/>
      <c r="Y338" s="68">
        <v>251</v>
      </c>
    </row>
    <row r="339" spans="2:25" s="14" customFormat="1" ht="18">
      <c r="B339" s="103" t="s">
        <v>305</v>
      </c>
      <c r="C339" s="47" t="s">
        <v>93</v>
      </c>
      <c r="D339" s="98" t="s">
        <v>598</v>
      </c>
      <c r="E339" s="103">
        <v>1</v>
      </c>
      <c r="F339" s="103" t="s">
        <v>152</v>
      </c>
      <c r="G339" s="180">
        <v>5</v>
      </c>
      <c r="H339" s="180">
        <v>3</v>
      </c>
      <c r="I339" s="102">
        <v>69</v>
      </c>
      <c r="J339" s="212" cm="1">
        <f t="array" ref="J339">_xlfn.XLOOKUP($I339,Inputs!$C$6:$C$23,Inputs!$D$6:D$23)*$G339</f>
        <v>1.9214285714285715</v>
      </c>
      <c r="K339" s="217">
        <f t="shared" si="5"/>
        <v>3</v>
      </c>
      <c r="L339" s="123"/>
      <c r="M339" s="123"/>
      <c r="N339" s="123"/>
      <c r="O339" s="123"/>
      <c r="P339" s="123"/>
      <c r="Q339" s="218">
        <f>_xlfn.XLOOKUP($I339,Inputs!$G$6:$G$23,Inputs!$J$6:$J$23)*$K339</f>
        <v>36</v>
      </c>
      <c r="R339" s="218">
        <f>_xlfn.XLOOKUP($I339,Inputs!$G$6:$G$23,Inputs!$K$6:$K$23)*$K339</f>
        <v>39</v>
      </c>
      <c r="S339" s="103" t="s">
        <v>1124</v>
      </c>
      <c r="T339" s="98" t="s">
        <v>1425</v>
      </c>
      <c r="U339" s="103" t="s">
        <v>1046</v>
      </c>
      <c r="V339" s="98" t="s">
        <v>1214</v>
      </c>
      <c r="W339" s="47"/>
      <c r="X339" s="18"/>
      <c r="Y339" s="68">
        <v>153</v>
      </c>
    </row>
    <row r="340" spans="2:25" s="14" customFormat="1" ht="18">
      <c r="B340" s="103" t="s">
        <v>307</v>
      </c>
      <c r="C340" s="47" t="s">
        <v>93</v>
      </c>
      <c r="D340" s="98" t="s">
        <v>598</v>
      </c>
      <c r="E340" s="103">
        <v>1</v>
      </c>
      <c r="F340" s="103" t="s">
        <v>152</v>
      </c>
      <c r="G340" s="180">
        <v>6</v>
      </c>
      <c r="H340" s="180">
        <v>4</v>
      </c>
      <c r="I340" s="102">
        <v>69</v>
      </c>
      <c r="J340" s="212" cm="1">
        <f t="array" ref="J340">_xlfn.XLOOKUP($I340,Inputs!$C$6:$C$23,Inputs!$D$6:D$23)*$G340</f>
        <v>2.3057142857142856</v>
      </c>
      <c r="K340" s="217">
        <f t="shared" si="5"/>
        <v>3</v>
      </c>
      <c r="L340" s="123"/>
      <c r="M340" s="123"/>
      <c r="N340" s="123"/>
      <c r="O340" s="123"/>
      <c r="P340" s="123"/>
      <c r="Q340" s="218">
        <f>_xlfn.XLOOKUP($I340,Inputs!$G$6:$G$23,Inputs!$J$6:$J$23)*$K340</f>
        <v>36</v>
      </c>
      <c r="R340" s="218">
        <f>_xlfn.XLOOKUP($I340,Inputs!$G$6:$G$23,Inputs!$K$6:$K$23)*$K340</f>
        <v>39</v>
      </c>
      <c r="S340" s="103" t="s">
        <v>1124</v>
      </c>
      <c r="T340" s="98" t="s">
        <v>1425</v>
      </c>
      <c r="U340" s="103" t="s">
        <v>624</v>
      </c>
      <c r="V340" s="98" t="s">
        <v>739</v>
      </c>
      <c r="W340" s="47"/>
      <c r="X340" s="18"/>
      <c r="Y340" s="68">
        <v>53</v>
      </c>
    </row>
    <row r="341" spans="2:25" s="14" customFormat="1" ht="18">
      <c r="B341" s="103" t="s">
        <v>306</v>
      </c>
      <c r="C341" s="47" t="s">
        <v>93</v>
      </c>
      <c r="D341" s="98" t="s">
        <v>598</v>
      </c>
      <c r="E341" s="103">
        <v>1</v>
      </c>
      <c r="F341" s="103" t="s">
        <v>152</v>
      </c>
      <c r="G341" s="180">
        <v>6</v>
      </c>
      <c r="H341" s="180">
        <v>4</v>
      </c>
      <c r="I341" s="102">
        <v>69</v>
      </c>
      <c r="J341" s="212" cm="1">
        <f t="array" ref="J341">_xlfn.XLOOKUP($I341,Inputs!$C$6:$C$23,Inputs!$D$6:D$23)*$G341</f>
        <v>2.3057142857142856</v>
      </c>
      <c r="K341" s="217">
        <f t="shared" si="5"/>
        <v>3</v>
      </c>
      <c r="L341" s="123"/>
      <c r="M341" s="123"/>
      <c r="N341" s="123"/>
      <c r="O341" s="123"/>
      <c r="P341" s="123"/>
      <c r="Q341" s="218">
        <f>_xlfn.XLOOKUP($I341,Inputs!$G$6:$G$23,Inputs!$J$6:$J$23)*$K341</f>
        <v>36</v>
      </c>
      <c r="R341" s="218">
        <f>_xlfn.XLOOKUP($I341,Inputs!$G$6:$G$23,Inputs!$K$6:$K$23)*$K341</f>
        <v>39</v>
      </c>
      <c r="S341" s="103" t="s">
        <v>1124</v>
      </c>
      <c r="T341" s="98" t="s">
        <v>1425</v>
      </c>
      <c r="U341" s="103" t="s">
        <v>1067</v>
      </c>
      <c r="V341" s="98" t="s">
        <v>1444</v>
      </c>
      <c r="W341" s="47"/>
      <c r="X341" s="18"/>
      <c r="Y341" s="68">
        <v>213</v>
      </c>
    </row>
    <row r="342" spans="2:25" s="14" customFormat="1" ht="18">
      <c r="B342" s="103" t="s">
        <v>198</v>
      </c>
      <c r="C342" s="47" t="s">
        <v>93</v>
      </c>
      <c r="D342" s="98" t="s">
        <v>598</v>
      </c>
      <c r="E342" s="103">
        <v>1</v>
      </c>
      <c r="F342" s="103" t="s">
        <v>152</v>
      </c>
      <c r="G342" s="180">
        <v>8</v>
      </c>
      <c r="H342" s="180">
        <v>5</v>
      </c>
      <c r="I342" s="102">
        <v>69</v>
      </c>
      <c r="J342" s="212" cm="1">
        <f t="array" ref="J342">_xlfn.XLOOKUP($I342,Inputs!$C$6:$C$23,Inputs!$D$6:D$23)*$G342</f>
        <v>3.0742857142857143</v>
      </c>
      <c r="K342" s="217">
        <f t="shared" si="5"/>
        <v>3</v>
      </c>
      <c r="L342" s="123"/>
      <c r="M342" s="123"/>
      <c r="N342" s="123"/>
      <c r="O342" s="123"/>
      <c r="P342" s="123"/>
      <c r="Q342" s="218">
        <f>_xlfn.XLOOKUP($I342,Inputs!$G$6:$G$23,Inputs!$J$6:$J$23)*$K342</f>
        <v>36</v>
      </c>
      <c r="R342" s="218">
        <f>_xlfn.XLOOKUP($I342,Inputs!$G$6:$G$23,Inputs!$K$6:$K$23)*$K342</f>
        <v>39</v>
      </c>
      <c r="S342" s="103" t="s">
        <v>974</v>
      </c>
      <c r="T342" s="98" t="s">
        <v>1319</v>
      </c>
      <c r="U342" s="103" t="s">
        <v>642</v>
      </c>
      <c r="V342" s="98" t="s">
        <v>722</v>
      </c>
      <c r="W342" s="47"/>
      <c r="X342" s="18"/>
      <c r="Y342" s="68">
        <v>104</v>
      </c>
    </row>
    <row r="343" spans="2:25" s="14" customFormat="1" ht="18">
      <c r="B343" s="103" t="s">
        <v>261</v>
      </c>
      <c r="C343" s="47" t="s">
        <v>93</v>
      </c>
      <c r="D343" s="98" t="s">
        <v>598</v>
      </c>
      <c r="E343" s="103">
        <v>1</v>
      </c>
      <c r="F343" s="103" t="s">
        <v>152</v>
      </c>
      <c r="G343" s="180">
        <v>45</v>
      </c>
      <c r="H343" s="180">
        <v>28</v>
      </c>
      <c r="I343" s="102">
        <v>69</v>
      </c>
      <c r="J343" s="212" cm="1">
        <f t="array" ref="J343">_xlfn.XLOOKUP($I343,Inputs!$C$6:$C$23,Inputs!$D$6:D$23)*$G343</f>
        <v>17.292857142857144</v>
      </c>
      <c r="K343" s="217">
        <f t="shared" si="5"/>
        <v>3</v>
      </c>
      <c r="L343" s="123"/>
      <c r="M343" s="123"/>
      <c r="N343" s="123"/>
      <c r="O343" s="123"/>
      <c r="P343" s="123"/>
      <c r="Q343" s="218">
        <f>_xlfn.XLOOKUP($I343,Inputs!$G$6:$G$23,Inputs!$J$6:$J$23)*$K343</f>
        <v>36</v>
      </c>
      <c r="R343" s="218">
        <f>_xlfn.XLOOKUP($I343,Inputs!$G$6:$G$23,Inputs!$K$6:$K$23)*$K343</f>
        <v>39</v>
      </c>
      <c r="S343" s="103" t="s">
        <v>931</v>
      </c>
      <c r="T343" s="98" t="s">
        <v>1320</v>
      </c>
      <c r="U343" s="103" t="s">
        <v>932</v>
      </c>
      <c r="V343" s="98" t="s">
        <v>1356</v>
      </c>
      <c r="W343" s="47"/>
      <c r="X343" s="18"/>
      <c r="Y343" s="68">
        <v>9</v>
      </c>
    </row>
    <row r="344" spans="2:25" s="14" customFormat="1" ht="18">
      <c r="B344" s="103" t="s">
        <v>184</v>
      </c>
      <c r="C344" s="47" t="s">
        <v>93</v>
      </c>
      <c r="D344" s="98" t="s">
        <v>598</v>
      </c>
      <c r="E344" s="103">
        <v>1</v>
      </c>
      <c r="F344" s="103" t="s">
        <v>152</v>
      </c>
      <c r="G344" s="180">
        <v>2</v>
      </c>
      <c r="H344" s="180">
        <v>1</v>
      </c>
      <c r="I344" s="102">
        <v>69</v>
      </c>
      <c r="J344" s="212" cm="1">
        <f t="array" ref="J344">_xlfn.XLOOKUP($I344,Inputs!$C$6:$C$23,Inputs!$D$6:D$23)*$G344</f>
        <v>0.76857142857142857</v>
      </c>
      <c r="K344" s="217">
        <f t="shared" si="5"/>
        <v>3</v>
      </c>
      <c r="L344" s="123"/>
      <c r="M344" s="123"/>
      <c r="N344" s="123"/>
      <c r="O344" s="123"/>
      <c r="P344" s="123"/>
      <c r="Q344" s="218">
        <f>_xlfn.XLOOKUP($I344,Inputs!$G$6:$G$23,Inputs!$J$6:$J$23)*$K344</f>
        <v>36</v>
      </c>
      <c r="R344" s="218">
        <f>_xlfn.XLOOKUP($I344,Inputs!$G$6:$G$23,Inputs!$K$6:$K$23)*$K344</f>
        <v>39</v>
      </c>
      <c r="S344" s="103" t="s">
        <v>977</v>
      </c>
      <c r="T344" s="98" t="s">
        <v>1321</v>
      </c>
      <c r="U344" s="103" t="s">
        <v>1457</v>
      </c>
      <c r="V344" s="98" t="s">
        <v>1455</v>
      </c>
      <c r="W344" s="47"/>
      <c r="X344" s="18"/>
      <c r="Y344" s="68">
        <v>111</v>
      </c>
    </row>
    <row r="345" spans="2:25" s="14" customFormat="1" ht="18">
      <c r="B345" s="103" t="s">
        <v>364</v>
      </c>
      <c r="C345" s="47" t="s">
        <v>170</v>
      </c>
      <c r="D345" s="98" t="s">
        <v>598</v>
      </c>
      <c r="E345" s="103">
        <v>1</v>
      </c>
      <c r="F345" s="103" t="s">
        <v>152</v>
      </c>
      <c r="G345" s="257">
        <v>90</v>
      </c>
      <c r="H345" s="257">
        <v>56</v>
      </c>
      <c r="I345" s="102">
        <v>345</v>
      </c>
      <c r="J345" s="212" cm="1">
        <f t="array" ref="J345">_xlfn.XLOOKUP($I345,Inputs!$C$6:$C$23,Inputs!$D$6:D$23)*$G345</f>
        <v>39.94166666666667</v>
      </c>
      <c r="K345" s="217">
        <f t="shared" si="5"/>
        <v>2.9815071335962897</v>
      </c>
      <c r="L345" s="123"/>
      <c r="M345" s="123"/>
      <c r="N345" s="123"/>
      <c r="O345" s="123"/>
      <c r="P345" s="123"/>
      <c r="Q345" s="266">
        <v>0</v>
      </c>
      <c r="R345" s="266">
        <v>0</v>
      </c>
      <c r="S345" s="103" t="s">
        <v>300</v>
      </c>
      <c r="T345" s="98" t="s">
        <v>1387</v>
      </c>
      <c r="U345" s="103" t="s">
        <v>1477</v>
      </c>
      <c r="V345" s="98" t="s">
        <v>1475</v>
      </c>
      <c r="W345" s="47"/>
      <c r="X345" s="18"/>
      <c r="Y345" s="68">
        <v>406</v>
      </c>
    </row>
    <row r="346" spans="2:25" s="14" customFormat="1" ht="18">
      <c r="B346" s="103" t="s">
        <v>298</v>
      </c>
      <c r="C346" s="47" t="s">
        <v>93</v>
      </c>
      <c r="D346" s="98" t="s">
        <v>598</v>
      </c>
      <c r="E346" s="103">
        <v>1</v>
      </c>
      <c r="F346" s="103" t="s">
        <v>152</v>
      </c>
      <c r="G346" s="180">
        <v>135</v>
      </c>
      <c r="H346" s="180">
        <v>83</v>
      </c>
      <c r="I346" s="102">
        <v>345</v>
      </c>
      <c r="J346" s="212" cm="1">
        <f t="array" ref="J346">_xlfn.XLOOKUP($I346,Inputs!$C$6:$C$23,Inputs!$D$6:D$23)*$G346</f>
        <v>59.912500000000001</v>
      </c>
      <c r="K346" s="217">
        <f t="shared" si="5"/>
        <v>2.3000318746810553</v>
      </c>
      <c r="L346" s="123"/>
      <c r="M346" s="123"/>
      <c r="N346" s="123"/>
      <c r="O346" s="123"/>
      <c r="P346" s="123"/>
      <c r="Q346" s="218">
        <f>_xlfn.XLOOKUP($I346,Inputs!$G$6:$G$23,Inputs!$J$6:$J$23)*$K346</f>
        <v>747.51035927134296</v>
      </c>
      <c r="R346" s="218">
        <f>_xlfn.XLOOKUP($I346,Inputs!$G$6:$G$23,Inputs!$K$6:$K$23)*$K346</f>
        <v>977.51354673944854</v>
      </c>
      <c r="S346" s="103" t="s">
        <v>300</v>
      </c>
      <c r="T346" s="98" t="s">
        <v>1387</v>
      </c>
      <c r="U346" s="103" t="s">
        <v>297</v>
      </c>
      <c r="V346" s="98" t="s">
        <v>1384</v>
      </c>
      <c r="W346" s="47"/>
      <c r="X346" s="18"/>
      <c r="Y346" s="68">
        <v>395</v>
      </c>
    </row>
    <row r="347" spans="2:25" s="14" customFormat="1" ht="18">
      <c r="B347" s="103" t="s">
        <v>345</v>
      </c>
      <c r="C347" s="47" t="s">
        <v>93</v>
      </c>
      <c r="D347" s="98" t="s">
        <v>598</v>
      </c>
      <c r="E347" s="103">
        <v>1</v>
      </c>
      <c r="F347" s="103" t="s">
        <v>152</v>
      </c>
      <c r="G347" s="180">
        <v>5</v>
      </c>
      <c r="H347" s="180">
        <v>3</v>
      </c>
      <c r="I347" s="102">
        <v>138</v>
      </c>
      <c r="J347" s="212" cm="1">
        <f t="array" ref="J347">_xlfn.XLOOKUP($I347,Inputs!$C$6:$C$23,Inputs!$D$6:D$23)*$G347</f>
        <v>2.1678571428571431</v>
      </c>
      <c r="K347" s="217">
        <f t="shared" si="5"/>
        <v>3</v>
      </c>
      <c r="L347" s="123"/>
      <c r="M347" s="123"/>
      <c r="N347" s="123"/>
      <c r="O347" s="123"/>
      <c r="P347" s="123"/>
      <c r="Q347" s="218">
        <f>_xlfn.XLOOKUP($I347,Inputs!$G$6:$G$23,Inputs!$J$6:$J$23)*$K347</f>
        <v>141</v>
      </c>
      <c r="R347" s="218">
        <f>_xlfn.XLOOKUP($I347,Inputs!$G$6:$G$23,Inputs!$K$6:$K$23)*$K347</f>
        <v>156</v>
      </c>
      <c r="S347" s="103" t="s">
        <v>1028</v>
      </c>
      <c r="T347" s="98" t="s">
        <v>1323</v>
      </c>
      <c r="U347" s="103" t="s">
        <v>1106</v>
      </c>
      <c r="V347" s="98" t="s">
        <v>1322</v>
      </c>
      <c r="W347" s="47"/>
      <c r="X347" s="18"/>
      <c r="Y347" s="68">
        <v>364</v>
      </c>
    </row>
    <row r="348" spans="2:25" s="14" customFormat="1" ht="18">
      <c r="B348" s="103" t="s">
        <v>292</v>
      </c>
      <c r="C348" s="47" t="s">
        <v>93</v>
      </c>
      <c r="D348" s="98" t="s">
        <v>598</v>
      </c>
      <c r="E348" s="103">
        <v>1</v>
      </c>
      <c r="F348" s="103" t="s">
        <v>152</v>
      </c>
      <c r="G348" s="257">
        <v>2</v>
      </c>
      <c r="H348" s="257">
        <v>1</v>
      </c>
      <c r="I348" s="102">
        <v>69</v>
      </c>
      <c r="J348" s="212" cm="1">
        <f t="array" ref="J348">_xlfn.XLOOKUP($I348,Inputs!$C$6:$C$23,Inputs!$D$6:D$23)*$G348</f>
        <v>0.76857142857142857</v>
      </c>
      <c r="K348" s="217">
        <f t="shared" si="5"/>
        <v>3</v>
      </c>
      <c r="L348" s="123"/>
      <c r="M348" s="123"/>
      <c r="N348" s="123"/>
      <c r="O348" s="123"/>
      <c r="P348" s="123"/>
      <c r="Q348" s="218">
        <f>_xlfn.XLOOKUP($I348,Inputs!$G$6:$G$23,Inputs!$J$6:$J$23)*$K348</f>
        <v>36</v>
      </c>
      <c r="R348" s="218">
        <f>_xlfn.XLOOKUP($I348,Inputs!$G$6:$G$23,Inputs!$K$6:$K$23)*$K348</f>
        <v>39</v>
      </c>
      <c r="S348" s="103" t="s">
        <v>1001</v>
      </c>
      <c r="T348" s="98" t="s">
        <v>1324</v>
      </c>
      <c r="U348" s="103" t="s">
        <v>1002</v>
      </c>
      <c r="V348" s="98" t="s">
        <v>1443</v>
      </c>
      <c r="W348" s="47"/>
      <c r="X348" s="18"/>
      <c r="Y348" s="68">
        <v>174</v>
      </c>
    </row>
    <row r="349" spans="2:25" s="14" customFormat="1" ht="18">
      <c r="B349" s="103" t="s">
        <v>236</v>
      </c>
      <c r="C349" s="47" t="s">
        <v>93</v>
      </c>
      <c r="D349" s="98" t="s">
        <v>598</v>
      </c>
      <c r="E349" s="103">
        <v>1</v>
      </c>
      <c r="F349" s="103" t="s">
        <v>152</v>
      </c>
      <c r="G349" s="180">
        <v>20</v>
      </c>
      <c r="H349" s="180">
        <v>12</v>
      </c>
      <c r="I349" s="102">
        <v>138</v>
      </c>
      <c r="J349" s="212" cm="1">
        <f t="array" ref="J349">_xlfn.XLOOKUP($I349,Inputs!$C$6:$C$23,Inputs!$D$6:D$23)*$G349</f>
        <v>8.6714285714285726</v>
      </c>
      <c r="K349" s="217">
        <f t="shared" si="5"/>
        <v>3</v>
      </c>
      <c r="L349" s="123"/>
      <c r="M349" s="123"/>
      <c r="N349" s="123"/>
      <c r="O349" s="123"/>
      <c r="P349" s="123"/>
      <c r="Q349" s="218">
        <f>_xlfn.XLOOKUP($I349,Inputs!$G$6:$G$23,Inputs!$J$6:$J$23)*$K349</f>
        <v>141</v>
      </c>
      <c r="R349" s="218">
        <f>_xlfn.XLOOKUP($I349,Inputs!$G$6:$G$23,Inputs!$K$6:$K$23)*$K349</f>
        <v>156</v>
      </c>
      <c r="S349" s="103" t="s">
        <v>1021</v>
      </c>
      <c r="T349" s="98" t="s">
        <v>1326</v>
      </c>
      <c r="U349" s="103" t="s">
        <v>1022</v>
      </c>
      <c r="V349" s="98" t="s">
        <v>1371</v>
      </c>
      <c r="W349" s="47"/>
      <c r="X349" s="18"/>
      <c r="Y349" s="68">
        <v>328</v>
      </c>
    </row>
    <row r="350" spans="2:25" s="14" customFormat="1" ht="18">
      <c r="B350" s="103" t="s">
        <v>235</v>
      </c>
      <c r="C350" s="47" t="s">
        <v>93</v>
      </c>
      <c r="D350" s="98" t="s">
        <v>598</v>
      </c>
      <c r="E350" s="103">
        <v>1</v>
      </c>
      <c r="F350" s="103" t="s">
        <v>152</v>
      </c>
      <c r="G350" s="180">
        <v>6</v>
      </c>
      <c r="H350" s="180">
        <v>4</v>
      </c>
      <c r="I350" s="102">
        <v>138</v>
      </c>
      <c r="J350" s="212" cm="1">
        <f t="array" ref="J350">_xlfn.XLOOKUP($I350,Inputs!$C$6:$C$23,Inputs!$D$6:D$23)*$G350</f>
        <v>2.6014285714285714</v>
      </c>
      <c r="K350" s="217">
        <f t="shared" si="5"/>
        <v>3</v>
      </c>
      <c r="L350" s="123"/>
      <c r="M350" s="123"/>
      <c r="N350" s="123"/>
      <c r="O350" s="123"/>
      <c r="P350" s="123"/>
      <c r="Q350" s="218">
        <f>_xlfn.XLOOKUP($I350,Inputs!$G$6:$G$23,Inputs!$J$6:$J$23)*$K350</f>
        <v>141</v>
      </c>
      <c r="R350" s="218">
        <f>_xlfn.XLOOKUP($I350,Inputs!$G$6:$G$23,Inputs!$K$6:$K$23)*$K350</f>
        <v>156</v>
      </c>
      <c r="S350" s="103" t="s">
        <v>1018</v>
      </c>
      <c r="T350" s="98" t="s">
        <v>1327</v>
      </c>
      <c r="U350" s="103" t="s">
        <v>1021</v>
      </c>
      <c r="V350" s="98" t="s">
        <v>1326</v>
      </c>
      <c r="W350" s="47"/>
      <c r="X350" s="18"/>
      <c r="Y350" s="68">
        <v>288</v>
      </c>
    </row>
    <row r="351" spans="2:25" s="14" customFormat="1" ht="18">
      <c r="B351" s="103" t="s">
        <v>337</v>
      </c>
      <c r="C351" s="47" t="s">
        <v>93</v>
      </c>
      <c r="D351" s="98" t="s">
        <v>598</v>
      </c>
      <c r="E351" s="103">
        <v>1</v>
      </c>
      <c r="F351" s="103" t="s">
        <v>152</v>
      </c>
      <c r="G351" s="180">
        <v>10</v>
      </c>
      <c r="H351" s="180">
        <v>6</v>
      </c>
      <c r="I351" s="102">
        <v>69</v>
      </c>
      <c r="J351" s="212" cm="1">
        <f t="array" ref="J351">_xlfn.XLOOKUP($I351,Inputs!$C$6:$C$23,Inputs!$D$6:D$23)*$G351</f>
        <v>3.842857142857143</v>
      </c>
      <c r="K351" s="217">
        <f t="shared" si="5"/>
        <v>3</v>
      </c>
      <c r="L351" s="123"/>
      <c r="M351" s="123"/>
      <c r="N351" s="123"/>
      <c r="O351" s="123"/>
      <c r="P351" s="123"/>
      <c r="Q351" s="218">
        <f>_xlfn.XLOOKUP($I351,Inputs!$G$6:$G$23,Inputs!$J$6:$J$23)*$K351</f>
        <v>36</v>
      </c>
      <c r="R351" s="218">
        <f>_xlfn.XLOOKUP($I351,Inputs!$G$6:$G$23,Inputs!$K$6:$K$23)*$K351</f>
        <v>39</v>
      </c>
      <c r="S351" s="103" t="s">
        <v>961</v>
      </c>
      <c r="T351" s="98" t="s">
        <v>1328</v>
      </c>
      <c r="U351" s="103" t="s">
        <v>962</v>
      </c>
      <c r="V351" s="98" t="s">
        <v>1217</v>
      </c>
      <c r="W351" s="47"/>
      <c r="X351" s="18"/>
      <c r="Y351" s="68">
        <v>69</v>
      </c>
    </row>
    <row r="352" spans="2:25" s="14" customFormat="1" ht="18">
      <c r="B352" s="103" t="s">
        <v>233</v>
      </c>
      <c r="C352" s="47" t="s">
        <v>93</v>
      </c>
      <c r="D352" s="98" t="s">
        <v>598</v>
      </c>
      <c r="E352" s="103">
        <v>1</v>
      </c>
      <c r="F352" s="103" t="s">
        <v>152</v>
      </c>
      <c r="G352" s="180">
        <v>33</v>
      </c>
      <c r="H352" s="180">
        <v>20</v>
      </c>
      <c r="I352" s="102">
        <v>69</v>
      </c>
      <c r="J352" s="212" cm="1">
        <f t="array" ref="J352">_xlfn.XLOOKUP($I352,Inputs!$C$6:$C$23,Inputs!$D$6:D$23)*$G352</f>
        <v>12.681428571428571</v>
      </c>
      <c r="K352" s="217">
        <f t="shared" si="5"/>
        <v>3</v>
      </c>
      <c r="L352" s="123"/>
      <c r="M352" s="123"/>
      <c r="N352" s="123"/>
      <c r="O352" s="123"/>
      <c r="P352" s="123"/>
      <c r="Q352" s="218">
        <f>_xlfn.XLOOKUP($I352,Inputs!$G$6:$G$23,Inputs!$J$6:$J$23)*$K352</f>
        <v>36</v>
      </c>
      <c r="R352" s="218">
        <f>_xlfn.XLOOKUP($I352,Inputs!$G$6:$G$23,Inputs!$K$6:$K$23)*$K352</f>
        <v>39</v>
      </c>
      <c r="S352" s="103" t="s">
        <v>946</v>
      </c>
      <c r="T352" s="98" t="s">
        <v>1330</v>
      </c>
      <c r="U352" s="103" t="s">
        <v>947</v>
      </c>
      <c r="V352" s="98" t="s">
        <v>1279</v>
      </c>
      <c r="W352" s="47"/>
      <c r="X352" s="18"/>
      <c r="Y352" s="68">
        <v>36</v>
      </c>
    </row>
    <row r="353" spans="2:25" s="14" customFormat="1" ht="18">
      <c r="B353" s="103" t="s">
        <v>261</v>
      </c>
      <c r="C353" s="47" t="s">
        <v>93</v>
      </c>
      <c r="D353" s="98" t="s">
        <v>598</v>
      </c>
      <c r="E353" s="103">
        <v>1</v>
      </c>
      <c r="F353" s="103" t="s">
        <v>152</v>
      </c>
      <c r="G353" s="180">
        <v>8</v>
      </c>
      <c r="H353" s="180">
        <v>5</v>
      </c>
      <c r="I353" s="102">
        <v>69</v>
      </c>
      <c r="J353" s="212" cm="1">
        <f t="array" ref="J353">_xlfn.XLOOKUP($I353,Inputs!$C$6:$C$23,Inputs!$D$6:D$23)*$G353</f>
        <v>3.0742857142857143</v>
      </c>
      <c r="K353" s="217">
        <f t="shared" si="5"/>
        <v>3</v>
      </c>
      <c r="L353" s="123"/>
      <c r="M353" s="123"/>
      <c r="N353" s="123"/>
      <c r="O353" s="123"/>
      <c r="P353" s="123"/>
      <c r="Q353" s="218">
        <f>_xlfn.XLOOKUP($I353,Inputs!$G$6:$G$23,Inputs!$J$6:$J$23)*$K353</f>
        <v>36</v>
      </c>
      <c r="R353" s="218">
        <f>_xlfn.XLOOKUP($I353,Inputs!$G$6:$G$23,Inputs!$K$6:$K$23)*$K353</f>
        <v>39</v>
      </c>
      <c r="S353" s="103" t="s">
        <v>935</v>
      </c>
      <c r="T353" s="98" t="s">
        <v>1331</v>
      </c>
      <c r="U353" s="103" t="s">
        <v>1398</v>
      </c>
      <c r="V353" s="98" t="s">
        <v>1216</v>
      </c>
      <c r="W353" s="47"/>
      <c r="X353" s="18"/>
      <c r="Y353" s="68">
        <v>13</v>
      </c>
    </row>
    <row r="354" spans="2:25" s="14" customFormat="1" ht="18">
      <c r="B354" s="103" t="s">
        <v>276</v>
      </c>
      <c r="C354" s="47" t="s">
        <v>93</v>
      </c>
      <c r="D354" s="98" t="s">
        <v>598</v>
      </c>
      <c r="E354" s="103">
        <v>1</v>
      </c>
      <c r="F354" s="103" t="s">
        <v>152</v>
      </c>
      <c r="G354" s="180">
        <v>8</v>
      </c>
      <c r="H354" s="180">
        <v>5</v>
      </c>
      <c r="I354" s="102">
        <v>69</v>
      </c>
      <c r="J354" s="212" cm="1">
        <f t="array" ref="J354">_xlfn.XLOOKUP($I354,Inputs!$C$6:$C$23,Inputs!$D$6:D$23)*$G354</f>
        <v>3.0742857142857143</v>
      </c>
      <c r="K354" s="217">
        <f t="shared" si="5"/>
        <v>3</v>
      </c>
      <c r="L354" s="123"/>
      <c r="M354" s="123"/>
      <c r="N354" s="123"/>
      <c r="O354" s="123"/>
      <c r="P354" s="123"/>
      <c r="Q354" s="218">
        <f>_xlfn.XLOOKUP($I354,Inputs!$G$6:$G$23,Inputs!$J$6:$J$23)*$K354</f>
        <v>36</v>
      </c>
      <c r="R354" s="218">
        <f>_xlfn.XLOOKUP($I354,Inputs!$G$6:$G$23,Inputs!$K$6:$K$23)*$K354</f>
        <v>39</v>
      </c>
      <c r="S354" s="103" t="s">
        <v>935</v>
      </c>
      <c r="T354" s="98" t="s">
        <v>1331</v>
      </c>
      <c r="U354" s="103" t="s">
        <v>1398</v>
      </c>
      <c r="V354" s="98" t="s">
        <v>1216</v>
      </c>
      <c r="W354" s="47"/>
      <c r="X354" s="18"/>
      <c r="Y354" s="68">
        <v>26</v>
      </c>
    </row>
    <row r="355" spans="2:25" s="14" customFormat="1" ht="18">
      <c r="B355" s="103" t="s">
        <v>342</v>
      </c>
      <c r="C355" s="47" t="s">
        <v>93</v>
      </c>
      <c r="D355" s="98" t="s">
        <v>598</v>
      </c>
      <c r="E355" s="103">
        <v>1</v>
      </c>
      <c r="F355" s="103" t="s">
        <v>152</v>
      </c>
      <c r="G355" s="180">
        <v>18</v>
      </c>
      <c r="H355" s="180">
        <v>11</v>
      </c>
      <c r="I355" s="102">
        <v>69</v>
      </c>
      <c r="J355" s="212" cm="1">
        <f t="array" ref="J355">_xlfn.XLOOKUP($I355,Inputs!$C$6:$C$23,Inputs!$D$6:D$23)*$G355</f>
        <v>6.9171428571428573</v>
      </c>
      <c r="K355" s="217">
        <f t="shared" si="5"/>
        <v>3</v>
      </c>
      <c r="L355" s="123"/>
      <c r="M355" s="123"/>
      <c r="N355" s="123"/>
      <c r="O355" s="123"/>
      <c r="P355" s="123"/>
      <c r="Q355" s="218">
        <f>_xlfn.XLOOKUP($I355,Inputs!$G$6:$G$23,Inputs!$J$6:$J$23)*$K355</f>
        <v>36</v>
      </c>
      <c r="R355" s="218">
        <f>_xlfn.XLOOKUP($I355,Inputs!$G$6:$G$23,Inputs!$K$6:$K$23)*$K355</f>
        <v>39</v>
      </c>
      <c r="S355" s="103" t="s">
        <v>1005</v>
      </c>
      <c r="T355" s="98" t="s">
        <v>1332</v>
      </c>
      <c r="U355" s="103" t="s">
        <v>1053</v>
      </c>
      <c r="V355" s="98" t="s">
        <v>1262</v>
      </c>
      <c r="W355" s="47"/>
      <c r="X355" s="18"/>
      <c r="Y355" s="68">
        <v>188</v>
      </c>
    </row>
    <row r="356" spans="2:25" s="14" customFormat="1" ht="18">
      <c r="B356" s="103" t="s">
        <v>254</v>
      </c>
      <c r="C356" s="47" t="s">
        <v>93</v>
      </c>
      <c r="D356" s="98" t="s">
        <v>598</v>
      </c>
      <c r="E356" s="103">
        <v>1</v>
      </c>
      <c r="F356" s="103" t="s">
        <v>152</v>
      </c>
      <c r="G356" s="180">
        <v>8</v>
      </c>
      <c r="H356" s="180">
        <v>5</v>
      </c>
      <c r="I356" s="102">
        <v>138</v>
      </c>
      <c r="J356" s="212" cm="1">
        <f t="array" ref="J356">_xlfn.XLOOKUP($I356,Inputs!$C$6:$C$23,Inputs!$D$6:D$23)*$G356</f>
        <v>3.4685714285714289</v>
      </c>
      <c r="K356" s="217">
        <f t="shared" si="5"/>
        <v>3</v>
      </c>
      <c r="L356" s="123"/>
      <c r="M356" s="123"/>
      <c r="N356" s="123"/>
      <c r="O356" s="123"/>
      <c r="P356" s="123"/>
      <c r="Q356" s="218">
        <f>_xlfn.XLOOKUP($I356,Inputs!$G$6:$G$23,Inputs!$J$6:$J$23)*$K356</f>
        <v>141</v>
      </c>
      <c r="R356" s="218">
        <f>_xlfn.XLOOKUP($I356,Inputs!$G$6:$G$23,Inputs!$K$6:$K$23)*$K356</f>
        <v>156</v>
      </c>
      <c r="S356" s="103" t="s">
        <v>1026</v>
      </c>
      <c r="T356" s="98" t="s">
        <v>1333</v>
      </c>
      <c r="U356" s="103" t="s">
        <v>1025</v>
      </c>
      <c r="V356" s="98" t="s">
        <v>1219</v>
      </c>
      <c r="W356" s="47"/>
      <c r="X356" s="18"/>
      <c r="Y356" s="68">
        <v>335</v>
      </c>
    </row>
    <row r="357" spans="2:25" s="14" customFormat="1" ht="18">
      <c r="B357" s="103" t="s">
        <v>236</v>
      </c>
      <c r="C357" s="47" t="s">
        <v>93</v>
      </c>
      <c r="D357" s="98" t="s">
        <v>598</v>
      </c>
      <c r="E357" s="103">
        <v>1</v>
      </c>
      <c r="F357" s="103" t="s">
        <v>152</v>
      </c>
      <c r="G357" s="180">
        <v>3</v>
      </c>
      <c r="H357" s="180">
        <v>2</v>
      </c>
      <c r="I357" s="102">
        <v>138</v>
      </c>
      <c r="J357" s="212" cm="1">
        <f t="array" ref="J357">_xlfn.XLOOKUP($I357,Inputs!$C$6:$C$23,Inputs!$D$6:D$23)*$G357</f>
        <v>1.3007142857142857</v>
      </c>
      <c r="K357" s="217">
        <f t="shared" si="5"/>
        <v>3</v>
      </c>
      <c r="L357" s="123"/>
      <c r="M357" s="123"/>
      <c r="N357" s="123"/>
      <c r="O357" s="123"/>
      <c r="P357" s="123"/>
      <c r="Q357" s="218">
        <f>_xlfn.XLOOKUP($I357,Inputs!$G$6:$G$23,Inputs!$J$6:$J$23)*$K357</f>
        <v>141</v>
      </c>
      <c r="R357" s="218">
        <f>_xlfn.XLOOKUP($I357,Inputs!$G$6:$G$23,Inputs!$K$6:$K$23)*$K357</f>
        <v>156</v>
      </c>
      <c r="S357" s="103" t="s">
        <v>1026</v>
      </c>
      <c r="T357" s="98" t="s">
        <v>1333</v>
      </c>
      <c r="U357" s="103" t="s">
        <v>1118</v>
      </c>
      <c r="V357" s="98" t="s">
        <v>1419</v>
      </c>
      <c r="W357" s="47"/>
      <c r="X357" s="18"/>
      <c r="Y357" s="68">
        <v>333</v>
      </c>
    </row>
    <row r="358" spans="2:25" s="14" customFormat="1" ht="18">
      <c r="B358" s="103" t="s">
        <v>246</v>
      </c>
      <c r="C358" s="47" t="s">
        <v>93</v>
      </c>
      <c r="D358" s="98" t="s">
        <v>598</v>
      </c>
      <c r="E358" s="103">
        <v>1</v>
      </c>
      <c r="F358" s="103" t="s">
        <v>152</v>
      </c>
      <c r="G358" s="180">
        <v>9</v>
      </c>
      <c r="H358" s="180">
        <v>5</v>
      </c>
      <c r="I358" s="102">
        <v>69</v>
      </c>
      <c r="J358" s="212" cm="1">
        <f t="array" ref="J358">_xlfn.XLOOKUP($I358,Inputs!$C$6:$C$23,Inputs!$D$6:D$23)*$G358</f>
        <v>3.4585714285714286</v>
      </c>
      <c r="K358" s="217">
        <f t="shared" si="5"/>
        <v>3</v>
      </c>
      <c r="L358" s="123"/>
      <c r="M358" s="123"/>
      <c r="N358" s="123"/>
      <c r="O358" s="123"/>
      <c r="P358" s="123"/>
      <c r="Q358" s="218">
        <f>_xlfn.XLOOKUP($I358,Inputs!$G$6:$G$23,Inputs!$J$6:$J$23)*$K358</f>
        <v>36</v>
      </c>
      <c r="R358" s="218">
        <f>_xlfn.XLOOKUP($I358,Inputs!$G$6:$G$23,Inputs!$K$6:$K$23)*$K358</f>
        <v>39</v>
      </c>
      <c r="S358" s="103" t="s">
        <v>1009</v>
      </c>
      <c r="T358" s="98" t="s">
        <v>1334</v>
      </c>
      <c r="U358" s="103" t="s">
        <v>1010</v>
      </c>
      <c r="V358" s="98" t="s">
        <v>1227</v>
      </c>
      <c r="W358" s="47"/>
      <c r="X358" s="18"/>
      <c r="Y358" s="68">
        <v>229</v>
      </c>
    </row>
    <row r="359" spans="2:25" s="14" customFormat="1" ht="18">
      <c r="B359" s="103" t="s">
        <v>261</v>
      </c>
      <c r="C359" s="47" t="s">
        <v>93</v>
      </c>
      <c r="D359" s="98" t="s">
        <v>598</v>
      </c>
      <c r="E359" s="103">
        <v>1</v>
      </c>
      <c r="F359" s="103" t="s">
        <v>152</v>
      </c>
      <c r="G359" s="180">
        <v>13</v>
      </c>
      <c r="H359" s="180">
        <v>8</v>
      </c>
      <c r="I359" s="102">
        <v>69</v>
      </c>
      <c r="J359" s="212" cm="1">
        <f t="array" ref="J359">_xlfn.XLOOKUP($I359,Inputs!$C$6:$C$23,Inputs!$D$6:D$23)*$G359</f>
        <v>4.9957142857142856</v>
      </c>
      <c r="K359" s="217">
        <f t="shared" si="5"/>
        <v>3</v>
      </c>
      <c r="L359" s="123"/>
      <c r="M359" s="123"/>
      <c r="N359" s="123"/>
      <c r="O359" s="123"/>
      <c r="P359" s="123"/>
      <c r="Q359" s="218">
        <f>_xlfn.XLOOKUP($I359,Inputs!$G$6:$G$23,Inputs!$J$6:$J$23)*$K359</f>
        <v>36</v>
      </c>
      <c r="R359" s="218">
        <f>_xlfn.XLOOKUP($I359,Inputs!$G$6:$G$23,Inputs!$K$6:$K$23)*$K359</f>
        <v>39</v>
      </c>
      <c r="S359" s="103" t="s">
        <v>930</v>
      </c>
      <c r="T359" s="98" t="s">
        <v>1335</v>
      </c>
      <c r="U359" s="103" t="s">
        <v>931</v>
      </c>
      <c r="V359" s="98" t="s">
        <v>1320</v>
      </c>
      <c r="W359" s="47"/>
      <c r="X359" s="18"/>
      <c r="Y359" s="68">
        <v>8</v>
      </c>
    </row>
    <row r="360" spans="2:25" s="14" customFormat="1" ht="18">
      <c r="B360" s="103" t="s">
        <v>160</v>
      </c>
      <c r="C360" s="47" t="s">
        <v>168</v>
      </c>
      <c r="D360" s="98" t="s">
        <v>598</v>
      </c>
      <c r="E360" s="103">
        <v>1</v>
      </c>
      <c r="F360" s="103" t="s">
        <v>152</v>
      </c>
      <c r="G360" s="257">
        <v>55</v>
      </c>
      <c r="H360" s="257">
        <v>34</v>
      </c>
      <c r="I360" s="102">
        <v>345</v>
      </c>
      <c r="J360" s="212" cm="1">
        <f t="array" ref="J360">_xlfn.XLOOKUP($I360,Inputs!$C$6:$C$23,Inputs!$D$6:D$23)*$G360</f>
        <v>24.408796296296295</v>
      </c>
      <c r="K360" s="217">
        <f t="shared" si="5"/>
        <v>3</v>
      </c>
      <c r="L360" s="123"/>
      <c r="M360" s="123"/>
      <c r="N360" s="123"/>
      <c r="O360" s="123"/>
      <c r="P360" s="123"/>
      <c r="Q360" s="218">
        <f>_xlfn.XLOOKUP($I360,Inputs!$G$6:$G$23,Inputs!$J$6:$J$23)*$K360</f>
        <v>975</v>
      </c>
      <c r="R360" s="218">
        <f>_xlfn.XLOOKUP($I360,Inputs!$G$6:$G$23,Inputs!$K$6:$K$23)*$K360</f>
        <v>1275</v>
      </c>
      <c r="S360" s="103" t="s">
        <v>1134</v>
      </c>
      <c r="T360" s="98" t="s">
        <v>1426</v>
      </c>
      <c r="U360" s="103" t="s">
        <v>1500</v>
      </c>
      <c r="V360" s="98" t="s">
        <v>575</v>
      </c>
      <c r="W360" s="149"/>
      <c r="X360" s="18"/>
      <c r="Y360" s="68">
        <v>397</v>
      </c>
    </row>
    <row r="361" spans="2:25" s="14" customFormat="1" ht="18">
      <c r="B361" s="103" t="s">
        <v>266</v>
      </c>
      <c r="C361" s="47" t="s">
        <v>93</v>
      </c>
      <c r="D361" s="98" t="s">
        <v>598</v>
      </c>
      <c r="E361" s="103">
        <v>1</v>
      </c>
      <c r="F361" s="103" t="s">
        <v>152</v>
      </c>
      <c r="G361" s="257">
        <v>50</v>
      </c>
      <c r="H361" s="257">
        <v>31</v>
      </c>
      <c r="I361" s="102">
        <v>138</v>
      </c>
      <c r="J361" s="212" cm="1">
        <f t="array" ref="J361">_xlfn.XLOOKUP($I361,Inputs!$C$6:$C$23,Inputs!$D$6:D$23)*$G361</f>
        <v>21.678571428571431</v>
      </c>
      <c r="K361" s="217">
        <f t="shared" si="5"/>
        <v>3</v>
      </c>
      <c r="L361" s="123"/>
      <c r="M361" s="123"/>
      <c r="N361" s="123"/>
      <c r="O361" s="123"/>
      <c r="P361" s="123"/>
      <c r="Q361" s="218">
        <f>_xlfn.XLOOKUP($I361,Inputs!$G$6:$G$23,Inputs!$J$6:$J$23)*$K361</f>
        <v>141</v>
      </c>
      <c r="R361" s="218">
        <f>_xlfn.XLOOKUP($I361,Inputs!$G$6:$G$23,Inputs!$K$6:$K$23)*$K361</f>
        <v>156</v>
      </c>
      <c r="S361" s="103" t="s">
        <v>1134</v>
      </c>
      <c r="T361" s="98" t="s">
        <v>1426</v>
      </c>
      <c r="U361" s="103" t="s">
        <v>689</v>
      </c>
      <c r="V361" s="98" t="s">
        <v>718</v>
      </c>
      <c r="W361" s="47"/>
      <c r="X361" s="18"/>
      <c r="Y361" s="68">
        <v>375</v>
      </c>
    </row>
    <row r="362" spans="2:25" s="14" customFormat="1" ht="18">
      <c r="B362" s="103" t="s">
        <v>1466</v>
      </c>
      <c r="C362" s="98" t="s">
        <v>93</v>
      </c>
      <c r="D362" s="98" t="s">
        <v>598</v>
      </c>
      <c r="E362" s="99">
        <v>1</v>
      </c>
      <c r="F362" s="99" t="s">
        <v>152</v>
      </c>
      <c r="G362" s="258">
        <v>29</v>
      </c>
      <c r="H362" s="258">
        <v>18</v>
      </c>
      <c r="I362" s="100">
        <v>138</v>
      </c>
      <c r="J362" s="212" cm="1">
        <f t="array" ref="J362">_xlfn.XLOOKUP($I362,Inputs!$C$6:$C$23,Inputs!$D$6:D$23)*$G362</f>
        <v>12.57357142857143</v>
      </c>
      <c r="K362" s="217">
        <f t="shared" si="5"/>
        <v>3</v>
      </c>
      <c r="L362" s="123"/>
      <c r="M362" s="123"/>
      <c r="N362" s="123"/>
      <c r="O362" s="123"/>
      <c r="P362" s="123"/>
      <c r="Q362" s="218">
        <f>_xlfn.XLOOKUP($I362,Inputs!$G$6:$G$23,Inputs!$J$6:$J$23)*$K362</f>
        <v>141</v>
      </c>
      <c r="R362" s="218">
        <f>_xlfn.XLOOKUP($I362,Inputs!$G$6:$G$23,Inputs!$K$6:$K$23)*$K362</f>
        <v>156</v>
      </c>
      <c r="S362" s="99" t="s">
        <v>1134</v>
      </c>
      <c r="T362" s="98" t="s">
        <v>1426</v>
      </c>
      <c r="U362" s="99" t="s">
        <v>370</v>
      </c>
      <c r="V362" s="98" t="s">
        <v>1382</v>
      </c>
      <c r="W362" s="47"/>
      <c r="X362" s="18"/>
      <c r="Y362" s="68">
        <v>405</v>
      </c>
    </row>
    <row r="363" spans="2:25" s="14" customFormat="1" ht="18">
      <c r="B363" s="103" t="s">
        <v>269</v>
      </c>
      <c r="C363" s="47" t="s">
        <v>93</v>
      </c>
      <c r="D363" s="98" t="s">
        <v>598</v>
      </c>
      <c r="E363" s="103">
        <v>1</v>
      </c>
      <c r="F363" s="103" t="s">
        <v>152</v>
      </c>
      <c r="G363" s="180">
        <v>147</v>
      </c>
      <c r="H363" s="180">
        <v>91</v>
      </c>
      <c r="I363" s="102">
        <v>230</v>
      </c>
      <c r="J363" s="212" cm="1">
        <f t="array" ref="J363">_xlfn.XLOOKUP($I363,Inputs!$C$6:$C$23,Inputs!$D$6:D$23)*$G363</f>
        <v>70.56</v>
      </c>
      <c r="K363" s="217">
        <f t="shared" si="5"/>
        <v>2.1646020148347329</v>
      </c>
      <c r="L363" s="123"/>
      <c r="M363" s="123"/>
      <c r="N363" s="123"/>
      <c r="O363" s="123"/>
      <c r="P363" s="123"/>
      <c r="Q363" s="218">
        <f>_xlfn.XLOOKUP($I363,Inputs!$G$6:$G$23,Inputs!$J$6:$J$23)*$K363</f>
        <v>290.05666998785421</v>
      </c>
      <c r="R363" s="218">
        <f>_xlfn.XLOOKUP($I363,Inputs!$G$6:$G$23,Inputs!$K$6:$K$23)*$K363</f>
        <v>313.86729215103628</v>
      </c>
      <c r="S363" s="103" t="s">
        <v>1134</v>
      </c>
      <c r="T363" s="98" t="s">
        <v>1426</v>
      </c>
      <c r="U363" s="103" t="s">
        <v>1126</v>
      </c>
      <c r="V363" s="98" t="s">
        <v>1415</v>
      </c>
      <c r="W363" s="47"/>
      <c r="X363" s="18"/>
      <c r="Y363" s="68">
        <v>390</v>
      </c>
    </row>
    <row r="364" spans="2:25" s="14" customFormat="1" ht="18">
      <c r="B364" s="103" t="s">
        <v>249</v>
      </c>
      <c r="C364" s="47" t="s">
        <v>93</v>
      </c>
      <c r="D364" s="98" t="s">
        <v>598</v>
      </c>
      <c r="E364" s="103">
        <v>1</v>
      </c>
      <c r="F364" s="103" t="s">
        <v>152</v>
      </c>
      <c r="G364" s="257">
        <v>40</v>
      </c>
      <c r="H364" s="257">
        <v>25</v>
      </c>
      <c r="I364" s="102">
        <v>138</v>
      </c>
      <c r="J364" s="212" cm="1">
        <f t="array" ref="J364">_xlfn.XLOOKUP($I364,Inputs!$C$6:$C$23,Inputs!$D$6:D$23)*$G364</f>
        <v>17.342857142857145</v>
      </c>
      <c r="K364" s="217">
        <f t="shared" si="5"/>
        <v>3</v>
      </c>
      <c r="L364" s="123"/>
      <c r="M364" s="123"/>
      <c r="N364" s="123"/>
      <c r="O364" s="123"/>
      <c r="P364" s="123"/>
      <c r="Q364" s="218">
        <f>_xlfn.XLOOKUP($I364,Inputs!$G$6:$G$23,Inputs!$J$6:$J$23)*$K364</f>
        <v>141</v>
      </c>
      <c r="R364" s="218">
        <f>_xlfn.XLOOKUP($I364,Inputs!$G$6:$G$23,Inputs!$K$6:$K$23)*$K364</f>
        <v>156</v>
      </c>
      <c r="S364" s="103" t="s">
        <v>1134</v>
      </c>
      <c r="T364" s="98" t="s">
        <v>1426</v>
      </c>
      <c r="U364" s="103" t="s">
        <v>1123</v>
      </c>
      <c r="V364" s="98" t="s">
        <v>1417</v>
      </c>
      <c r="W364" s="47"/>
      <c r="X364" s="18"/>
      <c r="Y364" s="68">
        <v>368</v>
      </c>
    </row>
    <row r="365" spans="2:25" s="14" customFormat="1" ht="18">
      <c r="B365" s="103" t="s">
        <v>251</v>
      </c>
      <c r="C365" s="47" t="s">
        <v>93</v>
      </c>
      <c r="D365" s="98" t="s">
        <v>598</v>
      </c>
      <c r="E365" s="103">
        <v>1</v>
      </c>
      <c r="F365" s="103" t="s">
        <v>152</v>
      </c>
      <c r="G365" s="257">
        <v>30</v>
      </c>
      <c r="H365" s="257">
        <v>19</v>
      </c>
      <c r="I365" s="102">
        <v>138</v>
      </c>
      <c r="J365" s="212" cm="1">
        <f t="array" ref="J365">_xlfn.XLOOKUP($I365,Inputs!$C$6:$C$23,Inputs!$D$6:D$23)*$G365</f>
        <v>13.007142857142858</v>
      </c>
      <c r="K365" s="217">
        <f t="shared" si="5"/>
        <v>3</v>
      </c>
      <c r="L365" s="123"/>
      <c r="M365" s="123"/>
      <c r="N365" s="123"/>
      <c r="O365" s="123"/>
      <c r="P365" s="123"/>
      <c r="Q365" s="218">
        <f>_xlfn.XLOOKUP($I365,Inputs!$G$6:$G$23,Inputs!$J$6:$J$23)*$K365</f>
        <v>141</v>
      </c>
      <c r="R365" s="218">
        <f>_xlfn.XLOOKUP($I365,Inputs!$G$6:$G$23,Inputs!$K$6:$K$23)*$K365</f>
        <v>156</v>
      </c>
      <c r="S365" s="103" t="s">
        <v>1134</v>
      </c>
      <c r="T365" s="98" t="s">
        <v>1426</v>
      </c>
      <c r="U365" s="103" t="s">
        <v>1118</v>
      </c>
      <c r="V365" s="98" t="s">
        <v>1419</v>
      </c>
      <c r="W365" s="47"/>
      <c r="X365" s="18"/>
      <c r="Y365" s="68">
        <v>292</v>
      </c>
    </row>
    <row r="366" spans="2:25" s="14" customFormat="1" ht="18">
      <c r="B366" s="103" t="s">
        <v>253</v>
      </c>
      <c r="C366" s="47" t="s">
        <v>93</v>
      </c>
      <c r="D366" s="98" t="s">
        <v>598</v>
      </c>
      <c r="E366" s="103">
        <v>1</v>
      </c>
      <c r="F366" s="103" t="s">
        <v>152</v>
      </c>
      <c r="G366" s="257">
        <v>25</v>
      </c>
      <c r="H366" s="257">
        <v>15</v>
      </c>
      <c r="I366" s="102">
        <v>138</v>
      </c>
      <c r="J366" s="212" cm="1">
        <f t="array" ref="J366">_xlfn.XLOOKUP($I366,Inputs!$C$6:$C$23,Inputs!$D$6:D$23)*$G366</f>
        <v>10.839285714285715</v>
      </c>
      <c r="K366" s="217">
        <f t="shared" si="5"/>
        <v>3</v>
      </c>
      <c r="L366" s="123"/>
      <c r="M366" s="123"/>
      <c r="N366" s="123"/>
      <c r="O366" s="123"/>
      <c r="P366" s="123"/>
      <c r="Q366" s="218">
        <f>_xlfn.XLOOKUP($I366,Inputs!$G$6:$G$23,Inputs!$J$6:$J$23)*$K366</f>
        <v>141</v>
      </c>
      <c r="R366" s="218">
        <f>_xlfn.XLOOKUP($I366,Inputs!$G$6:$G$23,Inputs!$K$6:$K$23)*$K366</f>
        <v>156</v>
      </c>
      <c r="S366" s="103" t="s">
        <v>1134</v>
      </c>
      <c r="T366" s="98" t="s">
        <v>1426</v>
      </c>
      <c r="U366" s="103" t="s">
        <v>1118</v>
      </c>
      <c r="V366" s="98" t="s">
        <v>1419</v>
      </c>
      <c r="W366" s="47"/>
      <c r="X366" s="18"/>
      <c r="Y366" s="68">
        <v>315</v>
      </c>
    </row>
    <row r="367" spans="2:25" s="14" customFormat="1" ht="18">
      <c r="B367" s="103" t="s">
        <v>252</v>
      </c>
      <c r="C367" s="47" t="s">
        <v>93</v>
      </c>
      <c r="D367" s="98" t="s">
        <v>598</v>
      </c>
      <c r="E367" s="103">
        <v>1</v>
      </c>
      <c r="F367" s="103" t="s">
        <v>152</v>
      </c>
      <c r="G367" s="257">
        <v>25</v>
      </c>
      <c r="H367" s="257">
        <v>15</v>
      </c>
      <c r="I367" s="102">
        <v>138</v>
      </c>
      <c r="J367" s="212" cm="1">
        <f t="array" ref="J367">_xlfn.XLOOKUP($I367,Inputs!$C$6:$C$23,Inputs!$D$6:D$23)*$G367</f>
        <v>10.839285714285715</v>
      </c>
      <c r="K367" s="217">
        <f t="shared" si="5"/>
        <v>3</v>
      </c>
      <c r="L367" s="123"/>
      <c r="M367" s="123"/>
      <c r="N367" s="123"/>
      <c r="O367" s="123"/>
      <c r="P367" s="123"/>
      <c r="Q367" s="218">
        <f>_xlfn.XLOOKUP($I367,Inputs!$G$6:$G$23,Inputs!$J$6:$J$23)*$K367</f>
        <v>141</v>
      </c>
      <c r="R367" s="218">
        <f>_xlfn.XLOOKUP($I367,Inputs!$G$6:$G$23,Inputs!$K$6:$K$23)*$K367</f>
        <v>156</v>
      </c>
      <c r="S367" s="103" t="s">
        <v>1134</v>
      </c>
      <c r="T367" s="98" t="s">
        <v>1426</v>
      </c>
      <c r="U367" s="103" t="s">
        <v>1118</v>
      </c>
      <c r="V367" s="98" t="s">
        <v>1419</v>
      </c>
      <c r="W367" s="47"/>
      <c r="X367" s="18"/>
      <c r="Y367" s="68">
        <v>324</v>
      </c>
    </row>
    <row r="368" spans="2:25" s="14" customFormat="1" ht="18">
      <c r="B368" s="103" t="s">
        <v>265</v>
      </c>
      <c r="C368" s="47" t="s">
        <v>93</v>
      </c>
      <c r="D368" s="98" t="s">
        <v>598</v>
      </c>
      <c r="E368" s="103">
        <v>1</v>
      </c>
      <c r="F368" s="103" t="s">
        <v>152</v>
      </c>
      <c r="G368" s="257">
        <v>75</v>
      </c>
      <c r="H368" s="257">
        <v>46</v>
      </c>
      <c r="I368" s="102">
        <v>345</v>
      </c>
      <c r="J368" s="212" cm="1">
        <f t="array" ref="J368">_xlfn.XLOOKUP($I368,Inputs!$C$6:$C$23,Inputs!$D$6:D$23)*$G368</f>
        <v>33.284722222222221</v>
      </c>
      <c r="K368" s="217">
        <f t="shared" si="5"/>
        <v>3</v>
      </c>
      <c r="L368" s="123"/>
      <c r="M368" s="123"/>
      <c r="N368" s="123"/>
      <c r="O368" s="123"/>
      <c r="P368" s="123"/>
      <c r="Q368" s="218">
        <f>_xlfn.XLOOKUP($I368,Inputs!$G$6:$G$23,Inputs!$J$6:$J$23)*$K368</f>
        <v>975</v>
      </c>
      <c r="R368" s="218">
        <f>_xlfn.XLOOKUP($I368,Inputs!$G$6:$G$23,Inputs!$K$6:$K$23)*$K368</f>
        <v>1275</v>
      </c>
      <c r="S368" s="103" t="s">
        <v>1134</v>
      </c>
      <c r="T368" s="98" t="s">
        <v>1426</v>
      </c>
      <c r="U368" s="103" t="s">
        <v>1131</v>
      </c>
      <c r="V368" s="98" t="s">
        <v>1422</v>
      </c>
      <c r="W368" s="47"/>
      <c r="X368" s="18"/>
      <c r="Y368" s="68">
        <v>403</v>
      </c>
    </row>
    <row r="369" spans="2:25" s="14" customFormat="1" ht="18">
      <c r="B369" s="103" t="s">
        <v>236</v>
      </c>
      <c r="C369" s="47" t="s">
        <v>93</v>
      </c>
      <c r="D369" s="98" t="s">
        <v>598</v>
      </c>
      <c r="E369" s="103">
        <v>1</v>
      </c>
      <c r="F369" s="103" t="s">
        <v>152</v>
      </c>
      <c r="G369" s="257">
        <v>3</v>
      </c>
      <c r="H369" s="257">
        <v>2</v>
      </c>
      <c r="I369" s="102">
        <v>138</v>
      </c>
      <c r="J369" s="212" cm="1">
        <f t="array" ref="J369">_xlfn.XLOOKUP($I369,Inputs!$C$6:$C$23,Inputs!$D$6:D$23)*$G369</f>
        <v>1.3007142857142857</v>
      </c>
      <c r="K369" s="217">
        <f t="shared" si="5"/>
        <v>3</v>
      </c>
      <c r="L369" s="123"/>
      <c r="M369" s="123"/>
      <c r="N369" s="123"/>
      <c r="O369" s="123"/>
      <c r="P369" s="123"/>
      <c r="Q369" s="218">
        <f>_xlfn.XLOOKUP($I369,Inputs!$G$6:$G$23,Inputs!$J$6:$J$23)*$K369</f>
        <v>141</v>
      </c>
      <c r="R369" s="218">
        <f>_xlfn.XLOOKUP($I369,Inputs!$G$6:$G$23,Inputs!$K$6:$K$23)*$K369</f>
        <v>156</v>
      </c>
      <c r="S369" s="103" t="s">
        <v>1024</v>
      </c>
      <c r="T369" s="98" t="s">
        <v>1447</v>
      </c>
      <c r="U369" s="103" t="s">
        <v>1025</v>
      </c>
      <c r="V369" s="98" t="s">
        <v>1219</v>
      </c>
      <c r="W369" s="47"/>
      <c r="X369" s="18"/>
      <c r="Y369" s="68">
        <v>331</v>
      </c>
    </row>
    <row r="370" spans="2:25" s="14" customFormat="1" ht="18">
      <c r="B370" s="103" t="s">
        <v>358</v>
      </c>
      <c r="C370" s="47" t="s">
        <v>93</v>
      </c>
      <c r="D370" s="98" t="s">
        <v>598</v>
      </c>
      <c r="E370" s="103">
        <v>1</v>
      </c>
      <c r="F370" s="103" t="s">
        <v>152</v>
      </c>
      <c r="G370" s="257">
        <v>2</v>
      </c>
      <c r="H370" s="257">
        <v>1</v>
      </c>
      <c r="I370" s="102">
        <v>138</v>
      </c>
      <c r="J370" s="212" cm="1">
        <f t="array" ref="J370">_xlfn.XLOOKUP($I370,Inputs!$C$6:$C$23,Inputs!$D$6:D$23)*$G370</f>
        <v>0.86714285714285722</v>
      </c>
      <c r="K370" s="217">
        <f t="shared" si="5"/>
        <v>3</v>
      </c>
      <c r="L370" s="123"/>
      <c r="M370" s="123"/>
      <c r="N370" s="123"/>
      <c r="O370" s="123"/>
      <c r="P370" s="123"/>
      <c r="Q370" s="218">
        <f>_xlfn.XLOOKUP($I370,Inputs!$G$6:$G$23,Inputs!$J$6:$J$23)*$K370</f>
        <v>141</v>
      </c>
      <c r="R370" s="218">
        <f>_xlfn.XLOOKUP($I370,Inputs!$G$6:$G$23,Inputs!$K$6:$K$23)*$K370</f>
        <v>156</v>
      </c>
      <c r="S370" s="103" t="s">
        <v>1024</v>
      </c>
      <c r="T370" s="98" t="s">
        <v>1447</v>
      </c>
      <c r="U370" s="103" t="s">
        <v>1096</v>
      </c>
      <c r="V370" s="98" t="s">
        <v>1241</v>
      </c>
      <c r="W370" s="47"/>
      <c r="X370" s="18"/>
      <c r="Y370" s="68">
        <v>343</v>
      </c>
    </row>
    <row r="371" spans="2:25" s="14" customFormat="1" ht="18">
      <c r="B371" s="103" t="s">
        <v>237</v>
      </c>
      <c r="C371" s="47" t="s">
        <v>93</v>
      </c>
      <c r="D371" s="98" t="s">
        <v>598</v>
      </c>
      <c r="E371" s="103">
        <v>1</v>
      </c>
      <c r="F371" s="103" t="s">
        <v>152</v>
      </c>
      <c r="G371" s="180">
        <v>8</v>
      </c>
      <c r="H371" s="180">
        <v>5</v>
      </c>
      <c r="I371" s="102">
        <v>138</v>
      </c>
      <c r="J371" s="212" cm="1">
        <f t="array" ref="J371">_xlfn.XLOOKUP($I371,Inputs!$C$6:$C$23,Inputs!$D$6:D$23)*$G371</f>
        <v>3.4685714285714289</v>
      </c>
      <c r="K371" s="217">
        <f t="shared" si="5"/>
        <v>3</v>
      </c>
      <c r="L371" s="123"/>
      <c r="M371" s="123"/>
      <c r="N371" s="123"/>
      <c r="O371" s="123"/>
      <c r="P371" s="123"/>
      <c r="Q371" s="218">
        <f>_xlfn.XLOOKUP($I371,Inputs!$G$6:$G$23,Inputs!$J$6:$J$23)*$K371</f>
        <v>141</v>
      </c>
      <c r="R371" s="218">
        <f>_xlfn.XLOOKUP($I371,Inputs!$G$6:$G$23,Inputs!$K$6:$K$23)*$K371</f>
        <v>156</v>
      </c>
      <c r="S371" s="103" t="s">
        <v>1024</v>
      </c>
      <c r="T371" s="98" t="s">
        <v>1447</v>
      </c>
      <c r="U371" s="103" t="s">
        <v>1099</v>
      </c>
      <c r="V371" s="98" t="s">
        <v>1338</v>
      </c>
      <c r="W371" s="47"/>
      <c r="X371" s="18"/>
      <c r="Y371" s="68">
        <v>347</v>
      </c>
    </row>
    <row r="372" spans="2:25" s="14" customFormat="1" ht="18">
      <c r="B372" s="103" t="s">
        <v>244</v>
      </c>
      <c r="C372" s="47" t="s">
        <v>93</v>
      </c>
      <c r="D372" s="98" t="s">
        <v>598</v>
      </c>
      <c r="E372" s="103">
        <v>1</v>
      </c>
      <c r="F372" s="103" t="s">
        <v>152</v>
      </c>
      <c r="G372" s="180">
        <v>10</v>
      </c>
      <c r="H372" s="180">
        <v>6</v>
      </c>
      <c r="I372" s="102">
        <v>69</v>
      </c>
      <c r="J372" s="212" cm="1">
        <f t="array" ref="J372">_xlfn.XLOOKUP($I372,Inputs!$C$6:$C$23,Inputs!$D$6:D$23)*$G372</f>
        <v>3.842857142857143</v>
      </c>
      <c r="K372" s="217">
        <f t="shared" si="5"/>
        <v>3</v>
      </c>
      <c r="L372" s="123"/>
      <c r="M372" s="123"/>
      <c r="N372" s="123"/>
      <c r="O372" s="123"/>
      <c r="P372" s="123"/>
      <c r="Q372" s="218">
        <f>_xlfn.XLOOKUP($I372,Inputs!$G$6:$G$23,Inputs!$J$6:$J$23)*$K372</f>
        <v>36</v>
      </c>
      <c r="R372" s="218">
        <f>_xlfn.XLOOKUP($I372,Inputs!$G$6:$G$23,Inputs!$K$6:$K$23)*$K372</f>
        <v>39</v>
      </c>
      <c r="S372" s="103" t="s">
        <v>972</v>
      </c>
      <c r="T372" s="98" t="s">
        <v>1336</v>
      </c>
      <c r="U372" s="103" t="s">
        <v>652</v>
      </c>
      <c r="V372" s="98" t="s">
        <v>754</v>
      </c>
      <c r="W372" s="47"/>
      <c r="X372" s="18"/>
      <c r="Y372" s="68">
        <v>143</v>
      </c>
    </row>
    <row r="373" spans="2:25" s="14" customFormat="1" ht="18">
      <c r="B373" s="103" t="s">
        <v>243</v>
      </c>
      <c r="C373" s="47" t="s">
        <v>93</v>
      </c>
      <c r="D373" s="98" t="s">
        <v>598</v>
      </c>
      <c r="E373" s="103">
        <v>1</v>
      </c>
      <c r="F373" s="103" t="s">
        <v>152</v>
      </c>
      <c r="G373" s="180">
        <v>11</v>
      </c>
      <c r="H373" s="180">
        <v>7</v>
      </c>
      <c r="I373" s="102">
        <v>69</v>
      </c>
      <c r="J373" s="212" cm="1">
        <f t="array" ref="J373">_xlfn.XLOOKUP($I373,Inputs!$C$6:$C$23,Inputs!$D$6:D$23)*$G373</f>
        <v>4.2271428571428569</v>
      </c>
      <c r="K373" s="217">
        <f t="shared" si="5"/>
        <v>3</v>
      </c>
      <c r="L373" s="123"/>
      <c r="M373" s="123"/>
      <c r="N373" s="123"/>
      <c r="O373" s="123"/>
      <c r="P373" s="123"/>
      <c r="Q373" s="218">
        <f>_xlfn.XLOOKUP($I373,Inputs!$G$6:$G$23,Inputs!$J$6:$J$23)*$K373</f>
        <v>36</v>
      </c>
      <c r="R373" s="218">
        <f>_xlfn.XLOOKUP($I373,Inputs!$G$6:$G$23,Inputs!$K$6:$K$23)*$K373</f>
        <v>39</v>
      </c>
      <c r="S373" s="103" t="s">
        <v>972</v>
      </c>
      <c r="T373" s="98" t="s">
        <v>1336</v>
      </c>
      <c r="U373" s="103" t="s">
        <v>639</v>
      </c>
      <c r="V373" s="98" t="s">
        <v>758</v>
      </c>
      <c r="W373" s="47"/>
      <c r="X373" s="18"/>
      <c r="Y373" s="68">
        <v>97</v>
      </c>
    </row>
    <row r="374" spans="2:25" s="14" customFormat="1" ht="18">
      <c r="B374" s="103" t="s">
        <v>225</v>
      </c>
      <c r="C374" s="47" t="s">
        <v>93</v>
      </c>
      <c r="D374" s="98" t="s">
        <v>598</v>
      </c>
      <c r="E374" s="103">
        <v>1</v>
      </c>
      <c r="F374" s="103" t="s">
        <v>152</v>
      </c>
      <c r="G374" s="180">
        <v>18</v>
      </c>
      <c r="H374" s="180">
        <v>11</v>
      </c>
      <c r="I374" s="102">
        <v>69</v>
      </c>
      <c r="J374" s="212" cm="1">
        <f t="array" ref="J374">_xlfn.XLOOKUP($I374,Inputs!$C$6:$C$23,Inputs!$D$6:D$23)*$G374</f>
        <v>6.9171428571428573</v>
      </c>
      <c r="K374" s="217">
        <f t="shared" si="5"/>
        <v>3</v>
      </c>
      <c r="L374" s="123"/>
      <c r="M374" s="123"/>
      <c r="N374" s="123"/>
      <c r="O374" s="123"/>
      <c r="P374" s="123"/>
      <c r="Q374" s="218">
        <f>_xlfn.XLOOKUP($I374,Inputs!$G$6:$G$23,Inputs!$J$6:$J$23)*$K374</f>
        <v>36</v>
      </c>
      <c r="R374" s="218">
        <f>_xlfn.XLOOKUP($I374,Inputs!$G$6:$G$23,Inputs!$K$6:$K$23)*$K374</f>
        <v>39</v>
      </c>
      <c r="S374" s="103" t="s">
        <v>951</v>
      </c>
      <c r="T374" s="98" t="s">
        <v>1341</v>
      </c>
      <c r="U374" s="103" t="s">
        <v>1450</v>
      </c>
      <c r="V374" s="98" t="s">
        <v>769</v>
      </c>
      <c r="W374" s="47"/>
      <c r="X374" s="18"/>
      <c r="Y374" s="68">
        <v>45</v>
      </c>
    </row>
    <row r="375" spans="2:25" s="14" customFormat="1" ht="18">
      <c r="B375" s="103" t="s">
        <v>1150</v>
      </c>
      <c r="C375" s="47" t="s">
        <v>93</v>
      </c>
      <c r="D375" s="98" t="s">
        <v>598</v>
      </c>
      <c r="E375" s="103">
        <v>1</v>
      </c>
      <c r="F375" s="103" t="s">
        <v>152</v>
      </c>
      <c r="G375" s="180">
        <v>12</v>
      </c>
      <c r="H375" s="180">
        <v>7</v>
      </c>
      <c r="I375" s="102">
        <v>69</v>
      </c>
      <c r="J375" s="212" cm="1">
        <f t="array" ref="J375">_xlfn.XLOOKUP($I375,Inputs!$C$6:$C$23,Inputs!$D$6:D$23)*$G375</f>
        <v>4.6114285714285712</v>
      </c>
      <c r="K375" s="217">
        <f t="shared" si="5"/>
        <v>3</v>
      </c>
      <c r="L375" s="123"/>
      <c r="M375" s="123"/>
      <c r="N375" s="123"/>
      <c r="O375" s="123"/>
      <c r="P375" s="123"/>
      <c r="Q375" s="218">
        <f>_xlfn.XLOOKUP($I375,Inputs!$G$6:$G$23,Inputs!$J$6:$J$23)*$K375</f>
        <v>36</v>
      </c>
      <c r="R375" s="218">
        <f>_xlfn.XLOOKUP($I375,Inputs!$G$6:$G$23,Inputs!$K$6:$K$23)*$K375</f>
        <v>39</v>
      </c>
      <c r="S375" s="103" t="s">
        <v>951</v>
      </c>
      <c r="T375" s="98" t="s">
        <v>1341</v>
      </c>
      <c r="U375" s="103" t="s">
        <v>1151</v>
      </c>
      <c r="V375" s="98" t="s">
        <v>1363</v>
      </c>
      <c r="W375" s="47"/>
      <c r="X375" s="18"/>
      <c r="Y375" s="68">
        <v>176</v>
      </c>
    </row>
    <row r="376" spans="2:25" s="14" customFormat="1" ht="18">
      <c r="B376" s="103" t="s">
        <v>198</v>
      </c>
      <c r="C376" s="47" t="s">
        <v>93</v>
      </c>
      <c r="D376" s="98" t="s">
        <v>598</v>
      </c>
      <c r="E376" s="103">
        <v>1</v>
      </c>
      <c r="F376" s="103" t="s">
        <v>152</v>
      </c>
      <c r="G376" s="180">
        <v>5</v>
      </c>
      <c r="H376" s="180">
        <v>3</v>
      </c>
      <c r="I376" s="102">
        <v>69</v>
      </c>
      <c r="J376" s="212" cm="1">
        <f t="array" ref="J376">_xlfn.XLOOKUP($I376,Inputs!$C$6:$C$23,Inputs!$D$6:D$23)*$G376</f>
        <v>1.9214285714285715</v>
      </c>
      <c r="K376" s="217">
        <f t="shared" si="5"/>
        <v>3</v>
      </c>
      <c r="L376" s="123"/>
      <c r="M376" s="123"/>
      <c r="N376" s="123"/>
      <c r="O376" s="123"/>
      <c r="P376" s="123"/>
      <c r="Q376" s="218">
        <f>_xlfn.XLOOKUP($I376,Inputs!$G$6:$G$23,Inputs!$J$6:$J$23)*$K376</f>
        <v>36</v>
      </c>
      <c r="R376" s="218">
        <f>_xlfn.XLOOKUP($I376,Inputs!$G$6:$G$23,Inputs!$K$6:$K$23)*$K376</f>
        <v>39</v>
      </c>
      <c r="S376" s="103" t="s">
        <v>975</v>
      </c>
      <c r="T376" s="98" t="s">
        <v>1342</v>
      </c>
      <c r="U376" s="103" t="s">
        <v>1396</v>
      </c>
      <c r="V376" s="98" t="s">
        <v>1206</v>
      </c>
      <c r="W376" s="47"/>
      <c r="X376" s="18"/>
      <c r="Y376" s="68">
        <v>108</v>
      </c>
    </row>
    <row r="377" spans="2:25" s="14" customFormat="1" ht="18">
      <c r="B377" s="103" t="s">
        <v>276</v>
      </c>
      <c r="C377" s="47" t="s">
        <v>93</v>
      </c>
      <c r="D377" s="98" t="s">
        <v>598</v>
      </c>
      <c r="E377" s="103">
        <v>1</v>
      </c>
      <c r="F377" s="103" t="s">
        <v>152</v>
      </c>
      <c r="G377" s="180">
        <v>17</v>
      </c>
      <c r="H377" s="180">
        <v>10</v>
      </c>
      <c r="I377" s="102">
        <v>69</v>
      </c>
      <c r="J377" s="212" cm="1">
        <f t="array" ref="J377">_xlfn.XLOOKUP($I377,Inputs!$C$6:$C$23,Inputs!$D$6:D$23)*$G377</f>
        <v>6.5328571428571429</v>
      </c>
      <c r="K377" s="217">
        <f t="shared" si="5"/>
        <v>3</v>
      </c>
      <c r="L377" s="123"/>
      <c r="M377" s="123"/>
      <c r="N377" s="123"/>
      <c r="O377" s="123"/>
      <c r="P377" s="123"/>
      <c r="Q377" s="218">
        <f>_xlfn.XLOOKUP($I377,Inputs!$G$6:$G$23,Inputs!$J$6:$J$23)*$K377</f>
        <v>36</v>
      </c>
      <c r="R377" s="218">
        <f>_xlfn.XLOOKUP($I377,Inputs!$G$6:$G$23,Inputs!$K$6:$K$23)*$K377</f>
        <v>39</v>
      </c>
      <c r="S377" s="103" t="s">
        <v>940</v>
      </c>
      <c r="T377" s="98" t="s">
        <v>1343</v>
      </c>
      <c r="U377" s="103" t="s">
        <v>934</v>
      </c>
      <c r="V377" s="98" t="s">
        <v>1278</v>
      </c>
      <c r="W377" s="47"/>
      <c r="X377" s="18"/>
      <c r="Y377" s="68">
        <v>24</v>
      </c>
    </row>
    <row r="378" spans="2:25" s="14" customFormat="1" ht="18">
      <c r="B378" s="103" t="s">
        <v>186</v>
      </c>
      <c r="C378" s="47" t="s">
        <v>93</v>
      </c>
      <c r="D378" s="98" t="s">
        <v>598</v>
      </c>
      <c r="E378" s="103">
        <v>1</v>
      </c>
      <c r="F378" s="103" t="s">
        <v>152</v>
      </c>
      <c r="G378" s="180">
        <v>141</v>
      </c>
      <c r="H378" s="180">
        <v>87</v>
      </c>
      <c r="I378" s="102">
        <v>345</v>
      </c>
      <c r="J378" s="212" cm="1">
        <f t="array" ref="J378">_xlfn.XLOOKUP($I378,Inputs!$C$6:$C$23,Inputs!$D$6:D$23)*$G378</f>
        <v>62.575277777777778</v>
      </c>
      <c r="K378" s="217">
        <f t="shared" si="5"/>
        <v>2.2297332466602406</v>
      </c>
      <c r="L378" s="123"/>
      <c r="M378" s="123"/>
      <c r="N378" s="123"/>
      <c r="O378" s="123"/>
      <c r="P378" s="123"/>
      <c r="Q378" s="218">
        <f>_xlfn.XLOOKUP($I378,Inputs!$G$6:$G$23,Inputs!$J$6:$J$23)*$K378</f>
        <v>724.66330516457822</v>
      </c>
      <c r="R378" s="218">
        <f>_xlfn.XLOOKUP($I378,Inputs!$G$6:$G$23,Inputs!$K$6:$K$23)*$K378</f>
        <v>947.63662983060226</v>
      </c>
      <c r="S378" s="103" t="s">
        <v>1129</v>
      </c>
      <c r="T378" s="98" t="s">
        <v>1427</v>
      </c>
      <c r="U378" s="103" t="s">
        <v>1125</v>
      </c>
      <c r="V378" s="98" t="s">
        <v>1405</v>
      </c>
      <c r="W378" s="47"/>
      <c r="X378" s="18"/>
      <c r="Y378" s="68">
        <v>400</v>
      </c>
    </row>
    <row r="379" spans="2:25" s="14" customFormat="1" ht="18">
      <c r="B379" s="103" t="s">
        <v>187</v>
      </c>
      <c r="C379" s="47" t="s">
        <v>93</v>
      </c>
      <c r="D379" s="98" t="s">
        <v>598</v>
      </c>
      <c r="E379" s="103">
        <v>1</v>
      </c>
      <c r="F379" s="103" t="s">
        <v>152</v>
      </c>
      <c r="G379" s="180">
        <v>127</v>
      </c>
      <c r="H379" s="180">
        <v>78</v>
      </c>
      <c r="I379" s="102">
        <v>138</v>
      </c>
      <c r="J379" s="212" cm="1">
        <f t="array" ref="J379">_xlfn.XLOOKUP($I379,Inputs!$C$6:$C$23,Inputs!$D$6:D$23)*$G379</f>
        <v>55.063571428571436</v>
      </c>
      <c r="K379" s="217">
        <f t="shared" si="5"/>
        <v>2.3962353245914021</v>
      </c>
      <c r="L379" s="123"/>
      <c r="M379" s="123"/>
      <c r="N379" s="123"/>
      <c r="O379" s="123"/>
      <c r="P379" s="123"/>
      <c r="Q379" s="218">
        <f>_xlfn.XLOOKUP($I379,Inputs!$G$6:$G$23,Inputs!$J$6:$J$23)*$K379</f>
        <v>112.62306025579589</v>
      </c>
      <c r="R379" s="218">
        <f>_xlfn.XLOOKUP($I379,Inputs!$G$6:$G$23,Inputs!$K$6:$K$23)*$K379</f>
        <v>124.60423687875291</v>
      </c>
      <c r="S379" s="103" t="s">
        <v>1129</v>
      </c>
      <c r="T379" s="98" t="s">
        <v>1427</v>
      </c>
      <c r="U379" s="103" t="s">
        <v>696</v>
      </c>
      <c r="V379" s="98" t="s">
        <v>732</v>
      </c>
      <c r="W379" s="47"/>
      <c r="X379" s="18"/>
      <c r="Y379" s="68">
        <v>272</v>
      </c>
    </row>
    <row r="380" spans="2:25" s="14" customFormat="1" ht="18">
      <c r="B380" s="103" t="s">
        <v>185</v>
      </c>
      <c r="C380" s="47" t="s">
        <v>93</v>
      </c>
      <c r="D380" s="98" t="s">
        <v>598</v>
      </c>
      <c r="E380" s="103">
        <v>1</v>
      </c>
      <c r="F380" s="103" t="s">
        <v>152</v>
      </c>
      <c r="G380" s="257">
        <v>160</v>
      </c>
      <c r="H380" s="257">
        <v>99</v>
      </c>
      <c r="I380" s="102">
        <v>345</v>
      </c>
      <c r="J380" s="212" cm="1">
        <f t="array" ref="J380">_xlfn.XLOOKUP($I380,Inputs!$C$6:$C$23,Inputs!$D$6:D$23)*$G380</f>
        <v>71.007407407407413</v>
      </c>
      <c r="K380" s="217">
        <f t="shared" si="5"/>
        <v>2.0475968169527001</v>
      </c>
      <c r="L380" s="123"/>
      <c r="M380" s="123"/>
      <c r="N380" s="123"/>
      <c r="O380" s="123"/>
      <c r="P380" s="123"/>
      <c r="Q380" s="218">
        <f>_xlfn.XLOOKUP($I380,Inputs!$G$6:$G$23,Inputs!$J$6:$J$23)*$K380</f>
        <v>665.46896550962754</v>
      </c>
      <c r="R380" s="218">
        <f>_xlfn.XLOOKUP($I380,Inputs!$G$6:$G$23,Inputs!$K$6:$K$23)*$K380</f>
        <v>870.22864720489758</v>
      </c>
      <c r="S380" s="103" t="s">
        <v>1129</v>
      </c>
      <c r="T380" s="98" t="s">
        <v>1427</v>
      </c>
      <c r="U380" s="103" t="s">
        <v>1126</v>
      </c>
      <c r="V380" s="98" t="s">
        <v>1415</v>
      </c>
      <c r="W380" s="47"/>
      <c r="X380" s="18"/>
      <c r="Y380" s="68">
        <v>401</v>
      </c>
    </row>
    <row r="381" spans="2:25" s="14" customFormat="1" ht="18">
      <c r="B381" s="103" t="s">
        <v>180</v>
      </c>
      <c r="C381" s="47" t="s">
        <v>93</v>
      </c>
      <c r="D381" s="98" t="s">
        <v>598</v>
      </c>
      <c r="E381" s="103">
        <v>1</v>
      </c>
      <c r="F381" s="103" t="s">
        <v>152</v>
      </c>
      <c r="G381" s="180">
        <v>10</v>
      </c>
      <c r="H381" s="180">
        <v>6</v>
      </c>
      <c r="I381" s="102">
        <v>69</v>
      </c>
      <c r="J381" s="212" cm="1">
        <f t="array" ref="J381">_xlfn.XLOOKUP($I381,Inputs!$C$6:$C$23,Inputs!$D$6:D$23)*$G381</f>
        <v>3.842857142857143</v>
      </c>
      <c r="K381" s="217">
        <f t="shared" si="5"/>
        <v>3</v>
      </c>
      <c r="L381" s="123"/>
      <c r="M381" s="123"/>
      <c r="N381" s="123"/>
      <c r="O381" s="123"/>
      <c r="P381" s="123"/>
      <c r="Q381" s="218">
        <f>_xlfn.XLOOKUP($I381,Inputs!$G$6:$G$23,Inputs!$J$6:$J$23)*$K381</f>
        <v>36</v>
      </c>
      <c r="R381" s="218">
        <f>_xlfn.XLOOKUP($I381,Inputs!$G$6:$G$23,Inputs!$K$6:$K$23)*$K381</f>
        <v>39</v>
      </c>
      <c r="S381" s="103" t="s">
        <v>968</v>
      </c>
      <c r="T381" s="98" t="s">
        <v>1346</v>
      </c>
      <c r="U381" s="103" t="s">
        <v>969</v>
      </c>
      <c r="V381" s="98" t="s">
        <v>1273</v>
      </c>
      <c r="W381" s="47"/>
      <c r="X381" s="18"/>
      <c r="Y381" s="68">
        <v>84</v>
      </c>
    </row>
    <row r="382" spans="2:25" s="14" customFormat="1" ht="18">
      <c r="B382" s="103" t="s">
        <v>307</v>
      </c>
      <c r="C382" s="47" t="s">
        <v>93</v>
      </c>
      <c r="D382" s="98" t="s">
        <v>598</v>
      </c>
      <c r="E382" s="103">
        <v>1</v>
      </c>
      <c r="F382" s="103" t="s">
        <v>152</v>
      </c>
      <c r="G382" s="180">
        <v>27</v>
      </c>
      <c r="H382" s="180">
        <v>17</v>
      </c>
      <c r="I382" s="102">
        <v>69</v>
      </c>
      <c r="J382" s="212" cm="1">
        <f t="array" ref="J382">_xlfn.XLOOKUP($I382,Inputs!$C$6:$C$23,Inputs!$D$6:D$23)*$G382</f>
        <v>10.375714285714286</v>
      </c>
      <c r="K382" s="217">
        <f t="shared" si="5"/>
        <v>3</v>
      </c>
      <c r="L382" s="123"/>
      <c r="M382" s="123"/>
      <c r="N382" s="123"/>
      <c r="O382" s="123"/>
      <c r="P382" s="123"/>
      <c r="Q382" s="218">
        <f>_xlfn.XLOOKUP($I382,Inputs!$G$6:$G$23,Inputs!$J$6:$J$23)*$K382</f>
        <v>36</v>
      </c>
      <c r="R382" s="218">
        <f>_xlfn.XLOOKUP($I382,Inputs!$G$6:$G$23,Inputs!$K$6:$K$23)*$K382</f>
        <v>39</v>
      </c>
      <c r="S382" s="103" t="s">
        <v>955</v>
      </c>
      <c r="T382" s="98" t="s">
        <v>1347</v>
      </c>
      <c r="U382" s="103" t="s">
        <v>625</v>
      </c>
      <c r="V382" s="98" t="s">
        <v>744</v>
      </c>
      <c r="W382" s="47"/>
      <c r="X382" s="18"/>
      <c r="Y382" s="68">
        <v>56</v>
      </c>
    </row>
    <row r="383" spans="2:25" s="14" customFormat="1" ht="18">
      <c r="B383" s="19" t="s">
        <v>307</v>
      </c>
      <c r="C383" s="19" t="s">
        <v>93</v>
      </c>
      <c r="D383" s="98" t="s">
        <v>598</v>
      </c>
      <c r="E383" s="19">
        <v>1</v>
      </c>
      <c r="F383" s="19" t="s">
        <v>152</v>
      </c>
      <c r="G383" s="257">
        <v>1</v>
      </c>
      <c r="H383" s="257">
        <v>1</v>
      </c>
      <c r="I383" s="72">
        <v>69</v>
      </c>
      <c r="J383" s="212" cm="1">
        <f t="array" ref="J383">_xlfn.XLOOKUP($I383,Inputs!$C$6:$C$23,Inputs!$D$6:D$23)*$G383</f>
        <v>0.38428571428571429</v>
      </c>
      <c r="K383" s="217">
        <f t="shared" si="5"/>
        <v>3</v>
      </c>
      <c r="L383" s="123"/>
      <c r="M383" s="123"/>
      <c r="N383" s="123"/>
      <c r="O383" s="123"/>
      <c r="P383" s="123"/>
      <c r="Q383" s="218">
        <f>_xlfn.XLOOKUP($I383,Inputs!$G$6:$G$23,Inputs!$J$6:$J$23)*$K383</f>
        <v>36</v>
      </c>
      <c r="R383" s="218">
        <f>_xlfn.XLOOKUP($I383,Inputs!$G$6:$G$23,Inputs!$K$6:$K$23)*$K383</f>
        <v>39</v>
      </c>
      <c r="S383" s="19" t="s">
        <v>955</v>
      </c>
      <c r="T383" s="98" t="s">
        <v>1347</v>
      </c>
      <c r="U383" s="19" t="s">
        <v>374</v>
      </c>
      <c r="V383" s="98" t="s">
        <v>1389</v>
      </c>
      <c r="W383" s="47"/>
      <c r="X383" s="18" t="s">
        <v>375</v>
      </c>
      <c r="Y383" s="68">
        <v>55</v>
      </c>
    </row>
    <row r="384" spans="2:25" s="14" customFormat="1" ht="18">
      <c r="B384" s="103" t="s">
        <v>256</v>
      </c>
      <c r="C384" s="47" t="s">
        <v>93</v>
      </c>
      <c r="D384" s="98" t="s">
        <v>598</v>
      </c>
      <c r="E384" s="103">
        <v>1</v>
      </c>
      <c r="F384" s="103" t="s">
        <v>152</v>
      </c>
      <c r="G384" s="257">
        <v>3</v>
      </c>
      <c r="H384" s="257">
        <v>2</v>
      </c>
      <c r="I384" s="102">
        <v>69</v>
      </c>
      <c r="J384" s="212" cm="1">
        <f t="array" ref="J384">_xlfn.XLOOKUP($I384,Inputs!$C$6:$C$23,Inputs!$D$6:D$23)*$G384</f>
        <v>1.1528571428571428</v>
      </c>
      <c r="K384" s="217">
        <f t="shared" si="5"/>
        <v>3</v>
      </c>
      <c r="L384" s="123"/>
      <c r="M384" s="123"/>
      <c r="N384" s="123"/>
      <c r="O384" s="123"/>
      <c r="P384" s="123"/>
      <c r="Q384" s="218">
        <f>_xlfn.XLOOKUP($I384,Inputs!$G$6:$G$23,Inputs!$J$6:$J$23)*$K384</f>
        <v>36</v>
      </c>
      <c r="R384" s="218">
        <f>_xlfn.XLOOKUP($I384,Inputs!$G$6:$G$23,Inputs!$K$6:$K$23)*$K384</f>
        <v>39</v>
      </c>
      <c r="S384" s="103" t="s">
        <v>1460</v>
      </c>
      <c r="T384" s="98" t="s">
        <v>1461</v>
      </c>
      <c r="U384" s="103" t="s">
        <v>964</v>
      </c>
      <c r="V384" s="98" t="s">
        <v>1203</v>
      </c>
      <c r="W384" s="47"/>
      <c r="X384" s="18"/>
      <c r="Y384" s="68">
        <v>73</v>
      </c>
    </row>
    <row r="385" spans="2:25" s="14" customFormat="1" ht="18">
      <c r="B385" s="103" t="s">
        <v>220</v>
      </c>
      <c r="C385" s="47" t="s">
        <v>93</v>
      </c>
      <c r="D385" s="98" t="s">
        <v>598</v>
      </c>
      <c r="E385" s="103">
        <v>1</v>
      </c>
      <c r="F385" s="103" t="s">
        <v>152</v>
      </c>
      <c r="G385" s="180">
        <v>10</v>
      </c>
      <c r="H385" s="180">
        <v>6</v>
      </c>
      <c r="I385" s="102">
        <v>69</v>
      </c>
      <c r="J385" s="212" cm="1">
        <f t="array" ref="J385">_xlfn.XLOOKUP($I385,Inputs!$C$6:$C$23,Inputs!$D$6:D$23)*$G385</f>
        <v>3.842857142857143</v>
      </c>
      <c r="K385" s="217">
        <f t="shared" si="5"/>
        <v>3</v>
      </c>
      <c r="L385" s="123"/>
      <c r="M385" s="123"/>
      <c r="N385" s="123"/>
      <c r="O385" s="123"/>
      <c r="P385" s="123"/>
      <c r="Q385" s="218">
        <f>_xlfn.XLOOKUP($I385,Inputs!$G$6:$G$23,Inputs!$J$6:$J$23)*$K385</f>
        <v>36</v>
      </c>
      <c r="R385" s="218">
        <f>_xlfn.XLOOKUP($I385,Inputs!$G$6:$G$23,Inputs!$K$6:$K$23)*$K385</f>
        <v>39</v>
      </c>
      <c r="S385" s="103" t="s">
        <v>998</v>
      </c>
      <c r="T385" s="98" t="s">
        <v>1349</v>
      </c>
      <c r="U385" s="103" t="s">
        <v>999</v>
      </c>
      <c r="V385" s="98" t="s">
        <v>1213</v>
      </c>
      <c r="W385" s="47"/>
      <c r="X385" s="18"/>
      <c r="Y385" s="68">
        <v>168</v>
      </c>
    </row>
    <row r="386" spans="2:25" s="158" customFormat="1" ht="18">
      <c r="B386" s="103" t="s">
        <v>180</v>
      </c>
      <c r="C386" s="47" t="s">
        <v>93</v>
      </c>
      <c r="D386" s="98" t="s">
        <v>598</v>
      </c>
      <c r="E386" s="103">
        <v>1</v>
      </c>
      <c r="F386" s="103" t="s">
        <v>152</v>
      </c>
      <c r="G386" s="180">
        <v>15</v>
      </c>
      <c r="H386" s="180">
        <v>9</v>
      </c>
      <c r="I386" s="102">
        <v>69</v>
      </c>
      <c r="J386" s="212" cm="1">
        <f t="array" ref="J386">_xlfn.XLOOKUP($I386,Inputs!$C$6:$C$23,Inputs!$D$6:D$23)*$G386</f>
        <v>5.7642857142857142</v>
      </c>
      <c r="K386" s="217">
        <f t="shared" si="5"/>
        <v>3</v>
      </c>
      <c r="L386" s="123"/>
      <c r="M386" s="123"/>
      <c r="N386" s="123"/>
      <c r="O386" s="123"/>
      <c r="P386" s="123"/>
      <c r="Q386" s="218">
        <f>_xlfn.XLOOKUP($I386,Inputs!$G$6:$G$23,Inputs!$J$6:$J$23)*$K386</f>
        <v>36</v>
      </c>
      <c r="R386" s="218">
        <f>_xlfn.XLOOKUP($I386,Inputs!$G$6:$G$23,Inputs!$K$6:$K$23)*$K386</f>
        <v>39</v>
      </c>
      <c r="S386" s="103" t="s">
        <v>1140</v>
      </c>
      <c r="T386" s="98" t="s">
        <v>1428</v>
      </c>
      <c r="U386" s="103" t="s">
        <v>970</v>
      </c>
      <c r="V386" s="98" t="s">
        <v>1269</v>
      </c>
      <c r="W386" s="47"/>
      <c r="X386" s="18"/>
      <c r="Y386" s="68">
        <v>87</v>
      </c>
    </row>
    <row r="387" spans="2:25" s="158" customFormat="1" ht="18">
      <c r="B387" s="103" t="s">
        <v>188</v>
      </c>
      <c r="C387" s="47" t="s">
        <v>93</v>
      </c>
      <c r="D387" s="98" t="s">
        <v>598</v>
      </c>
      <c r="E387" s="103">
        <v>1</v>
      </c>
      <c r="F387" s="103" t="s">
        <v>152</v>
      </c>
      <c r="G387" s="180">
        <v>20</v>
      </c>
      <c r="H387" s="180">
        <v>12</v>
      </c>
      <c r="I387" s="102">
        <v>69</v>
      </c>
      <c r="J387" s="212" cm="1">
        <f t="array" ref="J387">_xlfn.XLOOKUP($I387,Inputs!$C$6:$C$23,Inputs!$D$6:D$23)*$G387</f>
        <v>7.6857142857142859</v>
      </c>
      <c r="K387" s="217">
        <f t="shared" si="5"/>
        <v>3</v>
      </c>
      <c r="L387" s="123"/>
      <c r="M387" s="123"/>
      <c r="N387" s="123"/>
      <c r="O387" s="123"/>
      <c r="P387" s="123"/>
      <c r="Q387" s="218">
        <f>_xlfn.XLOOKUP($I387,Inputs!$G$6:$G$23,Inputs!$J$6:$J$23)*$K387</f>
        <v>36</v>
      </c>
      <c r="R387" s="218">
        <f>_xlfn.XLOOKUP($I387,Inputs!$G$6:$G$23,Inputs!$K$6:$K$23)*$K387</f>
        <v>39</v>
      </c>
      <c r="S387" s="103" t="s">
        <v>1140</v>
      </c>
      <c r="T387" s="98" t="s">
        <v>1428</v>
      </c>
      <c r="U387" s="103" t="s">
        <v>644</v>
      </c>
      <c r="V387" s="98" t="s">
        <v>705</v>
      </c>
      <c r="W387" s="47"/>
      <c r="X387" s="18"/>
      <c r="Y387" s="68">
        <v>112</v>
      </c>
    </row>
    <row r="388" spans="2:25" s="14" customFormat="1" ht="18">
      <c r="B388" s="103" t="s">
        <v>235</v>
      </c>
      <c r="C388" s="47" t="s">
        <v>93</v>
      </c>
      <c r="D388" s="98" t="s">
        <v>598</v>
      </c>
      <c r="E388" s="103">
        <v>1</v>
      </c>
      <c r="F388" s="103" t="s">
        <v>152</v>
      </c>
      <c r="G388" s="180">
        <v>12</v>
      </c>
      <c r="H388" s="180">
        <v>7</v>
      </c>
      <c r="I388" s="102">
        <v>138</v>
      </c>
      <c r="J388" s="212" cm="1">
        <f t="array" ref="J388">_xlfn.XLOOKUP($I388,Inputs!$C$6:$C$23,Inputs!$D$6:D$23)*$G388</f>
        <v>5.2028571428571428</v>
      </c>
      <c r="K388" s="217">
        <f t="shared" ref="K388:K414" si="6">IF((42.4*(H388)^(-0.6595))&gt;=3,3,(IF(42.4*(H388)^(-0.6595)&lt;=0.5,0.5,(42.4*(H388)^(-0.6595)))))</f>
        <v>3</v>
      </c>
      <c r="L388" s="123"/>
      <c r="M388" s="123"/>
      <c r="N388" s="123"/>
      <c r="O388" s="123"/>
      <c r="P388" s="123"/>
      <c r="Q388" s="218">
        <f>_xlfn.XLOOKUP($I388,Inputs!$G$6:$G$23,Inputs!$J$6:$J$23)*$K388</f>
        <v>141</v>
      </c>
      <c r="R388" s="218">
        <f>_xlfn.XLOOKUP($I388,Inputs!$G$6:$G$23,Inputs!$K$6:$K$23)*$K388</f>
        <v>156</v>
      </c>
      <c r="S388" s="103" t="s">
        <v>1017</v>
      </c>
      <c r="T388" s="98" t="s">
        <v>1350</v>
      </c>
      <c r="U388" s="103" t="s">
        <v>1018</v>
      </c>
      <c r="V388" s="98" t="s">
        <v>1327</v>
      </c>
      <c r="W388" s="47"/>
      <c r="X388" s="18" t="s">
        <v>366</v>
      </c>
      <c r="Y388" s="68">
        <v>287</v>
      </c>
    </row>
    <row r="389" spans="2:25" s="14" customFormat="1" ht="18">
      <c r="B389" s="103" t="s">
        <v>188</v>
      </c>
      <c r="C389" s="47" t="s">
        <v>93</v>
      </c>
      <c r="D389" s="98" t="s">
        <v>598</v>
      </c>
      <c r="E389" s="103">
        <v>1</v>
      </c>
      <c r="F389" s="103" t="s">
        <v>152</v>
      </c>
      <c r="G389" s="180">
        <v>18</v>
      </c>
      <c r="H389" s="180">
        <v>11</v>
      </c>
      <c r="I389" s="102">
        <v>69</v>
      </c>
      <c r="J389" s="212" cm="1">
        <f t="array" ref="J389">_xlfn.XLOOKUP($I389,Inputs!$C$6:$C$23,Inputs!$D$6:D$23)*$G389</f>
        <v>6.9171428571428573</v>
      </c>
      <c r="K389" s="217">
        <f t="shared" si="6"/>
        <v>3</v>
      </c>
      <c r="L389" s="123"/>
      <c r="M389" s="123"/>
      <c r="N389" s="123"/>
      <c r="O389" s="123"/>
      <c r="P389" s="123"/>
      <c r="Q389" s="218">
        <f>_xlfn.XLOOKUP($I389,Inputs!$G$6:$G$23,Inputs!$J$6:$J$23)*$K389</f>
        <v>36</v>
      </c>
      <c r="R389" s="218">
        <f>_xlfn.XLOOKUP($I389,Inputs!$G$6:$G$23,Inputs!$K$6:$K$23)*$K389</f>
        <v>39</v>
      </c>
      <c r="S389" s="103" t="s">
        <v>978</v>
      </c>
      <c r="T389" s="98" t="s">
        <v>1352</v>
      </c>
      <c r="U389" s="103" t="s">
        <v>1036</v>
      </c>
      <c r="V389" s="98" t="s">
        <v>1290</v>
      </c>
      <c r="W389" s="47"/>
      <c r="X389" s="18"/>
      <c r="Y389" s="68">
        <v>115</v>
      </c>
    </row>
    <row r="390" spans="2:25" s="14" customFormat="1" ht="18">
      <c r="B390" s="103" t="s">
        <v>311</v>
      </c>
      <c r="C390" s="47" t="s">
        <v>93</v>
      </c>
      <c r="D390" s="98" t="s">
        <v>598</v>
      </c>
      <c r="E390" s="103">
        <v>1</v>
      </c>
      <c r="F390" s="103" t="s">
        <v>152</v>
      </c>
      <c r="G390" s="257">
        <v>2</v>
      </c>
      <c r="H390" s="257">
        <v>1</v>
      </c>
      <c r="I390" s="102">
        <v>69</v>
      </c>
      <c r="J390" s="212" cm="1">
        <f t="array" ref="J390">_xlfn.XLOOKUP($I390,Inputs!$C$6:$C$23,Inputs!$D$6:D$23)*$G390</f>
        <v>0.76857142857142857</v>
      </c>
      <c r="K390" s="217">
        <f t="shared" si="6"/>
        <v>3</v>
      </c>
      <c r="L390" s="123"/>
      <c r="M390" s="123"/>
      <c r="N390" s="123"/>
      <c r="O390" s="123"/>
      <c r="P390" s="123"/>
      <c r="Q390" s="218">
        <f>_xlfn.XLOOKUP($I390,Inputs!$G$6:$G$23,Inputs!$J$6:$J$23)*$K390</f>
        <v>36</v>
      </c>
      <c r="R390" s="218">
        <f>_xlfn.XLOOKUP($I390,Inputs!$G$6:$G$23,Inputs!$K$6:$K$23)*$K390</f>
        <v>39</v>
      </c>
      <c r="S390" s="103" t="s">
        <v>997</v>
      </c>
      <c r="T390" s="98" t="s">
        <v>1353</v>
      </c>
      <c r="U390" s="103" t="s">
        <v>655</v>
      </c>
      <c r="V390" s="98" t="s">
        <v>698</v>
      </c>
      <c r="W390" s="47"/>
      <c r="X390" s="18"/>
      <c r="Y390" s="68">
        <v>160</v>
      </c>
    </row>
    <row r="391" spans="2:25" s="14" customFormat="1" ht="18">
      <c r="B391" s="103" t="s">
        <v>223</v>
      </c>
      <c r="C391" s="47" t="s">
        <v>93</v>
      </c>
      <c r="D391" s="98" t="s">
        <v>598</v>
      </c>
      <c r="E391" s="103">
        <v>1</v>
      </c>
      <c r="F391" s="103" t="s">
        <v>152</v>
      </c>
      <c r="G391" s="257">
        <v>5</v>
      </c>
      <c r="H391" s="257">
        <v>3</v>
      </c>
      <c r="I391" s="102">
        <v>69</v>
      </c>
      <c r="J391" s="212" cm="1">
        <f t="array" ref="J391">_xlfn.XLOOKUP($I391,Inputs!$C$6:$C$23,Inputs!$D$6:D$23)*$G391</f>
        <v>1.9214285714285715</v>
      </c>
      <c r="K391" s="217">
        <f t="shared" si="6"/>
        <v>3</v>
      </c>
      <c r="L391" s="123"/>
      <c r="M391" s="123"/>
      <c r="N391" s="123"/>
      <c r="O391" s="123"/>
      <c r="P391" s="123"/>
      <c r="Q391" s="218">
        <f>_xlfn.XLOOKUP($I391,Inputs!$G$6:$G$23,Inputs!$J$6:$J$23)*$K391</f>
        <v>36</v>
      </c>
      <c r="R391" s="218">
        <f>_xlfn.XLOOKUP($I391,Inputs!$G$6:$G$23,Inputs!$K$6:$K$23)*$K391</f>
        <v>39</v>
      </c>
      <c r="S391" s="103" t="s">
        <v>224</v>
      </c>
      <c r="T391" s="98" t="s">
        <v>1390</v>
      </c>
      <c r="U391" s="103" t="s">
        <v>951</v>
      </c>
      <c r="V391" s="98" t="s">
        <v>1341</v>
      </c>
      <c r="W391" s="47"/>
      <c r="X391" s="18"/>
      <c r="Y391" s="68">
        <v>340</v>
      </c>
    </row>
    <row r="392" spans="2:25" s="14" customFormat="1" ht="18">
      <c r="B392" s="103" t="s">
        <v>219</v>
      </c>
      <c r="C392" s="47" t="s">
        <v>93</v>
      </c>
      <c r="D392" s="98" t="s">
        <v>598</v>
      </c>
      <c r="E392" s="103">
        <v>1</v>
      </c>
      <c r="F392" s="103" t="s">
        <v>152</v>
      </c>
      <c r="G392" s="257">
        <v>10</v>
      </c>
      <c r="H392" s="257">
        <v>6</v>
      </c>
      <c r="I392" s="102">
        <v>69</v>
      </c>
      <c r="J392" s="212" cm="1">
        <f t="array" ref="J392">_xlfn.XLOOKUP($I392,Inputs!$C$6:$C$23,Inputs!$D$6:D$23)*$G392</f>
        <v>3.842857142857143</v>
      </c>
      <c r="K392" s="217">
        <f t="shared" si="6"/>
        <v>3</v>
      </c>
      <c r="L392" s="123"/>
      <c r="M392" s="123"/>
      <c r="N392" s="123"/>
      <c r="O392" s="123"/>
      <c r="P392" s="123"/>
      <c r="Q392" s="218">
        <f>_xlfn.XLOOKUP($I392,Inputs!$G$6:$G$23,Inputs!$J$6:$J$23)*$K392</f>
        <v>36</v>
      </c>
      <c r="R392" s="218">
        <f>_xlfn.XLOOKUP($I392,Inputs!$G$6:$G$23,Inputs!$K$6:$K$23)*$K392</f>
        <v>39</v>
      </c>
      <c r="S392" s="103" t="s">
        <v>1074</v>
      </c>
      <c r="T392" s="98" t="s">
        <v>1449</v>
      </c>
      <c r="U392" s="103" t="s">
        <v>981</v>
      </c>
      <c r="V392" s="98" t="s">
        <v>1313</v>
      </c>
      <c r="W392" s="47"/>
      <c r="X392" s="18"/>
      <c r="Y392" s="68">
        <v>170</v>
      </c>
    </row>
    <row r="393" spans="2:25" s="14" customFormat="1" ht="18">
      <c r="B393" s="103" t="s">
        <v>261</v>
      </c>
      <c r="C393" s="47" t="s">
        <v>93</v>
      </c>
      <c r="D393" s="98" t="s">
        <v>598</v>
      </c>
      <c r="E393" s="103">
        <v>1</v>
      </c>
      <c r="F393" s="103" t="s">
        <v>152</v>
      </c>
      <c r="G393" s="180">
        <v>2</v>
      </c>
      <c r="H393" s="180">
        <v>1</v>
      </c>
      <c r="I393" s="102">
        <v>69</v>
      </c>
      <c r="J393" s="212" cm="1">
        <f t="array" ref="J393">_xlfn.XLOOKUP($I393,Inputs!$C$6:$C$23,Inputs!$D$6:D$23)*$G393</f>
        <v>0.76857142857142857</v>
      </c>
      <c r="K393" s="217">
        <f t="shared" si="6"/>
        <v>3</v>
      </c>
      <c r="L393" s="123"/>
      <c r="M393" s="123"/>
      <c r="N393" s="123"/>
      <c r="O393" s="123"/>
      <c r="P393" s="123"/>
      <c r="Q393" s="218">
        <f>_xlfn.XLOOKUP($I393,Inputs!$G$6:$G$23,Inputs!$J$6:$J$23)*$K393</f>
        <v>36</v>
      </c>
      <c r="R393" s="218">
        <f>_xlfn.XLOOKUP($I393,Inputs!$G$6:$G$23,Inputs!$K$6:$K$23)*$K393</f>
        <v>39</v>
      </c>
      <c r="S393" s="103" t="s">
        <v>932</v>
      </c>
      <c r="T393" s="98" t="s">
        <v>1356</v>
      </c>
      <c r="U393" s="103" t="s">
        <v>933</v>
      </c>
      <c r="V393" s="98" t="s">
        <v>1357</v>
      </c>
      <c r="W393" s="47"/>
      <c r="X393" s="18"/>
      <c r="Y393" s="68">
        <v>10</v>
      </c>
    </row>
    <row r="394" spans="2:25" s="14" customFormat="1" ht="18">
      <c r="B394" s="103" t="s">
        <v>261</v>
      </c>
      <c r="C394" s="47" t="s">
        <v>93</v>
      </c>
      <c r="D394" s="98" t="s">
        <v>598</v>
      </c>
      <c r="E394" s="103">
        <v>1</v>
      </c>
      <c r="F394" s="103" t="s">
        <v>152</v>
      </c>
      <c r="G394" s="180">
        <v>33</v>
      </c>
      <c r="H394" s="180">
        <v>20</v>
      </c>
      <c r="I394" s="102">
        <v>69</v>
      </c>
      <c r="J394" s="212" cm="1">
        <f t="array" ref="J394">_xlfn.XLOOKUP($I394,Inputs!$C$6:$C$23,Inputs!$D$6:D$23)*$G394</f>
        <v>12.681428571428571</v>
      </c>
      <c r="K394" s="217">
        <f t="shared" si="6"/>
        <v>3</v>
      </c>
      <c r="L394" s="123"/>
      <c r="M394" s="123"/>
      <c r="N394" s="123"/>
      <c r="O394" s="123"/>
      <c r="P394" s="123"/>
      <c r="Q394" s="218">
        <f>_xlfn.XLOOKUP($I394,Inputs!$G$6:$G$23,Inputs!$J$6:$J$23)*$K394</f>
        <v>36</v>
      </c>
      <c r="R394" s="218">
        <f>_xlfn.XLOOKUP($I394,Inputs!$G$6:$G$23,Inputs!$K$6:$K$23)*$K394</f>
        <v>39</v>
      </c>
      <c r="S394" s="103" t="s">
        <v>933</v>
      </c>
      <c r="T394" s="98" t="s">
        <v>1357</v>
      </c>
      <c r="U394" s="103" t="s">
        <v>934</v>
      </c>
      <c r="V394" s="98" t="s">
        <v>1278</v>
      </c>
      <c r="W394" s="47"/>
      <c r="X394" s="18"/>
      <c r="Y394" s="68">
        <v>11</v>
      </c>
    </row>
    <row r="395" spans="2:25" s="14" customFormat="1" ht="18">
      <c r="B395" s="103" t="s">
        <v>239</v>
      </c>
      <c r="C395" s="47" t="s">
        <v>93</v>
      </c>
      <c r="D395" s="98" t="s">
        <v>598</v>
      </c>
      <c r="E395" s="103">
        <v>1</v>
      </c>
      <c r="F395" s="103" t="s">
        <v>152</v>
      </c>
      <c r="G395" s="180">
        <v>3</v>
      </c>
      <c r="H395" s="180">
        <v>2</v>
      </c>
      <c r="I395" s="102">
        <v>69</v>
      </c>
      <c r="J395" s="212" cm="1">
        <f t="array" ref="J395">_xlfn.XLOOKUP($I395,Inputs!$C$6:$C$23,Inputs!$D$6:D$23)*$G395</f>
        <v>1.1528571428571428</v>
      </c>
      <c r="K395" s="217">
        <f t="shared" si="6"/>
        <v>3</v>
      </c>
      <c r="L395" s="123"/>
      <c r="M395" s="123"/>
      <c r="N395" s="123"/>
      <c r="O395" s="123"/>
      <c r="P395" s="123"/>
      <c r="Q395" s="218">
        <f>_xlfn.XLOOKUP($I395,Inputs!$G$6:$G$23,Inputs!$J$6:$J$23)*$K395</f>
        <v>36</v>
      </c>
      <c r="R395" s="218">
        <f>_xlfn.XLOOKUP($I395,Inputs!$G$6:$G$23,Inputs!$K$6:$K$23)*$K395</f>
        <v>39</v>
      </c>
      <c r="S395" s="103" t="s">
        <v>944</v>
      </c>
      <c r="T395" s="98" t="s">
        <v>1358</v>
      </c>
      <c r="U395" s="103" t="s">
        <v>1117</v>
      </c>
      <c r="V395" s="98" t="s">
        <v>1421</v>
      </c>
      <c r="W395" s="47"/>
      <c r="X395" s="18"/>
      <c r="Y395" s="68">
        <v>32</v>
      </c>
    </row>
    <row r="396" spans="2:25" s="14" customFormat="1" ht="18">
      <c r="B396" s="103" t="s">
        <v>331</v>
      </c>
      <c r="C396" s="47" t="s">
        <v>93</v>
      </c>
      <c r="D396" s="98" t="s">
        <v>598</v>
      </c>
      <c r="E396" s="103">
        <v>1</v>
      </c>
      <c r="F396" s="103" t="s">
        <v>152</v>
      </c>
      <c r="G396" s="180">
        <v>10</v>
      </c>
      <c r="H396" s="180">
        <v>6</v>
      </c>
      <c r="I396" s="102">
        <v>69</v>
      </c>
      <c r="J396" s="212" cm="1">
        <f t="array" ref="J396">_xlfn.XLOOKUP($I396,Inputs!$C$6:$C$23,Inputs!$D$6:D$23)*$G396</f>
        <v>3.842857142857143</v>
      </c>
      <c r="K396" s="217">
        <f t="shared" si="6"/>
        <v>3</v>
      </c>
      <c r="L396" s="123"/>
      <c r="M396" s="123"/>
      <c r="N396" s="123"/>
      <c r="O396" s="123"/>
      <c r="P396" s="123"/>
      <c r="Q396" s="218">
        <f>_xlfn.XLOOKUP($I396,Inputs!$G$6:$G$23,Inputs!$J$6:$J$23)*$K396</f>
        <v>36</v>
      </c>
      <c r="R396" s="218">
        <f>_xlfn.XLOOKUP($I396,Inputs!$G$6:$G$23,Inputs!$K$6:$K$23)*$K396</f>
        <v>39</v>
      </c>
      <c r="S396" s="103" t="s">
        <v>984</v>
      </c>
      <c r="T396" s="98" t="s">
        <v>1359</v>
      </c>
      <c r="U396" s="103" t="s">
        <v>651</v>
      </c>
      <c r="V396" s="98" t="s">
        <v>736</v>
      </c>
      <c r="W396" s="47"/>
      <c r="X396" s="18"/>
      <c r="Y396" s="68">
        <v>133</v>
      </c>
    </row>
    <row r="397" spans="2:25" s="14" customFormat="1" ht="18">
      <c r="B397" s="103" t="s">
        <v>206</v>
      </c>
      <c r="C397" s="47" t="s">
        <v>93</v>
      </c>
      <c r="D397" s="98" t="s">
        <v>598</v>
      </c>
      <c r="E397" s="103">
        <v>1</v>
      </c>
      <c r="F397" s="103" t="s">
        <v>152</v>
      </c>
      <c r="G397" s="180">
        <v>12</v>
      </c>
      <c r="H397" s="180">
        <v>7</v>
      </c>
      <c r="I397" s="102">
        <v>138</v>
      </c>
      <c r="J397" s="212" cm="1">
        <f t="array" ref="J397">_xlfn.XLOOKUP($I397,Inputs!$C$6:$C$23,Inputs!$D$6:D$23)*$G397</f>
        <v>5.2028571428571428</v>
      </c>
      <c r="K397" s="217">
        <f t="shared" si="6"/>
        <v>3</v>
      </c>
      <c r="L397" s="123"/>
      <c r="M397" s="123"/>
      <c r="N397" s="123"/>
      <c r="O397" s="123"/>
      <c r="P397" s="123"/>
      <c r="Q397" s="218">
        <f>_xlfn.XLOOKUP($I397,Inputs!$G$6:$G$23,Inputs!$J$6:$J$23)*$K397</f>
        <v>141</v>
      </c>
      <c r="R397" s="218">
        <f>_xlfn.XLOOKUP($I397,Inputs!$G$6:$G$23,Inputs!$K$6:$K$23)*$K397</f>
        <v>156</v>
      </c>
      <c r="S397" s="103" t="s">
        <v>1016</v>
      </c>
      <c r="T397" s="98" t="s">
        <v>1360</v>
      </c>
      <c r="U397" s="103" t="s">
        <v>1396</v>
      </c>
      <c r="V397" s="98" t="s">
        <v>1206</v>
      </c>
      <c r="W397" s="47"/>
      <c r="X397" s="18"/>
      <c r="Y397" s="68">
        <v>283</v>
      </c>
    </row>
    <row r="398" spans="2:25" s="14" customFormat="1" ht="18">
      <c r="B398" s="103" t="s">
        <v>314</v>
      </c>
      <c r="C398" s="47" t="s">
        <v>93</v>
      </c>
      <c r="D398" s="98" t="s">
        <v>598</v>
      </c>
      <c r="E398" s="103">
        <v>1</v>
      </c>
      <c r="F398" s="103" t="s">
        <v>152</v>
      </c>
      <c r="G398" s="180">
        <v>4</v>
      </c>
      <c r="H398" s="180">
        <v>2</v>
      </c>
      <c r="I398" s="102">
        <v>69</v>
      </c>
      <c r="J398" s="212" cm="1">
        <f t="array" ref="J398">_xlfn.XLOOKUP($I398,Inputs!$C$6:$C$23,Inputs!$D$6:D$23)*$G398</f>
        <v>1.5371428571428571</v>
      </c>
      <c r="K398" s="217">
        <f t="shared" si="6"/>
        <v>3</v>
      </c>
      <c r="L398" s="123"/>
      <c r="M398" s="123"/>
      <c r="N398" s="123"/>
      <c r="O398" s="123"/>
      <c r="P398" s="123"/>
      <c r="Q398" s="218">
        <f>_xlfn.XLOOKUP($I398,Inputs!$G$6:$G$23,Inputs!$J$6:$J$23)*$K398</f>
        <v>36</v>
      </c>
      <c r="R398" s="218">
        <f>_xlfn.XLOOKUP($I398,Inputs!$G$6:$G$23,Inputs!$K$6:$K$23)*$K398</f>
        <v>39</v>
      </c>
      <c r="S398" s="103" t="s">
        <v>958</v>
      </c>
      <c r="T398" s="98" t="s">
        <v>1361</v>
      </c>
      <c r="U398" s="103" t="s">
        <v>627</v>
      </c>
      <c r="V398" s="98" t="s">
        <v>712</v>
      </c>
      <c r="W398" s="47"/>
      <c r="X398" s="18"/>
      <c r="Y398" s="68">
        <v>62</v>
      </c>
    </row>
    <row r="399" spans="2:25" s="14" customFormat="1" ht="18">
      <c r="B399" s="103" t="s">
        <v>1470</v>
      </c>
      <c r="C399" s="47" t="s">
        <v>378</v>
      </c>
      <c r="D399" s="98" t="s">
        <v>598</v>
      </c>
      <c r="E399" s="103">
        <v>1</v>
      </c>
      <c r="F399" s="103" t="s">
        <v>152</v>
      </c>
      <c r="G399" s="257">
        <v>3</v>
      </c>
      <c r="H399" s="257">
        <v>2</v>
      </c>
      <c r="I399" s="102">
        <v>69</v>
      </c>
      <c r="J399" s="212" cm="1">
        <f t="array" ref="J399">_xlfn.XLOOKUP($I399,Inputs!$C$6:$C$23,Inputs!$D$6:D$23)*$G399</f>
        <v>1.1528571428571428</v>
      </c>
      <c r="K399" s="217">
        <f t="shared" si="6"/>
        <v>3</v>
      </c>
      <c r="L399" s="123"/>
      <c r="M399" s="123"/>
      <c r="N399" s="123"/>
      <c r="O399" s="123"/>
      <c r="P399" s="123"/>
      <c r="Q399" s="266">
        <v>0</v>
      </c>
      <c r="R399" s="266">
        <v>0</v>
      </c>
      <c r="S399" s="103" t="s">
        <v>1467</v>
      </c>
      <c r="T399" s="47" t="s">
        <v>1468</v>
      </c>
      <c r="U399" s="103" t="s">
        <v>1469</v>
      </c>
      <c r="V399" s="47" t="s">
        <v>809</v>
      </c>
      <c r="W399" s="47"/>
      <c r="X399" s="18"/>
      <c r="Y399" s="68">
        <v>313</v>
      </c>
    </row>
    <row r="400" spans="2:25" s="14" customFormat="1" ht="18">
      <c r="B400" s="103" t="s">
        <v>1471</v>
      </c>
      <c r="C400" s="47" t="s">
        <v>378</v>
      </c>
      <c r="D400" s="98" t="s">
        <v>598</v>
      </c>
      <c r="E400" s="103">
        <v>1</v>
      </c>
      <c r="F400" s="103" t="s">
        <v>152</v>
      </c>
      <c r="G400" s="257">
        <v>3</v>
      </c>
      <c r="H400" s="257">
        <v>2</v>
      </c>
      <c r="I400" s="102">
        <v>69</v>
      </c>
      <c r="J400" s="212" cm="1">
        <f t="array" ref="J400">_xlfn.XLOOKUP($I400,Inputs!$C$6:$C$23,Inputs!$D$6:D$23)*$G400</f>
        <v>1.1528571428571428</v>
      </c>
      <c r="K400" s="217">
        <f t="shared" si="6"/>
        <v>3</v>
      </c>
      <c r="L400" s="123"/>
      <c r="M400" s="123"/>
      <c r="N400" s="123"/>
      <c r="O400" s="123"/>
      <c r="P400" s="123"/>
      <c r="Q400" s="266">
        <v>0</v>
      </c>
      <c r="R400" s="266">
        <v>0</v>
      </c>
      <c r="S400" s="103" t="s">
        <v>1467</v>
      </c>
      <c r="T400" s="47" t="s">
        <v>1468</v>
      </c>
      <c r="U400" s="103" t="s">
        <v>1472</v>
      </c>
      <c r="V400" s="47" t="s">
        <v>810</v>
      </c>
      <c r="W400" s="47"/>
      <c r="X400" s="18"/>
      <c r="Y400" s="68">
        <v>312</v>
      </c>
    </row>
    <row r="401" spans="2:25" s="14" customFormat="1" ht="18">
      <c r="B401" s="103" t="s">
        <v>183</v>
      </c>
      <c r="C401" s="47" t="s">
        <v>93</v>
      </c>
      <c r="D401" s="98" t="s">
        <v>598</v>
      </c>
      <c r="E401" s="103">
        <v>1</v>
      </c>
      <c r="F401" s="103" t="s">
        <v>152</v>
      </c>
      <c r="G401" s="180">
        <v>35</v>
      </c>
      <c r="H401" s="180">
        <v>21</v>
      </c>
      <c r="I401" s="102">
        <v>138</v>
      </c>
      <c r="J401" s="212" cm="1">
        <f t="array" ref="J401">_xlfn.XLOOKUP($I401,Inputs!$C$6:$C$23,Inputs!$D$6:D$23)*$G401</f>
        <v>15.175000000000001</v>
      </c>
      <c r="K401" s="217">
        <f t="shared" si="6"/>
        <v>3</v>
      </c>
      <c r="L401" s="123"/>
      <c r="M401" s="123"/>
      <c r="N401" s="123"/>
      <c r="O401" s="123"/>
      <c r="P401" s="123"/>
      <c r="Q401" s="218">
        <f>_xlfn.XLOOKUP($I401,Inputs!$G$6:$G$23,Inputs!$J$6:$J$23)*$K401</f>
        <v>141</v>
      </c>
      <c r="R401" s="218">
        <f>_xlfn.XLOOKUP($I401,Inputs!$G$6:$G$23,Inputs!$K$6:$K$23)*$K401</f>
        <v>156</v>
      </c>
      <c r="S401" s="103" t="s">
        <v>181</v>
      </c>
      <c r="T401" s="98" t="s">
        <v>1391</v>
      </c>
      <c r="U401" s="103" t="s">
        <v>649</v>
      </c>
      <c r="V401" s="98" t="s">
        <v>1375</v>
      </c>
      <c r="W401" s="47"/>
      <c r="X401" s="18"/>
      <c r="Y401" s="68">
        <v>277</v>
      </c>
    </row>
    <row r="402" spans="2:25" s="14" customFormat="1" ht="18">
      <c r="B402" s="103" t="s">
        <v>1493</v>
      </c>
      <c r="C402" s="47" t="s">
        <v>93</v>
      </c>
      <c r="D402" s="98" t="s">
        <v>598</v>
      </c>
      <c r="E402" s="103">
        <v>1</v>
      </c>
      <c r="F402" s="103" t="s">
        <v>152</v>
      </c>
      <c r="G402" s="257">
        <v>1</v>
      </c>
      <c r="H402" s="257">
        <v>1</v>
      </c>
      <c r="I402" s="102">
        <v>69</v>
      </c>
      <c r="J402" s="212" cm="1">
        <f t="array" ref="J402">_xlfn.XLOOKUP($I402,Inputs!$C$6:$C$23,Inputs!$D$6:D$23)*$G402</f>
        <v>0.38428571428571429</v>
      </c>
      <c r="K402" s="217">
        <f t="shared" si="6"/>
        <v>3</v>
      </c>
      <c r="L402" s="123"/>
      <c r="M402" s="123"/>
      <c r="N402" s="123"/>
      <c r="O402" s="123"/>
      <c r="P402" s="123"/>
      <c r="Q402" s="218">
        <f>_xlfn.XLOOKUP($I402,Inputs!$G$6:$G$23,Inputs!$J$6:$J$23)*$K402</f>
        <v>36</v>
      </c>
      <c r="R402" s="218">
        <f>_xlfn.XLOOKUP($I402,Inputs!$G$6:$G$23,Inputs!$K$6:$K$23)*$K402</f>
        <v>39</v>
      </c>
      <c r="S402" s="103" t="s">
        <v>181</v>
      </c>
      <c r="T402" s="98" t="s">
        <v>1391</v>
      </c>
      <c r="U402" s="103" t="s">
        <v>982</v>
      </c>
      <c r="V402" s="98" t="s">
        <v>1362</v>
      </c>
      <c r="W402" s="47"/>
      <c r="X402" s="18"/>
      <c r="Y402" s="68">
        <v>128</v>
      </c>
    </row>
    <row r="403" spans="2:25" s="14" customFormat="1" ht="18">
      <c r="B403" s="103" t="s">
        <v>1493</v>
      </c>
      <c r="C403" s="47" t="s">
        <v>93</v>
      </c>
      <c r="D403" s="98" t="s">
        <v>598</v>
      </c>
      <c r="E403" s="103">
        <v>1</v>
      </c>
      <c r="F403" s="103" t="s">
        <v>152</v>
      </c>
      <c r="G403" s="180">
        <v>27</v>
      </c>
      <c r="H403" s="180">
        <v>17</v>
      </c>
      <c r="I403" s="102">
        <v>69</v>
      </c>
      <c r="J403" s="212" cm="1">
        <f t="array" ref="J403">_xlfn.XLOOKUP($I403,Inputs!$C$6:$C$23,Inputs!$D$6:D$23)*$G403</f>
        <v>10.375714285714286</v>
      </c>
      <c r="K403" s="217">
        <f t="shared" si="6"/>
        <v>3</v>
      </c>
      <c r="L403" s="123"/>
      <c r="M403" s="123"/>
      <c r="N403" s="123"/>
      <c r="O403" s="123"/>
      <c r="P403" s="123"/>
      <c r="Q403" s="218">
        <f>_xlfn.XLOOKUP($I403,Inputs!$G$6:$G$23,Inputs!$J$6:$J$23)*$K403</f>
        <v>36</v>
      </c>
      <c r="R403" s="218">
        <f>_xlfn.XLOOKUP($I403,Inputs!$G$6:$G$23,Inputs!$K$6:$K$23)*$K403</f>
        <v>39</v>
      </c>
      <c r="S403" s="103" t="s">
        <v>982</v>
      </c>
      <c r="T403" s="98" t="s">
        <v>1362</v>
      </c>
      <c r="U403" s="103" t="s">
        <v>649</v>
      </c>
      <c r="V403" s="98" t="s">
        <v>1375</v>
      </c>
      <c r="W403" s="47"/>
      <c r="X403" s="18"/>
      <c r="Y403" s="68">
        <v>129</v>
      </c>
    </row>
    <row r="404" spans="2:25" s="14" customFormat="1" ht="18">
      <c r="B404" s="103" t="s">
        <v>1150</v>
      </c>
      <c r="C404" s="47" t="s">
        <v>93</v>
      </c>
      <c r="D404" s="98" t="s">
        <v>598</v>
      </c>
      <c r="E404" s="103">
        <v>1</v>
      </c>
      <c r="F404" s="103" t="s">
        <v>152</v>
      </c>
      <c r="G404" s="180">
        <v>3</v>
      </c>
      <c r="H404" s="180">
        <v>2</v>
      </c>
      <c r="I404" s="102">
        <v>69</v>
      </c>
      <c r="J404" s="212" cm="1">
        <f t="array" ref="J404">_xlfn.XLOOKUP($I404,Inputs!$C$6:$C$23,Inputs!$D$6:D$23)*$G404</f>
        <v>1.1528571428571428</v>
      </c>
      <c r="K404" s="217">
        <f t="shared" si="6"/>
        <v>3</v>
      </c>
      <c r="L404" s="123"/>
      <c r="M404" s="123"/>
      <c r="N404" s="123"/>
      <c r="O404" s="123"/>
      <c r="P404" s="123"/>
      <c r="Q404" s="218">
        <f>_xlfn.XLOOKUP($I404,Inputs!$G$6:$G$23,Inputs!$J$6:$J$23)*$K404</f>
        <v>36</v>
      </c>
      <c r="R404" s="218">
        <f>_xlfn.XLOOKUP($I404,Inputs!$G$6:$G$23,Inputs!$K$6:$K$23)*$K404</f>
        <v>39</v>
      </c>
      <c r="S404" s="103" t="s">
        <v>1151</v>
      </c>
      <c r="T404" s="98" t="s">
        <v>1363</v>
      </c>
      <c r="U404" s="103" t="s">
        <v>1095</v>
      </c>
      <c r="V404" s="98" t="s">
        <v>1339</v>
      </c>
      <c r="W404" s="47"/>
      <c r="X404" s="18"/>
      <c r="Y404" s="68">
        <v>177</v>
      </c>
    </row>
    <row r="405" spans="2:25" s="14" customFormat="1" ht="18">
      <c r="B405" s="103" t="s">
        <v>263</v>
      </c>
      <c r="C405" s="47" t="s">
        <v>93</v>
      </c>
      <c r="D405" s="98" t="s">
        <v>598</v>
      </c>
      <c r="E405" s="103">
        <v>1</v>
      </c>
      <c r="F405" s="103" t="s">
        <v>152</v>
      </c>
      <c r="G405" s="180">
        <v>8</v>
      </c>
      <c r="H405" s="180">
        <v>5</v>
      </c>
      <c r="I405" s="102">
        <v>69</v>
      </c>
      <c r="J405" s="212" cm="1">
        <f t="array" ref="J405">_xlfn.XLOOKUP($I405,Inputs!$C$6:$C$23,Inputs!$D$6:D$23)*$G405</f>
        <v>3.0742857142857143</v>
      </c>
      <c r="K405" s="217">
        <f t="shared" si="6"/>
        <v>3</v>
      </c>
      <c r="L405" s="123"/>
      <c r="M405" s="123"/>
      <c r="N405" s="123"/>
      <c r="O405" s="123"/>
      <c r="P405" s="123"/>
      <c r="Q405" s="218">
        <f>_xlfn.XLOOKUP($I405,Inputs!$G$6:$G$23,Inputs!$J$6:$J$23)*$K405</f>
        <v>36</v>
      </c>
      <c r="R405" s="218">
        <f>_xlfn.XLOOKUP($I405,Inputs!$G$6:$G$23,Inputs!$K$6:$K$23)*$K405</f>
        <v>39</v>
      </c>
      <c r="S405" s="103" t="s">
        <v>953</v>
      </c>
      <c r="T405" s="98" t="s">
        <v>1364</v>
      </c>
      <c r="U405" s="103" t="s">
        <v>1062</v>
      </c>
      <c r="V405" s="98" t="s">
        <v>1329</v>
      </c>
      <c r="W405" s="47"/>
      <c r="X405" s="18"/>
      <c r="Y405" s="68">
        <v>208</v>
      </c>
    </row>
    <row r="406" spans="2:25" s="14" customFormat="1" ht="18">
      <c r="B406" s="103" t="s">
        <v>262</v>
      </c>
      <c r="C406" s="47" t="s">
        <v>93</v>
      </c>
      <c r="D406" s="98" t="s">
        <v>598</v>
      </c>
      <c r="E406" s="103">
        <v>1</v>
      </c>
      <c r="F406" s="103" t="s">
        <v>152</v>
      </c>
      <c r="G406" s="180">
        <v>19</v>
      </c>
      <c r="H406" s="180">
        <v>12</v>
      </c>
      <c r="I406" s="102">
        <v>69</v>
      </c>
      <c r="J406" s="212" cm="1">
        <f t="array" ref="J406">_xlfn.XLOOKUP($I406,Inputs!$C$6:$C$23,Inputs!$D$6:D$23)*$G406</f>
        <v>7.3014285714285716</v>
      </c>
      <c r="K406" s="217">
        <f t="shared" si="6"/>
        <v>3</v>
      </c>
      <c r="L406" s="123"/>
      <c r="M406" s="123"/>
      <c r="N406" s="123"/>
      <c r="O406" s="123"/>
      <c r="P406" s="123"/>
      <c r="Q406" s="218">
        <f>_xlfn.XLOOKUP($I406,Inputs!$G$6:$G$23,Inputs!$J$6:$J$23)*$K406</f>
        <v>36</v>
      </c>
      <c r="R406" s="218">
        <f>_xlfn.XLOOKUP($I406,Inputs!$G$6:$G$23,Inputs!$K$6:$K$23)*$K406</f>
        <v>39</v>
      </c>
      <c r="S406" s="103" t="s">
        <v>953</v>
      </c>
      <c r="T406" s="98" t="s">
        <v>1364</v>
      </c>
      <c r="U406" s="103" t="s">
        <v>954</v>
      </c>
      <c r="V406" s="98" t="s">
        <v>1369</v>
      </c>
      <c r="W406" s="47"/>
      <c r="X406" s="18"/>
      <c r="Y406" s="68">
        <v>50</v>
      </c>
    </row>
    <row r="407" spans="2:25" s="14" customFormat="1" ht="18">
      <c r="B407" s="103" t="s">
        <v>291</v>
      </c>
      <c r="C407" s="47" t="s">
        <v>93</v>
      </c>
      <c r="D407" s="98" t="s">
        <v>598</v>
      </c>
      <c r="E407" s="103">
        <v>1</v>
      </c>
      <c r="F407" s="103" t="s">
        <v>152</v>
      </c>
      <c r="G407" s="180">
        <v>4</v>
      </c>
      <c r="H407" s="180">
        <v>3</v>
      </c>
      <c r="I407" s="102">
        <v>69</v>
      </c>
      <c r="J407" s="212" cm="1">
        <f t="array" ref="J407">_xlfn.XLOOKUP($I407,Inputs!$C$6:$C$23,Inputs!$D$6:D$23)*$G407</f>
        <v>1.5371428571428571</v>
      </c>
      <c r="K407" s="217">
        <f t="shared" si="6"/>
        <v>3</v>
      </c>
      <c r="L407" s="123"/>
      <c r="M407" s="123"/>
      <c r="N407" s="123"/>
      <c r="O407" s="123"/>
      <c r="P407" s="123"/>
      <c r="Q407" s="218">
        <f>_xlfn.XLOOKUP($I407,Inputs!$G$6:$G$23,Inputs!$J$6:$J$23)*$K407</f>
        <v>36</v>
      </c>
      <c r="R407" s="218">
        <f>_xlfn.XLOOKUP($I407,Inputs!$G$6:$G$23,Inputs!$K$6:$K$23)*$K407</f>
        <v>39</v>
      </c>
      <c r="S407" s="103" t="s">
        <v>995</v>
      </c>
      <c r="T407" s="98" t="s">
        <v>1365</v>
      </c>
      <c r="U407" s="103" t="s">
        <v>1114</v>
      </c>
      <c r="V407" s="98" t="s">
        <v>1401</v>
      </c>
      <c r="W407" s="47"/>
      <c r="X407" s="18"/>
      <c r="Y407" s="68">
        <v>157</v>
      </c>
    </row>
    <row r="408" spans="2:25" s="14" customFormat="1" ht="18">
      <c r="B408" s="103" t="s">
        <v>344</v>
      </c>
      <c r="C408" s="47" t="s">
        <v>93</v>
      </c>
      <c r="D408" s="98" t="s">
        <v>598</v>
      </c>
      <c r="E408" s="103">
        <v>1</v>
      </c>
      <c r="F408" s="103" t="s">
        <v>152</v>
      </c>
      <c r="G408" s="180">
        <v>8</v>
      </c>
      <c r="H408" s="180">
        <v>5</v>
      </c>
      <c r="I408" s="102">
        <v>69</v>
      </c>
      <c r="J408" s="212" cm="1">
        <f t="array" ref="J408">_xlfn.XLOOKUP($I408,Inputs!$C$6:$C$23,Inputs!$D$6:D$23)*$G408</f>
        <v>3.0742857142857143</v>
      </c>
      <c r="K408" s="217">
        <f t="shared" si="6"/>
        <v>3</v>
      </c>
      <c r="L408" s="123"/>
      <c r="M408" s="123"/>
      <c r="N408" s="123"/>
      <c r="O408" s="123"/>
      <c r="P408" s="123"/>
      <c r="Q408" s="218">
        <f>_xlfn.XLOOKUP($I408,Inputs!$G$6:$G$23,Inputs!$J$6:$J$23)*$K408</f>
        <v>36</v>
      </c>
      <c r="R408" s="218">
        <f>_xlfn.XLOOKUP($I408,Inputs!$G$6:$G$23,Inputs!$K$6:$K$23)*$K408</f>
        <v>39</v>
      </c>
      <c r="S408" s="103" t="s">
        <v>1027</v>
      </c>
      <c r="T408" s="98" t="s">
        <v>1366</v>
      </c>
      <c r="U408" s="103" t="s">
        <v>983</v>
      </c>
      <c r="V408" s="98" t="s">
        <v>1196</v>
      </c>
      <c r="W408" s="47"/>
      <c r="X408" s="18"/>
      <c r="Y408" s="68">
        <v>122</v>
      </c>
    </row>
    <row r="409" spans="2:25" s="14" customFormat="1" ht="18">
      <c r="B409" s="103" t="s">
        <v>343</v>
      </c>
      <c r="C409" s="47" t="s">
        <v>93</v>
      </c>
      <c r="D409" s="98" t="s">
        <v>598</v>
      </c>
      <c r="E409" s="103">
        <v>1</v>
      </c>
      <c r="F409" s="103" t="s">
        <v>152</v>
      </c>
      <c r="G409" s="180">
        <v>8</v>
      </c>
      <c r="H409" s="180">
        <v>5</v>
      </c>
      <c r="I409" s="102">
        <v>138</v>
      </c>
      <c r="J409" s="212" cm="1">
        <f t="array" ref="J409">_xlfn.XLOOKUP($I409,Inputs!$C$6:$C$23,Inputs!$D$6:D$23)*$G409</f>
        <v>3.4685714285714289</v>
      </c>
      <c r="K409" s="217">
        <f t="shared" si="6"/>
        <v>3</v>
      </c>
      <c r="L409" s="123"/>
      <c r="M409" s="123"/>
      <c r="N409" s="123"/>
      <c r="O409" s="123"/>
      <c r="P409" s="123"/>
      <c r="Q409" s="218">
        <f>_xlfn.XLOOKUP($I409,Inputs!$G$6:$G$23,Inputs!$J$6:$J$23)*$K409</f>
        <v>141</v>
      </c>
      <c r="R409" s="218">
        <f>_xlfn.XLOOKUP($I409,Inputs!$G$6:$G$23,Inputs!$K$6:$K$23)*$K409</f>
        <v>156</v>
      </c>
      <c r="S409" s="103" t="s">
        <v>1027</v>
      </c>
      <c r="T409" s="98" t="s">
        <v>1366</v>
      </c>
      <c r="U409" s="103" t="s">
        <v>1028</v>
      </c>
      <c r="V409" s="98" t="s">
        <v>1323</v>
      </c>
      <c r="W409" s="47"/>
      <c r="X409" s="18"/>
      <c r="Y409" s="68">
        <v>354</v>
      </c>
    </row>
    <row r="410" spans="2:25" s="14" customFormat="1" ht="18">
      <c r="B410" s="103" t="s">
        <v>293</v>
      </c>
      <c r="C410" s="47" t="s">
        <v>93</v>
      </c>
      <c r="D410" s="98" t="s">
        <v>598</v>
      </c>
      <c r="E410" s="103">
        <v>1</v>
      </c>
      <c r="F410" s="103" t="s">
        <v>152</v>
      </c>
      <c r="G410" s="257">
        <v>8</v>
      </c>
      <c r="H410" s="257">
        <v>5</v>
      </c>
      <c r="I410" s="102">
        <v>138</v>
      </c>
      <c r="J410" s="212" cm="1">
        <f t="array" ref="J410">_xlfn.XLOOKUP($I410,Inputs!$C$6:$C$23,Inputs!$D$6:D$23)*$G410</f>
        <v>3.4685714285714289</v>
      </c>
      <c r="K410" s="217">
        <f t="shared" si="6"/>
        <v>3</v>
      </c>
      <c r="L410" s="123"/>
      <c r="M410" s="123"/>
      <c r="N410" s="123"/>
      <c r="O410" s="123"/>
      <c r="P410" s="123"/>
      <c r="Q410" s="218">
        <f>_xlfn.XLOOKUP($I410,Inputs!$G$6:$G$23,Inputs!$J$6:$J$23)*$K410</f>
        <v>141</v>
      </c>
      <c r="R410" s="218">
        <f>_xlfn.XLOOKUP($I410,Inputs!$G$6:$G$23,Inputs!$K$6:$K$23)*$K410</f>
        <v>156</v>
      </c>
      <c r="S410" s="103" t="s">
        <v>1141</v>
      </c>
      <c r="T410" s="98" t="s">
        <v>1368</v>
      </c>
      <c r="U410" s="103" t="s">
        <v>669</v>
      </c>
      <c r="V410" s="98" t="s">
        <v>720</v>
      </c>
      <c r="W410" s="47"/>
      <c r="X410" s="18"/>
      <c r="Y410" s="68">
        <v>262</v>
      </c>
    </row>
    <row r="411" spans="2:25" s="14" customFormat="1" ht="18">
      <c r="B411" s="103" t="s">
        <v>262</v>
      </c>
      <c r="C411" s="47" t="s">
        <v>93</v>
      </c>
      <c r="D411" s="98" t="s">
        <v>598</v>
      </c>
      <c r="E411" s="103">
        <v>1</v>
      </c>
      <c r="F411" s="103" t="s">
        <v>152</v>
      </c>
      <c r="G411" s="180">
        <v>4</v>
      </c>
      <c r="H411" s="180">
        <v>2</v>
      </c>
      <c r="I411" s="102">
        <v>69</v>
      </c>
      <c r="J411" s="212" cm="1">
        <f t="array" ref="J411">_xlfn.XLOOKUP($I411,Inputs!$C$6:$C$23,Inputs!$D$6:D$23)*$G411</f>
        <v>1.5371428571428571</v>
      </c>
      <c r="K411" s="217">
        <f t="shared" si="6"/>
        <v>3</v>
      </c>
      <c r="L411" s="123"/>
      <c r="M411" s="123"/>
      <c r="N411" s="123"/>
      <c r="O411" s="123"/>
      <c r="P411" s="123"/>
      <c r="Q411" s="218">
        <f>_xlfn.XLOOKUP($I411,Inputs!$G$6:$G$23,Inputs!$J$6:$J$23)*$K411</f>
        <v>36</v>
      </c>
      <c r="R411" s="218">
        <f>_xlfn.XLOOKUP($I411,Inputs!$G$6:$G$23,Inputs!$K$6:$K$23)*$K411</f>
        <v>39</v>
      </c>
      <c r="S411" s="103" t="s">
        <v>954</v>
      </c>
      <c r="T411" s="98" t="s">
        <v>1369</v>
      </c>
      <c r="U411" s="103" t="s">
        <v>623</v>
      </c>
      <c r="V411" s="98" t="s">
        <v>756</v>
      </c>
      <c r="W411" s="47"/>
      <c r="X411" s="18"/>
      <c r="Y411" s="68">
        <v>51</v>
      </c>
    </row>
    <row r="412" spans="2:25" s="14" customFormat="1" ht="18">
      <c r="B412" s="103" t="s">
        <v>236</v>
      </c>
      <c r="C412" s="47" t="s">
        <v>93</v>
      </c>
      <c r="D412" s="98" t="s">
        <v>598</v>
      </c>
      <c r="E412" s="103">
        <v>1</v>
      </c>
      <c r="F412" s="103" t="s">
        <v>152</v>
      </c>
      <c r="G412" s="180">
        <v>17</v>
      </c>
      <c r="H412" s="180">
        <v>10</v>
      </c>
      <c r="I412" s="102">
        <v>138</v>
      </c>
      <c r="J412" s="212" cm="1">
        <f t="array" ref="J412">_xlfn.XLOOKUP($I412,Inputs!$C$6:$C$23,Inputs!$D$6:D$23)*$G412</f>
        <v>7.3707142857142864</v>
      </c>
      <c r="K412" s="217">
        <f t="shared" si="6"/>
        <v>3</v>
      </c>
      <c r="L412" s="123"/>
      <c r="M412" s="123"/>
      <c r="N412" s="123"/>
      <c r="O412" s="123"/>
      <c r="P412" s="123"/>
      <c r="Q412" s="218">
        <f>_xlfn.XLOOKUP($I412,Inputs!$G$6:$G$23,Inputs!$J$6:$J$23)*$K412</f>
        <v>141</v>
      </c>
      <c r="R412" s="218">
        <f>_xlfn.XLOOKUP($I412,Inputs!$G$6:$G$23,Inputs!$K$6:$K$23)*$K412</f>
        <v>156</v>
      </c>
      <c r="S412" s="103" t="s">
        <v>1022</v>
      </c>
      <c r="T412" s="98" t="s">
        <v>1371</v>
      </c>
      <c r="U412" s="103" t="s">
        <v>1023</v>
      </c>
      <c r="V412" s="98" t="s">
        <v>1236</v>
      </c>
      <c r="W412" s="47"/>
      <c r="X412" s="18"/>
      <c r="Y412" s="68">
        <v>329</v>
      </c>
    </row>
    <row r="413" spans="2:25" s="14" customFormat="1" ht="18">
      <c r="B413" s="103" t="s">
        <v>256</v>
      </c>
      <c r="C413" s="47" t="s">
        <v>93</v>
      </c>
      <c r="D413" s="98" t="s">
        <v>598</v>
      </c>
      <c r="E413" s="103">
        <v>1</v>
      </c>
      <c r="F413" s="103" t="s">
        <v>152</v>
      </c>
      <c r="G413" s="257">
        <v>3</v>
      </c>
      <c r="H413" s="257">
        <v>2</v>
      </c>
      <c r="I413" s="102">
        <v>69</v>
      </c>
      <c r="J413" s="212" cm="1">
        <f t="array" ref="J413">_xlfn.XLOOKUP($I413,Inputs!$C$6:$C$23,Inputs!$D$6:D$23)*$G413</f>
        <v>1.1528571428571428</v>
      </c>
      <c r="K413" s="217">
        <f t="shared" si="6"/>
        <v>3</v>
      </c>
      <c r="L413" s="123"/>
      <c r="M413" s="123"/>
      <c r="N413" s="123"/>
      <c r="O413" s="123"/>
      <c r="P413" s="123"/>
      <c r="Q413" s="218">
        <f>_xlfn.XLOOKUP($I413,Inputs!$G$6:$G$23,Inputs!$J$6:$J$23)*$K413</f>
        <v>36</v>
      </c>
      <c r="R413" s="218">
        <f>_xlfn.XLOOKUP($I413,Inputs!$G$6:$G$23,Inputs!$K$6:$K$23)*$K413</f>
        <v>39</v>
      </c>
      <c r="S413" s="103" t="s">
        <v>963</v>
      </c>
      <c r="T413" s="98" t="s">
        <v>1348</v>
      </c>
      <c r="U413" s="103" t="s">
        <v>1460</v>
      </c>
      <c r="V413" s="98" t="s">
        <v>1461</v>
      </c>
      <c r="W413" s="47"/>
      <c r="X413" s="18"/>
      <c r="Y413" s="68">
        <v>72</v>
      </c>
    </row>
    <row r="414" spans="2:25" s="14" customFormat="1" ht="18">
      <c r="B414" s="103" t="s">
        <v>320</v>
      </c>
      <c r="C414" s="47" t="s">
        <v>93</v>
      </c>
      <c r="D414" s="98" t="s">
        <v>598</v>
      </c>
      <c r="E414" s="103">
        <v>1</v>
      </c>
      <c r="F414" s="103" t="s">
        <v>152</v>
      </c>
      <c r="G414" s="180">
        <v>7</v>
      </c>
      <c r="H414" s="180">
        <v>4</v>
      </c>
      <c r="I414" s="102">
        <v>69</v>
      </c>
      <c r="J414" s="212" cm="1">
        <f t="array" ref="J414">_xlfn.XLOOKUP($I414,Inputs!$C$6:$C$23,Inputs!$D$6:D$23)*$G414</f>
        <v>2.69</v>
      </c>
      <c r="K414" s="217">
        <f t="shared" si="6"/>
        <v>3</v>
      </c>
      <c r="L414" s="123"/>
      <c r="M414" s="123"/>
      <c r="N414" s="123"/>
      <c r="O414" s="123"/>
      <c r="P414" s="123"/>
      <c r="Q414" s="218">
        <f>_xlfn.XLOOKUP($I414,Inputs!$G$6:$G$23,Inputs!$J$6:$J$23)*$K414</f>
        <v>36</v>
      </c>
      <c r="R414" s="218">
        <f>_xlfn.XLOOKUP($I414,Inputs!$G$6:$G$23,Inputs!$K$6:$K$23)*$K414</f>
        <v>39</v>
      </c>
      <c r="S414" s="103" t="s">
        <v>1122</v>
      </c>
      <c r="T414" s="98" t="s">
        <v>1429</v>
      </c>
      <c r="U414" s="103" t="s">
        <v>650</v>
      </c>
      <c r="V414" s="98" t="s">
        <v>738</v>
      </c>
      <c r="W414" s="47"/>
      <c r="X414" s="18"/>
      <c r="Y414" s="68">
        <v>252</v>
      </c>
    </row>
    <row r="415" spans="2:25">
      <c r="B415" s="58"/>
      <c r="F415" s="58"/>
      <c r="I415" s="58"/>
      <c r="J415" s="52"/>
      <c r="L415" s="14"/>
      <c r="M415" s="14"/>
      <c r="N415" s="14"/>
      <c r="O415" s="14"/>
      <c r="P415" s="14"/>
    </row>
    <row r="416" spans="2:25">
      <c r="B416" s="58"/>
      <c r="F416" s="58"/>
      <c r="I416" s="58"/>
      <c r="J416" s="52"/>
      <c r="L416" s="14"/>
      <c r="M416" s="14"/>
      <c r="N416" s="14"/>
      <c r="O416" s="14"/>
      <c r="P416" s="14"/>
    </row>
    <row r="417" spans="1:26" s="158" customFormat="1">
      <c r="B417" s="58"/>
      <c r="C417" s="55"/>
      <c r="D417" s="249"/>
      <c r="E417" s="58"/>
      <c r="F417" s="55"/>
      <c r="G417" s="59"/>
      <c r="H417" s="59"/>
      <c r="I417" s="58"/>
      <c r="J417" s="58"/>
      <c r="L417" s="126"/>
      <c r="M417" s="126"/>
      <c r="N417" s="126"/>
      <c r="O417" s="126"/>
      <c r="P417" s="126"/>
      <c r="T417" s="14"/>
      <c r="V417" s="14"/>
    </row>
    <row r="418" spans="1:26" s="158" customFormat="1">
      <c r="B418" s="58"/>
      <c r="C418" s="58"/>
      <c r="D418" s="126"/>
      <c r="E418" s="58"/>
      <c r="F418" s="58"/>
      <c r="G418" s="58"/>
      <c r="H418" s="58"/>
      <c r="I418" s="58"/>
      <c r="L418" s="14"/>
      <c r="M418" s="14"/>
      <c r="N418" s="14"/>
      <c r="O418" s="14"/>
      <c r="P418" s="14"/>
      <c r="T418" s="14"/>
      <c r="V418" s="14"/>
    </row>
    <row r="419" spans="1:26" s="2" customFormat="1" ht="18">
      <c r="A419" s="69" t="s">
        <v>842</v>
      </c>
      <c r="B419" s="10"/>
      <c r="C419" s="49"/>
      <c r="D419" s="250"/>
      <c r="E419" s="49"/>
      <c r="F419" s="49"/>
      <c r="G419" s="158"/>
      <c r="H419" s="158"/>
      <c r="I419" s="49"/>
      <c r="J419" s="49"/>
      <c r="K419" s="49"/>
      <c r="L419" s="250"/>
      <c r="M419" s="250"/>
      <c r="N419" s="250"/>
      <c r="O419" s="250"/>
      <c r="P419" s="250"/>
      <c r="Q419" s="49"/>
      <c r="R419" s="49"/>
      <c r="S419" s="158"/>
      <c r="T419" s="14"/>
      <c r="U419" s="158"/>
      <c r="V419" s="14"/>
      <c r="W419" s="158"/>
      <c r="X419" s="158"/>
      <c r="Y419" s="158"/>
      <c r="Z419" s="158"/>
    </row>
    <row r="420" spans="1:26" s="158" customFormat="1" ht="18">
      <c r="A420" s="2" t="s">
        <v>843</v>
      </c>
      <c r="D420" s="14"/>
      <c r="L420" s="14"/>
      <c r="M420" s="14"/>
      <c r="N420" s="14"/>
      <c r="O420" s="14"/>
      <c r="P420" s="14"/>
      <c r="T420" s="14"/>
      <c r="V420" s="14"/>
    </row>
    <row r="421" spans="1:26" s="158" customFormat="1" ht="18">
      <c r="A421" s="2" t="s">
        <v>844</v>
      </c>
      <c r="D421" s="14"/>
      <c r="L421" s="14"/>
      <c r="M421" s="14"/>
      <c r="N421" s="14"/>
      <c r="O421" s="14"/>
      <c r="P421" s="14"/>
      <c r="T421" s="14"/>
      <c r="V421" s="14"/>
    </row>
    <row r="422" spans="1:26" s="158" customFormat="1" ht="18">
      <c r="A422" s="2" t="s">
        <v>845</v>
      </c>
      <c r="D422" s="14"/>
      <c r="L422" s="14"/>
      <c r="M422" s="14"/>
      <c r="N422" s="14"/>
      <c r="O422" s="14"/>
      <c r="P422" s="14"/>
      <c r="T422" s="14"/>
      <c r="V422" s="14"/>
    </row>
    <row r="423" spans="1:26" s="158" customFormat="1" ht="18">
      <c r="A423" s="2" t="s">
        <v>846</v>
      </c>
      <c r="D423" s="14"/>
      <c r="L423" s="14"/>
      <c r="M423" s="14"/>
      <c r="N423" s="14"/>
      <c r="O423" s="14"/>
      <c r="P423" s="14"/>
      <c r="T423" s="14"/>
      <c r="V423" s="14"/>
    </row>
    <row r="424" spans="1:26" s="158" customFormat="1" ht="18">
      <c r="A424" s="2" t="s">
        <v>847</v>
      </c>
      <c r="D424" s="14"/>
      <c r="L424" s="14"/>
      <c r="M424" s="14"/>
      <c r="N424" s="14"/>
      <c r="O424" s="14"/>
      <c r="P424" s="14"/>
      <c r="T424" s="14"/>
      <c r="V424" s="14"/>
    </row>
    <row r="425" spans="1:26" s="158" customFormat="1" ht="18">
      <c r="A425" s="2" t="s">
        <v>848</v>
      </c>
      <c r="D425" s="14"/>
      <c r="L425" s="14"/>
      <c r="M425" s="14"/>
      <c r="N425" s="14"/>
      <c r="O425" s="14"/>
      <c r="P425" s="14"/>
      <c r="T425" s="14"/>
      <c r="V425" s="14"/>
    </row>
    <row r="426" spans="1:26" s="158" customFormat="1" ht="18">
      <c r="A426" s="2" t="s">
        <v>849</v>
      </c>
      <c r="D426" s="14"/>
      <c r="L426" s="14"/>
      <c r="M426" s="14"/>
      <c r="N426" s="14"/>
      <c r="O426" s="14"/>
      <c r="P426" s="14"/>
      <c r="T426" s="14"/>
      <c r="V426" s="14"/>
    </row>
    <row r="427" spans="1:26" s="158" customFormat="1" ht="18">
      <c r="A427" s="2" t="s">
        <v>850</v>
      </c>
      <c r="D427" s="14"/>
      <c r="L427" s="14"/>
      <c r="M427" s="14"/>
      <c r="N427" s="14"/>
      <c r="O427" s="14"/>
      <c r="P427" s="14"/>
      <c r="T427" s="14"/>
      <c r="V427" s="14"/>
    </row>
    <row r="428" spans="1:26" s="158" customFormat="1" ht="18">
      <c r="A428" s="2" t="s">
        <v>1146</v>
      </c>
      <c r="D428" s="14"/>
      <c r="L428" s="14"/>
      <c r="M428" s="14"/>
      <c r="N428" s="14"/>
      <c r="O428" s="14"/>
      <c r="P428" s="14"/>
      <c r="T428" s="14"/>
      <c r="V428" s="14"/>
    </row>
    <row r="429" spans="1:26" s="158" customFormat="1" ht="18">
      <c r="A429" s="2" t="s">
        <v>1144</v>
      </c>
      <c r="D429" s="14"/>
      <c r="L429" s="14"/>
      <c r="M429" s="14"/>
      <c r="N429" s="14"/>
      <c r="O429" s="14"/>
      <c r="P429" s="14"/>
      <c r="T429" s="14"/>
      <c r="V429" s="14"/>
    </row>
    <row r="430" spans="1:26" s="158" customFormat="1" ht="18">
      <c r="A430" s="2" t="s">
        <v>1145</v>
      </c>
      <c r="D430" s="14"/>
      <c r="L430" s="14"/>
      <c r="M430" s="14"/>
      <c r="N430" s="14"/>
      <c r="O430" s="14"/>
      <c r="P430" s="14"/>
      <c r="T430" s="14"/>
      <c r="V430" s="14"/>
    </row>
    <row r="431" spans="1:26" s="158" customFormat="1" ht="18">
      <c r="A431" s="2" t="s">
        <v>1136</v>
      </c>
      <c r="D431" s="14"/>
      <c r="L431" s="14"/>
      <c r="M431" s="14"/>
      <c r="N431" s="14"/>
      <c r="O431" s="14"/>
      <c r="P431" s="14"/>
      <c r="T431" s="14"/>
      <c r="V431" s="14"/>
    </row>
    <row r="432" spans="1:26" s="158" customFormat="1">
      <c r="B432" s="58"/>
      <c r="C432" s="55"/>
      <c r="D432" s="249"/>
      <c r="E432" s="58"/>
      <c r="F432" s="55"/>
      <c r="G432" s="59"/>
      <c r="H432" s="59"/>
      <c r="I432" s="58"/>
      <c r="J432" s="58"/>
      <c r="L432" s="126"/>
      <c r="M432" s="126"/>
      <c r="N432" s="126"/>
      <c r="O432" s="126"/>
      <c r="P432" s="126"/>
      <c r="T432" s="14"/>
      <c r="V432" s="14"/>
    </row>
    <row r="433" spans="1:26" s="158" customFormat="1" ht="18">
      <c r="A433" s="145" t="s">
        <v>550</v>
      </c>
      <c r="B433" s="58"/>
      <c r="C433" s="55"/>
      <c r="D433" s="249"/>
      <c r="E433" s="58"/>
      <c r="F433" s="59"/>
      <c r="G433" s="58"/>
      <c r="H433" s="58"/>
      <c r="I433" s="58"/>
      <c r="J433" s="58"/>
      <c r="K433" s="58"/>
      <c r="L433" s="126"/>
      <c r="M433" s="126"/>
      <c r="N433" s="126"/>
      <c r="O433" s="126"/>
      <c r="P433" s="126"/>
      <c r="Q433" s="58"/>
      <c r="R433" s="58"/>
      <c r="T433" s="14"/>
      <c r="V433" s="14"/>
    </row>
    <row r="434" spans="1:26" s="158" customFormat="1" ht="18">
      <c r="A434" s="2"/>
      <c r="B434" s="58"/>
      <c r="C434" s="55"/>
      <c r="D434" s="249"/>
      <c r="E434" s="58"/>
      <c r="F434" s="55"/>
      <c r="G434" s="59"/>
      <c r="H434" s="59"/>
      <c r="I434" s="58"/>
      <c r="J434" s="58"/>
      <c r="L434" s="126"/>
      <c r="M434" s="126"/>
      <c r="N434" s="126"/>
      <c r="O434" s="126"/>
      <c r="P434" s="126"/>
      <c r="T434" s="14"/>
      <c r="V434" s="14"/>
    </row>
    <row r="435" spans="1:26" s="158" customFormat="1">
      <c r="B435" s="58"/>
      <c r="C435" s="58"/>
      <c r="D435" s="126"/>
      <c r="E435" s="58"/>
      <c r="F435" s="58"/>
      <c r="G435" s="58"/>
      <c r="H435" s="58"/>
      <c r="I435" s="58"/>
      <c r="L435" s="14"/>
      <c r="M435" s="14"/>
      <c r="N435" s="14"/>
      <c r="O435" s="14"/>
      <c r="P435" s="14"/>
      <c r="T435" s="14"/>
      <c r="V435" s="14"/>
    </row>
    <row r="436" spans="1:26" s="158" customFormat="1" ht="18">
      <c r="A436" s="69" t="s">
        <v>545</v>
      </c>
      <c r="B436" s="58"/>
      <c r="C436" s="55"/>
      <c r="D436" s="249"/>
      <c r="E436" s="58"/>
      <c r="F436" s="59"/>
      <c r="G436" s="58"/>
      <c r="H436" s="58"/>
      <c r="I436" s="58"/>
      <c r="J436" s="58"/>
      <c r="K436" s="58"/>
      <c r="L436" s="126"/>
      <c r="M436" s="126"/>
      <c r="N436" s="126"/>
      <c r="O436" s="126"/>
      <c r="P436" s="126"/>
      <c r="Q436" s="58"/>
      <c r="R436" s="58"/>
      <c r="T436" s="14"/>
      <c r="V436" s="14"/>
    </row>
    <row r="437" spans="1:26" s="158" customFormat="1" ht="18">
      <c r="A437" s="2" t="s">
        <v>811</v>
      </c>
      <c r="B437" s="44"/>
      <c r="D437" s="14"/>
      <c r="E437" s="28"/>
      <c r="F437" s="44"/>
      <c r="G437" s="44"/>
      <c r="H437" s="44"/>
      <c r="I437" s="29"/>
      <c r="J437" s="28"/>
      <c r="K437" s="44"/>
      <c r="L437" s="162"/>
      <c r="M437" s="162"/>
      <c r="N437" s="162"/>
      <c r="O437" s="162"/>
      <c r="P437" s="162"/>
      <c r="Q437" s="44"/>
      <c r="R437" s="28"/>
      <c r="S437" s="28"/>
      <c r="T437" s="162"/>
      <c r="U437" s="33"/>
      <c r="V437" s="259"/>
      <c r="W437" s="28"/>
      <c r="X437" s="33"/>
      <c r="Y437" s="28"/>
      <c r="Z437" s="2"/>
    </row>
    <row r="438" spans="1:26" s="158" customFormat="1" ht="18">
      <c r="A438" s="2" t="s">
        <v>887</v>
      </c>
      <c r="B438" s="44"/>
      <c r="D438" s="14"/>
      <c r="E438" s="28"/>
      <c r="F438" s="44"/>
      <c r="G438" s="44"/>
      <c r="H438" s="44"/>
      <c r="I438" s="29"/>
      <c r="J438" s="28"/>
      <c r="K438" s="44"/>
      <c r="L438" s="162"/>
      <c r="M438" s="162"/>
      <c r="N438" s="162"/>
      <c r="O438" s="162"/>
      <c r="P438" s="162"/>
      <c r="Q438" s="44"/>
      <c r="R438" s="28"/>
      <c r="S438" s="28"/>
      <c r="T438" s="162"/>
      <c r="U438" s="33"/>
      <c r="V438" s="259"/>
      <c r="W438" s="28"/>
      <c r="X438" s="33"/>
      <c r="Y438" s="28"/>
      <c r="Z438" s="2"/>
    </row>
    <row r="439" spans="1:26" s="158" customFormat="1" ht="18">
      <c r="A439" s="2" t="s">
        <v>888</v>
      </c>
      <c r="B439" s="58"/>
      <c r="C439" s="58"/>
      <c r="D439" s="126"/>
      <c r="E439" s="58"/>
      <c r="F439" s="58"/>
      <c r="G439" s="58"/>
      <c r="H439" s="58"/>
      <c r="I439" s="58"/>
      <c r="K439" s="58"/>
      <c r="L439" s="14"/>
      <c r="M439" s="14"/>
      <c r="N439" s="14"/>
      <c r="O439" s="14"/>
      <c r="P439" s="14"/>
      <c r="Q439" s="58"/>
      <c r="T439" s="14"/>
      <c r="V439" s="14"/>
    </row>
    <row r="506" spans="7:8" ht="18">
      <c r="G506" s="124"/>
      <c r="H506" s="124"/>
    </row>
  </sheetData>
  <autoFilter ref="B3:Y3" xr:uid="{0318D597-4ECA-E342-A6BB-458701A5E5C7}">
    <sortState xmlns:xlrd2="http://schemas.microsoft.com/office/spreadsheetml/2017/richdata2" ref="B4:Y414">
      <sortCondition ref="S3:S414"/>
    </sortState>
  </autoFilter>
  <phoneticPr fontId="34" type="noConversion"/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C4D1-FE4F-824C-82BF-8AE1C2E1568C}">
  <dimension ref="A1:Y1214"/>
  <sheetViews>
    <sheetView zoomScaleNormal="100" workbookViewId="0">
      <pane ySplit="3" topLeftCell="A240" activePane="bottomLeft" state="frozen"/>
      <selection pane="bottomLeft" activeCell="B85" sqref="B85:C85"/>
    </sheetView>
  </sheetViews>
  <sheetFormatPr defaultColWidth="10.83203125" defaultRowHeight="15.7"/>
  <cols>
    <col min="1" max="1" width="4.83203125" style="158" customWidth="1"/>
    <col min="2" max="2" width="50.83203125" style="58" customWidth="1"/>
    <col min="3" max="3" width="30.83203125" style="58" customWidth="1"/>
    <col min="4" max="4" width="20.83203125" style="58" customWidth="1"/>
    <col min="5" max="6" width="30.83203125" style="58" customWidth="1"/>
    <col min="7" max="7" width="30.83203125" style="158" customWidth="1"/>
    <col min="8" max="9" width="60.83203125" style="158" customWidth="1"/>
    <col min="10" max="22" width="10.83203125" style="158"/>
    <col min="23" max="24" width="35.33203125" style="158" customWidth="1"/>
    <col min="25" max="16384" width="10.83203125" style="158"/>
  </cols>
  <sheetData>
    <row r="1" spans="1:25" s="2" customFormat="1" ht="20.7">
      <c r="A1" s="151" t="s">
        <v>79</v>
      </c>
      <c r="B1" s="21" t="s">
        <v>1137</v>
      </c>
      <c r="C1" s="14"/>
      <c r="D1" s="158"/>
      <c r="E1" s="158"/>
      <c r="F1" s="158"/>
      <c r="G1" s="59"/>
      <c r="H1" s="59"/>
      <c r="I1" s="59"/>
      <c r="J1" s="59"/>
      <c r="K1" s="59"/>
      <c r="L1" s="58"/>
      <c r="M1" s="58"/>
      <c r="N1" s="58"/>
      <c r="O1" s="58"/>
      <c r="P1" s="58"/>
      <c r="Q1" s="58"/>
      <c r="R1" s="58"/>
      <c r="S1" s="58"/>
      <c r="T1" s="58"/>
      <c r="U1" s="58"/>
      <c r="V1" s="158"/>
      <c r="W1" s="158"/>
      <c r="X1" s="58"/>
      <c r="Y1" s="158"/>
    </row>
    <row r="2" spans="1:25" s="49" customFormat="1" ht="18">
      <c r="B2" s="23" t="s">
        <v>1149</v>
      </c>
      <c r="C2" s="23" t="s">
        <v>1148</v>
      </c>
      <c r="D2" s="23" t="s">
        <v>13</v>
      </c>
      <c r="E2" s="23" t="s">
        <v>14</v>
      </c>
      <c r="F2" s="23" t="s">
        <v>15</v>
      </c>
      <c r="G2" s="23" t="s">
        <v>821</v>
      </c>
      <c r="H2" s="23" t="s">
        <v>568</v>
      </c>
      <c r="I2" s="23" t="s">
        <v>46</v>
      </c>
    </row>
    <row r="3" spans="1:25" s="49" customFormat="1" ht="18">
      <c r="B3" s="17"/>
      <c r="C3" s="17"/>
      <c r="D3" s="17"/>
      <c r="E3" s="17"/>
      <c r="F3" s="17"/>
      <c r="G3" s="17"/>
      <c r="H3" s="17"/>
      <c r="I3" s="17"/>
    </row>
    <row r="4" spans="1:25" ht="18">
      <c r="B4" s="103" t="s">
        <v>983</v>
      </c>
      <c r="C4" s="47" t="s">
        <v>1196</v>
      </c>
      <c r="D4" s="47" t="s">
        <v>93</v>
      </c>
      <c r="E4" s="261">
        <v>45.957059215915201</v>
      </c>
      <c r="F4" s="263">
        <v>-66.646612339531899</v>
      </c>
      <c r="G4" s="47" t="s">
        <v>598</v>
      </c>
      <c r="H4" s="18"/>
      <c r="I4" s="18"/>
    </row>
    <row r="5" spans="1:25" ht="18">
      <c r="B5" s="103" t="s">
        <v>1048</v>
      </c>
      <c r="C5" s="47" t="s">
        <v>1197</v>
      </c>
      <c r="D5" s="47" t="s">
        <v>93</v>
      </c>
      <c r="E5" s="261">
        <v>45.7314380100851</v>
      </c>
      <c r="F5" s="261">
        <v>-64.758531476715703</v>
      </c>
      <c r="G5" s="47" t="s">
        <v>598</v>
      </c>
      <c r="H5" s="18"/>
      <c r="I5" s="18"/>
    </row>
    <row r="6" spans="1:25" ht="18">
      <c r="B6" s="103" t="s">
        <v>1393</v>
      </c>
      <c r="C6" s="47" t="s">
        <v>1198</v>
      </c>
      <c r="D6" s="47" t="s">
        <v>93</v>
      </c>
      <c r="E6" s="261">
        <v>47.474671148017201</v>
      </c>
      <c r="F6" s="263">
        <v>-65.496119433216904</v>
      </c>
      <c r="G6" s="47" t="s">
        <v>598</v>
      </c>
      <c r="H6" s="18"/>
      <c r="I6" s="18"/>
    </row>
    <row r="7" spans="1:25" ht="18">
      <c r="B7" s="103" t="s">
        <v>1392</v>
      </c>
      <c r="C7" s="47" t="s">
        <v>1394</v>
      </c>
      <c r="D7" s="47" t="s">
        <v>93</v>
      </c>
      <c r="E7" s="261">
        <v>47.473632550994203</v>
      </c>
      <c r="F7" s="263">
        <v>-65.495491861752996</v>
      </c>
      <c r="G7" s="47" t="s">
        <v>598</v>
      </c>
      <c r="H7" s="18"/>
      <c r="I7" s="18"/>
    </row>
    <row r="8" spans="1:25" ht="18">
      <c r="B8" s="103" t="s">
        <v>929</v>
      </c>
      <c r="C8" s="47" t="s">
        <v>1199</v>
      </c>
      <c r="D8" s="47" t="s">
        <v>93</v>
      </c>
      <c r="E8" s="261">
        <v>46.056387988047902</v>
      </c>
      <c r="F8" s="263">
        <v>-64.881522239131101</v>
      </c>
      <c r="G8" s="47" t="s">
        <v>598</v>
      </c>
      <c r="H8" s="18"/>
      <c r="I8" s="18"/>
    </row>
    <row r="9" spans="1:25" ht="18">
      <c r="B9" s="103" t="s">
        <v>1060</v>
      </c>
      <c r="C9" s="47" t="s">
        <v>1462</v>
      </c>
      <c r="D9" s="47" t="s">
        <v>93</v>
      </c>
      <c r="E9" s="261">
        <v>47.9878657387641</v>
      </c>
      <c r="F9" s="263">
        <v>-66.728364857145195</v>
      </c>
      <c r="G9" s="47" t="s">
        <v>598</v>
      </c>
      <c r="H9" s="18"/>
      <c r="I9" s="18"/>
    </row>
    <row r="10" spans="1:25" ht="18">
      <c r="B10" s="103" t="s">
        <v>1066</v>
      </c>
      <c r="C10" s="47" t="s">
        <v>1395</v>
      </c>
      <c r="D10" s="47" t="s">
        <v>93</v>
      </c>
      <c r="E10" s="261">
        <v>47.010154278411797</v>
      </c>
      <c r="F10" s="263">
        <v>-65.497731203928296</v>
      </c>
      <c r="G10" s="47" t="s">
        <v>598</v>
      </c>
      <c r="H10" s="18"/>
      <c r="I10" s="18" t="s">
        <v>1161</v>
      </c>
    </row>
    <row r="11" spans="1:25" ht="18">
      <c r="B11" s="103" t="s">
        <v>1152</v>
      </c>
      <c r="C11" s="47" t="s">
        <v>1201</v>
      </c>
      <c r="D11" s="47" t="s">
        <v>93</v>
      </c>
      <c r="E11" s="261">
        <v>45.871611900180099</v>
      </c>
      <c r="F11" s="263">
        <v>-64.268244621665303</v>
      </c>
      <c r="G11" s="47" t="s">
        <v>598</v>
      </c>
      <c r="H11" s="18"/>
      <c r="I11" s="18"/>
    </row>
    <row r="12" spans="1:25" ht="18">
      <c r="B12" s="103" t="s">
        <v>1070</v>
      </c>
      <c r="C12" s="47" t="s">
        <v>1202</v>
      </c>
      <c r="D12" s="47" t="s">
        <v>93</v>
      </c>
      <c r="E12" s="261">
        <v>47.041068193536702</v>
      </c>
      <c r="F12" s="263">
        <v>-64.977236753725805</v>
      </c>
      <c r="G12" s="47" t="s">
        <v>598</v>
      </c>
      <c r="H12" s="18"/>
      <c r="I12" s="18"/>
    </row>
    <row r="13" spans="1:25" ht="18">
      <c r="B13" s="103" t="s">
        <v>964</v>
      </c>
      <c r="C13" s="47" t="s">
        <v>1203</v>
      </c>
      <c r="D13" s="47" t="s">
        <v>93</v>
      </c>
      <c r="E13" s="261">
        <v>46.0755544101102</v>
      </c>
      <c r="F13" s="263">
        <v>-64.822671994469701</v>
      </c>
      <c r="G13" s="47" t="s">
        <v>598</v>
      </c>
      <c r="H13" s="18"/>
      <c r="I13" s="18"/>
    </row>
    <row r="14" spans="1:25" ht="18">
      <c r="B14" s="103" t="s">
        <v>1088</v>
      </c>
      <c r="C14" s="47" t="s">
        <v>1204</v>
      </c>
      <c r="D14" s="47" t="s">
        <v>93</v>
      </c>
      <c r="E14" s="261">
        <v>47.303013346199599</v>
      </c>
      <c r="F14" s="263">
        <v>-68.485588477935295</v>
      </c>
      <c r="G14" s="47" t="s">
        <v>598</v>
      </c>
      <c r="H14" s="18"/>
      <c r="I14" s="18"/>
    </row>
    <row r="15" spans="1:25" ht="18">
      <c r="B15" s="103" t="s">
        <v>1007</v>
      </c>
      <c r="C15" s="47" t="s">
        <v>1205</v>
      </c>
      <c r="D15" s="47" t="s">
        <v>93</v>
      </c>
      <c r="E15" s="261">
        <v>45.959026561086702</v>
      </c>
      <c r="F15" s="263">
        <v>-66.591538828102898</v>
      </c>
      <c r="G15" s="47" t="s">
        <v>598</v>
      </c>
      <c r="H15" s="18"/>
      <c r="I15" s="18"/>
    </row>
    <row r="16" spans="1:25" ht="18">
      <c r="B16" s="103" t="s">
        <v>1396</v>
      </c>
      <c r="C16" s="47" t="s">
        <v>1206</v>
      </c>
      <c r="D16" s="47" t="s">
        <v>93</v>
      </c>
      <c r="E16" s="261">
        <v>47.592023875689797</v>
      </c>
      <c r="F16" s="263">
        <v>-65.612787327739099</v>
      </c>
      <c r="G16" s="47" t="s">
        <v>598</v>
      </c>
      <c r="H16" s="18"/>
      <c r="I16" s="18"/>
    </row>
    <row r="17" spans="2:9" ht="18">
      <c r="B17" s="103" t="s">
        <v>1397</v>
      </c>
      <c r="C17" s="98" t="s">
        <v>1207</v>
      </c>
      <c r="D17" s="47" t="s">
        <v>93</v>
      </c>
      <c r="E17" s="261">
        <v>47.625282110165202</v>
      </c>
      <c r="F17" s="263">
        <v>-65.706190645143707</v>
      </c>
      <c r="G17" s="47" t="s">
        <v>598</v>
      </c>
      <c r="H17" s="18"/>
      <c r="I17" s="18"/>
    </row>
    <row r="18" spans="2:9" ht="18">
      <c r="B18" s="103" t="s">
        <v>1008</v>
      </c>
      <c r="C18" s="47" t="s">
        <v>1208</v>
      </c>
      <c r="D18" s="47" t="s">
        <v>93</v>
      </c>
      <c r="E18" s="261">
        <v>47.037286684524901</v>
      </c>
      <c r="F18" s="263">
        <v>-65.154209093295805</v>
      </c>
      <c r="G18" s="47" t="s">
        <v>598</v>
      </c>
      <c r="H18" s="18"/>
      <c r="I18" s="18"/>
    </row>
    <row r="19" spans="2:9" ht="18">
      <c r="B19" s="103" t="s">
        <v>988</v>
      </c>
      <c r="C19" s="47" t="s">
        <v>1209</v>
      </c>
      <c r="D19" s="47" t="s">
        <v>93</v>
      </c>
      <c r="E19" s="261">
        <v>45.275824397703197</v>
      </c>
      <c r="F19" s="261">
        <v>-66.028616628367303</v>
      </c>
      <c r="G19" s="47" t="s">
        <v>598</v>
      </c>
      <c r="H19" s="18"/>
      <c r="I19" s="18"/>
    </row>
    <row r="20" spans="2:9" ht="18">
      <c r="B20" s="103" t="s">
        <v>1142</v>
      </c>
      <c r="C20" s="47" t="s">
        <v>1374</v>
      </c>
      <c r="D20" s="47" t="s">
        <v>93</v>
      </c>
      <c r="E20" s="261">
        <v>45.275824397703197</v>
      </c>
      <c r="F20" s="261">
        <v>-66.028616628367303</v>
      </c>
      <c r="G20" s="47" t="s">
        <v>598</v>
      </c>
      <c r="H20" s="18"/>
      <c r="I20" s="18"/>
    </row>
    <row r="21" spans="2:9" ht="18">
      <c r="B21" s="103" t="s">
        <v>956</v>
      </c>
      <c r="C21" s="47" t="s">
        <v>1494</v>
      </c>
      <c r="D21" s="47" t="s">
        <v>93</v>
      </c>
      <c r="E21" s="261">
        <v>45.157394350832099</v>
      </c>
      <c r="F21" s="263">
        <v>-67.132527222681105</v>
      </c>
      <c r="G21" s="47" t="s">
        <v>598</v>
      </c>
      <c r="H21" s="18"/>
      <c r="I21" s="18"/>
    </row>
    <row r="22" spans="2:9" ht="18">
      <c r="B22" s="103" t="s">
        <v>649</v>
      </c>
      <c r="C22" s="47" t="s">
        <v>1375</v>
      </c>
      <c r="D22" s="47" t="s">
        <v>93</v>
      </c>
      <c r="E22" s="261">
        <v>46.542821500000002</v>
      </c>
      <c r="F22" s="263">
        <v>-67.668708899999999</v>
      </c>
      <c r="G22" s="47" t="s">
        <v>598</v>
      </c>
      <c r="H22" s="18"/>
      <c r="I22" s="18"/>
    </row>
    <row r="23" spans="2:9" ht="18">
      <c r="B23" s="103" t="s">
        <v>1014</v>
      </c>
      <c r="C23" s="47" t="s">
        <v>1210</v>
      </c>
      <c r="D23" s="47" t="s">
        <v>93</v>
      </c>
      <c r="E23" s="261">
        <v>46.5431830111715</v>
      </c>
      <c r="F23" s="263">
        <v>-67.666616329245201</v>
      </c>
      <c r="G23" s="47" t="s">
        <v>598</v>
      </c>
      <c r="H23" s="18"/>
      <c r="I23" s="18"/>
    </row>
    <row r="24" spans="2:9" ht="18">
      <c r="B24" s="103" t="s">
        <v>1482</v>
      </c>
      <c r="C24" s="47" t="s">
        <v>1483</v>
      </c>
      <c r="D24" s="47" t="s">
        <v>93</v>
      </c>
      <c r="E24" s="261">
        <v>47.893982962390901</v>
      </c>
      <c r="F24" s="263">
        <v>-65.852577563048797</v>
      </c>
      <c r="G24" s="47" t="s">
        <v>598</v>
      </c>
      <c r="H24" s="18"/>
      <c r="I24" s="18" t="s">
        <v>1157</v>
      </c>
    </row>
    <row r="25" spans="2:9" ht="18">
      <c r="B25" s="103" t="s">
        <v>211</v>
      </c>
      <c r="C25" s="47" t="s">
        <v>1376</v>
      </c>
      <c r="D25" s="47" t="s">
        <v>93</v>
      </c>
      <c r="E25" s="261">
        <v>47.890293999999997</v>
      </c>
      <c r="F25" s="263">
        <v>-65.872703999999999</v>
      </c>
      <c r="G25" s="47" t="s">
        <v>598</v>
      </c>
      <c r="H25" s="18"/>
      <c r="I25" s="18"/>
    </row>
    <row r="26" spans="2:9" ht="18">
      <c r="B26" s="103" t="s">
        <v>1113</v>
      </c>
      <c r="C26" s="47" t="s">
        <v>1453</v>
      </c>
      <c r="D26" s="47" t="s">
        <v>93</v>
      </c>
      <c r="E26" s="261">
        <v>47.905039452380699</v>
      </c>
      <c r="F26" s="263">
        <v>-65.846549691531607</v>
      </c>
      <c r="G26" s="47" t="s">
        <v>598</v>
      </c>
      <c r="H26" s="18"/>
      <c r="I26" s="18" t="s">
        <v>1157</v>
      </c>
    </row>
    <row r="27" spans="2:9" ht="18">
      <c r="B27" s="103" t="s">
        <v>1031</v>
      </c>
      <c r="C27" s="47" t="s">
        <v>1211</v>
      </c>
      <c r="D27" s="47" t="s">
        <v>93</v>
      </c>
      <c r="E27" s="261">
        <v>47.898556935503102</v>
      </c>
      <c r="F27" s="263">
        <v>-65.866373157186104</v>
      </c>
      <c r="G27" s="47" t="s">
        <v>598</v>
      </c>
      <c r="H27" s="18"/>
      <c r="I27" s="18"/>
    </row>
    <row r="28" spans="2:9" ht="18">
      <c r="B28" s="103" t="s">
        <v>1133</v>
      </c>
      <c r="C28" s="47" t="s">
        <v>1430</v>
      </c>
      <c r="D28" s="47" t="s">
        <v>93</v>
      </c>
      <c r="E28" s="261">
        <v>47.884242867439397</v>
      </c>
      <c r="F28" s="263">
        <v>-65.928480506687393</v>
      </c>
      <c r="G28" s="47" t="s">
        <v>598</v>
      </c>
      <c r="H28" s="18"/>
      <c r="I28" s="18"/>
    </row>
    <row r="29" spans="2:9" ht="18">
      <c r="B29" s="103" t="s">
        <v>1072</v>
      </c>
      <c r="C29" s="47" t="s">
        <v>1212</v>
      </c>
      <c r="D29" s="47" t="s">
        <v>93</v>
      </c>
      <c r="E29" s="261">
        <v>47.7194833981507</v>
      </c>
      <c r="F29" s="263">
        <v>-65.710080838714703</v>
      </c>
      <c r="G29" s="47" t="s">
        <v>598</v>
      </c>
      <c r="H29" s="18"/>
      <c r="I29" s="18"/>
    </row>
    <row r="30" spans="2:9" ht="18">
      <c r="B30" s="103" t="s">
        <v>999</v>
      </c>
      <c r="C30" s="47" t="s">
        <v>1213</v>
      </c>
      <c r="D30" s="47" t="s">
        <v>93</v>
      </c>
      <c r="E30" s="261">
        <v>47.749439757677202</v>
      </c>
      <c r="F30" s="263">
        <v>-65.069977788372199</v>
      </c>
      <c r="G30" s="47" t="s">
        <v>598</v>
      </c>
      <c r="H30" s="18"/>
      <c r="I30" s="18"/>
    </row>
    <row r="31" spans="2:9" ht="18">
      <c r="B31" s="103" t="s">
        <v>1046</v>
      </c>
      <c r="C31" s="47" t="s">
        <v>1214</v>
      </c>
      <c r="D31" s="47" t="s">
        <v>93</v>
      </c>
      <c r="E31" s="261">
        <v>45.049266004614999</v>
      </c>
      <c r="F31" s="263">
        <v>-66.793811933863594</v>
      </c>
      <c r="G31" s="47" t="s">
        <v>598</v>
      </c>
      <c r="H31" s="18"/>
      <c r="I31" s="18"/>
    </row>
    <row r="32" spans="2:9" ht="18">
      <c r="B32" s="103" t="s">
        <v>1158</v>
      </c>
      <c r="C32" s="47" t="s">
        <v>1215</v>
      </c>
      <c r="D32" s="47" t="s">
        <v>93</v>
      </c>
      <c r="E32" s="261">
        <v>46.4699708436778</v>
      </c>
      <c r="F32" s="263">
        <v>-66.396257944139094</v>
      </c>
      <c r="G32" s="47" t="s">
        <v>598</v>
      </c>
      <c r="H32" s="18"/>
      <c r="I32" s="18"/>
    </row>
    <row r="33" spans="2:9" ht="18">
      <c r="B33" s="103" t="s">
        <v>1398</v>
      </c>
      <c r="C33" s="47" t="s">
        <v>1216</v>
      </c>
      <c r="D33" s="47" t="s">
        <v>93</v>
      </c>
      <c r="E33" s="261">
        <v>45.330827798351898</v>
      </c>
      <c r="F33" s="263">
        <v>-66.028108989300804</v>
      </c>
      <c r="G33" s="47" t="s">
        <v>598</v>
      </c>
      <c r="H33" s="18"/>
      <c r="I33" s="18"/>
    </row>
    <row r="34" spans="2:9" ht="18">
      <c r="B34" s="103" t="s">
        <v>1138</v>
      </c>
      <c r="C34" s="47" t="s">
        <v>1399</v>
      </c>
      <c r="D34" s="47" t="s">
        <v>93</v>
      </c>
      <c r="E34" s="261">
        <v>46.989373138283</v>
      </c>
      <c r="F34" s="263">
        <v>-65.531074666488294</v>
      </c>
      <c r="G34" s="47" t="s">
        <v>598</v>
      </c>
      <c r="H34" s="18"/>
      <c r="I34" s="18"/>
    </row>
    <row r="35" spans="2:9" ht="18">
      <c r="B35" s="103" t="s">
        <v>962</v>
      </c>
      <c r="C35" s="47" t="s">
        <v>1217</v>
      </c>
      <c r="D35" s="47" t="s">
        <v>93</v>
      </c>
      <c r="E35" s="261">
        <v>45.991280616342699</v>
      </c>
      <c r="F35" s="263">
        <v>-66.359297251928993</v>
      </c>
      <c r="G35" s="47" t="s">
        <v>598</v>
      </c>
      <c r="H35" s="18"/>
      <c r="I35" s="18"/>
    </row>
    <row r="36" spans="2:9" ht="18">
      <c r="B36" s="103" t="s">
        <v>1006</v>
      </c>
      <c r="C36" s="47" t="s">
        <v>1218</v>
      </c>
      <c r="D36" s="47" t="s">
        <v>93</v>
      </c>
      <c r="E36" s="261">
        <v>45.852381015683498</v>
      </c>
      <c r="F36" s="263">
        <v>-66.466447365885202</v>
      </c>
      <c r="G36" s="47" t="s">
        <v>598</v>
      </c>
      <c r="H36" s="18"/>
      <c r="I36" s="18"/>
    </row>
    <row r="37" spans="2:9" ht="18">
      <c r="B37" s="103" t="s">
        <v>1025</v>
      </c>
      <c r="C37" s="47" t="s">
        <v>1219</v>
      </c>
      <c r="D37" s="47" t="s">
        <v>93</v>
      </c>
      <c r="E37" s="261">
        <v>46.134447776939702</v>
      </c>
      <c r="F37" s="263">
        <v>-64.754935361680197</v>
      </c>
      <c r="G37" s="47" t="s">
        <v>598</v>
      </c>
      <c r="H37" s="18"/>
      <c r="I37" s="18"/>
    </row>
    <row r="38" spans="2:9" ht="18">
      <c r="B38" s="103" t="s">
        <v>1054</v>
      </c>
      <c r="C38" s="47" t="s">
        <v>1220</v>
      </c>
      <c r="D38" s="47" t="s">
        <v>93</v>
      </c>
      <c r="E38" s="261">
        <v>45.849945967823402</v>
      </c>
      <c r="F38" s="263">
        <v>-66.459760953786201</v>
      </c>
      <c r="G38" s="47" t="s">
        <v>598</v>
      </c>
      <c r="H38" s="18"/>
      <c r="I38" s="18"/>
    </row>
    <row r="39" spans="2:9" ht="18">
      <c r="B39" s="103" t="s">
        <v>1081</v>
      </c>
      <c r="C39" s="47" t="s">
        <v>1221</v>
      </c>
      <c r="D39" s="47" t="s">
        <v>93</v>
      </c>
      <c r="E39" s="261">
        <v>47.999756292988501</v>
      </c>
      <c r="F39" s="263">
        <v>-66.682999378003203</v>
      </c>
      <c r="G39" s="47" t="s">
        <v>598</v>
      </c>
      <c r="H39" s="18"/>
      <c r="I39" s="18"/>
    </row>
    <row r="40" spans="2:9" ht="18">
      <c r="B40" s="103" t="s">
        <v>990</v>
      </c>
      <c r="C40" s="47" t="s">
        <v>1222</v>
      </c>
      <c r="D40" s="47" t="s">
        <v>93</v>
      </c>
      <c r="E40" s="261">
        <v>44.894492264947502</v>
      </c>
      <c r="F40" s="263">
        <v>-66.903903057578404</v>
      </c>
      <c r="G40" s="47" t="s">
        <v>598</v>
      </c>
      <c r="H40" s="18"/>
      <c r="I40" s="18"/>
    </row>
    <row r="41" spans="2:9" ht="18">
      <c r="B41" s="103" t="s">
        <v>936</v>
      </c>
      <c r="C41" s="47" t="s">
        <v>1223</v>
      </c>
      <c r="D41" s="47" t="s">
        <v>93</v>
      </c>
      <c r="E41" s="261">
        <v>46.057138060900598</v>
      </c>
      <c r="F41" s="263">
        <v>-65.538314595525094</v>
      </c>
      <c r="G41" s="47" t="s">
        <v>598</v>
      </c>
      <c r="H41" s="18"/>
      <c r="I41" s="18"/>
    </row>
    <row r="42" spans="2:9" ht="18">
      <c r="B42" s="103" t="s">
        <v>1156</v>
      </c>
      <c r="C42" s="98" t="s">
        <v>1439</v>
      </c>
      <c r="D42" s="47" t="s">
        <v>93</v>
      </c>
      <c r="E42" s="261">
        <v>46.138047520231602</v>
      </c>
      <c r="F42" s="263">
        <v>-64.748708470061004</v>
      </c>
      <c r="G42" s="47" t="s">
        <v>598</v>
      </c>
      <c r="H42" s="18"/>
      <c r="I42" s="18"/>
    </row>
    <row r="43" spans="2:9" ht="18">
      <c r="B43" s="103" t="s">
        <v>1042</v>
      </c>
      <c r="C43" s="47" t="s">
        <v>1440</v>
      </c>
      <c r="D43" s="47" t="s">
        <v>93</v>
      </c>
      <c r="E43" s="261">
        <v>45.213671101058402</v>
      </c>
      <c r="F43" s="263">
        <v>-65.978681152281297</v>
      </c>
      <c r="G43" s="47" t="s">
        <v>598</v>
      </c>
      <c r="H43" s="18"/>
      <c r="I43" s="18"/>
    </row>
    <row r="44" spans="2:9" ht="18">
      <c r="B44" s="103" t="s">
        <v>1065</v>
      </c>
      <c r="C44" s="47" t="s">
        <v>1224</v>
      </c>
      <c r="D44" s="47" t="s">
        <v>93</v>
      </c>
      <c r="E44" s="261">
        <v>45.891570600858103</v>
      </c>
      <c r="F44" s="263">
        <v>-67.457703731321203</v>
      </c>
      <c r="G44" s="47" t="s">
        <v>598</v>
      </c>
      <c r="H44" s="18"/>
      <c r="I44" s="18"/>
    </row>
    <row r="45" spans="2:9" ht="18">
      <c r="B45" s="103" t="s">
        <v>1044</v>
      </c>
      <c r="C45" s="47" t="s">
        <v>1225</v>
      </c>
      <c r="D45" s="47" t="s">
        <v>93</v>
      </c>
      <c r="E45" s="261">
        <v>46.208344013528098</v>
      </c>
      <c r="F45" s="261">
        <v>-64.271147071372795</v>
      </c>
      <c r="G45" s="47" t="s">
        <v>598</v>
      </c>
      <c r="H45" s="18"/>
      <c r="I45" s="18"/>
    </row>
    <row r="46" spans="2:9" ht="18">
      <c r="B46" s="103" t="s">
        <v>1000</v>
      </c>
      <c r="C46" s="47" t="s">
        <v>1200</v>
      </c>
      <c r="D46" s="47" t="s">
        <v>93</v>
      </c>
      <c r="E46" s="261">
        <v>47.788580505733499</v>
      </c>
      <c r="F46" s="263">
        <v>-64.935260249978398</v>
      </c>
      <c r="G46" s="47" t="s">
        <v>598</v>
      </c>
      <c r="H46" s="18"/>
      <c r="I46" s="18"/>
    </row>
    <row r="47" spans="2:9" ht="18">
      <c r="B47" s="103" t="s">
        <v>1128</v>
      </c>
      <c r="C47" s="47" t="s">
        <v>1400</v>
      </c>
      <c r="D47" s="47" t="s">
        <v>93</v>
      </c>
      <c r="E47" s="261">
        <v>47.745896314692402</v>
      </c>
      <c r="F47" s="263">
        <v>-64.911527354233399</v>
      </c>
      <c r="G47" s="47" t="s">
        <v>598</v>
      </c>
      <c r="H47" s="18"/>
      <c r="I47" s="18"/>
    </row>
    <row r="48" spans="2:9" ht="18">
      <c r="B48" s="99" t="s">
        <v>372</v>
      </c>
      <c r="C48" s="47" t="s">
        <v>1377</v>
      </c>
      <c r="D48" s="47" t="s">
        <v>93</v>
      </c>
      <c r="E48" s="261">
        <v>47.507138099999999</v>
      </c>
      <c r="F48" s="263">
        <v>-66.413513300000005</v>
      </c>
      <c r="G48" s="47" t="s">
        <v>598</v>
      </c>
      <c r="H48" s="18"/>
      <c r="I48" s="18"/>
    </row>
    <row r="49" spans="2:9" ht="18">
      <c r="B49" s="103" t="s">
        <v>1030</v>
      </c>
      <c r="C49" s="47" t="s">
        <v>1441</v>
      </c>
      <c r="D49" s="47" t="s">
        <v>93</v>
      </c>
      <c r="E49" s="261">
        <v>47.563457729458896</v>
      </c>
      <c r="F49" s="263">
        <v>-66.289144345386205</v>
      </c>
      <c r="G49" s="47" t="s">
        <v>598</v>
      </c>
      <c r="H49" s="18"/>
      <c r="I49" s="18"/>
    </row>
    <row r="50" spans="2:9" ht="18">
      <c r="B50" s="103" t="s">
        <v>1037</v>
      </c>
      <c r="C50" s="47" t="s">
        <v>1226</v>
      </c>
      <c r="D50" s="47" t="s">
        <v>93</v>
      </c>
      <c r="E50" s="261">
        <v>45.960230596760503</v>
      </c>
      <c r="F50" s="263">
        <v>-66.642494264280202</v>
      </c>
      <c r="G50" s="47" t="s">
        <v>598</v>
      </c>
      <c r="H50" s="18"/>
      <c r="I50" s="18"/>
    </row>
    <row r="51" spans="2:9" ht="18">
      <c r="B51" s="103" t="s">
        <v>1010</v>
      </c>
      <c r="C51" s="47" t="s">
        <v>1227</v>
      </c>
      <c r="D51" s="47" t="s">
        <v>93</v>
      </c>
      <c r="E51" s="261">
        <v>45.892124815254498</v>
      </c>
      <c r="F51" s="263">
        <v>-64.368514570893595</v>
      </c>
      <c r="G51" s="47" t="s">
        <v>598</v>
      </c>
      <c r="H51" s="18"/>
      <c r="I51" s="18" t="s">
        <v>1161</v>
      </c>
    </row>
    <row r="52" spans="2:9" ht="18">
      <c r="B52" s="103" t="s">
        <v>1082</v>
      </c>
      <c r="C52" s="47" t="s">
        <v>1228</v>
      </c>
      <c r="D52" s="47" t="s">
        <v>93</v>
      </c>
      <c r="E52" s="261">
        <v>47.978672528485902</v>
      </c>
      <c r="F52" s="263">
        <v>-66.287313311122901</v>
      </c>
      <c r="G52" s="47" t="s">
        <v>598</v>
      </c>
      <c r="H52" s="18"/>
      <c r="I52" s="18"/>
    </row>
    <row r="53" spans="2:9" ht="18">
      <c r="B53" s="103" t="s">
        <v>1068</v>
      </c>
      <c r="C53" s="47" t="s">
        <v>1229</v>
      </c>
      <c r="D53" s="47" t="s">
        <v>93</v>
      </c>
      <c r="E53" s="261">
        <v>46.0870782924192</v>
      </c>
      <c r="F53" s="263">
        <v>-64.733589285715794</v>
      </c>
      <c r="G53" s="47" t="s">
        <v>598</v>
      </c>
      <c r="H53" s="18"/>
      <c r="I53" s="18" t="s">
        <v>1161</v>
      </c>
    </row>
    <row r="54" spans="2:9" ht="18">
      <c r="B54" s="103" t="s">
        <v>1032</v>
      </c>
      <c r="C54" s="47" t="s">
        <v>1230</v>
      </c>
      <c r="D54" s="47" t="s">
        <v>93</v>
      </c>
      <c r="E54" s="261">
        <v>46.173609398563997</v>
      </c>
      <c r="F54" s="263">
        <v>-65.900051627268198</v>
      </c>
      <c r="G54" s="47" t="s">
        <v>598</v>
      </c>
      <c r="H54" s="18"/>
      <c r="I54" s="262"/>
    </row>
    <row r="55" spans="2:9" ht="18">
      <c r="B55" s="103" t="s">
        <v>1075</v>
      </c>
      <c r="C55" s="47" t="s">
        <v>1231</v>
      </c>
      <c r="D55" s="47" t="s">
        <v>93</v>
      </c>
      <c r="E55" s="261">
        <v>47.941993771199101</v>
      </c>
      <c r="F55" s="263">
        <v>-66.784108481731394</v>
      </c>
      <c r="G55" s="47" t="s">
        <v>598</v>
      </c>
      <c r="H55" s="18"/>
      <c r="I55" s="18"/>
    </row>
    <row r="56" spans="2:9" ht="18">
      <c r="B56" s="103" t="s">
        <v>1109</v>
      </c>
      <c r="C56" s="47" t="s">
        <v>1232</v>
      </c>
      <c r="D56" s="47" t="s">
        <v>93</v>
      </c>
      <c r="E56" s="261">
        <v>46.100025460734301</v>
      </c>
      <c r="F56" s="263">
        <v>-64.777963223318295</v>
      </c>
      <c r="G56" s="47" t="s">
        <v>598</v>
      </c>
      <c r="H56" s="18"/>
      <c r="I56" s="18"/>
    </row>
    <row r="57" spans="2:9" ht="18">
      <c r="B57" s="103" t="s">
        <v>1050</v>
      </c>
      <c r="C57" s="47" t="s">
        <v>1233</v>
      </c>
      <c r="D57" s="47" t="s">
        <v>93</v>
      </c>
      <c r="E57" s="261">
        <v>47.2575600611586</v>
      </c>
      <c r="F57" s="263">
        <v>-68.6100803219244</v>
      </c>
      <c r="G57" s="47" t="s">
        <v>598</v>
      </c>
      <c r="H57" s="18"/>
      <c r="I57" s="18"/>
    </row>
    <row r="58" spans="2:9" ht="18">
      <c r="B58" s="103" t="s">
        <v>948</v>
      </c>
      <c r="C58" s="47" t="s">
        <v>1234</v>
      </c>
      <c r="D58" s="47" t="s">
        <v>93</v>
      </c>
      <c r="E58" s="261">
        <v>46.359334756818001</v>
      </c>
      <c r="F58" s="263">
        <v>-65.128729701504795</v>
      </c>
      <c r="G58" s="47" t="s">
        <v>598</v>
      </c>
      <c r="H58" s="18"/>
      <c r="I58" s="18"/>
    </row>
    <row r="59" spans="2:9" ht="18">
      <c r="B59" s="103" t="s">
        <v>937</v>
      </c>
      <c r="C59" s="47" t="s">
        <v>1235</v>
      </c>
      <c r="D59" s="47" t="s">
        <v>93</v>
      </c>
      <c r="E59" s="261">
        <v>46.105260705471103</v>
      </c>
      <c r="F59" s="263">
        <v>-65.883404355004302</v>
      </c>
      <c r="G59" s="47" t="s">
        <v>598</v>
      </c>
      <c r="H59" s="18"/>
      <c r="I59" s="18"/>
    </row>
    <row r="60" spans="2:9" ht="18">
      <c r="B60" s="103" t="s">
        <v>1023</v>
      </c>
      <c r="C60" s="47" t="s">
        <v>1236</v>
      </c>
      <c r="D60" s="47" t="s">
        <v>93</v>
      </c>
      <c r="E60" s="261">
        <v>46.330613128968601</v>
      </c>
      <c r="F60" s="263">
        <v>-64.671474502246895</v>
      </c>
      <c r="G60" s="47" t="s">
        <v>598</v>
      </c>
      <c r="H60" s="18"/>
      <c r="I60" s="18"/>
    </row>
    <row r="61" spans="2:9" ht="18">
      <c r="B61" s="103" t="s">
        <v>939</v>
      </c>
      <c r="C61" s="47" t="s">
        <v>1237</v>
      </c>
      <c r="D61" s="47" t="s">
        <v>93</v>
      </c>
      <c r="E61" s="261">
        <v>45.9324417128813</v>
      </c>
      <c r="F61" s="263">
        <v>-65.794087167787794</v>
      </c>
      <c r="G61" s="47" t="s">
        <v>598</v>
      </c>
      <c r="H61" s="18"/>
      <c r="I61" s="18"/>
    </row>
    <row r="62" spans="2:9" ht="18">
      <c r="B62" s="103" t="s">
        <v>279</v>
      </c>
      <c r="C62" s="47" t="s">
        <v>1378</v>
      </c>
      <c r="D62" s="47" t="s">
        <v>93</v>
      </c>
      <c r="E62" s="261">
        <v>45.154026999999999</v>
      </c>
      <c r="F62" s="263">
        <v>-66.201931999999999</v>
      </c>
      <c r="G62" s="47" t="s">
        <v>598</v>
      </c>
      <c r="H62" s="18"/>
      <c r="I62" s="18"/>
    </row>
    <row r="63" spans="2:9" ht="18">
      <c r="B63" s="103" t="s">
        <v>1079</v>
      </c>
      <c r="C63" s="47" t="s">
        <v>1238</v>
      </c>
      <c r="D63" s="47" t="s">
        <v>93</v>
      </c>
      <c r="E63" s="261">
        <v>45.977184989929299</v>
      </c>
      <c r="F63" s="263">
        <v>-64.539847410152007</v>
      </c>
      <c r="G63" s="47" t="s">
        <v>598</v>
      </c>
      <c r="H63" s="18"/>
      <c r="I63" s="18"/>
    </row>
    <row r="64" spans="2:9" ht="18">
      <c r="B64" s="103" t="s">
        <v>980</v>
      </c>
      <c r="C64" s="47" t="s">
        <v>1239</v>
      </c>
      <c r="D64" s="47" t="s">
        <v>93</v>
      </c>
      <c r="E64" s="261">
        <v>46.110086090523602</v>
      </c>
      <c r="F64" s="263">
        <v>-64.818026626526702</v>
      </c>
      <c r="G64" s="47" t="s">
        <v>598</v>
      </c>
      <c r="H64" s="18"/>
      <c r="I64" s="18"/>
    </row>
    <row r="65" spans="2:9" ht="18">
      <c r="B65" s="103" t="s">
        <v>1039</v>
      </c>
      <c r="C65" s="47" t="s">
        <v>1240</v>
      </c>
      <c r="D65" s="47" t="s">
        <v>93</v>
      </c>
      <c r="E65" s="261">
        <v>46.158603387190702</v>
      </c>
      <c r="F65" s="263">
        <v>-67.587692777078601</v>
      </c>
      <c r="G65" s="47" t="s">
        <v>598</v>
      </c>
      <c r="H65" s="18"/>
      <c r="I65" s="18"/>
    </row>
    <row r="66" spans="2:9" ht="18">
      <c r="B66" s="103" t="s">
        <v>1096</v>
      </c>
      <c r="C66" s="47" t="s">
        <v>1241</v>
      </c>
      <c r="D66" s="47" t="s">
        <v>93</v>
      </c>
      <c r="E66" s="261">
        <v>46.1623899811188</v>
      </c>
      <c r="F66" s="263">
        <v>-64.589286344563504</v>
      </c>
      <c r="G66" s="47" t="s">
        <v>598</v>
      </c>
      <c r="H66" s="18"/>
      <c r="I66" s="18"/>
    </row>
    <row r="67" spans="2:9" ht="18">
      <c r="B67" s="103" t="s">
        <v>1114</v>
      </c>
      <c r="C67" s="47" t="s">
        <v>1401</v>
      </c>
      <c r="D67" s="47" t="s">
        <v>93</v>
      </c>
      <c r="E67" s="261">
        <v>45.285831603544501</v>
      </c>
      <c r="F67" s="263">
        <v>-66.073342105933506</v>
      </c>
      <c r="G67" s="47" t="s">
        <v>598</v>
      </c>
      <c r="H67" s="18"/>
      <c r="I67" s="18"/>
    </row>
    <row r="68" spans="2:9" ht="18">
      <c r="B68" s="103" t="s">
        <v>1086</v>
      </c>
      <c r="C68" s="47" t="s">
        <v>1242</v>
      </c>
      <c r="D68" s="47" t="s">
        <v>93</v>
      </c>
      <c r="E68" s="261">
        <v>46.306199636088699</v>
      </c>
      <c r="F68" s="261">
        <v>-66.720452488266403</v>
      </c>
      <c r="G68" s="47" t="s">
        <v>598</v>
      </c>
      <c r="H68" s="18"/>
      <c r="I68" s="18"/>
    </row>
    <row r="69" spans="2:9" ht="18">
      <c r="B69" s="103" t="s">
        <v>994</v>
      </c>
      <c r="C69" s="47" t="s">
        <v>1243</v>
      </c>
      <c r="D69" s="47" t="s">
        <v>93</v>
      </c>
      <c r="E69" s="261">
        <v>45.276299699771201</v>
      </c>
      <c r="F69" s="261">
        <v>-66.049345794578102</v>
      </c>
      <c r="G69" s="47" t="s">
        <v>598</v>
      </c>
      <c r="H69" s="18"/>
      <c r="I69" s="18"/>
    </row>
    <row r="70" spans="2:9" ht="18">
      <c r="B70" s="103" t="s">
        <v>1051</v>
      </c>
      <c r="C70" s="47" t="s">
        <v>1244</v>
      </c>
      <c r="D70" s="47" t="s">
        <v>93</v>
      </c>
      <c r="E70" s="261">
        <v>48.0539487984814</v>
      </c>
      <c r="F70" s="263">
        <v>-66.370770871599703</v>
      </c>
      <c r="G70" s="47" t="s">
        <v>598</v>
      </c>
      <c r="H70" s="18"/>
      <c r="I70" s="18"/>
    </row>
    <row r="71" spans="2:9" ht="18">
      <c r="B71" s="103" t="s">
        <v>973</v>
      </c>
      <c r="C71" s="47" t="s">
        <v>1245</v>
      </c>
      <c r="D71" s="47" t="s">
        <v>93</v>
      </c>
      <c r="E71" s="261">
        <v>48.043841902922097</v>
      </c>
      <c r="F71" s="263">
        <v>-66.397808321873498</v>
      </c>
      <c r="G71" s="47" t="s">
        <v>598</v>
      </c>
      <c r="H71" s="18"/>
      <c r="I71" s="18"/>
    </row>
    <row r="72" spans="2:9" ht="18">
      <c r="B72" s="103" t="s">
        <v>989</v>
      </c>
      <c r="C72" s="47" t="s">
        <v>1246</v>
      </c>
      <c r="D72" s="47" t="s">
        <v>93</v>
      </c>
      <c r="E72" s="261">
        <v>44.980692598730698</v>
      </c>
      <c r="F72" s="263">
        <v>-66.973611593803099</v>
      </c>
      <c r="G72" s="47" t="s">
        <v>598</v>
      </c>
      <c r="H72" s="18"/>
      <c r="I72" s="18"/>
    </row>
    <row r="73" spans="2:9" ht="18">
      <c r="B73" s="103" t="s">
        <v>1045</v>
      </c>
      <c r="C73" s="47" t="s">
        <v>1247</v>
      </c>
      <c r="D73" s="47" t="s">
        <v>93</v>
      </c>
      <c r="E73" s="261">
        <v>46.496300288102901</v>
      </c>
      <c r="F73" s="263">
        <v>-67.042636529756606</v>
      </c>
      <c r="G73" s="47" t="s">
        <v>598</v>
      </c>
      <c r="H73" s="18"/>
      <c r="I73" s="18"/>
    </row>
    <row r="74" spans="2:9" ht="18">
      <c r="B74" s="103" t="s">
        <v>1159</v>
      </c>
      <c r="C74" s="47" t="s">
        <v>1248</v>
      </c>
      <c r="D74" s="47" t="s">
        <v>93</v>
      </c>
      <c r="E74" s="261">
        <v>45.561872081788103</v>
      </c>
      <c r="F74" s="263">
        <v>-65.5756564902576</v>
      </c>
      <c r="G74" s="47" t="s">
        <v>598</v>
      </c>
      <c r="H74" s="18"/>
      <c r="I74" s="18"/>
    </row>
    <row r="75" spans="2:9" ht="18">
      <c r="B75" s="103" t="s">
        <v>986</v>
      </c>
      <c r="C75" s="47" t="s">
        <v>1249</v>
      </c>
      <c r="D75" s="47" t="s">
        <v>93</v>
      </c>
      <c r="E75" s="261">
        <v>45.2539191806666</v>
      </c>
      <c r="F75" s="261">
        <v>-66.113418579838097</v>
      </c>
      <c r="G75" s="47" t="s">
        <v>598</v>
      </c>
      <c r="H75" s="18"/>
      <c r="I75" s="18"/>
    </row>
    <row r="76" spans="2:9" ht="18">
      <c r="B76" s="103" t="s">
        <v>1110</v>
      </c>
      <c r="C76" s="47" t="s">
        <v>1250</v>
      </c>
      <c r="D76" s="47" t="s">
        <v>93</v>
      </c>
      <c r="E76" s="261">
        <v>45.973506981586802</v>
      </c>
      <c r="F76" s="263">
        <v>-66.629753828804098</v>
      </c>
      <c r="G76" s="47" t="s">
        <v>598</v>
      </c>
      <c r="H76" s="18"/>
      <c r="I76" s="18"/>
    </row>
    <row r="77" spans="2:9" ht="18">
      <c r="B77" s="103" t="s">
        <v>1094</v>
      </c>
      <c r="C77" s="47" t="s">
        <v>1251</v>
      </c>
      <c r="D77" s="47" t="s">
        <v>93</v>
      </c>
      <c r="E77" s="261">
        <v>46.1057017015657</v>
      </c>
      <c r="F77" s="263">
        <v>-64.7225388345081</v>
      </c>
      <c r="G77" s="47" t="s">
        <v>598</v>
      </c>
      <c r="H77" s="18"/>
      <c r="I77" s="18"/>
    </row>
    <row r="78" spans="2:9" ht="18">
      <c r="B78" s="103" t="s">
        <v>1402</v>
      </c>
      <c r="C78" s="47" t="s">
        <v>1403</v>
      </c>
      <c r="D78" s="47" t="s">
        <v>93</v>
      </c>
      <c r="E78" s="261">
        <v>45.907619813258599</v>
      </c>
      <c r="F78" s="261">
        <v>-66.611901408664707</v>
      </c>
      <c r="G78" s="47" t="s">
        <v>598</v>
      </c>
      <c r="H78" s="18"/>
      <c r="I78" s="18"/>
    </row>
    <row r="79" spans="2:9" ht="18">
      <c r="B79" s="103" t="s">
        <v>1040</v>
      </c>
      <c r="C79" s="47" t="s">
        <v>1252</v>
      </c>
      <c r="D79" s="47" t="s">
        <v>93</v>
      </c>
      <c r="E79" s="261">
        <v>46.549606484538799</v>
      </c>
      <c r="F79" s="263">
        <v>-66.117557248245006</v>
      </c>
      <c r="G79" s="47" t="s">
        <v>598</v>
      </c>
      <c r="H79" s="18"/>
      <c r="I79" s="18"/>
    </row>
    <row r="80" spans="2:9" ht="18">
      <c r="B80" s="103" t="s">
        <v>1058</v>
      </c>
      <c r="C80" s="47" t="s">
        <v>1253</v>
      </c>
      <c r="D80" s="47" t="s">
        <v>93</v>
      </c>
      <c r="E80" s="261">
        <v>45.865180675024298</v>
      </c>
      <c r="F80" s="263">
        <v>-64.537302731360199</v>
      </c>
      <c r="G80" s="47" t="s">
        <v>598</v>
      </c>
      <c r="H80" s="18"/>
      <c r="I80" s="18"/>
    </row>
    <row r="81" spans="2:9" ht="18">
      <c r="B81" s="103" t="s">
        <v>979</v>
      </c>
      <c r="C81" s="47" t="s">
        <v>1254</v>
      </c>
      <c r="D81" s="47" t="s">
        <v>93</v>
      </c>
      <c r="E81" s="261">
        <v>46.111045658860597</v>
      </c>
      <c r="F81" s="263">
        <v>-64.753840811214801</v>
      </c>
      <c r="G81" s="47" t="s">
        <v>598</v>
      </c>
      <c r="H81" s="18"/>
      <c r="I81" s="18"/>
    </row>
    <row r="82" spans="2:9" ht="18">
      <c r="B82" s="103" t="s">
        <v>945</v>
      </c>
      <c r="C82" s="47" t="s">
        <v>1255</v>
      </c>
      <c r="D82" s="47" t="s">
        <v>93</v>
      </c>
      <c r="E82" s="261">
        <v>47.039287104242199</v>
      </c>
      <c r="F82" s="263">
        <v>-65.449751908559804</v>
      </c>
      <c r="G82" s="47" t="s">
        <v>598</v>
      </c>
      <c r="H82" s="18"/>
      <c r="I82" s="18"/>
    </row>
    <row r="83" spans="2:9" ht="18">
      <c r="B83" s="103" t="s">
        <v>1080</v>
      </c>
      <c r="C83" s="47" t="s">
        <v>1256</v>
      </c>
      <c r="D83" s="47" t="s">
        <v>93</v>
      </c>
      <c r="E83" s="261">
        <v>47.387527633583801</v>
      </c>
      <c r="F83" s="263">
        <v>-68.338357179046696</v>
      </c>
      <c r="G83" s="47" t="s">
        <v>598</v>
      </c>
      <c r="H83" s="18"/>
      <c r="I83" s="18"/>
    </row>
    <row r="84" spans="2:9" ht="18">
      <c r="B84" s="103" t="s">
        <v>1003</v>
      </c>
      <c r="C84" s="47" t="s">
        <v>1257</v>
      </c>
      <c r="D84" s="47" t="s">
        <v>93</v>
      </c>
      <c r="E84" s="261">
        <v>47.393194669885503</v>
      </c>
      <c r="F84" s="263">
        <v>-68.353583781237305</v>
      </c>
      <c r="G84" s="47" t="s">
        <v>598</v>
      </c>
      <c r="H84" s="18"/>
      <c r="I84" s="18"/>
    </row>
    <row r="85" spans="2:9" ht="18">
      <c r="B85" s="103" t="s">
        <v>1130</v>
      </c>
      <c r="C85" s="47" t="s">
        <v>1404</v>
      </c>
      <c r="D85" s="47" t="s">
        <v>93</v>
      </c>
      <c r="E85" s="261">
        <v>47.411706078910697</v>
      </c>
      <c r="F85" s="263">
        <v>-68.245240259920706</v>
      </c>
      <c r="G85" s="47" t="s">
        <v>598</v>
      </c>
      <c r="H85" s="18"/>
      <c r="I85" s="18"/>
    </row>
    <row r="86" spans="2:9" ht="18">
      <c r="B86" s="103" t="s">
        <v>1052</v>
      </c>
      <c r="C86" s="47" t="s">
        <v>1258</v>
      </c>
      <c r="D86" s="47" t="s">
        <v>93</v>
      </c>
      <c r="E86" s="261">
        <v>47.368781683664899</v>
      </c>
      <c r="F86" s="263">
        <v>-68.326876757478701</v>
      </c>
      <c r="G86" s="47" t="s">
        <v>598</v>
      </c>
      <c r="H86" s="18"/>
      <c r="I86" s="18"/>
    </row>
    <row r="87" spans="2:9" ht="18">
      <c r="B87" s="103" t="s">
        <v>1125</v>
      </c>
      <c r="C87" s="47" t="s">
        <v>1405</v>
      </c>
      <c r="D87" s="47" t="s">
        <v>93</v>
      </c>
      <c r="E87" s="261">
        <v>48.016111576624503</v>
      </c>
      <c r="F87" s="263">
        <v>-66.443728441194693</v>
      </c>
      <c r="G87" s="47" t="s">
        <v>598</v>
      </c>
      <c r="H87" s="18"/>
      <c r="I87" s="18"/>
    </row>
    <row r="88" spans="2:9" ht="18">
      <c r="B88" s="103" t="s">
        <v>1112</v>
      </c>
      <c r="C88" s="47" t="s">
        <v>1259</v>
      </c>
      <c r="D88" s="47" t="s">
        <v>93</v>
      </c>
      <c r="E88" s="261">
        <v>45.393561635327103</v>
      </c>
      <c r="F88" s="261">
        <v>-65.973103919117904</v>
      </c>
      <c r="G88" s="47" t="s">
        <v>598</v>
      </c>
      <c r="H88" s="18"/>
      <c r="I88" s="18"/>
    </row>
    <row r="89" spans="2:9" ht="18">
      <c r="B89" s="103" t="s">
        <v>1073</v>
      </c>
      <c r="C89" s="47" t="s">
        <v>1454</v>
      </c>
      <c r="D89" s="47" t="s">
        <v>93</v>
      </c>
      <c r="E89" s="261">
        <v>45.187339168043998</v>
      </c>
      <c r="F89" s="263">
        <v>-67.312648349490004</v>
      </c>
      <c r="G89" s="47" t="s">
        <v>598</v>
      </c>
      <c r="H89" s="18"/>
      <c r="I89" s="18"/>
    </row>
    <row r="90" spans="2:9" ht="18">
      <c r="B90" s="103" t="s">
        <v>992</v>
      </c>
      <c r="C90" s="47" t="s">
        <v>1260</v>
      </c>
      <c r="D90" s="47" t="s">
        <v>93</v>
      </c>
      <c r="E90" s="261">
        <v>46.447410735912698</v>
      </c>
      <c r="F90" s="263">
        <v>-67.613169135019604</v>
      </c>
      <c r="G90" s="47" t="s">
        <v>598</v>
      </c>
      <c r="H90" s="18"/>
      <c r="I90" s="262"/>
    </row>
    <row r="91" spans="2:9" ht="18">
      <c r="B91" s="103" t="s">
        <v>1092</v>
      </c>
      <c r="C91" s="47" t="s">
        <v>1261</v>
      </c>
      <c r="D91" s="47" t="s">
        <v>93</v>
      </c>
      <c r="E91" s="261">
        <v>47.990379870576902</v>
      </c>
      <c r="F91" s="261">
        <v>-66.7234615832636</v>
      </c>
      <c r="G91" s="47" t="s">
        <v>598</v>
      </c>
      <c r="H91" s="18"/>
      <c r="I91" s="18"/>
    </row>
    <row r="92" spans="2:9" ht="18">
      <c r="B92" s="103" t="s">
        <v>1055</v>
      </c>
      <c r="C92" s="98" t="s">
        <v>1456</v>
      </c>
      <c r="D92" s="47" t="s">
        <v>93</v>
      </c>
      <c r="E92" s="261">
        <v>47.370851522353</v>
      </c>
      <c r="F92" s="263">
        <v>-68.329635828167895</v>
      </c>
      <c r="G92" s="47" t="s">
        <v>598</v>
      </c>
      <c r="H92" s="18"/>
      <c r="I92" s="18"/>
    </row>
    <row r="93" spans="2:9" ht="18">
      <c r="B93" s="103" t="s">
        <v>1071</v>
      </c>
      <c r="C93" s="98" t="s">
        <v>1458</v>
      </c>
      <c r="D93" s="47" t="s">
        <v>93</v>
      </c>
      <c r="E93" s="261">
        <v>47.367782742070801</v>
      </c>
      <c r="F93" s="263">
        <v>-68.263021397781699</v>
      </c>
      <c r="G93" s="47" t="s">
        <v>598</v>
      </c>
      <c r="H93" s="18"/>
      <c r="I93" s="18"/>
    </row>
    <row r="94" spans="2:9" ht="18">
      <c r="B94" s="103" t="s">
        <v>1457</v>
      </c>
      <c r="C94" s="47" t="s">
        <v>1455</v>
      </c>
      <c r="D94" s="47" t="s">
        <v>93</v>
      </c>
      <c r="E94" s="261">
        <v>46.907844316519501</v>
      </c>
      <c r="F94" s="263">
        <v>-67.390528586767402</v>
      </c>
      <c r="G94" s="47" t="s">
        <v>598</v>
      </c>
      <c r="H94" s="18"/>
      <c r="I94" s="18"/>
    </row>
    <row r="95" spans="2:9" ht="18">
      <c r="B95" s="103" t="s">
        <v>1053</v>
      </c>
      <c r="C95" s="47" t="s">
        <v>1262</v>
      </c>
      <c r="D95" s="47" t="s">
        <v>93</v>
      </c>
      <c r="E95" s="261">
        <v>45.651026281757296</v>
      </c>
      <c r="F95" s="263">
        <v>-66.598693750970398</v>
      </c>
      <c r="G95" s="47" t="s">
        <v>598</v>
      </c>
      <c r="H95" s="18"/>
      <c r="I95" s="18"/>
    </row>
    <row r="96" spans="2:9" ht="18">
      <c r="B96" s="103" t="s">
        <v>1078</v>
      </c>
      <c r="C96" s="47" t="s">
        <v>1263</v>
      </c>
      <c r="D96" s="47" t="s">
        <v>93</v>
      </c>
      <c r="E96" s="261">
        <v>46.055498346586603</v>
      </c>
      <c r="F96" s="263">
        <v>-64.582139545670003</v>
      </c>
      <c r="G96" s="47" t="s">
        <v>598</v>
      </c>
      <c r="H96" s="18"/>
      <c r="I96" s="18"/>
    </row>
    <row r="97" spans="2:9" ht="18">
      <c r="B97" s="103" t="s">
        <v>1098</v>
      </c>
      <c r="C97" s="47" t="s">
        <v>1264</v>
      </c>
      <c r="D97" s="47" t="s">
        <v>93</v>
      </c>
      <c r="E97" s="261">
        <v>45.4463424998684</v>
      </c>
      <c r="F97" s="261">
        <v>-65.963016630732199</v>
      </c>
      <c r="G97" s="47" t="s">
        <v>598</v>
      </c>
      <c r="H97" s="18"/>
      <c r="I97" s="18"/>
    </row>
    <row r="98" spans="2:9" ht="18">
      <c r="B98" s="103" t="s">
        <v>941</v>
      </c>
      <c r="C98" s="47" t="s">
        <v>1265</v>
      </c>
      <c r="D98" s="47" t="s">
        <v>93</v>
      </c>
      <c r="E98" s="261">
        <v>47.021617050797801</v>
      </c>
      <c r="F98" s="263">
        <v>-65.461374230566406</v>
      </c>
      <c r="G98" s="47" t="s">
        <v>598</v>
      </c>
      <c r="H98" s="18"/>
      <c r="I98" s="18"/>
    </row>
    <row r="99" spans="2:9" ht="18">
      <c r="B99" s="103" t="s">
        <v>967</v>
      </c>
      <c r="C99" s="47" t="s">
        <v>1266</v>
      </c>
      <c r="D99" s="47" t="s">
        <v>93</v>
      </c>
      <c r="E99" s="261">
        <v>46.154193151141598</v>
      </c>
      <c r="F99" s="261">
        <v>-67.534663948631703</v>
      </c>
      <c r="G99" s="47" t="s">
        <v>598</v>
      </c>
      <c r="H99" s="18"/>
      <c r="I99" s="18" t="s">
        <v>1161</v>
      </c>
    </row>
    <row r="100" spans="2:9" ht="18">
      <c r="B100" s="103" t="s">
        <v>1011</v>
      </c>
      <c r="C100" s="47" t="s">
        <v>1267</v>
      </c>
      <c r="D100" s="47" t="s">
        <v>93</v>
      </c>
      <c r="E100" s="261">
        <v>45.299464193255297</v>
      </c>
      <c r="F100" s="263">
        <v>-66.196611225576206</v>
      </c>
      <c r="G100" s="47" t="s">
        <v>598</v>
      </c>
      <c r="H100" s="18"/>
      <c r="I100" s="18"/>
    </row>
    <row r="101" spans="2:9" ht="18">
      <c r="B101" s="103" t="s">
        <v>1097</v>
      </c>
      <c r="C101" s="47" t="s">
        <v>1268</v>
      </c>
      <c r="D101" s="47" t="s">
        <v>93</v>
      </c>
      <c r="E101" s="261">
        <v>47.050457560800197</v>
      </c>
      <c r="F101" s="263">
        <v>-67.715676980167999</v>
      </c>
      <c r="G101" s="47" t="s">
        <v>598</v>
      </c>
      <c r="H101" s="18"/>
      <c r="I101" s="18"/>
    </row>
    <row r="102" spans="2:9" ht="18">
      <c r="B102" s="103" t="s">
        <v>178</v>
      </c>
      <c r="C102" s="47" t="s">
        <v>1379</v>
      </c>
      <c r="D102" s="47" t="s">
        <v>93</v>
      </c>
      <c r="E102" s="261">
        <v>47.042932100000002</v>
      </c>
      <c r="F102" s="263">
        <v>-67.736865899999998</v>
      </c>
      <c r="G102" s="47" t="s">
        <v>598</v>
      </c>
      <c r="H102" s="18"/>
      <c r="I102" s="18"/>
    </row>
    <row r="103" spans="2:9" ht="18">
      <c r="B103" s="103" t="s">
        <v>970</v>
      </c>
      <c r="C103" s="47" t="s">
        <v>1269</v>
      </c>
      <c r="D103" s="47" t="s">
        <v>93</v>
      </c>
      <c r="E103" s="261">
        <v>47.061640703002801</v>
      </c>
      <c r="F103" s="263">
        <v>-67.7590672327877</v>
      </c>
      <c r="G103" s="47" t="s">
        <v>598</v>
      </c>
      <c r="H103" s="18"/>
      <c r="I103" s="18"/>
    </row>
    <row r="104" spans="2:9" ht="18">
      <c r="B104" s="103" t="s">
        <v>996</v>
      </c>
      <c r="C104" s="47" t="s">
        <v>1270</v>
      </c>
      <c r="D104" s="47" t="s">
        <v>93</v>
      </c>
      <c r="E104" s="261">
        <v>47.035834158580201</v>
      </c>
      <c r="F104" s="263">
        <v>-67.740926243783804</v>
      </c>
      <c r="G104" s="47" t="s">
        <v>598</v>
      </c>
      <c r="H104" s="18"/>
      <c r="I104" s="18"/>
    </row>
    <row r="105" spans="2:9" ht="18">
      <c r="B105" s="103" t="s">
        <v>960</v>
      </c>
      <c r="C105" s="47" t="s">
        <v>1271</v>
      </c>
      <c r="D105" s="47" t="s">
        <v>93</v>
      </c>
      <c r="E105" s="261">
        <v>46.043549153590298</v>
      </c>
      <c r="F105" s="261">
        <v>-66.033289583636702</v>
      </c>
      <c r="G105" s="47" t="s">
        <v>598</v>
      </c>
      <c r="H105" s="18"/>
      <c r="I105" s="18"/>
    </row>
    <row r="106" spans="2:9" ht="18">
      <c r="B106" s="103" t="s">
        <v>1116</v>
      </c>
      <c r="C106" s="47" t="s">
        <v>1407</v>
      </c>
      <c r="D106" s="47" t="s">
        <v>93</v>
      </c>
      <c r="E106" s="261">
        <v>46.059608098730799</v>
      </c>
      <c r="F106" s="263">
        <v>-66.003260347018497</v>
      </c>
      <c r="G106" s="47" t="s">
        <v>598</v>
      </c>
      <c r="H106" s="18"/>
      <c r="I106" s="18"/>
    </row>
    <row r="107" spans="2:9" ht="18">
      <c r="B107" s="103" t="s">
        <v>1408</v>
      </c>
      <c r="C107" s="98" t="s">
        <v>1272</v>
      </c>
      <c r="D107" s="47" t="s">
        <v>93</v>
      </c>
      <c r="E107" s="261">
        <v>44.685789125029103</v>
      </c>
      <c r="F107" s="263">
        <v>-66.773557728314998</v>
      </c>
      <c r="G107" s="47" t="s">
        <v>598</v>
      </c>
      <c r="H107" s="18"/>
      <c r="I107" s="18"/>
    </row>
    <row r="108" spans="2:9" ht="18">
      <c r="B108" s="103" t="s">
        <v>309</v>
      </c>
      <c r="C108" s="47" t="s">
        <v>1380</v>
      </c>
      <c r="D108" s="47" t="s">
        <v>93</v>
      </c>
      <c r="E108" s="261">
        <v>44.722394000000001</v>
      </c>
      <c r="F108" s="263">
        <v>-66.823886000000002</v>
      </c>
      <c r="G108" s="47" t="s">
        <v>598</v>
      </c>
      <c r="H108" s="18"/>
      <c r="I108" s="18"/>
    </row>
    <row r="109" spans="2:9" ht="18">
      <c r="B109" s="159" t="s">
        <v>373</v>
      </c>
      <c r="C109" s="47" t="s">
        <v>1381</v>
      </c>
      <c r="D109" s="47" t="s">
        <v>93</v>
      </c>
      <c r="E109" s="261">
        <v>45.284199999999998</v>
      </c>
      <c r="F109" s="261">
        <v>-66.009444000000002</v>
      </c>
      <c r="G109" s="47" t="s">
        <v>598</v>
      </c>
      <c r="H109" s="18"/>
      <c r="I109" s="18"/>
    </row>
    <row r="110" spans="2:9" ht="18">
      <c r="B110" s="103" t="s">
        <v>969</v>
      </c>
      <c r="C110" s="47" t="s">
        <v>1273</v>
      </c>
      <c r="D110" s="47" t="s">
        <v>93</v>
      </c>
      <c r="E110" s="261">
        <v>47.325861704225801</v>
      </c>
      <c r="F110" s="263">
        <v>-68.139589078362604</v>
      </c>
      <c r="G110" s="47" t="s">
        <v>598</v>
      </c>
      <c r="H110" s="18"/>
      <c r="I110" s="18"/>
    </row>
    <row r="111" spans="2:9" ht="18">
      <c r="B111" s="103" t="s">
        <v>1101</v>
      </c>
      <c r="C111" s="47" t="s">
        <v>1274</v>
      </c>
      <c r="D111" s="47" t="s">
        <v>93</v>
      </c>
      <c r="E111" s="261">
        <v>46.062824943382601</v>
      </c>
      <c r="F111" s="263">
        <v>-64.765759529682597</v>
      </c>
      <c r="G111" s="47" t="s">
        <v>598</v>
      </c>
      <c r="H111" s="18"/>
      <c r="I111" s="18"/>
    </row>
    <row r="112" spans="2:9" ht="18">
      <c r="B112" s="103" t="s">
        <v>950</v>
      </c>
      <c r="C112" s="47" t="s">
        <v>1275</v>
      </c>
      <c r="D112" s="47" t="s">
        <v>93</v>
      </c>
      <c r="E112" s="261">
        <v>47.530678002292802</v>
      </c>
      <c r="F112" s="263">
        <v>-65.0743736941359</v>
      </c>
      <c r="G112" s="47" t="s">
        <v>598</v>
      </c>
      <c r="H112" s="18"/>
      <c r="I112" s="18"/>
    </row>
    <row r="113" spans="2:9" ht="18">
      <c r="B113" s="103" t="s">
        <v>965</v>
      </c>
      <c r="C113" s="47" t="s">
        <v>1276</v>
      </c>
      <c r="D113" s="47" t="s">
        <v>93</v>
      </c>
      <c r="E113" s="261">
        <v>46.0680959931152</v>
      </c>
      <c r="F113" s="263">
        <v>-67.021193869080406</v>
      </c>
      <c r="G113" s="47" t="s">
        <v>598</v>
      </c>
      <c r="H113" s="18"/>
      <c r="I113" s="18"/>
    </row>
    <row r="114" spans="2:9" ht="18">
      <c r="B114" s="103" t="s">
        <v>1103</v>
      </c>
      <c r="C114" s="47" t="s">
        <v>1277</v>
      </c>
      <c r="D114" s="47" t="s">
        <v>93</v>
      </c>
      <c r="E114" s="261">
        <v>45.513333989046998</v>
      </c>
      <c r="F114" s="261">
        <v>-65.829673721104797</v>
      </c>
      <c r="G114" s="47" t="s">
        <v>598</v>
      </c>
      <c r="H114" s="18"/>
      <c r="I114" s="18"/>
    </row>
    <row r="115" spans="2:9" ht="18">
      <c r="B115" s="103" t="s">
        <v>934</v>
      </c>
      <c r="C115" s="47" t="s">
        <v>1278</v>
      </c>
      <c r="D115" s="47" t="s">
        <v>93</v>
      </c>
      <c r="E115" s="261">
        <v>45.513333989046998</v>
      </c>
      <c r="F115" s="261">
        <v>-65.829673721104797</v>
      </c>
      <c r="G115" s="47" t="s">
        <v>598</v>
      </c>
      <c r="H115" s="18"/>
      <c r="I115" s="18"/>
    </row>
    <row r="116" spans="2:9" ht="18">
      <c r="B116" s="103" t="s">
        <v>947</v>
      </c>
      <c r="C116" s="47" t="s">
        <v>1279</v>
      </c>
      <c r="D116" s="47" t="s">
        <v>93</v>
      </c>
      <c r="E116" s="261">
        <v>46.477083411785003</v>
      </c>
      <c r="F116" s="263">
        <v>-65.228110991437603</v>
      </c>
      <c r="G116" s="47" t="s">
        <v>598</v>
      </c>
      <c r="H116" s="18"/>
      <c r="I116" s="18"/>
    </row>
    <row r="117" spans="2:9" ht="18">
      <c r="B117" s="103" t="s">
        <v>1019</v>
      </c>
      <c r="C117" s="47" t="s">
        <v>1280</v>
      </c>
      <c r="D117" s="47" t="s">
        <v>93</v>
      </c>
      <c r="E117" s="261">
        <v>46.086041828510403</v>
      </c>
      <c r="F117" s="263">
        <v>-64.027080477468203</v>
      </c>
      <c r="G117" s="47" t="s">
        <v>598</v>
      </c>
      <c r="H117" s="18"/>
      <c r="I117" s="18"/>
    </row>
    <row r="118" spans="2:9" ht="18">
      <c r="B118" s="103" t="s">
        <v>1056</v>
      </c>
      <c r="C118" s="47" t="s">
        <v>1281</v>
      </c>
      <c r="D118" s="47" t="s">
        <v>93</v>
      </c>
      <c r="E118" s="261">
        <v>46.312581419955499</v>
      </c>
      <c r="F118" s="263">
        <v>-67.535214498212895</v>
      </c>
      <c r="G118" s="47" t="s">
        <v>598</v>
      </c>
      <c r="H118" s="18"/>
      <c r="I118" s="18"/>
    </row>
    <row r="119" spans="2:9" ht="18">
      <c r="B119" s="103" t="s">
        <v>1089</v>
      </c>
      <c r="C119" s="47" t="s">
        <v>1282</v>
      </c>
      <c r="D119" s="47" t="s">
        <v>93</v>
      </c>
      <c r="E119" s="261">
        <v>45.708333053318299</v>
      </c>
      <c r="F119" s="261">
        <v>-67.027163867474499</v>
      </c>
      <c r="G119" s="47" t="s">
        <v>598</v>
      </c>
      <c r="H119" s="18"/>
      <c r="I119" s="18"/>
    </row>
    <row r="120" spans="2:9" ht="18">
      <c r="B120" s="103" t="s">
        <v>1035</v>
      </c>
      <c r="C120" s="47" t="s">
        <v>1283</v>
      </c>
      <c r="D120" s="47" t="s">
        <v>93</v>
      </c>
      <c r="E120" s="261">
        <v>46.003885321235998</v>
      </c>
      <c r="F120" s="263">
        <v>-65.326317944024694</v>
      </c>
      <c r="G120" s="47" t="s">
        <v>598</v>
      </c>
      <c r="H120" s="18"/>
      <c r="I120" s="18"/>
    </row>
    <row r="121" spans="2:9" ht="18">
      <c r="B121" s="103" t="s">
        <v>1132</v>
      </c>
      <c r="C121" s="47" t="s">
        <v>1406</v>
      </c>
      <c r="D121" s="47" t="s">
        <v>93</v>
      </c>
      <c r="E121" s="261">
        <v>47.0971958976655</v>
      </c>
      <c r="F121" s="263">
        <v>-65.601054847975107</v>
      </c>
      <c r="G121" s="47" t="s">
        <v>598</v>
      </c>
      <c r="H121" s="18"/>
      <c r="I121" s="18"/>
    </row>
    <row r="122" spans="2:9" ht="18">
      <c r="B122" s="103" t="s">
        <v>1034</v>
      </c>
      <c r="C122" s="47" t="s">
        <v>1284</v>
      </c>
      <c r="D122" s="47" t="s">
        <v>93</v>
      </c>
      <c r="E122" s="261">
        <v>45.921631949897098</v>
      </c>
      <c r="F122" s="263">
        <v>-64.645636220767699</v>
      </c>
      <c r="G122" s="47" t="s">
        <v>598</v>
      </c>
      <c r="H122" s="18"/>
      <c r="I122" s="18"/>
    </row>
    <row r="123" spans="2:9" ht="18">
      <c r="B123" s="103" t="s">
        <v>1093</v>
      </c>
      <c r="C123" s="47" t="s">
        <v>1285</v>
      </c>
      <c r="D123" s="47" t="s">
        <v>93</v>
      </c>
      <c r="E123" s="261">
        <v>46.721396977078399</v>
      </c>
      <c r="F123" s="263">
        <v>-65.828945135474399</v>
      </c>
      <c r="G123" s="47" t="s">
        <v>598</v>
      </c>
      <c r="H123" s="18"/>
      <c r="I123" s="18"/>
    </row>
    <row r="124" spans="2:9" ht="18">
      <c r="B124" s="103" t="s">
        <v>991</v>
      </c>
      <c r="C124" s="47" t="s">
        <v>1286</v>
      </c>
      <c r="D124" s="47" t="s">
        <v>93</v>
      </c>
      <c r="E124" s="261">
        <v>46.439654646894297</v>
      </c>
      <c r="F124" s="263">
        <v>-67.656217327810296</v>
      </c>
      <c r="G124" s="47" t="s">
        <v>598</v>
      </c>
      <c r="H124" s="18"/>
      <c r="I124" s="18"/>
    </row>
    <row r="125" spans="2:9" ht="18">
      <c r="B125" s="98" t="s">
        <v>1474</v>
      </c>
      <c r="C125" s="98" t="s">
        <v>1464</v>
      </c>
      <c r="D125" s="47" t="s">
        <v>1505</v>
      </c>
      <c r="E125" s="261">
        <v>46.601599999999998</v>
      </c>
      <c r="F125" s="263">
        <v>-67.788839999999993</v>
      </c>
      <c r="G125" s="47" t="s">
        <v>598</v>
      </c>
      <c r="H125" s="18"/>
      <c r="I125" s="18"/>
    </row>
    <row r="126" spans="2:9" ht="18">
      <c r="B126" s="98" t="s">
        <v>1477</v>
      </c>
      <c r="C126" s="98" t="s">
        <v>1475</v>
      </c>
      <c r="D126" s="47" t="s">
        <v>1505</v>
      </c>
      <c r="E126" s="261">
        <v>45.209812300000003</v>
      </c>
      <c r="F126" s="263">
        <v>-67.431312599999998</v>
      </c>
      <c r="G126" s="47" t="s">
        <v>598</v>
      </c>
      <c r="H126" s="18"/>
      <c r="I126" s="18"/>
    </row>
    <row r="127" spans="2:9" ht="18">
      <c r="B127" s="98" t="s">
        <v>1465</v>
      </c>
      <c r="C127" s="47" t="s">
        <v>808</v>
      </c>
      <c r="D127" s="47" t="s">
        <v>1505</v>
      </c>
      <c r="E127" s="261">
        <v>47.355555099999997</v>
      </c>
      <c r="F127" s="263">
        <v>-68.301677999999995</v>
      </c>
      <c r="G127" s="47" t="s">
        <v>598</v>
      </c>
      <c r="H127" s="18"/>
      <c r="I127" s="18"/>
    </row>
    <row r="128" spans="2:9" ht="18">
      <c r="B128" s="98" t="s">
        <v>1506</v>
      </c>
      <c r="C128" s="98" t="s">
        <v>1476</v>
      </c>
      <c r="D128" s="47" t="s">
        <v>1505</v>
      </c>
      <c r="E128" s="261">
        <v>45.851582999999998</v>
      </c>
      <c r="F128" s="263">
        <v>-67.789544000000006</v>
      </c>
      <c r="G128" s="47" t="s">
        <v>598</v>
      </c>
      <c r="H128" s="18"/>
      <c r="I128" s="18"/>
    </row>
    <row r="129" spans="2:9" ht="18">
      <c r="B129" s="98" t="s">
        <v>1478</v>
      </c>
      <c r="C129" s="98" t="s">
        <v>1473</v>
      </c>
      <c r="D129" s="47" t="s">
        <v>1505</v>
      </c>
      <c r="E129" s="261">
        <v>45.176119</v>
      </c>
      <c r="F129" s="263">
        <v>-67.293625000000006</v>
      </c>
      <c r="G129" s="47" t="s">
        <v>598</v>
      </c>
      <c r="H129" s="18"/>
      <c r="I129" s="18"/>
    </row>
    <row r="130" spans="2:9" ht="18">
      <c r="B130" s="98" t="s">
        <v>1469</v>
      </c>
      <c r="C130" s="47" t="s">
        <v>809</v>
      </c>
      <c r="D130" s="47" t="s">
        <v>1505</v>
      </c>
      <c r="E130" s="261">
        <v>46.825228000000003</v>
      </c>
      <c r="F130" s="263">
        <v>-67.789615999999995</v>
      </c>
      <c r="G130" s="47" t="s">
        <v>598</v>
      </c>
      <c r="H130" s="18"/>
      <c r="I130" s="18"/>
    </row>
    <row r="131" spans="2:9" ht="18">
      <c r="B131" s="98" t="s">
        <v>1472</v>
      </c>
      <c r="C131" s="47" t="s">
        <v>810</v>
      </c>
      <c r="D131" s="47" t="s">
        <v>1505</v>
      </c>
      <c r="E131" s="261">
        <v>46.791153000000001</v>
      </c>
      <c r="F131" s="263">
        <v>-67.789603999999997</v>
      </c>
      <c r="G131" s="47" t="s">
        <v>598</v>
      </c>
      <c r="H131" s="18"/>
      <c r="I131" s="18"/>
    </row>
    <row r="132" spans="2:9" ht="18">
      <c r="B132" s="260" t="s">
        <v>1496</v>
      </c>
      <c r="C132" s="98" t="s">
        <v>577</v>
      </c>
      <c r="D132" s="47" t="s">
        <v>1502</v>
      </c>
      <c r="E132" s="261">
        <v>45.863827974679701</v>
      </c>
      <c r="F132" s="263">
        <v>-64.262927242528306</v>
      </c>
      <c r="G132" s="47" t="s">
        <v>598</v>
      </c>
      <c r="H132" s="18"/>
      <c r="I132" s="18"/>
    </row>
    <row r="133" spans="2:9" ht="18">
      <c r="B133" s="260" t="s">
        <v>1497</v>
      </c>
      <c r="C133" s="98" t="s">
        <v>576</v>
      </c>
      <c r="D133" s="47" t="s">
        <v>1502</v>
      </c>
      <c r="E133" s="261">
        <v>45.897508769703201</v>
      </c>
      <c r="F133" s="263">
        <v>-64.2274077152356</v>
      </c>
      <c r="G133" s="47" t="s">
        <v>598</v>
      </c>
      <c r="H133" s="18"/>
      <c r="I133" s="18"/>
    </row>
    <row r="134" spans="2:9" ht="18">
      <c r="B134" s="98" t="s">
        <v>1498</v>
      </c>
      <c r="C134" s="98" t="s">
        <v>767</v>
      </c>
      <c r="D134" s="47" t="s">
        <v>1503</v>
      </c>
      <c r="E134" s="261">
        <v>47.458770694952399</v>
      </c>
      <c r="F134" s="263">
        <v>-68.523105955611001</v>
      </c>
      <c r="G134" s="47" t="s">
        <v>598</v>
      </c>
      <c r="H134" s="18"/>
      <c r="I134" s="18"/>
    </row>
    <row r="135" spans="2:9" ht="18">
      <c r="B135" s="98" t="s">
        <v>1499</v>
      </c>
      <c r="C135" s="98" t="s">
        <v>768</v>
      </c>
      <c r="D135" s="47" t="s">
        <v>1503</v>
      </c>
      <c r="E135" s="261">
        <v>47.992634573925002</v>
      </c>
      <c r="F135" s="263">
        <v>-66.851371534211694</v>
      </c>
      <c r="G135" s="47" t="s">
        <v>598</v>
      </c>
      <c r="H135" s="18"/>
      <c r="I135" s="18"/>
    </row>
    <row r="136" spans="2:9" ht="18">
      <c r="B136" s="98" t="s">
        <v>1500</v>
      </c>
      <c r="C136" s="98" t="s">
        <v>575</v>
      </c>
      <c r="D136" s="47" t="s">
        <v>1502</v>
      </c>
      <c r="E136" s="261">
        <v>45.897508769703201</v>
      </c>
      <c r="F136" s="261">
        <v>-64.2274077152356</v>
      </c>
      <c r="G136" s="47" t="s">
        <v>598</v>
      </c>
      <c r="H136" s="18"/>
      <c r="I136" s="18"/>
    </row>
    <row r="137" spans="2:9" ht="18">
      <c r="B137" s="98" t="s">
        <v>1501</v>
      </c>
      <c r="C137" s="98" t="s">
        <v>766</v>
      </c>
      <c r="D137" s="47" t="s">
        <v>1504</v>
      </c>
      <c r="E137" s="261">
        <v>46.205068549493703</v>
      </c>
      <c r="F137" s="261">
        <v>-63.757450644197398</v>
      </c>
      <c r="G137" s="47" t="s">
        <v>598</v>
      </c>
      <c r="H137" s="18"/>
      <c r="I137" s="18" t="s">
        <v>1495</v>
      </c>
    </row>
    <row r="138" spans="2:9" ht="18">
      <c r="B138" s="103" t="s">
        <v>1135</v>
      </c>
      <c r="C138" s="47" t="s">
        <v>1409</v>
      </c>
      <c r="D138" s="47" t="s">
        <v>93</v>
      </c>
      <c r="E138" s="261">
        <v>47.3705606354211</v>
      </c>
      <c r="F138" s="263">
        <v>-68.278358570634197</v>
      </c>
      <c r="G138" s="47" t="s">
        <v>598</v>
      </c>
      <c r="H138" s="18"/>
      <c r="I138" s="18"/>
    </row>
    <row r="139" spans="2:9" ht="18">
      <c r="B139" s="103" t="s">
        <v>1049</v>
      </c>
      <c r="C139" s="47" t="s">
        <v>1442</v>
      </c>
      <c r="D139" s="47" t="s">
        <v>93</v>
      </c>
      <c r="E139" s="261">
        <v>45.261579536365602</v>
      </c>
      <c r="F139" s="261">
        <v>-66.093877103544898</v>
      </c>
      <c r="G139" s="47" t="s">
        <v>598</v>
      </c>
      <c r="H139" s="18"/>
      <c r="I139" s="18"/>
    </row>
    <row r="140" spans="2:9" ht="18">
      <c r="B140" s="103" t="s">
        <v>1451</v>
      </c>
      <c r="C140" s="47" t="s">
        <v>1411</v>
      </c>
      <c r="D140" s="47" t="s">
        <v>93</v>
      </c>
      <c r="E140" s="261">
        <v>45.276827871146999</v>
      </c>
      <c r="F140" s="261">
        <v>-66.012581923951203</v>
      </c>
      <c r="G140" s="47" t="s">
        <v>598</v>
      </c>
      <c r="H140" s="18"/>
      <c r="I140" s="18"/>
    </row>
    <row r="141" spans="2:9" ht="18">
      <c r="B141" s="103" t="s">
        <v>1410</v>
      </c>
      <c r="C141" s="47" t="s">
        <v>1412</v>
      </c>
      <c r="D141" s="47" t="s">
        <v>93</v>
      </c>
      <c r="E141" s="261">
        <v>45.277746193381901</v>
      </c>
      <c r="F141" s="261">
        <v>-66.008727824679596</v>
      </c>
      <c r="G141" s="47" t="s">
        <v>598</v>
      </c>
      <c r="H141" s="18"/>
      <c r="I141" s="18"/>
    </row>
    <row r="142" spans="2:9" ht="18">
      <c r="B142" s="103" t="s">
        <v>1413</v>
      </c>
      <c r="C142" s="47" t="s">
        <v>1414</v>
      </c>
      <c r="D142" s="47" t="s">
        <v>93</v>
      </c>
      <c r="E142" s="261">
        <v>45.279977908869199</v>
      </c>
      <c r="F142" s="261">
        <v>-66.010533929764804</v>
      </c>
      <c r="G142" s="47" t="s">
        <v>598</v>
      </c>
      <c r="H142" s="18"/>
      <c r="I142" s="18"/>
    </row>
    <row r="143" spans="2:9" ht="18">
      <c r="B143" s="103" t="s">
        <v>1002</v>
      </c>
      <c r="C143" s="47" t="s">
        <v>1443</v>
      </c>
      <c r="D143" s="47" t="s">
        <v>93</v>
      </c>
      <c r="E143" s="261">
        <v>45.2576087073598</v>
      </c>
      <c r="F143" s="261">
        <v>-66.095753867834603</v>
      </c>
      <c r="G143" s="47" t="s">
        <v>598</v>
      </c>
      <c r="H143" s="18"/>
      <c r="I143" s="18"/>
    </row>
    <row r="144" spans="2:9" ht="18">
      <c r="B144" s="103" t="s">
        <v>1059</v>
      </c>
      <c r="C144" s="47" t="s">
        <v>1287</v>
      </c>
      <c r="D144" s="47" t="s">
        <v>93</v>
      </c>
      <c r="E144" s="261">
        <v>47.916698078177198</v>
      </c>
      <c r="F144" s="263">
        <v>-65.978728071332696</v>
      </c>
      <c r="G144" s="47" t="s">
        <v>598</v>
      </c>
      <c r="H144" s="18"/>
      <c r="I144" s="18"/>
    </row>
    <row r="145" spans="2:9" ht="18">
      <c r="B145" s="103" t="s">
        <v>1085</v>
      </c>
      <c r="C145" s="47" t="s">
        <v>1288</v>
      </c>
      <c r="D145" s="47" t="s">
        <v>93</v>
      </c>
      <c r="E145" s="261">
        <v>45.780884634397701</v>
      </c>
      <c r="F145" s="261">
        <v>-66.100772092222797</v>
      </c>
      <c r="G145" s="47" t="s">
        <v>598</v>
      </c>
      <c r="H145" s="18"/>
      <c r="I145" s="18"/>
    </row>
    <row r="146" spans="2:9" ht="18">
      <c r="B146" s="103" t="s">
        <v>618</v>
      </c>
      <c r="C146" s="98" t="s">
        <v>757</v>
      </c>
      <c r="D146" s="47" t="s">
        <v>93</v>
      </c>
      <c r="E146" s="261">
        <v>46.048339882735903</v>
      </c>
      <c r="F146" s="263">
        <v>-64.898632684562102</v>
      </c>
      <c r="G146" s="47" t="s">
        <v>598</v>
      </c>
      <c r="H146" s="18"/>
      <c r="I146" s="18"/>
    </row>
    <row r="147" spans="2:9" ht="18">
      <c r="B147" s="103" t="s">
        <v>630</v>
      </c>
      <c r="C147" s="98" t="s">
        <v>702</v>
      </c>
      <c r="D147" s="47" t="s">
        <v>93</v>
      </c>
      <c r="E147" s="261">
        <v>46.125025797485897</v>
      </c>
      <c r="F147" s="263">
        <v>-64.817206424374703</v>
      </c>
      <c r="G147" s="47" t="s">
        <v>598</v>
      </c>
      <c r="H147" s="18"/>
      <c r="I147" s="18"/>
    </row>
    <row r="148" spans="2:9" ht="18">
      <c r="B148" s="179" t="s">
        <v>619</v>
      </c>
      <c r="C148" s="98" t="s">
        <v>701</v>
      </c>
      <c r="D148" s="47" t="s">
        <v>93</v>
      </c>
      <c r="E148" s="261">
        <v>46.030791322352499</v>
      </c>
      <c r="F148" s="263">
        <v>-65.287526884603807</v>
      </c>
      <c r="G148" s="47" t="s">
        <v>598</v>
      </c>
      <c r="H148" s="18"/>
      <c r="I148" s="18"/>
    </row>
    <row r="149" spans="2:9" ht="18">
      <c r="B149" s="103" t="s">
        <v>635</v>
      </c>
      <c r="C149" s="98" t="s">
        <v>765</v>
      </c>
      <c r="D149" s="47" t="s">
        <v>93</v>
      </c>
      <c r="E149" s="261">
        <v>47.026199724019797</v>
      </c>
      <c r="F149" s="263">
        <v>-67.745718480218997</v>
      </c>
      <c r="G149" s="47" t="s">
        <v>598</v>
      </c>
      <c r="H149" s="18"/>
      <c r="I149" s="18"/>
    </row>
    <row r="150" spans="2:9" ht="18">
      <c r="B150" s="103" t="s">
        <v>638</v>
      </c>
      <c r="C150" s="98" t="s">
        <v>762</v>
      </c>
      <c r="D150" s="47" t="s">
        <v>93</v>
      </c>
      <c r="E150" s="261">
        <v>46.133703727654002</v>
      </c>
      <c r="F150" s="263">
        <v>-64.758363665272299</v>
      </c>
      <c r="G150" s="47" t="s">
        <v>598</v>
      </c>
      <c r="H150" s="18"/>
      <c r="I150" s="18"/>
    </row>
    <row r="151" spans="2:9" ht="18">
      <c r="B151" s="103" t="s">
        <v>631</v>
      </c>
      <c r="C151" s="98" t="s">
        <v>743</v>
      </c>
      <c r="D151" s="47" t="s">
        <v>93</v>
      </c>
      <c r="E151" s="261">
        <v>46.171861473670802</v>
      </c>
      <c r="F151" s="263">
        <v>-67.589488128365701</v>
      </c>
      <c r="G151" s="47" t="s">
        <v>598</v>
      </c>
      <c r="H151" s="18"/>
      <c r="I151" s="18"/>
    </row>
    <row r="152" spans="2:9" ht="18">
      <c r="B152" s="103" t="s">
        <v>652</v>
      </c>
      <c r="C152" s="98" t="s">
        <v>754</v>
      </c>
      <c r="D152" s="47" t="s">
        <v>93</v>
      </c>
      <c r="E152" s="261">
        <v>46.206545550721998</v>
      </c>
      <c r="F152" s="261">
        <v>-64.507896710368797</v>
      </c>
      <c r="G152" s="47" t="s">
        <v>598</v>
      </c>
      <c r="H152" s="18"/>
      <c r="I152" s="18"/>
    </row>
    <row r="153" spans="2:9" ht="18">
      <c r="B153" s="103" t="s">
        <v>624</v>
      </c>
      <c r="C153" s="98" t="s">
        <v>739</v>
      </c>
      <c r="D153" s="47" t="s">
        <v>93</v>
      </c>
      <c r="E153" s="261">
        <v>45.121127085806002</v>
      </c>
      <c r="F153" s="263">
        <v>-66.823235401354495</v>
      </c>
      <c r="G153" s="47" t="s">
        <v>598</v>
      </c>
      <c r="H153" s="18"/>
      <c r="I153" s="18"/>
    </row>
    <row r="154" spans="2:9" ht="18">
      <c r="B154" s="103" t="s">
        <v>626</v>
      </c>
      <c r="C154" s="98" t="s">
        <v>742</v>
      </c>
      <c r="D154" s="47" t="s">
        <v>93</v>
      </c>
      <c r="E154" s="261">
        <v>45.589712805656497</v>
      </c>
      <c r="F154" s="263">
        <v>-67.315929835900107</v>
      </c>
      <c r="G154" s="47" t="s">
        <v>598</v>
      </c>
      <c r="H154" s="18"/>
      <c r="I154" s="18"/>
    </row>
    <row r="155" spans="2:9" ht="18">
      <c r="B155" s="103" t="s">
        <v>657</v>
      </c>
      <c r="C155" s="98" t="s">
        <v>709</v>
      </c>
      <c r="D155" s="47" t="s">
        <v>93</v>
      </c>
      <c r="E155" s="261">
        <v>47.572128515144797</v>
      </c>
      <c r="F155" s="263">
        <v>-65.6318926423736</v>
      </c>
      <c r="G155" s="47" t="s">
        <v>598</v>
      </c>
      <c r="H155" s="18"/>
      <c r="I155" s="18"/>
    </row>
    <row r="156" spans="2:9" ht="18">
      <c r="B156" s="103" t="s">
        <v>645</v>
      </c>
      <c r="C156" s="98" t="s">
        <v>699</v>
      </c>
      <c r="D156" s="47" t="s">
        <v>93</v>
      </c>
      <c r="E156" s="261">
        <v>47.454392406614502</v>
      </c>
      <c r="F156" s="263">
        <v>-67.442093908376407</v>
      </c>
      <c r="G156" s="47" t="s">
        <v>598</v>
      </c>
      <c r="H156" s="18"/>
      <c r="I156" s="18"/>
    </row>
    <row r="157" spans="2:9" ht="18">
      <c r="B157" s="103" t="s">
        <v>623</v>
      </c>
      <c r="C157" s="98" t="s">
        <v>756</v>
      </c>
      <c r="D157" s="47" t="s">
        <v>93</v>
      </c>
      <c r="E157" s="261">
        <v>45.927170645843702</v>
      </c>
      <c r="F157" s="263">
        <v>-64.667834676733406</v>
      </c>
      <c r="G157" s="47" t="s">
        <v>598</v>
      </c>
      <c r="H157" s="18"/>
      <c r="I157" s="18"/>
    </row>
    <row r="158" spans="2:9" ht="18">
      <c r="B158" s="103" t="s">
        <v>617</v>
      </c>
      <c r="C158" s="98" t="s">
        <v>728</v>
      </c>
      <c r="D158" s="47" t="s">
        <v>93</v>
      </c>
      <c r="E158" s="261">
        <v>45.256453101210397</v>
      </c>
      <c r="F158" s="261">
        <v>-66.093536183451107</v>
      </c>
      <c r="G158" s="47" t="s">
        <v>598</v>
      </c>
      <c r="H158" s="18"/>
      <c r="I158" s="18"/>
    </row>
    <row r="159" spans="2:9" ht="18">
      <c r="B159" s="103" t="s">
        <v>656</v>
      </c>
      <c r="C159" s="98" t="s">
        <v>731</v>
      </c>
      <c r="D159" s="47" t="s">
        <v>93</v>
      </c>
      <c r="E159" s="261">
        <v>48.058296540199997</v>
      </c>
      <c r="F159" s="263">
        <v>-66.3997694254614</v>
      </c>
      <c r="G159" s="47" t="s">
        <v>598</v>
      </c>
      <c r="H159" s="18"/>
      <c r="I159" s="18"/>
    </row>
    <row r="160" spans="2:9" ht="18">
      <c r="B160" s="103" t="s">
        <v>650</v>
      </c>
      <c r="C160" s="98" t="s">
        <v>738</v>
      </c>
      <c r="D160" s="47" t="s">
        <v>93</v>
      </c>
      <c r="E160" s="261">
        <v>46.309317595580303</v>
      </c>
      <c r="F160" s="263">
        <v>-67.622268152981505</v>
      </c>
      <c r="G160" s="47" t="s">
        <v>598</v>
      </c>
      <c r="H160" s="18"/>
      <c r="I160" s="18"/>
    </row>
    <row r="161" spans="2:9" ht="18">
      <c r="B161" s="103" t="s">
        <v>625</v>
      </c>
      <c r="C161" s="98" t="s">
        <v>744</v>
      </c>
      <c r="D161" s="47" t="s">
        <v>93</v>
      </c>
      <c r="E161" s="261">
        <v>45.157444844694503</v>
      </c>
      <c r="F161" s="263">
        <v>-67.130168786951103</v>
      </c>
      <c r="G161" s="47" t="s">
        <v>598</v>
      </c>
      <c r="H161" s="18"/>
      <c r="I161" s="18"/>
    </row>
    <row r="162" spans="2:9" ht="18">
      <c r="B162" s="103" t="s">
        <v>662</v>
      </c>
      <c r="C162" s="98" t="s">
        <v>755</v>
      </c>
      <c r="D162" s="47" t="s">
        <v>93</v>
      </c>
      <c r="E162" s="261">
        <v>45.925607840524201</v>
      </c>
      <c r="F162" s="261">
        <v>-64.481995267087299</v>
      </c>
      <c r="G162" s="47" t="s">
        <v>598</v>
      </c>
      <c r="H162" s="18"/>
      <c r="I162" s="18"/>
    </row>
    <row r="163" spans="2:9" ht="18">
      <c r="B163" s="103" t="s">
        <v>641</v>
      </c>
      <c r="C163" s="98" t="s">
        <v>751</v>
      </c>
      <c r="D163" s="47" t="s">
        <v>93</v>
      </c>
      <c r="E163" s="261">
        <v>47.882016011311897</v>
      </c>
      <c r="F163" s="263">
        <v>-65.988914655903599</v>
      </c>
      <c r="G163" s="47" t="s">
        <v>598</v>
      </c>
      <c r="H163" s="18"/>
      <c r="I163" s="18"/>
    </row>
    <row r="164" spans="2:9" ht="18">
      <c r="B164" s="103" t="s">
        <v>663</v>
      </c>
      <c r="C164" s="98" t="s">
        <v>710</v>
      </c>
      <c r="D164" s="47" t="s">
        <v>93</v>
      </c>
      <c r="E164" s="261">
        <v>47.977438460097702</v>
      </c>
      <c r="F164" s="263">
        <v>-66.675263124219597</v>
      </c>
      <c r="G164" s="47" t="s">
        <v>598</v>
      </c>
      <c r="H164" s="18"/>
      <c r="I164" s="18"/>
    </row>
    <row r="165" spans="2:9" ht="18">
      <c r="B165" s="103" t="s">
        <v>644</v>
      </c>
      <c r="C165" s="98" t="s">
        <v>705</v>
      </c>
      <c r="D165" s="47" t="s">
        <v>93</v>
      </c>
      <c r="E165" s="261">
        <v>47.287874320931003</v>
      </c>
      <c r="F165" s="263">
        <v>-67.709759990769001</v>
      </c>
      <c r="G165" s="47" t="s">
        <v>598</v>
      </c>
      <c r="H165" s="18"/>
      <c r="I165" s="18"/>
    </row>
    <row r="166" spans="2:9" ht="18">
      <c r="B166" s="103" t="s">
        <v>629</v>
      </c>
      <c r="C166" s="98" t="s">
        <v>735</v>
      </c>
      <c r="D166" s="47" t="s">
        <v>93</v>
      </c>
      <c r="E166" s="261">
        <v>45.9679898148988</v>
      </c>
      <c r="F166" s="263">
        <v>-67.236396753715098</v>
      </c>
      <c r="G166" s="47" t="s">
        <v>598</v>
      </c>
      <c r="H166" s="18"/>
      <c r="I166" s="18"/>
    </row>
    <row r="167" spans="2:9" ht="18">
      <c r="B167" s="103" t="s">
        <v>621</v>
      </c>
      <c r="C167" s="98" t="s">
        <v>730</v>
      </c>
      <c r="D167" s="47" t="s">
        <v>93</v>
      </c>
      <c r="E167" s="261">
        <v>47.001954316555697</v>
      </c>
      <c r="F167" s="263">
        <v>-65.502257340518199</v>
      </c>
      <c r="G167" s="47" t="s">
        <v>598</v>
      </c>
      <c r="H167" s="18"/>
      <c r="I167" s="18"/>
    </row>
    <row r="168" spans="2:9" ht="18">
      <c r="B168" s="103" t="s">
        <v>648</v>
      </c>
      <c r="C168" s="98" t="s">
        <v>753</v>
      </c>
      <c r="D168" s="47" t="s">
        <v>93</v>
      </c>
      <c r="E168" s="261">
        <v>46.095135946704602</v>
      </c>
      <c r="F168" s="263">
        <v>-64.750458560997004</v>
      </c>
      <c r="G168" s="47" t="s">
        <v>598</v>
      </c>
      <c r="H168" s="18"/>
      <c r="I168" s="18" t="s">
        <v>1161</v>
      </c>
    </row>
    <row r="169" spans="2:9" ht="18">
      <c r="B169" s="103" t="s">
        <v>622</v>
      </c>
      <c r="C169" s="98" t="s">
        <v>749</v>
      </c>
      <c r="D169" s="47" t="s">
        <v>93</v>
      </c>
      <c r="E169" s="261">
        <v>47.2197906495946</v>
      </c>
      <c r="F169" s="263">
        <v>-65.399404706898594</v>
      </c>
      <c r="G169" s="47" t="s">
        <v>598</v>
      </c>
      <c r="H169" s="18"/>
      <c r="I169" s="18"/>
    </row>
    <row r="170" spans="2:9" ht="18">
      <c r="B170" s="103" t="s">
        <v>616</v>
      </c>
      <c r="C170" s="98" t="s">
        <v>750</v>
      </c>
      <c r="D170" s="47" t="s">
        <v>93</v>
      </c>
      <c r="E170" s="261">
        <v>46.998832680604501</v>
      </c>
      <c r="F170" s="263">
        <v>-65.410111235650405</v>
      </c>
      <c r="G170" s="47" t="s">
        <v>598</v>
      </c>
      <c r="H170" s="18"/>
      <c r="I170" s="18"/>
    </row>
    <row r="171" spans="2:9" ht="18">
      <c r="B171" s="103" t="s">
        <v>646</v>
      </c>
      <c r="C171" s="98" t="s">
        <v>726</v>
      </c>
      <c r="D171" s="47" t="s">
        <v>93</v>
      </c>
      <c r="E171" s="261">
        <v>45.197616729852598</v>
      </c>
      <c r="F171" s="263">
        <v>-66.296212187951099</v>
      </c>
      <c r="G171" s="47" t="s">
        <v>598</v>
      </c>
      <c r="H171" s="18"/>
      <c r="I171" s="18"/>
    </row>
    <row r="172" spans="2:9" ht="18">
      <c r="B172" s="103" t="s">
        <v>632</v>
      </c>
      <c r="C172" s="98" t="s">
        <v>723</v>
      </c>
      <c r="D172" s="47" t="s">
        <v>93</v>
      </c>
      <c r="E172" s="261">
        <v>47.369988363956601</v>
      </c>
      <c r="F172" s="263">
        <v>-68.261553530249898</v>
      </c>
      <c r="G172" s="47" t="s">
        <v>598</v>
      </c>
      <c r="H172" s="18"/>
      <c r="I172" s="18"/>
    </row>
    <row r="173" spans="2:9" ht="18">
      <c r="B173" s="103" t="s">
        <v>642</v>
      </c>
      <c r="C173" s="98" t="s">
        <v>722</v>
      </c>
      <c r="D173" s="47" t="s">
        <v>93</v>
      </c>
      <c r="E173" s="261">
        <v>47.702084562390397</v>
      </c>
      <c r="F173" s="263">
        <v>-65.751936121900201</v>
      </c>
      <c r="G173" s="47" t="s">
        <v>598</v>
      </c>
      <c r="H173" s="18"/>
      <c r="I173" s="18"/>
    </row>
    <row r="174" spans="2:9" ht="18">
      <c r="B174" s="103" t="s">
        <v>655</v>
      </c>
      <c r="C174" s="98" t="s">
        <v>698</v>
      </c>
      <c r="D174" s="47" t="s">
        <v>93</v>
      </c>
      <c r="E174" s="261">
        <v>45.187756662522503</v>
      </c>
      <c r="F174" s="263">
        <v>-67.298986722342804</v>
      </c>
      <c r="G174" s="47" t="s">
        <v>598</v>
      </c>
      <c r="H174" s="18"/>
      <c r="I174" s="18"/>
    </row>
    <row r="175" spans="2:9" ht="18">
      <c r="B175" s="103" t="s">
        <v>658</v>
      </c>
      <c r="C175" s="98" t="s">
        <v>733</v>
      </c>
      <c r="D175" s="47" t="s">
        <v>93</v>
      </c>
      <c r="E175" s="261">
        <v>47.5171516151254</v>
      </c>
      <c r="F175" s="263">
        <v>-65.805658354633394</v>
      </c>
      <c r="G175" s="47" t="s">
        <v>598</v>
      </c>
      <c r="H175" s="18"/>
      <c r="I175" s="18"/>
    </row>
    <row r="176" spans="2:9" ht="18">
      <c r="B176" s="103" t="s">
        <v>664</v>
      </c>
      <c r="C176" s="98" t="s">
        <v>711</v>
      </c>
      <c r="D176" s="47" t="s">
        <v>93</v>
      </c>
      <c r="E176" s="261">
        <v>47.965083673890803</v>
      </c>
      <c r="F176" s="263">
        <v>-66.774594178795496</v>
      </c>
      <c r="G176" s="47" t="s">
        <v>598</v>
      </c>
      <c r="H176" s="18"/>
      <c r="I176" s="18"/>
    </row>
    <row r="177" spans="2:9" ht="18">
      <c r="B177" s="103" t="s">
        <v>633</v>
      </c>
      <c r="C177" s="98" t="s">
        <v>724</v>
      </c>
      <c r="D177" s="47" t="s">
        <v>93</v>
      </c>
      <c r="E177" s="261">
        <v>47.196292274737701</v>
      </c>
      <c r="F177" s="263">
        <v>-67.926381191302298</v>
      </c>
      <c r="G177" s="47" t="s">
        <v>598</v>
      </c>
      <c r="H177" s="18"/>
      <c r="I177" s="18"/>
    </row>
    <row r="178" spans="2:9" ht="18">
      <c r="B178" s="103" t="s">
        <v>639</v>
      </c>
      <c r="C178" s="98" t="s">
        <v>758</v>
      </c>
      <c r="D178" s="47" t="s">
        <v>93</v>
      </c>
      <c r="E178" s="261">
        <v>46.061720308637497</v>
      </c>
      <c r="F178" s="263">
        <v>-64.556169560658702</v>
      </c>
      <c r="G178" s="47" t="s">
        <v>598</v>
      </c>
      <c r="H178" s="18"/>
      <c r="I178" s="18"/>
    </row>
    <row r="179" spans="2:9" ht="18">
      <c r="B179" s="103" t="s">
        <v>666</v>
      </c>
      <c r="C179" s="98" t="s">
        <v>706</v>
      </c>
      <c r="D179" s="47" t="s">
        <v>93</v>
      </c>
      <c r="E179" s="261">
        <v>45.9805792060694</v>
      </c>
      <c r="F179" s="263">
        <v>-64.511700311424505</v>
      </c>
      <c r="G179" s="47" t="s">
        <v>598</v>
      </c>
      <c r="H179" s="18"/>
      <c r="I179" s="18"/>
    </row>
    <row r="180" spans="2:9" ht="18">
      <c r="B180" s="103" t="s">
        <v>660</v>
      </c>
      <c r="C180" s="98" t="s">
        <v>745</v>
      </c>
      <c r="D180" s="47" t="s">
        <v>93</v>
      </c>
      <c r="E180" s="261">
        <v>47.394024848127501</v>
      </c>
      <c r="F180" s="263">
        <v>-68.333881981433507</v>
      </c>
      <c r="G180" s="47" t="s">
        <v>598</v>
      </c>
      <c r="H180" s="18"/>
      <c r="I180" s="18"/>
    </row>
    <row r="181" spans="2:9" ht="18">
      <c r="B181" s="103" t="s">
        <v>665</v>
      </c>
      <c r="C181" s="98" t="s">
        <v>748</v>
      </c>
      <c r="D181" s="47" t="s">
        <v>93</v>
      </c>
      <c r="E181" s="261">
        <v>47.9850718626627</v>
      </c>
      <c r="F181" s="263">
        <v>-66.719417486671901</v>
      </c>
      <c r="G181" s="47" t="s">
        <v>598</v>
      </c>
      <c r="H181" s="18"/>
      <c r="I181" s="18"/>
    </row>
    <row r="182" spans="2:9" ht="18">
      <c r="B182" s="103" t="s">
        <v>643</v>
      </c>
      <c r="C182" s="98" t="s">
        <v>703</v>
      </c>
      <c r="D182" s="47" t="s">
        <v>93</v>
      </c>
      <c r="E182" s="261">
        <v>47.594986929454898</v>
      </c>
      <c r="F182" s="263">
        <v>-65.667856181816603</v>
      </c>
      <c r="G182" s="47" t="s">
        <v>598</v>
      </c>
      <c r="H182" s="18"/>
      <c r="I182" s="18"/>
    </row>
    <row r="183" spans="2:9" ht="18">
      <c r="B183" s="103" t="s">
        <v>640</v>
      </c>
      <c r="C183" s="98" t="s">
        <v>707</v>
      </c>
      <c r="D183" s="47" t="s">
        <v>93</v>
      </c>
      <c r="E183" s="261">
        <v>47.971041994348397</v>
      </c>
      <c r="F183" s="263">
        <v>-66.2925160733095</v>
      </c>
      <c r="G183" s="47" t="s">
        <v>598</v>
      </c>
      <c r="H183" s="18"/>
      <c r="I183" s="18"/>
    </row>
    <row r="184" spans="2:9" ht="18">
      <c r="B184" s="103" t="s">
        <v>628</v>
      </c>
      <c r="C184" s="98" t="s">
        <v>708</v>
      </c>
      <c r="D184" s="47" t="s">
        <v>93</v>
      </c>
      <c r="E184" s="261">
        <v>45.836313992987101</v>
      </c>
      <c r="F184" s="263">
        <v>-67.172291218665706</v>
      </c>
      <c r="G184" s="47" t="s">
        <v>598</v>
      </c>
      <c r="H184" s="18"/>
      <c r="I184" s="18"/>
    </row>
    <row r="185" spans="2:9" ht="18">
      <c r="B185" s="103" t="s">
        <v>1450</v>
      </c>
      <c r="C185" s="47" t="s">
        <v>769</v>
      </c>
      <c r="D185" s="47" t="s">
        <v>93</v>
      </c>
      <c r="E185" s="261">
        <v>47.712362298851197</v>
      </c>
      <c r="F185" s="263">
        <v>-64.740275738313699</v>
      </c>
      <c r="G185" s="47" t="s">
        <v>598</v>
      </c>
      <c r="H185" s="18"/>
      <c r="I185" s="18" t="s">
        <v>1161</v>
      </c>
    </row>
    <row r="186" spans="2:9" ht="18">
      <c r="B186" s="103" t="s">
        <v>620</v>
      </c>
      <c r="C186" s="98" t="s">
        <v>740</v>
      </c>
      <c r="D186" s="47" t="s">
        <v>93</v>
      </c>
      <c r="E186" s="261">
        <v>45.939145558253998</v>
      </c>
      <c r="F186" s="263">
        <v>-65.795117535701394</v>
      </c>
      <c r="G186" s="47" t="s">
        <v>598</v>
      </c>
      <c r="H186" s="18"/>
      <c r="I186" s="18"/>
    </row>
    <row r="187" spans="2:9" ht="18">
      <c r="B187" s="103" t="s">
        <v>651</v>
      </c>
      <c r="C187" s="98" t="s">
        <v>736</v>
      </c>
      <c r="D187" s="47" t="s">
        <v>93</v>
      </c>
      <c r="E187" s="261">
        <v>46.277314904924197</v>
      </c>
      <c r="F187" s="261">
        <v>-66.602695686970193</v>
      </c>
      <c r="G187" s="47" t="s">
        <v>598</v>
      </c>
      <c r="H187" s="18"/>
      <c r="I187" s="18"/>
    </row>
    <row r="188" spans="2:9" ht="18">
      <c r="B188" s="103" t="s">
        <v>667</v>
      </c>
      <c r="C188" s="98" t="s">
        <v>747</v>
      </c>
      <c r="D188" s="47" t="s">
        <v>93</v>
      </c>
      <c r="E188" s="261">
        <v>47.3057889649739</v>
      </c>
      <c r="F188" s="263">
        <v>-68.484888314752894</v>
      </c>
      <c r="G188" s="47" t="s">
        <v>598</v>
      </c>
      <c r="H188" s="18"/>
      <c r="I188" s="18"/>
    </row>
    <row r="189" spans="2:9" ht="18">
      <c r="B189" s="103" t="s">
        <v>636</v>
      </c>
      <c r="C189" s="98" t="s">
        <v>697</v>
      </c>
      <c r="D189" s="47" t="s">
        <v>93</v>
      </c>
      <c r="E189" s="261">
        <v>47.056335763932701</v>
      </c>
      <c r="F189" s="263">
        <v>-67.763331265860302</v>
      </c>
      <c r="G189" s="47" t="s">
        <v>598</v>
      </c>
      <c r="H189" s="18"/>
      <c r="I189" s="18" t="s">
        <v>1161</v>
      </c>
    </row>
    <row r="190" spans="2:9" ht="18">
      <c r="B190" s="103" t="s">
        <v>627</v>
      </c>
      <c r="C190" s="98" t="s">
        <v>712</v>
      </c>
      <c r="D190" s="47" t="s">
        <v>93</v>
      </c>
      <c r="E190" s="261">
        <v>45.695289135605897</v>
      </c>
      <c r="F190" s="261">
        <v>-67.142642933836996</v>
      </c>
      <c r="G190" s="47" t="s">
        <v>598</v>
      </c>
      <c r="H190" s="18"/>
      <c r="I190" s="18"/>
    </row>
    <row r="191" spans="2:9" ht="18">
      <c r="B191" s="103" t="s">
        <v>668</v>
      </c>
      <c r="C191" s="98" t="s">
        <v>713</v>
      </c>
      <c r="D191" s="47" t="s">
        <v>93</v>
      </c>
      <c r="E191" s="261">
        <v>45.637675838655902</v>
      </c>
      <c r="F191" s="263">
        <v>-66.596079424461493</v>
      </c>
      <c r="G191" s="47" t="s">
        <v>598</v>
      </c>
      <c r="H191" s="18"/>
      <c r="I191" s="18"/>
    </row>
    <row r="192" spans="2:9" ht="18">
      <c r="B192" s="103" t="s">
        <v>676</v>
      </c>
      <c r="C192" s="98" t="s">
        <v>752</v>
      </c>
      <c r="D192" s="47" t="s">
        <v>93</v>
      </c>
      <c r="E192" s="261">
        <v>47.848961023862699</v>
      </c>
      <c r="F192" s="263">
        <v>-65.893512298149503</v>
      </c>
      <c r="G192" s="47" t="s">
        <v>598</v>
      </c>
      <c r="H192" s="18"/>
      <c r="I192" s="18"/>
    </row>
    <row r="193" spans="2:10" ht="18">
      <c r="B193" s="103" t="s">
        <v>677</v>
      </c>
      <c r="C193" s="98" t="s">
        <v>729</v>
      </c>
      <c r="D193" s="47" t="s">
        <v>93</v>
      </c>
      <c r="E193" s="261">
        <v>45.8362950920515</v>
      </c>
      <c r="F193" s="263">
        <v>-67.172267302475404</v>
      </c>
      <c r="G193" s="47" t="s">
        <v>598</v>
      </c>
      <c r="H193" s="18"/>
      <c r="I193" s="18"/>
    </row>
    <row r="194" spans="2:10" ht="18">
      <c r="B194" s="103" t="s">
        <v>696</v>
      </c>
      <c r="C194" s="98" t="s">
        <v>732</v>
      </c>
      <c r="D194" s="47" t="s">
        <v>93</v>
      </c>
      <c r="E194" s="261">
        <v>47.9834340534887</v>
      </c>
      <c r="F194" s="263">
        <v>-66.726324271999303</v>
      </c>
      <c r="G194" s="47" t="s">
        <v>598</v>
      </c>
      <c r="H194" s="18"/>
      <c r="I194" s="18"/>
    </row>
    <row r="195" spans="2:10" ht="18">
      <c r="B195" s="103" t="s">
        <v>674</v>
      </c>
      <c r="C195" s="98" t="s">
        <v>700</v>
      </c>
      <c r="D195" s="47" t="s">
        <v>93</v>
      </c>
      <c r="E195" s="261">
        <v>46.840351016369098</v>
      </c>
      <c r="F195" s="263">
        <v>-67.702732483303294</v>
      </c>
      <c r="G195" s="47" t="s">
        <v>598</v>
      </c>
      <c r="H195" s="18"/>
      <c r="I195" s="18"/>
    </row>
    <row r="196" spans="2:10" ht="18">
      <c r="B196" s="103" t="s">
        <v>672</v>
      </c>
      <c r="C196" s="98" t="s">
        <v>725</v>
      </c>
      <c r="D196" s="47" t="s">
        <v>93</v>
      </c>
      <c r="E196" s="261">
        <v>46.7094399799673</v>
      </c>
      <c r="F196" s="263">
        <v>-65.741049650632306</v>
      </c>
      <c r="G196" s="47" t="s">
        <v>598</v>
      </c>
      <c r="H196" s="18"/>
      <c r="I196" s="264"/>
    </row>
    <row r="197" spans="2:10" ht="18">
      <c r="B197" s="103" t="s">
        <v>687</v>
      </c>
      <c r="C197" s="98" t="s">
        <v>746</v>
      </c>
      <c r="D197" s="47" t="s">
        <v>93</v>
      </c>
      <c r="E197" s="261">
        <v>47.045539908781898</v>
      </c>
      <c r="F197" s="263">
        <v>-67.732618508685903</v>
      </c>
      <c r="G197" s="47" t="s">
        <v>598</v>
      </c>
      <c r="H197" s="18"/>
      <c r="I197" s="18"/>
      <c r="J197" s="18"/>
    </row>
    <row r="198" spans="2:10" ht="18">
      <c r="B198" s="103" t="s">
        <v>684</v>
      </c>
      <c r="C198" s="98" t="s">
        <v>721</v>
      </c>
      <c r="D198" s="47" t="s">
        <v>93</v>
      </c>
      <c r="E198" s="261">
        <v>45.415969003065399</v>
      </c>
      <c r="F198" s="261">
        <v>-65.905125604457794</v>
      </c>
      <c r="G198" s="47" t="s">
        <v>598</v>
      </c>
      <c r="H198" s="18"/>
      <c r="I198" s="18"/>
    </row>
    <row r="199" spans="2:10" ht="18">
      <c r="B199" s="103" t="s">
        <v>669</v>
      </c>
      <c r="C199" s="98" t="s">
        <v>720</v>
      </c>
      <c r="D199" s="47" t="s">
        <v>93</v>
      </c>
      <c r="E199" s="261">
        <v>45.855827080536898</v>
      </c>
      <c r="F199" s="263">
        <v>-66.624409594500406</v>
      </c>
      <c r="G199" s="47" t="s">
        <v>598</v>
      </c>
      <c r="H199" s="18"/>
      <c r="I199" s="18"/>
    </row>
    <row r="200" spans="2:10" ht="18">
      <c r="B200" s="103" t="s">
        <v>673</v>
      </c>
      <c r="C200" s="98" t="s">
        <v>760</v>
      </c>
      <c r="D200" s="47" t="s">
        <v>93</v>
      </c>
      <c r="E200" s="261">
        <v>46.037239621616102</v>
      </c>
      <c r="F200" s="263">
        <v>-64.788604053373305</v>
      </c>
      <c r="G200" s="47" t="s">
        <v>598</v>
      </c>
      <c r="H200" s="18"/>
      <c r="I200" s="18"/>
    </row>
    <row r="201" spans="2:10" ht="18">
      <c r="B201" s="103" t="s">
        <v>678</v>
      </c>
      <c r="C201" s="98" t="s">
        <v>763</v>
      </c>
      <c r="D201" s="47" t="s">
        <v>93</v>
      </c>
      <c r="E201" s="261">
        <v>46.130318394835399</v>
      </c>
      <c r="F201" s="263">
        <v>-67.1112748468679</v>
      </c>
      <c r="G201" s="47" t="s">
        <v>598</v>
      </c>
      <c r="H201" s="18"/>
      <c r="I201" s="18"/>
    </row>
    <row r="202" spans="2:10" ht="18">
      <c r="B202" s="103" t="s">
        <v>683</v>
      </c>
      <c r="C202" s="98" t="s">
        <v>715</v>
      </c>
      <c r="D202" s="47" t="s">
        <v>93</v>
      </c>
      <c r="E202" s="261">
        <v>45.502604277361797</v>
      </c>
      <c r="F202" s="261">
        <v>-65.8099809084475</v>
      </c>
      <c r="G202" s="47" t="s">
        <v>598</v>
      </c>
      <c r="H202" s="18"/>
      <c r="I202" s="18"/>
    </row>
    <row r="203" spans="2:10" ht="18">
      <c r="B203" s="103" t="s">
        <v>671</v>
      </c>
      <c r="C203" s="98" t="s">
        <v>737</v>
      </c>
      <c r="D203" s="47" t="s">
        <v>93</v>
      </c>
      <c r="E203" s="261">
        <v>45.907429918174003</v>
      </c>
      <c r="F203" s="263">
        <v>-66.612127399568905</v>
      </c>
      <c r="G203" s="47" t="s">
        <v>598</v>
      </c>
      <c r="H203" s="18"/>
      <c r="I203" s="18"/>
    </row>
    <row r="204" spans="2:10" ht="18">
      <c r="B204" s="103" t="s">
        <v>688</v>
      </c>
      <c r="C204" s="98" t="s">
        <v>761</v>
      </c>
      <c r="D204" s="47" t="s">
        <v>93</v>
      </c>
      <c r="E204" s="261">
        <v>45.765008334663797</v>
      </c>
      <c r="F204" s="261">
        <v>-65.471509922892906</v>
      </c>
      <c r="G204" s="47" t="s">
        <v>598</v>
      </c>
      <c r="H204" s="18"/>
      <c r="I204" s="18"/>
    </row>
    <row r="205" spans="2:10" ht="18">
      <c r="B205" s="103" t="s">
        <v>681</v>
      </c>
      <c r="C205" s="98" t="s">
        <v>716</v>
      </c>
      <c r="D205" s="47" t="s">
        <v>93</v>
      </c>
      <c r="E205" s="261">
        <v>45.611752251172</v>
      </c>
      <c r="F205" s="263">
        <v>-65.715252007270706</v>
      </c>
      <c r="G205" s="47" t="s">
        <v>598</v>
      </c>
      <c r="H205" s="18"/>
      <c r="I205" s="18"/>
    </row>
    <row r="206" spans="2:10" ht="18">
      <c r="B206" s="103" t="s">
        <v>1153</v>
      </c>
      <c r="C206" s="98" t="s">
        <v>1154</v>
      </c>
      <c r="D206" s="47" t="s">
        <v>93</v>
      </c>
      <c r="E206" s="261">
        <v>46.136042453943801</v>
      </c>
      <c r="F206" s="263">
        <v>-64.747777559594098</v>
      </c>
      <c r="G206" s="47" t="s">
        <v>598</v>
      </c>
      <c r="H206" s="18"/>
      <c r="I206" s="18"/>
    </row>
    <row r="207" spans="2:10" ht="18">
      <c r="B207" s="103" t="s">
        <v>689</v>
      </c>
      <c r="C207" s="98" t="s">
        <v>718</v>
      </c>
      <c r="D207" s="47" t="s">
        <v>93</v>
      </c>
      <c r="E207" s="261">
        <v>45.769886502804397</v>
      </c>
      <c r="F207" s="261">
        <v>-65.439066588054501</v>
      </c>
      <c r="G207" s="47" t="s">
        <v>598</v>
      </c>
      <c r="H207" s="18"/>
      <c r="I207" s="18"/>
    </row>
    <row r="208" spans="2:10" ht="18">
      <c r="B208" s="103" t="s">
        <v>685</v>
      </c>
      <c r="C208" s="98" t="s">
        <v>727</v>
      </c>
      <c r="D208" s="47" t="s">
        <v>93</v>
      </c>
      <c r="E208" s="261">
        <v>45.374772766325698</v>
      </c>
      <c r="F208" s="261">
        <v>-65.954220367748405</v>
      </c>
      <c r="G208" s="47" t="s">
        <v>598</v>
      </c>
      <c r="H208" s="18"/>
      <c r="I208" s="18"/>
    </row>
    <row r="209" spans="2:9" ht="18">
      <c r="B209" s="103" t="s">
        <v>686</v>
      </c>
      <c r="C209" s="98" t="s">
        <v>759</v>
      </c>
      <c r="D209" s="47" t="s">
        <v>93</v>
      </c>
      <c r="E209" s="261">
        <v>46.109825142521103</v>
      </c>
      <c r="F209" s="263">
        <v>-64.720170030653193</v>
      </c>
      <c r="G209" s="47" t="s">
        <v>598</v>
      </c>
      <c r="H209" s="18"/>
      <c r="I209" s="18"/>
    </row>
    <row r="210" spans="2:9" ht="18">
      <c r="B210" s="103" t="s">
        <v>675</v>
      </c>
      <c r="C210" s="98" t="s">
        <v>741</v>
      </c>
      <c r="D210" s="47" t="s">
        <v>93</v>
      </c>
      <c r="E210" s="261">
        <v>45.983199406044797</v>
      </c>
      <c r="F210" s="263">
        <v>-66.620716916363705</v>
      </c>
      <c r="G210" s="47" t="s">
        <v>598</v>
      </c>
      <c r="H210" s="18"/>
      <c r="I210" s="18"/>
    </row>
    <row r="211" spans="2:9" ht="18">
      <c r="B211" s="103" t="s">
        <v>680</v>
      </c>
      <c r="C211" s="98" t="s">
        <v>734</v>
      </c>
      <c r="D211" s="47" t="s">
        <v>93</v>
      </c>
      <c r="E211" s="261">
        <v>47.489863938654302</v>
      </c>
      <c r="F211" s="263">
        <v>-65.907613370462599</v>
      </c>
      <c r="G211" s="47" t="s">
        <v>598</v>
      </c>
      <c r="H211" s="18"/>
      <c r="I211" s="18"/>
    </row>
    <row r="212" spans="2:9" ht="18">
      <c r="B212" s="103" t="s">
        <v>670</v>
      </c>
      <c r="C212" s="98" t="s">
        <v>717</v>
      </c>
      <c r="D212" s="47" t="s">
        <v>93</v>
      </c>
      <c r="E212" s="261">
        <v>45.856182004476501</v>
      </c>
      <c r="F212" s="263">
        <v>-66.624671379648106</v>
      </c>
      <c r="G212" s="47" t="s">
        <v>598</v>
      </c>
      <c r="H212" s="18"/>
      <c r="I212" s="18"/>
    </row>
    <row r="213" spans="2:9" ht="18">
      <c r="B213" s="103" t="s">
        <v>679</v>
      </c>
      <c r="C213" s="98" t="s">
        <v>764</v>
      </c>
      <c r="D213" s="47" t="s">
        <v>93</v>
      </c>
      <c r="E213" s="261">
        <v>46.310177363951297</v>
      </c>
      <c r="F213" s="263">
        <v>-67.366610826571801</v>
      </c>
      <c r="G213" s="47" t="s">
        <v>598</v>
      </c>
      <c r="H213" s="18"/>
      <c r="I213" s="262"/>
    </row>
    <row r="214" spans="2:9" ht="18">
      <c r="B214" s="103" t="s">
        <v>690</v>
      </c>
      <c r="C214" s="98" t="s">
        <v>719</v>
      </c>
      <c r="D214" s="47" t="s">
        <v>93</v>
      </c>
      <c r="E214" s="261">
        <v>45.376103567995898</v>
      </c>
      <c r="F214" s="261">
        <v>-65.953037923969703</v>
      </c>
      <c r="G214" s="47" t="s">
        <v>598</v>
      </c>
      <c r="H214" s="18"/>
      <c r="I214" s="18"/>
    </row>
    <row r="215" spans="2:9" ht="18">
      <c r="B215" s="103" t="s">
        <v>993</v>
      </c>
      <c r="C215" s="47" t="s">
        <v>1289</v>
      </c>
      <c r="D215" s="47" t="s">
        <v>93</v>
      </c>
      <c r="E215" s="261">
        <v>46.545688028844502</v>
      </c>
      <c r="F215" s="263">
        <v>-67.221260123049603</v>
      </c>
      <c r="G215" s="47" t="s">
        <v>598</v>
      </c>
      <c r="H215" s="18"/>
      <c r="I215" s="18"/>
    </row>
    <row r="216" spans="2:9" ht="18">
      <c r="B216" s="103" t="s">
        <v>1036</v>
      </c>
      <c r="C216" s="47" t="s">
        <v>1290</v>
      </c>
      <c r="D216" s="47" t="s">
        <v>93</v>
      </c>
      <c r="E216" s="261">
        <v>47.653333416046301</v>
      </c>
      <c r="F216" s="263">
        <v>-67.342906292421901</v>
      </c>
      <c r="G216" s="47" t="s">
        <v>598</v>
      </c>
      <c r="H216" s="18"/>
      <c r="I216" s="18"/>
    </row>
    <row r="217" spans="2:9" ht="18">
      <c r="B217" s="99" t="s">
        <v>370</v>
      </c>
      <c r="C217" s="47" t="s">
        <v>1382</v>
      </c>
      <c r="D217" s="47" t="s">
        <v>93</v>
      </c>
      <c r="E217" s="261">
        <v>45.8193591</v>
      </c>
      <c r="F217" s="263">
        <v>-64.889430899999994</v>
      </c>
      <c r="G217" s="47" t="s">
        <v>598</v>
      </c>
      <c r="H217" s="18"/>
      <c r="I217" s="18"/>
    </row>
    <row r="218" spans="2:9" ht="18">
      <c r="B218" s="103" t="s">
        <v>1029</v>
      </c>
      <c r="C218" s="47" t="s">
        <v>1291</v>
      </c>
      <c r="D218" s="47" t="s">
        <v>93</v>
      </c>
      <c r="E218" s="261">
        <v>45.963227999580198</v>
      </c>
      <c r="F218" s="263">
        <v>-66.865309102909293</v>
      </c>
      <c r="G218" s="47" t="s">
        <v>598</v>
      </c>
      <c r="H218" s="18"/>
      <c r="I218" s="18"/>
    </row>
    <row r="219" spans="2:9" ht="18">
      <c r="B219" s="103" t="s">
        <v>1126</v>
      </c>
      <c r="C219" s="47" t="s">
        <v>1415</v>
      </c>
      <c r="D219" s="47" t="s">
        <v>93</v>
      </c>
      <c r="E219" s="261">
        <v>46.057187728016402</v>
      </c>
      <c r="F219" s="261">
        <v>-66.849350330866997</v>
      </c>
      <c r="G219" s="47" t="s">
        <v>598</v>
      </c>
      <c r="H219" s="18"/>
      <c r="I219" s="18"/>
    </row>
    <row r="220" spans="2:9" ht="18">
      <c r="B220" s="103" t="s">
        <v>1108</v>
      </c>
      <c r="C220" s="47" t="s">
        <v>1292</v>
      </c>
      <c r="D220" s="47" t="s">
        <v>93</v>
      </c>
      <c r="E220" s="261">
        <v>45.9368318461919</v>
      </c>
      <c r="F220" s="263">
        <v>-66.758155103017799</v>
      </c>
      <c r="G220" s="47" t="s">
        <v>598</v>
      </c>
      <c r="H220" s="18"/>
      <c r="I220" s="18"/>
    </row>
    <row r="221" spans="2:9" ht="18">
      <c r="B221" s="103" t="s">
        <v>1083</v>
      </c>
      <c r="C221" s="47" t="s">
        <v>1293</v>
      </c>
      <c r="D221" s="47" t="s">
        <v>93</v>
      </c>
      <c r="E221" s="261">
        <v>45.848220162660198</v>
      </c>
      <c r="F221" s="263">
        <v>-67.034563083256799</v>
      </c>
      <c r="G221" s="47" t="s">
        <v>598</v>
      </c>
      <c r="H221" s="18"/>
      <c r="I221" s="18"/>
    </row>
    <row r="222" spans="2:9" ht="18">
      <c r="B222" s="103" t="s">
        <v>1067</v>
      </c>
      <c r="C222" s="47" t="s">
        <v>1444</v>
      </c>
      <c r="D222" s="47" t="s">
        <v>93</v>
      </c>
      <c r="E222" s="261">
        <v>45.158033242679899</v>
      </c>
      <c r="F222" s="263">
        <v>-66.770441821836201</v>
      </c>
      <c r="G222" s="47" t="s">
        <v>598</v>
      </c>
      <c r="H222" s="18"/>
      <c r="I222" s="18"/>
    </row>
    <row r="223" spans="2:9" ht="18">
      <c r="B223" s="103" t="s">
        <v>971</v>
      </c>
      <c r="C223" s="47" t="s">
        <v>1294</v>
      </c>
      <c r="D223" s="47" t="s">
        <v>93</v>
      </c>
      <c r="E223" s="261">
        <v>46.153860843266699</v>
      </c>
      <c r="F223" s="263">
        <v>-64.674816120327407</v>
      </c>
      <c r="G223" s="47" t="s">
        <v>598</v>
      </c>
      <c r="H223" s="18"/>
      <c r="I223" s="18"/>
    </row>
    <row r="224" spans="2:9" ht="18">
      <c r="B224" s="103" t="s">
        <v>1020</v>
      </c>
      <c r="C224" s="47" t="s">
        <v>1295</v>
      </c>
      <c r="D224" s="47" t="s">
        <v>93</v>
      </c>
      <c r="E224" s="261">
        <v>45.300215205039699</v>
      </c>
      <c r="F224" s="263">
        <v>-65.991161094646102</v>
      </c>
      <c r="G224" s="47" t="s">
        <v>598</v>
      </c>
      <c r="H224" s="18"/>
      <c r="I224" s="18"/>
    </row>
    <row r="225" spans="2:9" ht="18">
      <c r="B225" s="99" t="s">
        <v>371</v>
      </c>
      <c r="C225" s="47" t="s">
        <v>1383</v>
      </c>
      <c r="D225" s="47" t="s">
        <v>93</v>
      </c>
      <c r="E225" s="261">
        <v>47.849375700000003</v>
      </c>
      <c r="F225" s="263">
        <v>-64.618654399999997</v>
      </c>
      <c r="G225" s="47" t="s">
        <v>598</v>
      </c>
      <c r="H225" s="18"/>
      <c r="I225" s="18"/>
    </row>
    <row r="226" spans="2:9" ht="18">
      <c r="B226" s="103" t="s">
        <v>952</v>
      </c>
      <c r="C226" s="47" t="s">
        <v>1296</v>
      </c>
      <c r="D226" s="47" t="s">
        <v>93</v>
      </c>
      <c r="E226" s="261">
        <v>47.835848109137402</v>
      </c>
      <c r="F226" s="263">
        <v>-64.613910101938302</v>
      </c>
      <c r="G226" s="47" t="s">
        <v>598</v>
      </c>
      <c r="H226" s="18"/>
      <c r="I226" s="18"/>
    </row>
    <row r="227" spans="2:9" ht="18">
      <c r="B227" s="103" t="s">
        <v>1115</v>
      </c>
      <c r="C227" s="47" t="s">
        <v>1416</v>
      </c>
      <c r="D227" s="47" t="s">
        <v>93</v>
      </c>
      <c r="E227" s="261">
        <v>45.234761985218</v>
      </c>
      <c r="F227" s="261">
        <v>-66.136814176387503</v>
      </c>
      <c r="G227" s="47" t="s">
        <v>598</v>
      </c>
      <c r="H227" s="18"/>
      <c r="I227" s="18"/>
    </row>
    <row r="228" spans="2:9" ht="18">
      <c r="B228" s="103" t="s">
        <v>1012</v>
      </c>
      <c r="C228" s="47" t="s">
        <v>1297</v>
      </c>
      <c r="D228" s="47" t="s">
        <v>93</v>
      </c>
      <c r="E228" s="261">
        <v>45.166002108090801</v>
      </c>
      <c r="F228" s="263">
        <v>-66.478917852801303</v>
      </c>
      <c r="G228" s="47" t="s">
        <v>598</v>
      </c>
      <c r="H228" s="18"/>
      <c r="I228" s="18"/>
    </row>
    <row r="229" spans="2:9" ht="18">
      <c r="B229" s="103" t="s">
        <v>1107</v>
      </c>
      <c r="C229" s="47" t="s">
        <v>1298</v>
      </c>
      <c r="D229" s="47" t="s">
        <v>93</v>
      </c>
      <c r="E229" s="261">
        <v>45.339944268326697</v>
      </c>
      <c r="F229" s="263">
        <v>-65.875325220905395</v>
      </c>
      <c r="G229" s="47" t="s">
        <v>598</v>
      </c>
      <c r="H229" s="18"/>
      <c r="I229" s="18"/>
    </row>
    <row r="230" spans="2:9" ht="18">
      <c r="B230" s="103" t="s">
        <v>1087</v>
      </c>
      <c r="C230" s="47" t="s">
        <v>1299</v>
      </c>
      <c r="D230" s="47" t="s">
        <v>93</v>
      </c>
      <c r="E230" s="261">
        <v>47.793637025672403</v>
      </c>
      <c r="F230" s="263">
        <v>-64.8266383857259</v>
      </c>
      <c r="G230" s="47" t="s">
        <v>598</v>
      </c>
      <c r="H230" s="18"/>
      <c r="I230" s="18"/>
    </row>
    <row r="231" spans="2:9" ht="18">
      <c r="B231" s="103" t="s">
        <v>949</v>
      </c>
      <c r="C231" s="47" t="s">
        <v>1300</v>
      </c>
      <c r="D231" s="47" t="s">
        <v>93</v>
      </c>
      <c r="E231" s="261">
        <v>46.1291079017832</v>
      </c>
      <c r="F231" s="263">
        <v>-64.886121289236897</v>
      </c>
      <c r="G231" s="47" t="s">
        <v>598</v>
      </c>
      <c r="H231" s="18"/>
      <c r="I231" s="18"/>
    </row>
    <row r="232" spans="2:9" ht="18">
      <c r="B232" s="103" t="s">
        <v>297</v>
      </c>
      <c r="C232" s="47" t="s">
        <v>1384</v>
      </c>
      <c r="D232" s="47" t="s">
        <v>93</v>
      </c>
      <c r="E232" s="261">
        <v>45.955078700000001</v>
      </c>
      <c r="F232" s="263">
        <v>-66.866526300000004</v>
      </c>
      <c r="G232" s="47" t="s">
        <v>598</v>
      </c>
      <c r="H232" s="18"/>
      <c r="I232" s="18"/>
    </row>
    <row r="233" spans="2:9" ht="18">
      <c r="B233" s="103" t="s">
        <v>985</v>
      </c>
      <c r="C233" s="47" t="s">
        <v>1301</v>
      </c>
      <c r="D233" s="47" t="s">
        <v>93</v>
      </c>
      <c r="E233" s="261">
        <v>45.235448700198702</v>
      </c>
      <c r="F233" s="261">
        <v>-66.137434574559094</v>
      </c>
      <c r="G233" s="47" t="s">
        <v>598</v>
      </c>
      <c r="H233" s="18"/>
      <c r="I233" s="18"/>
    </row>
    <row r="234" spans="2:9" ht="18">
      <c r="B234" s="103" t="s">
        <v>1120</v>
      </c>
      <c r="C234" s="47" t="s">
        <v>1431</v>
      </c>
      <c r="D234" s="47" t="s">
        <v>93</v>
      </c>
      <c r="E234" s="261">
        <v>45.967046237652497</v>
      </c>
      <c r="F234" s="263">
        <v>-66.597047460388495</v>
      </c>
      <c r="G234" s="47" t="s">
        <v>598</v>
      </c>
      <c r="H234" s="18"/>
      <c r="I234" s="18"/>
    </row>
    <row r="235" spans="2:9" ht="18">
      <c r="B235" s="103" t="s">
        <v>957</v>
      </c>
      <c r="C235" s="47" t="s">
        <v>1302</v>
      </c>
      <c r="D235" s="47" t="s">
        <v>93</v>
      </c>
      <c r="E235" s="261">
        <v>45.589502984255603</v>
      </c>
      <c r="F235" s="263">
        <v>-67.317855297703005</v>
      </c>
      <c r="G235" s="47" t="s">
        <v>598</v>
      </c>
      <c r="H235" s="18"/>
      <c r="I235" s="18"/>
    </row>
    <row r="236" spans="2:9" ht="18">
      <c r="B236" s="103" t="s">
        <v>1004</v>
      </c>
      <c r="C236" s="47" t="s">
        <v>1303</v>
      </c>
      <c r="D236" s="47" t="s">
        <v>93</v>
      </c>
      <c r="E236" s="261">
        <v>47.064185355085002</v>
      </c>
      <c r="F236" s="263">
        <v>-67.777556515775004</v>
      </c>
      <c r="G236" s="47" t="s">
        <v>598</v>
      </c>
      <c r="H236" s="18"/>
      <c r="I236" s="18"/>
    </row>
    <row r="237" spans="2:9" ht="18">
      <c r="B237" s="103" t="s">
        <v>1123</v>
      </c>
      <c r="C237" s="47" t="s">
        <v>1417</v>
      </c>
      <c r="D237" s="47" t="s">
        <v>93</v>
      </c>
      <c r="E237" s="261">
        <v>46.002114304585596</v>
      </c>
      <c r="F237" s="263">
        <v>-64.510648090256396</v>
      </c>
      <c r="G237" s="47" t="s">
        <v>598</v>
      </c>
      <c r="H237" s="18"/>
      <c r="I237" s="18"/>
    </row>
    <row r="238" spans="2:9" ht="18">
      <c r="B238" s="103" t="s">
        <v>1047</v>
      </c>
      <c r="C238" s="47" t="s">
        <v>1304</v>
      </c>
      <c r="D238" s="47" t="s">
        <v>93</v>
      </c>
      <c r="E238" s="261">
        <v>45.588359945848303</v>
      </c>
      <c r="F238" s="263">
        <v>-67.315578930323497</v>
      </c>
      <c r="G238" s="47" t="s">
        <v>598</v>
      </c>
      <c r="H238" s="18"/>
      <c r="I238" s="18"/>
    </row>
    <row r="239" spans="2:9" ht="18">
      <c r="B239" s="103" t="s">
        <v>229</v>
      </c>
      <c r="C239" s="47" t="s">
        <v>1385</v>
      </c>
      <c r="D239" s="47" t="s">
        <v>93</v>
      </c>
      <c r="E239" s="261">
        <v>47.071041000000001</v>
      </c>
      <c r="F239" s="263">
        <v>-65.454081000000002</v>
      </c>
      <c r="G239" s="47" t="s">
        <v>598</v>
      </c>
      <c r="H239" s="18"/>
      <c r="I239" s="18"/>
    </row>
    <row r="240" spans="2:9" ht="18">
      <c r="B240" s="103" t="s">
        <v>987</v>
      </c>
      <c r="C240" s="47" t="s">
        <v>1305</v>
      </c>
      <c r="D240" s="47" t="s">
        <v>93</v>
      </c>
      <c r="E240" s="261">
        <v>45.289461509404198</v>
      </c>
      <c r="F240" s="263">
        <v>-66.095458644550703</v>
      </c>
      <c r="G240" s="47" t="s">
        <v>598</v>
      </c>
      <c r="H240" s="18"/>
      <c r="I240" s="18"/>
    </row>
    <row r="241" spans="2:9" ht="18">
      <c r="B241" s="103" t="s">
        <v>368</v>
      </c>
      <c r="C241" s="47" t="s">
        <v>1386</v>
      </c>
      <c r="D241" s="47" t="s">
        <v>93</v>
      </c>
      <c r="E241" s="261">
        <v>45.1754848</v>
      </c>
      <c r="F241" s="263">
        <v>-67.292871399999996</v>
      </c>
      <c r="G241" s="47" t="s">
        <v>598</v>
      </c>
      <c r="H241" s="18"/>
      <c r="I241" s="18"/>
    </row>
    <row r="242" spans="2:9" ht="18">
      <c r="B242" s="103" t="s">
        <v>966</v>
      </c>
      <c r="C242" s="47" t="s">
        <v>1306</v>
      </c>
      <c r="D242" s="47" t="s">
        <v>93</v>
      </c>
      <c r="E242" s="261">
        <v>46.092537845877601</v>
      </c>
      <c r="F242" s="263">
        <v>-67.220440744482104</v>
      </c>
      <c r="G242" s="47" t="s">
        <v>598</v>
      </c>
      <c r="H242" s="18"/>
      <c r="I242" s="18"/>
    </row>
    <row r="243" spans="2:9" ht="18">
      <c r="B243" s="103" t="s">
        <v>1121</v>
      </c>
      <c r="C243" s="47" t="s">
        <v>1418</v>
      </c>
      <c r="D243" s="47" t="s">
        <v>93</v>
      </c>
      <c r="E243" s="261">
        <v>46.083551957588199</v>
      </c>
      <c r="F243" s="263">
        <v>-67.181898986878196</v>
      </c>
      <c r="G243" s="47" t="s">
        <v>598</v>
      </c>
      <c r="H243" s="18"/>
      <c r="I243" s="18"/>
    </row>
    <row r="244" spans="2:9" ht="18">
      <c r="B244" s="103" t="s">
        <v>938</v>
      </c>
      <c r="C244" s="47" t="s">
        <v>1307</v>
      </c>
      <c r="D244" s="47" t="s">
        <v>93</v>
      </c>
      <c r="E244" s="261">
        <v>46.084436567425598</v>
      </c>
      <c r="F244" s="263">
        <v>-66.034140114876394</v>
      </c>
      <c r="G244" s="47" t="s">
        <v>598</v>
      </c>
      <c r="H244" s="18"/>
      <c r="I244" s="18"/>
    </row>
    <row r="245" spans="2:9" ht="18">
      <c r="B245" s="103" t="s">
        <v>357</v>
      </c>
      <c r="C245" s="47" t="s">
        <v>1452</v>
      </c>
      <c r="D245" s="47" t="s">
        <v>93</v>
      </c>
      <c r="E245" s="261">
        <v>46.972231829927502</v>
      </c>
      <c r="F245" s="263">
        <v>-65.553862526170803</v>
      </c>
      <c r="G245" s="47" t="s">
        <v>598</v>
      </c>
      <c r="H245" s="18"/>
      <c r="I245" s="18"/>
    </row>
    <row r="246" spans="2:9" ht="18">
      <c r="B246" s="103" t="s">
        <v>1118</v>
      </c>
      <c r="C246" s="47" t="s">
        <v>1419</v>
      </c>
      <c r="D246" s="47" t="s">
        <v>93</v>
      </c>
      <c r="E246" s="261">
        <v>46.094522141055101</v>
      </c>
      <c r="F246" s="263">
        <v>-64.845011223322103</v>
      </c>
      <c r="G246" s="47" t="s">
        <v>598</v>
      </c>
      <c r="H246" s="18"/>
      <c r="I246" s="18"/>
    </row>
    <row r="247" spans="2:9" ht="18">
      <c r="B247" s="103" t="s">
        <v>1091</v>
      </c>
      <c r="C247" s="47" t="s">
        <v>1308</v>
      </c>
      <c r="D247" s="47" t="s">
        <v>93</v>
      </c>
      <c r="E247" s="261">
        <v>45.425517931462899</v>
      </c>
      <c r="F247" s="261">
        <v>-66.819540961310494</v>
      </c>
      <c r="G247" s="47" t="s">
        <v>598</v>
      </c>
      <c r="H247" s="18"/>
      <c r="I247" s="18"/>
    </row>
    <row r="248" spans="2:9" ht="18">
      <c r="B248" s="103" t="s">
        <v>1127</v>
      </c>
      <c r="C248" s="47" t="s">
        <v>1420</v>
      </c>
      <c r="D248" s="47" t="s">
        <v>93</v>
      </c>
      <c r="E248" s="261">
        <v>46.166548786999797</v>
      </c>
      <c r="F248" s="263">
        <v>-63.956193514608898</v>
      </c>
      <c r="G248" s="47" t="s">
        <v>598</v>
      </c>
      <c r="H248" s="18"/>
      <c r="I248" s="18"/>
    </row>
    <row r="249" spans="2:9" ht="18">
      <c r="B249" s="103" t="s">
        <v>1480</v>
      </c>
      <c r="C249" s="47" t="s">
        <v>1481</v>
      </c>
      <c r="D249" s="47" t="s">
        <v>93</v>
      </c>
      <c r="E249" s="261">
        <v>45.236881366012497</v>
      </c>
      <c r="F249" s="261">
        <v>-66.290587864811201</v>
      </c>
      <c r="G249" s="47" t="s">
        <v>598</v>
      </c>
      <c r="H249" s="18"/>
      <c r="I249" s="18"/>
    </row>
    <row r="250" spans="2:9" ht="18">
      <c r="B250" s="103" t="s">
        <v>959</v>
      </c>
      <c r="C250" s="47" t="s">
        <v>1309</v>
      </c>
      <c r="D250" s="47" t="s">
        <v>93</v>
      </c>
      <c r="E250" s="261">
        <v>45.996694336747403</v>
      </c>
      <c r="F250" s="263">
        <v>-67.248142715910205</v>
      </c>
      <c r="G250" s="47" t="s">
        <v>598</v>
      </c>
      <c r="H250" s="18"/>
      <c r="I250" s="18"/>
    </row>
    <row r="251" spans="2:9" ht="18">
      <c r="B251" s="103" t="s">
        <v>1015</v>
      </c>
      <c r="C251" s="47" t="s">
        <v>1310</v>
      </c>
      <c r="D251" s="47" t="s">
        <v>93</v>
      </c>
      <c r="E251" s="261">
        <v>45.994204496133797</v>
      </c>
      <c r="F251" s="263">
        <v>-66.649605820974799</v>
      </c>
      <c r="G251" s="47" t="s">
        <v>598</v>
      </c>
      <c r="H251" s="18"/>
      <c r="I251" s="18"/>
    </row>
    <row r="252" spans="2:9" ht="18">
      <c r="B252" s="103" t="s">
        <v>1069</v>
      </c>
      <c r="C252" s="47" t="s">
        <v>1311</v>
      </c>
      <c r="D252" s="47" t="s">
        <v>93</v>
      </c>
      <c r="E252" s="261">
        <v>47.249010600052003</v>
      </c>
      <c r="F252" s="263">
        <v>-65.103983317829503</v>
      </c>
      <c r="G252" s="47" t="s">
        <v>598</v>
      </c>
      <c r="H252" s="18"/>
      <c r="I252" s="18"/>
    </row>
    <row r="253" spans="2:9" ht="18">
      <c r="B253" s="103" t="s">
        <v>942</v>
      </c>
      <c r="C253" s="47" t="s">
        <v>1312</v>
      </c>
      <c r="D253" s="47" t="s">
        <v>93</v>
      </c>
      <c r="E253" s="261">
        <v>46.996622049320898</v>
      </c>
      <c r="F253" s="263">
        <v>-65.547562615194806</v>
      </c>
      <c r="G253" s="47" t="s">
        <v>598</v>
      </c>
      <c r="H253" s="18"/>
      <c r="I253" s="18"/>
    </row>
    <row r="254" spans="2:9" ht="18">
      <c r="B254" s="103" t="s">
        <v>981</v>
      </c>
      <c r="C254" s="47" t="s">
        <v>1313</v>
      </c>
      <c r="D254" s="47" t="s">
        <v>93</v>
      </c>
      <c r="E254" s="261">
        <v>47.4055271</v>
      </c>
      <c r="F254" s="263">
        <v>-65.791821999999996</v>
      </c>
      <c r="G254" s="47" t="s">
        <v>598</v>
      </c>
      <c r="H254" s="18"/>
      <c r="I254" s="18"/>
    </row>
    <row r="255" spans="2:9" ht="18">
      <c r="B255" s="103" t="s">
        <v>976</v>
      </c>
      <c r="C255" s="47" t="s">
        <v>1314</v>
      </c>
      <c r="D255" s="47" t="s">
        <v>93</v>
      </c>
      <c r="E255" s="261">
        <v>47.000092419042197</v>
      </c>
      <c r="F255" s="263">
        <v>-67.611430588309105</v>
      </c>
      <c r="G255" s="47" t="s">
        <v>598</v>
      </c>
      <c r="H255" s="18"/>
      <c r="I255" s="18"/>
    </row>
    <row r="256" spans="2:9" ht="18">
      <c r="B256" s="103" t="s">
        <v>1111</v>
      </c>
      <c r="C256" s="47" t="s">
        <v>1315</v>
      </c>
      <c r="D256" s="47" t="s">
        <v>93</v>
      </c>
      <c r="E256" s="261">
        <v>45.885171750768201</v>
      </c>
      <c r="F256" s="263">
        <v>-66.686145131667899</v>
      </c>
      <c r="G256" s="47" t="s">
        <v>598</v>
      </c>
      <c r="H256" s="18"/>
      <c r="I256" s="18"/>
    </row>
    <row r="257" spans="2:9" ht="18">
      <c r="B257" s="103" t="s">
        <v>943</v>
      </c>
      <c r="C257" s="47" t="s">
        <v>1316</v>
      </c>
      <c r="D257" s="47" t="s">
        <v>93</v>
      </c>
      <c r="E257" s="261">
        <v>46.993479268319398</v>
      </c>
      <c r="F257" s="263">
        <v>-65.571957021753406</v>
      </c>
      <c r="G257" s="47" t="s">
        <v>598</v>
      </c>
      <c r="H257" s="18"/>
      <c r="I257" s="18"/>
    </row>
    <row r="258" spans="2:9" ht="18">
      <c r="B258" s="103" t="s">
        <v>1117</v>
      </c>
      <c r="C258" s="47" t="s">
        <v>1421</v>
      </c>
      <c r="D258" s="47" t="s">
        <v>93</v>
      </c>
      <c r="E258" s="261">
        <v>47.021262304556402</v>
      </c>
      <c r="F258" s="263">
        <v>-65.596270672833896</v>
      </c>
      <c r="G258" s="47" t="s">
        <v>598</v>
      </c>
      <c r="H258" s="18"/>
      <c r="I258" s="18"/>
    </row>
    <row r="259" spans="2:9" ht="18">
      <c r="B259" s="103" t="s">
        <v>1131</v>
      </c>
      <c r="C259" s="47" t="s">
        <v>1422</v>
      </c>
      <c r="D259" s="47" t="s">
        <v>93</v>
      </c>
      <c r="E259" s="261">
        <v>45.663981768364401</v>
      </c>
      <c r="F259" s="261">
        <v>-65.651189016601705</v>
      </c>
      <c r="G259" s="47" t="s">
        <v>598</v>
      </c>
      <c r="H259" s="18"/>
      <c r="I259" s="18"/>
    </row>
    <row r="260" spans="2:9" ht="18">
      <c r="B260" s="103" t="s">
        <v>1119</v>
      </c>
      <c r="C260" s="47" t="s">
        <v>1423</v>
      </c>
      <c r="D260" s="47" t="s">
        <v>93</v>
      </c>
      <c r="E260" s="261">
        <v>45.243326989410001</v>
      </c>
      <c r="F260" s="261">
        <v>-67.195670369945205</v>
      </c>
      <c r="G260" s="47" t="s">
        <v>598</v>
      </c>
      <c r="H260" s="18"/>
      <c r="I260" s="18"/>
    </row>
    <row r="261" spans="2:9" ht="18">
      <c r="B261" s="103" t="s">
        <v>1100</v>
      </c>
      <c r="C261" s="47" t="s">
        <v>1317</v>
      </c>
      <c r="D261" s="47" t="s">
        <v>93</v>
      </c>
      <c r="E261" s="261">
        <v>45.838485591484201</v>
      </c>
      <c r="F261" s="263">
        <v>-66.503656232012005</v>
      </c>
      <c r="G261" s="47" t="s">
        <v>598</v>
      </c>
      <c r="H261" s="18"/>
      <c r="I261" s="18"/>
    </row>
    <row r="262" spans="2:9" ht="18">
      <c r="B262" s="103" t="s">
        <v>1139</v>
      </c>
      <c r="C262" s="47" t="s">
        <v>1424</v>
      </c>
      <c r="D262" s="47" t="s">
        <v>93</v>
      </c>
      <c r="E262" s="261">
        <v>46.950685196394403</v>
      </c>
      <c r="F262" s="263">
        <v>-67.709286586966201</v>
      </c>
      <c r="G262" s="47" t="s">
        <v>598</v>
      </c>
      <c r="H262" s="18"/>
      <c r="I262" s="18"/>
    </row>
    <row r="263" spans="2:9" ht="18">
      <c r="B263" s="103" t="s">
        <v>1013</v>
      </c>
      <c r="C263" s="47" t="s">
        <v>1318</v>
      </c>
      <c r="D263" s="47" t="s">
        <v>93</v>
      </c>
      <c r="E263" s="261">
        <v>45.107912367587097</v>
      </c>
      <c r="F263" s="263">
        <v>-66.740608733167704</v>
      </c>
      <c r="G263" s="47" t="s">
        <v>598</v>
      </c>
      <c r="H263" s="18"/>
      <c r="I263" s="18"/>
    </row>
    <row r="264" spans="2:9" ht="18">
      <c r="B264" s="103" t="s">
        <v>1124</v>
      </c>
      <c r="C264" s="47" t="s">
        <v>1425</v>
      </c>
      <c r="D264" s="47" t="s">
        <v>93</v>
      </c>
      <c r="E264" s="261">
        <v>45.109539772491097</v>
      </c>
      <c r="F264" s="263">
        <v>-66.743306212349395</v>
      </c>
      <c r="G264" s="47" t="s">
        <v>598</v>
      </c>
      <c r="H264" s="18"/>
      <c r="I264" s="18"/>
    </row>
    <row r="265" spans="2:9" ht="18">
      <c r="B265" s="103" t="s">
        <v>974</v>
      </c>
      <c r="C265" s="47" t="s">
        <v>1319</v>
      </c>
      <c r="D265" s="47" t="s">
        <v>93</v>
      </c>
      <c r="E265" s="261">
        <v>47.808294729375298</v>
      </c>
      <c r="F265" s="263">
        <v>-65.806284039292095</v>
      </c>
      <c r="G265" s="47" t="s">
        <v>598</v>
      </c>
      <c r="H265" s="18"/>
      <c r="I265" s="18"/>
    </row>
    <row r="266" spans="2:9" ht="18">
      <c r="B266" s="103" t="s">
        <v>931</v>
      </c>
      <c r="C266" s="47" t="s">
        <v>1320</v>
      </c>
      <c r="D266" s="47" t="s">
        <v>93</v>
      </c>
      <c r="E266" s="261">
        <v>45.925196311550302</v>
      </c>
      <c r="F266" s="263">
        <v>-65.150334735362406</v>
      </c>
      <c r="G266" s="47" t="s">
        <v>598</v>
      </c>
      <c r="H266" s="18"/>
      <c r="I266" s="18"/>
    </row>
    <row r="267" spans="2:9" ht="18">
      <c r="B267" s="103" t="s">
        <v>977</v>
      </c>
      <c r="C267" s="47" t="s">
        <v>1321</v>
      </c>
      <c r="D267" s="47" t="s">
        <v>93</v>
      </c>
      <c r="E267" s="261">
        <v>46.921305397684499</v>
      </c>
      <c r="F267" s="263">
        <v>-67.398940401375199</v>
      </c>
      <c r="G267" s="47" t="s">
        <v>598</v>
      </c>
      <c r="H267" s="18"/>
      <c r="I267" s="18"/>
    </row>
    <row r="268" spans="2:9" ht="18">
      <c r="B268" s="103" t="s">
        <v>300</v>
      </c>
      <c r="C268" s="47" t="s">
        <v>1387</v>
      </c>
      <c r="D268" s="47" t="s">
        <v>93</v>
      </c>
      <c r="E268" s="261">
        <v>45.068688999999999</v>
      </c>
      <c r="F268" s="263">
        <v>-66.454336999999995</v>
      </c>
      <c r="G268" s="47" t="s">
        <v>598</v>
      </c>
      <c r="H268" s="18"/>
      <c r="I268" s="18"/>
    </row>
    <row r="269" spans="2:9" ht="18">
      <c r="B269" s="103" t="s">
        <v>1105</v>
      </c>
      <c r="C269" s="47" t="s">
        <v>1445</v>
      </c>
      <c r="D269" s="47" t="s">
        <v>93</v>
      </c>
      <c r="E269" s="261">
        <v>45.7523981994159</v>
      </c>
      <c r="F269" s="261">
        <v>-65.428258039654295</v>
      </c>
      <c r="G269" s="47" t="s">
        <v>598</v>
      </c>
      <c r="H269" s="18"/>
      <c r="I269" s="18"/>
    </row>
    <row r="270" spans="2:9" ht="18">
      <c r="B270" s="103" t="s">
        <v>1106</v>
      </c>
      <c r="C270" s="47" t="s">
        <v>1322</v>
      </c>
      <c r="D270" s="47" t="s">
        <v>93</v>
      </c>
      <c r="E270" s="261">
        <v>45.9378664401805</v>
      </c>
      <c r="F270" s="263">
        <v>-66.649803850743794</v>
      </c>
      <c r="G270" s="47" t="s">
        <v>598</v>
      </c>
      <c r="H270" s="18"/>
      <c r="I270" s="18"/>
    </row>
    <row r="271" spans="2:9" ht="18">
      <c r="B271" s="103" t="s">
        <v>1028</v>
      </c>
      <c r="C271" s="47" t="s">
        <v>1323</v>
      </c>
      <c r="D271" s="47" t="s">
        <v>93</v>
      </c>
      <c r="E271" s="261">
        <v>45.945301491809303</v>
      </c>
      <c r="F271" s="263">
        <v>-66.700161534218694</v>
      </c>
      <c r="G271" s="47" t="s">
        <v>598</v>
      </c>
      <c r="H271" s="18"/>
      <c r="I271" s="18"/>
    </row>
    <row r="272" spans="2:9" ht="18">
      <c r="B272" s="103" t="s">
        <v>1001</v>
      </c>
      <c r="C272" s="47" t="s">
        <v>1324</v>
      </c>
      <c r="D272" s="47" t="s">
        <v>93</v>
      </c>
      <c r="E272" s="261">
        <v>45.255182718798103</v>
      </c>
      <c r="F272" s="261">
        <v>-66.092051426956999</v>
      </c>
      <c r="G272" s="47" t="s">
        <v>598</v>
      </c>
      <c r="H272" s="18"/>
      <c r="I272" s="18"/>
    </row>
    <row r="273" spans="2:9" ht="18">
      <c r="B273" s="103" t="s">
        <v>1077</v>
      </c>
      <c r="C273" s="47" t="s">
        <v>1325</v>
      </c>
      <c r="D273" s="47" t="s">
        <v>93</v>
      </c>
      <c r="E273" s="261">
        <v>46.9639499781212</v>
      </c>
      <c r="F273" s="263">
        <v>-65.745757143762702</v>
      </c>
      <c r="G273" s="47" t="s">
        <v>598</v>
      </c>
      <c r="H273" s="18"/>
      <c r="I273" s="18"/>
    </row>
    <row r="274" spans="2:9" ht="18">
      <c r="B274" s="103" t="s">
        <v>1021</v>
      </c>
      <c r="C274" s="47" t="s">
        <v>1326</v>
      </c>
      <c r="D274" s="47" t="s">
        <v>93</v>
      </c>
      <c r="E274" s="261">
        <v>46.633738359462498</v>
      </c>
      <c r="F274" s="263">
        <v>-64.874833885568506</v>
      </c>
      <c r="G274" s="47" t="s">
        <v>598</v>
      </c>
      <c r="H274" s="18"/>
      <c r="I274" s="18"/>
    </row>
    <row r="275" spans="2:9" ht="18">
      <c r="B275" s="103" t="s">
        <v>1018</v>
      </c>
      <c r="C275" s="47" t="s">
        <v>1327</v>
      </c>
      <c r="D275" s="47" t="s">
        <v>93</v>
      </c>
      <c r="E275" s="261">
        <v>46.679057430808903</v>
      </c>
      <c r="F275" s="263">
        <v>-64.882722003503901</v>
      </c>
      <c r="G275" s="47" t="s">
        <v>598</v>
      </c>
      <c r="H275" s="18"/>
      <c r="I275" s="18"/>
    </row>
    <row r="276" spans="2:9" ht="18">
      <c r="B276" s="103" t="s">
        <v>961</v>
      </c>
      <c r="C276" s="47" t="s">
        <v>1328</v>
      </c>
      <c r="D276" s="47" t="s">
        <v>93</v>
      </c>
      <c r="E276" s="261">
        <v>46.0132336262525</v>
      </c>
      <c r="F276" s="263">
        <v>-66.232873912758393</v>
      </c>
      <c r="G276" s="47" t="s">
        <v>598</v>
      </c>
      <c r="H276" s="18"/>
      <c r="I276" s="18"/>
    </row>
    <row r="277" spans="2:9" ht="18">
      <c r="B277" s="103" t="s">
        <v>1062</v>
      </c>
      <c r="C277" s="47" t="s">
        <v>1329</v>
      </c>
      <c r="D277" s="47" t="s">
        <v>93</v>
      </c>
      <c r="E277" s="261">
        <v>46.048996344886497</v>
      </c>
      <c r="F277" s="263">
        <v>-64.813058412135106</v>
      </c>
      <c r="G277" s="47" t="s">
        <v>598</v>
      </c>
      <c r="H277" s="18"/>
      <c r="I277" s="18"/>
    </row>
    <row r="278" spans="2:9" ht="18">
      <c r="B278" s="103" t="s">
        <v>946</v>
      </c>
      <c r="C278" s="47" t="s">
        <v>1330</v>
      </c>
      <c r="D278" s="47" t="s">
        <v>93</v>
      </c>
      <c r="E278" s="261">
        <v>46.743391237331899</v>
      </c>
      <c r="F278" s="263">
        <v>-65.410818483607898</v>
      </c>
      <c r="G278" s="47" t="s">
        <v>598</v>
      </c>
      <c r="H278" s="18"/>
      <c r="I278" s="18"/>
    </row>
    <row r="279" spans="2:9" ht="18">
      <c r="B279" s="103" t="s">
        <v>1090</v>
      </c>
      <c r="C279" s="47" t="s">
        <v>1446</v>
      </c>
      <c r="D279" s="47" t="s">
        <v>93</v>
      </c>
      <c r="E279" s="261">
        <v>45.2799199515864</v>
      </c>
      <c r="F279" s="261">
        <v>-66.023856623884498</v>
      </c>
      <c r="G279" s="47" t="s">
        <v>598</v>
      </c>
      <c r="H279" s="18"/>
      <c r="I279" s="18"/>
    </row>
    <row r="280" spans="2:9" ht="18">
      <c r="B280" s="103" t="s">
        <v>935</v>
      </c>
      <c r="C280" s="47" t="s">
        <v>1331</v>
      </c>
      <c r="D280" s="47" t="s">
        <v>93</v>
      </c>
      <c r="E280" s="261">
        <v>45.393561635327103</v>
      </c>
      <c r="F280" s="261">
        <v>-65.973103919117904</v>
      </c>
      <c r="G280" s="47" t="s">
        <v>598</v>
      </c>
      <c r="H280" s="18"/>
      <c r="I280" s="18"/>
    </row>
    <row r="281" spans="2:9" ht="18">
      <c r="B281" s="103" t="s">
        <v>1005</v>
      </c>
      <c r="C281" s="47" t="s">
        <v>1332</v>
      </c>
      <c r="D281" s="47" t="s">
        <v>93</v>
      </c>
      <c r="E281" s="261">
        <v>45.804998848631101</v>
      </c>
      <c r="F281" s="263">
        <v>-66.632669310368598</v>
      </c>
      <c r="G281" s="47" t="s">
        <v>598</v>
      </c>
      <c r="H281" s="18"/>
      <c r="I281" s="18"/>
    </row>
    <row r="282" spans="2:9" ht="18">
      <c r="B282" s="103" t="s">
        <v>1026</v>
      </c>
      <c r="C282" s="47" t="s">
        <v>1333</v>
      </c>
      <c r="D282" s="47" t="s">
        <v>93</v>
      </c>
      <c r="E282" s="261">
        <v>46.110243265940099</v>
      </c>
      <c r="F282" s="263">
        <v>-64.848708388038204</v>
      </c>
      <c r="G282" s="47" t="s">
        <v>598</v>
      </c>
      <c r="H282" s="18"/>
      <c r="I282" s="18"/>
    </row>
    <row r="283" spans="2:9" ht="18">
      <c r="B283" s="103" t="s">
        <v>1009</v>
      </c>
      <c r="C283" s="47" t="s">
        <v>1334</v>
      </c>
      <c r="D283" s="47" t="s">
        <v>93</v>
      </c>
      <c r="E283" s="261">
        <v>45.904112494335997</v>
      </c>
      <c r="F283" s="263">
        <v>-64.381596833471804</v>
      </c>
      <c r="G283" s="47" t="s">
        <v>598</v>
      </c>
      <c r="H283" s="18"/>
      <c r="I283" s="18"/>
    </row>
    <row r="284" spans="2:9" ht="18">
      <c r="B284" s="103" t="s">
        <v>930</v>
      </c>
      <c r="C284" s="47" t="s">
        <v>1335</v>
      </c>
      <c r="D284" s="47" t="s">
        <v>93</v>
      </c>
      <c r="E284" s="261">
        <v>46.007771488083797</v>
      </c>
      <c r="F284" s="263">
        <v>-65.028890767259298</v>
      </c>
      <c r="G284" s="47" t="s">
        <v>598</v>
      </c>
      <c r="H284" s="18"/>
      <c r="I284" s="18"/>
    </row>
    <row r="285" spans="2:9" ht="18">
      <c r="B285" s="103" t="s">
        <v>1134</v>
      </c>
      <c r="C285" s="47" t="s">
        <v>1426</v>
      </c>
      <c r="D285" s="47" t="s">
        <v>93</v>
      </c>
      <c r="E285" s="261">
        <v>46.020953645234599</v>
      </c>
      <c r="F285" s="263">
        <v>-64.996337060230104</v>
      </c>
      <c r="G285" s="47" t="s">
        <v>598</v>
      </c>
      <c r="H285" s="18"/>
      <c r="I285" s="18"/>
    </row>
    <row r="286" spans="2:9" ht="18">
      <c r="B286" s="103" t="s">
        <v>1024</v>
      </c>
      <c r="C286" s="47" t="s">
        <v>1447</v>
      </c>
      <c r="D286" s="47" t="s">
        <v>93</v>
      </c>
      <c r="E286" s="261">
        <v>46.1764443916516</v>
      </c>
      <c r="F286" s="263">
        <v>-64.588182161198603</v>
      </c>
      <c r="G286" s="47" t="s">
        <v>598</v>
      </c>
      <c r="H286" s="18"/>
      <c r="I286" s="18"/>
    </row>
    <row r="287" spans="2:9" ht="18">
      <c r="B287" s="103" t="s">
        <v>972</v>
      </c>
      <c r="C287" s="47" t="s">
        <v>1336</v>
      </c>
      <c r="D287" s="47" t="s">
        <v>93</v>
      </c>
      <c r="E287" s="261">
        <v>46.157644823437202</v>
      </c>
      <c r="F287" s="263">
        <v>-64.563288733254097</v>
      </c>
      <c r="G287" s="47" t="s">
        <v>598</v>
      </c>
      <c r="H287" s="18"/>
      <c r="I287" s="18"/>
    </row>
    <row r="288" spans="2:9" ht="18">
      <c r="B288" s="103" t="s">
        <v>1043</v>
      </c>
      <c r="C288" s="47" t="s">
        <v>1337</v>
      </c>
      <c r="D288" s="47" t="s">
        <v>93</v>
      </c>
      <c r="E288" s="261">
        <v>46.223465377756803</v>
      </c>
      <c r="F288" s="261">
        <v>-64.482880620684497</v>
      </c>
      <c r="G288" s="47" t="s">
        <v>598</v>
      </c>
      <c r="H288" s="18"/>
      <c r="I288" s="18"/>
    </row>
    <row r="289" spans="2:9" ht="18">
      <c r="B289" s="103" t="s">
        <v>1099</v>
      </c>
      <c r="C289" s="47" t="s">
        <v>1338</v>
      </c>
      <c r="D289" s="47" t="s">
        <v>93</v>
      </c>
      <c r="E289" s="261">
        <v>46.210007411744698</v>
      </c>
      <c r="F289" s="261">
        <v>-64.532467514738499</v>
      </c>
      <c r="G289" s="47" t="s">
        <v>598</v>
      </c>
      <c r="H289" s="18"/>
      <c r="I289" s="18"/>
    </row>
    <row r="290" spans="2:9" ht="18">
      <c r="B290" s="103" t="s">
        <v>1095</v>
      </c>
      <c r="C290" s="47" t="s">
        <v>1339</v>
      </c>
      <c r="D290" s="47" t="s">
        <v>93</v>
      </c>
      <c r="E290" s="261">
        <v>47.488412569829897</v>
      </c>
      <c r="F290" s="263">
        <v>-64.923265376807805</v>
      </c>
      <c r="G290" s="47" t="s">
        <v>598</v>
      </c>
      <c r="H290" s="18"/>
      <c r="I290" s="18"/>
    </row>
    <row r="291" spans="2:9" ht="18">
      <c r="B291" s="103" t="s">
        <v>1084</v>
      </c>
      <c r="C291" s="47" t="s">
        <v>1340</v>
      </c>
      <c r="D291" s="47" t="s">
        <v>93</v>
      </c>
      <c r="E291" s="261">
        <v>47.742831443830397</v>
      </c>
      <c r="F291" s="263">
        <v>-64.716952970812301</v>
      </c>
      <c r="G291" s="47" t="s">
        <v>598</v>
      </c>
      <c r="H291" s="18"/>
      <c r="I291" s="18"/>
    </row>
    <row r="292" spans="2:9" ht="18">
      <c r="B292" s="103" t="s">
        <v>190</v>
      </c>
      <c r="C292" s="47" t="s">
        <v>1388</v>
      </c>
      <c r="D292" s="47" t="s">
        <v>93</v>
      </c>
      <c r="E292" s="261">
        <v>47.265986900000001</v>
      </c>
      <c r="F292" s="263">
        <v>-67.243427100000005</v>
      </c>
      <c r="G292" s="47" t="s">
        <v>598</v>
      </c>
      <c r="H292" s="18"/>
      <c r="I292" s="18"/>
    </row>
    <row r="293" spans="2:9" ht="18">
      <c r="B293" s="103" t="s">
        <v>951</v>
      </c>
      <c r="C293" s="47" t="s">
        <v>1341</v>
      </c>
      <c r="D293" s="47" t="s">
        <v>93</v>
      </c>
      <c r="E293" s="261">
        <v>47.613920686980698</v>
      </c>
      <c r="F293" s="263">
        <v>-64.892104671841807</v>
      </c>
      <c r="G293" s="47" t="s">
        <v>598</v>
      </c>
      <c r="H293" s="18"/>
      <c r="I293" s="18"/>
    </row>
    <row r="294" spans="2:9" ht="18">
      <c r="B294" s="103" t="s">
        <v>975</v>
      </c>
      <c r="C294" s="47" t="s">
        <v>1342</v>
      </c>
      <c r="D294" s="47" t="s">
        <v>93</v>
      </c>
      <c r="E294" s="261">
        <v>47.604900566122197</v>
      </c>
      <c r="F294" s="263">
        <v>-65.645750842645498</v>
      </c>
      <c r="G294" s="47" t="s">
        <v>598</v>
      </c>
      <c r="H294" s="18"/>
      <c r="I294" s="18"/>
    </row>
    <row r="295" spans="2:9" ht="18">
      <c r="B295" s="103" t="s">
        <v>940</v>
      </c>
      <c r="C295" s="47" t="s">
        <v>1343</v>
      </c>
      <c r="D295" s="47" t="s">
        <v>93</v>
      </c>
      <c r="E295" s="261">
        <v>45.661762893905497</v>
      </c>
      <c r="F295" s="261">
        <v>-65.787743632249502</v>
      </c>
      <c r="G295" s="47" t="s">
        <v>598</v>
      </c>
      <c r="H295" s="18"/>
      <c r="I295" s="18"/>
    </row>
    <row r="296" spans="2:9" ht="18">
      <c r="B296" s="103" t="s">
        <v>1129</v>
      </c>
      <c r="C296" s="47" t="s">
        <v>1427</v>
      </c>
      <c r="D296" s="47" t="s">
        <v>93</v>
      </c>
      <c r="E296" s="261">
        <v>47.166478083007</v>
      </c>
      <c r="F296" s="263">
        <v>-67.730450066565496</v>
      </c>
      <c r="G296" s="47" t="s">
        <v>598</v>
      </c>
      <c r="H296" s="18"/>
      <c r="I296" s="18"/>
    </row>
    <row r="297" spans="2:9" ht="18">
      <c r="B297" s="103" t="s">
        <v>1057</v>
      </c>
      <c r="C297" s="47" t="s">
        <v>1344</v>
      </c>
      <c r="D297" s="47" t="s">
        <v>93</v>
      </c>
      <c r="E297" s="261">
        <v>45.086129609760697</v>
      </c>
      <c r="F297" s="263">
        <v>-67.0660649930213</v>
      </c>
      <c r="G297" s="47" t="s">
        <v>598</v>
      </c>
      <c r="H297" s="18"/>
      <c r="I297" s="18"/>
    </row>
    <row r="298" spans="2:9" ht="18">
      <c r="B298" s="103" t="s">
        <v>1102</v>
      </c>
      <c r="C298" s="47" t="s">
        <v>1345</v>
      </c>
      <c r="D298" s="47" t="s">
        <v>93</v>
      </c>
      <c r="E298" s="261">
        <v>46.0129023609665</v>
      </c>
      <c r="F298" s="263">
        <v>-67.222988421276696</v>
      </c>
      <c r="G298" s="47" t="s">
        <v>598</v>
      </c>
      <c r="H298" s="18"/>
      <c r="I298" s="18"/>
    </row>
    <row r="299" spans="2:9" ht="18">
      <c r="B299" s="103" t="s">
        <v>968</v>
      </c>
      <c r="C299" s="47" t="s">
        <v>1346</v>
      </c>
      <c r="D299" s="47" t="s">
        <v>93</v>
      </c>
      <c r="E299" s="261">
        <v>47.359180480040301</v>
      </c>
      <c r="F299" s="263">
        <v>-68.220728121209902</v>
      </c>
      <c r="G299" s="47" t="s">
        <v>598</v>
      </c>
      <c r="H299" s="18"/>
      <c r="I299" s="18"/>
    </row>
    <row r="300" spans="2:9" ht="18">
      <c r="B300" s="19" t="s">
        <v>374</v>
      </c>
      <c r="C300" s="47" t="s">
        <v>1389</v>
      </c>
      <c r="D300" s="47" t="s">
        <v>93</v>
      </c>
      <c r="E300" s="261">
        <v>45.128286500000002</v>
      </c>
      <c r="F300" s="263">
        <v>-66.827915099999998</v>
      </c>
      <c r="G300" s="47" t="s">
        <v>598</v>
      </c>
      <c r="H300" s="18"/>
      <c r="I300" s="18"/>
    </row>
    <row r="301" spans="2:9" ht="18">
      <c r="B301" s="103" t="s">
        <v>955</v>
      </c>
      <c r="C301" s="47" t="s">
        <v>1347</v>
      </c>
      <c r="D301" s="47" t="s">
        <v>93</v>
      </c>
      <c r="E301" s="261">
        <v>45.121330429328097</v>
      </c>
      <c r="F301" s="263">
        <v>-66.824378375036403</v>
      </c>
      <c r="G301" s="47" t="s">
        <v>598</v>
      </c>
      <c r="H301" s="18"/>
      <c r="I301" s="18"/>
    </row>
    <row r="302" spans="2:9" ht="18">
      <c r="B302" s="103" t="s">
        <v>1460</v>
      </c>
      <c r="C302" s="47" t="s">
        <v>1461</v>
      </c>
      <c r="D302" s="47" t="s">
        <v>93</v>
      </c>
      <c r="E302" s="261">
        <v>46.0882578293579</v>
      </c>
      <c r="F302" s="263">
        <v>-64.796649828309398</v>
      </c>
      <c r="G302" s="47" t="s">
        <v>598</v>
      </c>
      <c r="H302" s="18"/>
      <c r="I302" s="18"/>
    </row>
    <row r="303" spans="2:9" ht="18">
      <c r="B303" s="103" t="s">
        <v>998</v>
      </c>
      <c r="C303" s="47" t="s">
        <v>1349</v>
      </c>
      <c r="D303" s="47" t="s">
        <v>93</v>
      </c>
      <c r="E303" s="261">
        <v>47.763144594846601</v>
      </c>
      <c r="F303" s="263">
        <v>-65.197397700564807</v>
      </c>
      <c r="G303" s="47" t="s">
        <v>598</v>
      </c>
      <c r="H303" s="18"/>
      <c r="I303" s="18"/>
    </row>
    <row r="304" spans="2:9" ht="18">
      <c r="B304" s="103" t="s">
        <v>1076</v>
      </c>
      <c r="C304" s="47" t="s">
        <v>1448</v>
      </c>
      <c r="D304" s="47" t="s">
        <v>93</v>
      </c>
      <c r="E304" s="261">
        <v>47.192709342749403</v>
      </c>
      <c r="F304" s="263">
        <v>-67.930548746651397</v>
      </c>
      <c r="G304" s="47" t="s">
        <v>598</v>
      </c>
      <c r="H304" s="18"/>
      <c r="I304" s="18"/>
    </row>
    <row r="305" spans="2:9" ht="18">
      <c r="B305" s="103" t="s">
        <v>1140</v>
      </c>
      <c r="C305" s="47" t="s">
        <v>1428</v>
      </c>
      <c r="D305" s="47" t="s">
        <v>93</v>
      </c>
      <c r="E305" s="261">
        <v>47.173246922242001</v>
      </c>
      <c r="F305" s="263">
        <v>-67.909448422931604</v>
      </c>
      <c r="G305" s="47" t="s">
        <v>598</v>
      </c>
      <c r="H305" s="18"/>
      <c r="I305" s="262"/>
    </row>
    <row r="306" spans="2:9" ht="18">
      <c r="B306" s="103" t="s">
        <v>1017</v>
      </c>
      <c r="C306" s="47" t="s">
        <v>1350</v>
      </c>
      <c r="D306" s="47" t="s">
        <v>93</v>
      </c>
      <c r="E306" s="261">
        <v>46.729839354268499</v>
      </c>
      <c r="F306" s="263">
        <v>-64.979407584364196</v>
      </c>
      <c r="G306" s="47" t="s">
        <v>598</v>
      </c>
      <c r="H306" s="18"/>
      <c r="I306" s="18"/>
    </row>
    <row r="307" spans="2:9" ht="18">
      <c r="B307" s="103" t="s">
        <v>1033</v>
      </c>
      <c r="C307" s="47" t="s">
        <v>1351</v>
      </c>
      <c r="D307" s="47" t="s">
        <v>93</v>
      </c>
      <c r="E307" s="261">
        <v>46.4119754018514</v>
      </c>
      <c r="F307" s="263">
        <v>-64.856755652424397</v>
      </c>
      <c r="G307" s="47" t="s">
        <v>598</v>
      </c>
      <c r="H307" s="18"/>
      <c r="I307" s="18"/>
    </row>
    <row r="308" spans="2:9" ht="18">
      <c r="B308" s="103" t="s">
        <v>978</v>
      </c>
      <c r="C308" s="47" t="s">
        <v>1352</v>
      </c>
      <c r="D308" s="47" t="s">
        <v>93</v>
      </c>
      <c r="E308" s="261">
        <v>47.513497580363598</v>
      </c>
      <c r="F308" s="263">
        <v>-67.401212265311798</v>
      </c>
      <c r="G308" s="47" t="s">
        <v>598</v>
      </c>
      <c r="H308" s="18"/>
      <c r="I308" s="18"/>
    </row>
    <row r="309" spans="2:9" ht="18">
      <c r="B309" s="103" t="s">
        <v>997</v>
      </c>
      <c r="C309" s="47" t="s">
        <v>1353</v>
      </c>
      <c r="D309" s="47" t="s">
        <v>93</v>
      </c>
      <c r="E309" s="261">
        <v>45.199278606692403</v>
      </c>
      <c r="F309" s="263">
        <v>-67.283912049727704</v>
      </c>
      <c r="G309" s="47" t="s">
        <v>598</v>
      </c>
      <c r="H309" s="18"/>
      <c r="I309" s="18"/>
    </row>
    <row r="310" spans="2:9" ht="18">
      <c r="B310" s="103" t="s">
        <v>224</v>
      </c>
      <c r="C310" s="47" t="s">
        <v>1390</v>
      </c>
      <c r="D310" s="47" t="s">
        <v>93</v>
      </c>
      <c r="E310" s="261">
        <v>47.626322000000002</v>
      </c>
      <c r="F310" s="263">
        <v>-64.953989000000007</v>
      </c>
      <c r="G310" s="47" t="s">
        <v>598</v>
      </c>
      <c r="H310" s="18"/>
      <c r="I310" s="18"/>
    </row>
    <row r="311" spans="2:9" ht="18">
      <c r="B311" s="103" t="s">
        <v>1074</v>
      </c>
      <c r="C311" s="47" t="s">
        <v>1449</v>
      </c>
      <c r="D311" s="47" t="s">
        <v>93</v>
      </c>
      <c r="E311" s="261">
        <v>47.4740125536552</v>
      </c>
      <c r="F311" s="263">
        <v>-65.761563115702003</v>
      </c>
      <c r="G311" s="47" t="s">
        <v>598</v>
      </c>
      <c r="H311" s="18"/>
      <c r="I311" s="18"/>
    </row>
    <row r="312" spans="2:9" ht="18">
      <c r="B312" s="103" t="s">
        <v>1061</v>
      </c>
      <c r="C312" s="47" t="s">
        <v>1354</v>
      </c>
      <c r="D312" s="47" t="s">
        <v>93</v>
      </c>
      <c r="E312" s="261">
        <v>47.9921021016456</v>
      </c>
      <c r="F312" s="263">
        <v>-66.666290173752898</v>
      </c>
      <c r="G312" s="47" t="s">
        <v>598</v>
      </c>
      <c r="H312" s="18"/>
      <c r="I312" s="18"/>
    </row>
    <row r="313" spans="2:9" ht="18">
      <c r="B313" s="103" t="s">
        <v>1104</v>
      </c>
      <c r="C313" s="47" t="s">
        <v>1355</v>
      </c>
      <c r="D313" s="47" t="s">
        <v>93</v>
      </c>
      <c r="E313" s="261">
        <v>45.713708004874697</v>
      </c>
      <c r="F313" s="261">
        <v>-65.470294976197096</v>
      </c>
      <c r="G313" s="47" t="s">
        <v>598</v>
      </c>
      <c r="H313" s="18"/>
      <c r="I313" s="18"/>
    </row>
    <row r="314" spans="2:9" ht="18">
      <c r="B314" s="103" t="s">
        <v>932</v>
      </c>
      <c r="C314" s="47" t="s">
        <v>1356</v>
      </c>
      <c r="D314" s="47" t="s">
        <v>93</v>
      </c>
      <c r="E314" s="261">
        <v>45.7334237646348</v>
      </c>
      <c r="F314" s="261">
        <v>-65.502685564176005</v>
      </c>
      <c r="G314" s="47" t="s">
        <v>598</v>
      </c>
      <c r="H314" s="18"/>
      <c r="I314" s="18"/>
    </row>
    <row r="315" spans="2:9" ht="18">
      <c r="B315" s="103" t="s">
        <v>933</v>
      </c>
      <c r="C315" s="47" t="s">
        <v>1357</v>
      </c>
      <c r="D315" s="47" t="s">
        <v>93</v>
      </c>
      <c r="E315" s="261">
        <v>45.724024192648301</v>
      </c>
      <c r="F315" s="261">
        <v>-65.524746139836694</v>
      </c>
      <c r="G315" s="47" t="s">
        <v>598</v>
      </c>
      <c r="H315" s="18"/>
      <c r="I315" s="18"/>
    </row>
    <row r="316" spans="2:9" ht="18">
      <c r="B316" s="103" t="s">
        <v>944</v>
      </c>
      <c r="C316" s="47" t="s">
        <v>1358</v>
      </c>
      <c r="D316" s="47" t="s">
        <v>93</v>
      </c>
      <c r="E316" s="261">
        <v>46.994950097062301</v>
      </c>
      <c r="F316" s="263">
        <v>-65.579027001087297</v>
      </c>
      <c r="G316" s="47" t="s">
        <v>598</v>
      </c>
      <c r="H316" s="18"/>
      <c r="I316" s="18"/>
    </row>
    <row r="317" spans="2:9" ht="18">
      <c r="B317" s="103" t="s">
        <v>984</v>
      </c>
      <c r="C317" s="47" t="s">
        <v>1359</v>
      </c>
      <c r="D317" s="47" t="s">
        <v>93</v>
      </c>
      <c r="E317" s="261">
        <v>46.183212169762498</v>
      </c>
      <c r="F317" s="263">
        <v>-66.620554737342999</v>
      </c>
      <c r="G317" s="47" t="s">
        <v>598</v>
      </c>
      <c r="H317" s="18"/>
      <c r="I317" s="18"/>
    </row>
    <row r="318" spans="2:9" ht="18">
      <c r="B318" s="103" t="s">
        <v>1016</v>
      </c>
      <c r="C318" s="47" t="s">
        <v>1360</v>
      </c>
      <c r="D318" s="47" t="s">
        <v>93</v>
      </c>
      <c r="E318" s="261">
        <v>47.648844260462198</v>
      </c>
      <c r="F318" s="263">
        <v>-65.728943109901905</v>
      </c>
      <c r="G318" s="47" t="s">
        <v>598</v>
      </c>
      <c r="H318" s="18"/>
      <c r="I318" s="18"/>
    </row>
    <row r="319" spans="2:9" ht="18">
      <c r="B319" s="103" t="s">
        <v>958</v>
      </c>
      <c r="C319" s="47" t="s">
        <v>1361</v>
      </c>
      <c r="D319" s="47" t="s">
        <v>93</v>
      </c>
      <c r="E319" s="261">
        <v>45.6566612424228</v>
      </c>
      <c r="F319" s="263">
        <v>-67.1315091086866</v>
      </c>
      <c r="G319" s="47" t="s">
        <v>598</v>
      </c>
      <c r="H319" s="18"/>
      <c r="I319" s="18"/>
    </row>
    <row r="320" spans="2:9" ht="18">
      <c r="B320" s="103" t="s">
        <v>1467</v>
      </c>
      <c r="C320" s="47" t="s">
        <v>1468</v>
      </c>
      <c r="D320" s="47" t="s">
        <v>93</v>
      </c>
      <c r="E320" s="261">
        <v>46.809749799999999</v>
      </c>
      <c r="F320" s="263">
        <v>-67.766485299999999</v>
      </c>
      <c r="G320" s="47" t="s">
        <v>598</v>
      </c>
      <c r="H320" s="18"/>
      <c r="I320" s="18"/>
    </row>
    <row r="321" spans="2:9" ht="18">
      <c r="B321" s="103" t="s">
        <v>181</v>
      </c>
      <c r="C321" s="47" t="s">
        <v>1391</v>
      </c>
      <c r="D321" s="47" t="s">
        <v>93</v>
      </c>
      <c r="E321" s="261">
        <v>46.780139200000001</v>
      </c>
      <c r="F321" s="263">
        <v>-67.695258100000004</v>
      </c>
      <c r="G321" s="47" t="s">
        <v>598</v>
      </c>
      <c r="H321" s="18"/>
      <c r="I321" s="18"/>
    </row>
    <row r="322" spans="2:9" ht="18">
      <c r="B322" s="103" t="s">
        <v>982</v>
      </c>
      <c r="C322" s="47" t="s">
        <v>1362</v>
      </c>
      <c r="D322" s="47" t="s">
        <v>93</v>
      </c>
      <c r="E322" s="261">
        <v>46.778831275960897</v>
      </c>
      <c r="F322" s="263">
        <v>-67.6935838965058</v>
      </c>
      <c r="G322" s="47" t="s">
        <v>598</v>
      </c>
      <c r="H322" s="18"/>
      <c r="I322" s="18"/>
    </row>
    <row r="323" spans="2:9" ht="18">
      <c r="B323" s="103" t="s">
        <v>1151</v>
      </c>
      <c r="C323" s="98" t="s">
        <v>1363</v>
      </c>
      <c r="D323" s="47" t="s">
        <v>93</v>
      </c>
      <c r="E323" s="261">
        <v>47.513559322423397</v>
      </c>
      <c r="F323" s="263">
        <v>-64.934248425452395</v>
      </c>
      <c r="G323" s="47" t="s">
        <v>598</v>
      </c>
      <c r="H323" s="18"/>
      <c r="I323" s="18"/>
    </row>
    <row r="324" spans="2:9" ht="18">
      <c r="B324" s="103" t="s">
        <v>953</v>
      </c>
      <c r="C324" s="47" t="s">
        <v>1364</v>
      </c>
      <c r="D324" s="47" t="s">
        <v>93</v>
      </c>
      <c r="E324" s="261">
        <v>46.023373535711698</v>
      </c>
      <c r="F324" s="263">
        <v>-64.8681747755017</v>
      </c>
      <c r="G324" s="47" t="s">
        <v>598</v>
      </c>
      <c r="H324" s="18"/>
      <c r="I324" s="18"/>
    </row>
    <row r="325" spans="2:9" ht="18">
      <c r="B325" s="103" t="s">
        <v>995</v>
      </c>
      <c r="C325" s="47" t="s">
        <v>1365</v>
      </c>
      <c r="D325" s="47" t="s">
        <v>93</v>
      </c>
      <c r="E325" s="261">
        <v>45.274048431168502</v>
      </c>
      <c r="F325" s="261">
        <v>-66.066512131309196</v>
      </c>
      <c r="G325" s="47" t="s">
        <v>598</v>
      </c>
      <c r="H325" s="18"/>
      <c r="I325" s="18"/>
    </row>
    <row r="326" spans="2:9" ht="18">
      <c r="B326" s="103" t="s">
        <v>1027</v>
      </c>
      <c r="C326" s="47" t="s">
        <v>1366</v>
      </c>
      <c r="D326" s="47" t="s">
        <v>93</v>
      </c>
      <c r="E326" s="261">
        <v>45.908293529557803</v>
      </c>
      <c r="F326" s="263">
        <v>-66.612595016598206</v>
      </c>
      <c r="G326" s="47" t="s">
        <v>598</v>
      </c>
      <c r="H326" s="18"/>
      <c r="I326" s="18"/>
    </row>
    <row r="327" spans="2:9" ht="18">
      <c r="B327" s="103" t="s">
        <v>1064</v>
      </c>
      <c r="C327" s="47" t="s">
        <v>1367</v>
      </c>
      <c r="D327" s="47" t="s">
        <v>93</v>
      </c>
      <c r="E327" s="261">
        <v>47.314155221517296</v>
      </c>
      <c r="F327" s="263">
        <v>-67.707808590345806</v>
      </c>
      <c r="G327" s="47" t="s">
        <v>598</v>
      </c>
      <c r="H327" s="18"/>
      <c r="I327" s="18"/>
    </row>
    <row r="328" spans="2:9" ht="18">
      <c r="B328" s="103" t="s">
        <v>1141</v>
      </c>
      <c r="C328" s="47" t="s">
        <v>1368</v>
      </c>
      <c r="D328" s="47" t="s">
        <v>93</v>
      </c>
      <c r="E328" s="261">
        <v>45.815874805578098</v>
      </c>
      <c r="F328" s="263">
        <v>-66.632385357535199</v>
      </c>
      <c r="G328" s="47" t="s">
        <v>598</v>
      </c>
      <c r="H328" s="18"/>
      <c r="I328" s="18"/>
    </row>
    <row r="329" spans="2:9" ht="18">
      <c r="B329" s="103" t="s">
        <v>954</v>
      </c>
      <c r="C329" s="47" t="s">
        <v>1369</v>
      </c>
      <c r="D329" s="47" t="s">
        <v>93</v>
      </c>
      <c r="E329" s="261">
        <v>45.944396579040301</v>
      </c>
      <c r="F329" s="263">
        <v>-64.714010445251603</v>
      </c>
      <c r="G329" s="47" t="s">
        <v>598</v>
      </c>
      <c r="H329" s="18"/>
      <c r="I329" s="18"/>
    </row>
    <row r="330" spans="2:9" ht="18">
      <c r="B330" s="103" t="s">
        <v>1063</v>
      </c>
      <c r="C330" s="47" t="s">
        <v>1370</v>
      </c>
      <c r="D330" s="47" t="s">
        <v>93</v>
      </c>
      <c r="E330" s="261">
        <v>47.628458875424798</v>
      </c>
      <c r="F330" s="263">
        <v>-65.676837137598596</v>
      </c>
      <c r="G330" s="47" t="s">
        <v>598</v>
      </c>
      <c r="H330" s="18"/>
      <c r="I330" s="18"/>
    </row>
    <row r="331" spans="2:9" ht="18">
      <c r="B331" s="103" t="s">
        <v>1022</v>
      </c>
      <c r="C331" s="47" t="s">
        <v>1371</v>
      </c>
      <c r="D331" s="47" t="s">
        <v>93</v>
      </c>
      <c r="E331" s="261">
        <v>46.468537930929699</v>
      </c>
      <c r="F331" s="263">
        <v>-64.7370043237906</v>
      </c>
      <c r="G331" s="47" t="s">
        <v>598</v>
      </c>
      <c r="H331" s="18"/>
      <c r="I331" s="18"/>
    </row>
    <row r="332" spans="2:9" ht="18">
      <c r="B332" s="103" t="s">
        <v>1041</v>
      </c>
      <c r="C332" s="47" t="s">
        <v>1372</v>
      </c>
      <c r="D332" s="47" t="s">
        <v>93</v>
      </c>
      <c r="E332" s="261">
        <v>45.359048354062899</v>
      </c>
      <c r="F332" s="261">
        <v>-66.240879221997503</v>
      </c>
      <c r="G332" s="47" t="s">
        <v>598</v>
      </c>
      <c r="H332" s="18"/>
      <c r="I332" s="18"/>
    </row>
    <row r="333" spans="2:9" ht="18">
      <c r="B333" s="103" t="s">
        <v>963</v>
      </c>
      <c r="C333" s="251" t="s">
        <v>1348</v>
      </c>
      <c r="D333" s="47" t="s">
        <v>93</v>
      </c>
      <c r="E333" s="261">
        <v>46.09767800905</v>
      </c>
      <c r="F333" s="263">
        <v>-64.804755451400794</v>
      </c>
      <c r="G333" s="47" t="s">
        <v>598</v>
      </c>
      <c r="H333" s="18"/>
      <c r="I333" s="18"/>
    </row>
    <row r="334" spans="2:9" ht="18">
      <c r="B334" s="103" t="s">
        <v>1038</v>
      </c>
      <c r="C334" s="47" t="s">
        <v>1373</v>
      </c>
      <c r="D334" s="47" t="s">
        <v>93</v>
      </c>
      <c r="E334" s="261">
        <v>46.1418702039403</v>
      </c>
      <c r="F334" s="263">
        <v>-67.581146094315699</v>
      </c>
      <c r="G334" s="47" t="s">
        <v>598</v>
      </c>
      <c r="H334" s="18"/>
      <c r="I334" s="18"/>
    </row>
    <row r="335" spans="2:9" ht="18">
      <c r="B335" s="103" t="s">
        <v>1122</v>
      </c>
      <c r="C335" s="47" t="s">
        <v>1429</v>
      </c>
      <c r="D335" s="47" t="s">
        <v>93</v>
      </c>
      <c r="E335" s="261">
        <v>46.249059681065098</v>
      </c>
      <c r="F335" s="261">
        <v>-67.607222106780995</v>
      </c>
      <c r="G335" s="47" t="s">
        <v>598</v>
      </c>
      <c r="H335" s="18"/>
      <c r="I335" s="18"/>
    </row>
    <row r="336" spans="2:9">
      <c r="B336"/>
      <c r="C336"/>
      <c r="D336"/>
      <c r="E336" s="158"/>
      <c r="F336" s="158"/>
    </row>
    <row r="337" spans="1:11">
      <c r="B337"/>
      <c r="C337"/>
      <c r="D337"/>
    </row>
    <row r="338" spans="1:11" ht="18">
      <c r="A338" s="253" t="s">
        <v>842</v>
      </c>
      <c r="B338"/>
      <c r="C338"/>
      <c r="D338" s="158"/>
      <c r="E338" s="158"/>
      <c r="F338" s="158"/>
      <c r="K338" s="229"/>
    </row>
    <row r="339" spans="1:11" ht="18">
      <c r="A339" s="2" t="s">
        <v>1432</v>
      </c>
      <c r="B339"/>
      <c r="C339"/>
      <c r="D339" s="158"/>
      <c r="E339" s="158"/>
      <c r="F339" s="158"/>
      <c r="K339" s="229"/>
    </row>
    <row r="340" spans="1:11" ht="18">
      <c r="A340" s="2" t="s">
        <v>1433</v>
      </c>
      <c r="B340"/>
      <c r="C340"/>
      <c r="D340" s="158"/>
      <c r="E340" s="158"/>
      <c r="F340" s="158"/>
      <c r="K340" s="229"/>
    </row>
    <row r="341" spans="1:11" ht="18">
      <c r="A341" s="2" t="s">
        <v>1434</v>
      </c>
      <c r="B341"/>
      <c r="C341"/>
      <c r="D341" s="158"/>
      <c r="E341" s="158"/>
      <c r="F341" s="158"/>
      <c r="K341" s="229"/>
    </row>
    <row r="342" spans="1:11" ht="18">
      <c r="A342" s="2" t="s">
        <v>1435</v>
      </c>
      <c r="B342"/>
      <c r="C342"/>
      <c r="D342" s="158"/>
      <c r="E342" s="158"/>
      <c r="F342" s="158"/>
      <c r="K342" s="229"/>
    </row>
    <row r="343" spans="1:11" ht="18">
      <c r="A343" s="2" t="s">
        <v>1436</v>
      </c>
      <c r="B343"/>
      <c r="C343"/>
      <c r="D343" s="158"/>
      <c r="E343" s="158"/>
      <c r="F343" s="158"/>
      <c r="K343" s="229"/>
    </row>
    <row r="344" spans="1:11" ht="18">
      <c r="A344" s="2" t="s">
        <v>1437</v>
      </c>
      <c r="B344"/>
      <c r="C344"/>
      <c r="D344" s="158"/>
      <c r="E344" s="158"/>
      <c r="F344" s="158"/>
      <c r="K344" s="229"/>
    </row>
    <row r="345" spans="1:11" ht="18">
      <c r="A345" s="2" t="s">
        <v>849</v>
      </c>
      <c r="B345"/>
      <c r="C345"/>
      <c r="D345" s="158"/>
      <c r="E345" s="158"/>
      <c r="F345" s="158"/>
      <c r="K345" s="229"/>
    </row>
    <row r="346" spans="1:11" ht="18">
      <c r="A346" s="2" t="s">
        <v>1144</v>
      </c>
      <c r="B346"/>
      <c r="C346"/>
      <c r="D346" s="158"/>
      <c r="E346" s="158"/>
      <c r="F346" s="158"/>
      <c r="K346" s="229"/>
    </row>
    <row r="347" spans="1:11" ht="18">
      <c r="A347" s="2" t="s">
        <v>1438</v>
      </c>
      <c r="B347"/>
      <c r="C347"/>
      <c r="D347" s="158"/>
      <c r="E347" s="158"/>
      <c r="F347" s="158"/>
      <c r="K347" s="229"/>
    </row>
    <row r="348" spans="1:11">
      <c r="B348"/>
      <c r="C348"/>
      <c r="D348"/>
      <c r="E348" s="158"/>
      <c r="F348" s="158"/>
    </row>
    <row r="349" spans="1:11">
      <c r="B349"/>
      <c r="C349"/>
      <c r="D349"/>
      <c r="E349" s="158"/>
      <c r="F349" s="158"/>
    </row>
    <row r="350" spans="1:11">
      <c r="B350"/>
      <c r="C350"/>
      <c r="D350"/>
      <c r="E350" s="158"/>
      <c r="F350" s="158"/>
    </row>
    <row r="351" spans="1:11">
      <c r="B351"/>
      <c r="C351"/>
      <c r="D351"/>
      <c r="E351" s="158"/>
      <c r="F351" s="158"/>
    </row>
    <row r="352" spans="1:11">
      <c r="B352"/>
      <c r="C352"/>
      <c r="D352"/>
      <c r="E352" s="158"/>
      <c r="F352" s="158"/>
    </row>
    <row r="353" spans="2:6">
      <c r="B353"/>
      <c r="C353"/>
      <c r="D353"/>
      <c r="E353" s="158"/>
      <c r="F353" s="158"/>
    </row>
    <row r="354" spans="2:6">
      <c r="B354"/>
      <c r="C354"/>
      <c r="D354"/>
      <c r="E354" s="158"/>
      <c r="F354" s="158"/>
    </row>
    <row r="355" spans="2:6">
      <c r="B355"/>
      <c r="C355"/>
      <c r="D355"/>
      <c r="E355" s="158"/>
      <c r="F355" s="158"/>
    </row>
    <row r="356" spans="2:6">
      <c r="B356"/>
      <c r="C356"/>
      <c r="D356"/>
      <c r="E356" s="158"/>
      <c r="F356" s="158"/>
    </row>
    <row r="357" spans="2:6">
      <c r="B357"/>
      <c r="C357"/>
      <c r="D357"/>
      <c r="E357" s="158"/>
      <c r="F357" s="158"/>
    </row>
    <row r="358" spans="2:6">
      <c r="B358"/>
      <c r="C358"/>
      <c r="D358"/>
      <c r="E358" s="158"/>
      <c r="F358" s="158"/>
    </row>
    <row r="359" spans="2:6">
      <c r="B359"/>
      <c r="C359"/>
      <c r="D359"/>
      <c r="E359" s="158"/>
      <c r="F359" s="158"/>
    </row>
    <row r="360" spans="2:6">
      <c r="B360"/>
      <c r="C360"/>
      <c r="D360"/>
      <c r="E360" s="158"/>
      <c r="F360" s="158"/>
    </row>
    <row r="361" spans="2:6">
      <c r="B361"/>
      <c r="C361"/>
      <c r="D361"/>
      <c r="E361" s="158"/>
      <c r="F361" s="158"/>
    </row>
    <row r="362" spans="2:6">
      <c r="B362"/>
      <c r="C362"/>
      <c r="D362"/>
      <c r="E362" s="158"/>
      <c r="F362" s="158"/>
    </row>
    <row r="363" spans="2:6">
      <c r="B363"/>
      <c r="C363"/>
      <c r="D363"/>
      <c r="E363" s="158"/>
      <c r="F363" s="158"/>
    </row>
    <row r="364" spans="2:6">
      <c r="B364"/>
      <c r="C364"/>
      <c r="D364"/>
      <c r="E364" s="158"/>
      <c r="F364" s="158"/>
    </row>
    <row r="365" spans="2:6">
      <c r="B365"/>
      <c r="C365"/>
      <c r="D365"/>
      <c r="E365" s="158"/>
      <c r="F365" s="158"/>
    </row>
    <row r="366" spans="2:6">
      <c r="B366"/>
      <c r="C366"/>
      <c r="D366"/>
      <c r="E366" s="158"/>
      <c r="F366" s="158"/>
    </row>
    <row r="367" spans="2:6">
      <c r="B367"/>
      <c r="C367"/>
      <c r="D367"/>
      <c r="E367" s="158"/>
      <c r="F367" s="158"/>
    </row>
    <row r="368" spans="2:6">
      <c r="B368"/>
      <c r="C368"/>
      <c r="D368"/>
      <c r="E368" s="158"/>
      <c r="F368" s="158"/>
    </row>
    <row r="369" spans="2:6">
      <c r="B369"/>
      <c r="C369"/>
      <c r="D369"/>
      <c r="E369" s="158"/>
      <c r="F369" s="158"/>
    </row>
    <row r="370" spans="2:6">
      <c r="B370"/>
      <c r="C370"/>
      <c r="D370"/>
      <c r="E370" s="158"/>
      <c r="F370" s="158"/>
    </row>
    <row r="371" spans="2:6">
      <c r="B371"/>
      <c r="C371"/>
      <c r="D371"/>
      <c r="E371" s="158"/>
      <c r="F371" s="158"/>
    </row>
    <row r="372" spans="2:6">
      <c r="B372"/>
      <c r="C372"/>
      <c r="D372"/>
      <c r="E372" s="158"/>
      <c r="F372" s="158"/>
    </row>
    <row r="373" spans="2:6">
      <c r="B373"/>
      <c r="C373"/>
      <c r="D373"/>
      <c r="E373" s="158"/>
      <c r="F373" s="158"/>
    </row>
    <row r="374" spans="2:6">
      <c r="B374"/>
      <c r="C374"/>
      <c r="D374"/>
      <c r="E374" s="158"/>
      <c r="F374" s="158"/>
    </row>
    <row r="375" spans="2:6">
      <c r="B375"/>
      <c r="C375"/>
      <c r="D375"/>
      <c r="E375" s="158"/>
      <c r="F375" s="158"/>
    </row>
    <row r="376" spans="2:6">
      <c r="B376"/>
      <c r="C376"/>
      <c r="D376"/>
      <c r="E376" s="158"/>
      <c r="F376" s="158"/>
    </row>
    <row r="377" spans="2:6">
      <c r="B377"/>
      <c r="C377"/>
      <c r="D377"/>
      <c r="E377" s="158"/>
      <c r="F377" s="158"/>
    </row>
    <row r="378" spans="2:6">
      <c r="B378"/>
      <c r="C378"/>
      <c r="D378"/>
      <c r="E378" s="158"/>
      <c r="F378" s="158"/>
    </row>
    <row r="379" spans="2:6">
      <c r="B379"/>
      <c r="C379"/>
      <c r="D379"/>
      <c r="E379" s="158"/>
      <c r="F379" s="158"/>
    </row>
    <row r="380" spans="2:6">
      <c r="B380"/>
      <c r="C380"/>
      <c r="D380"/>
      <c r="E380" s="158"/>
      <c r="F380" s="158"/>
    </row>
    <row r="381" spans="2:6">
      <c r="B381"/>
      <c r="C381"/>
      <c r="D381"/>
      <c r="E381" s="158"/>
      <c r="F381" s="158"/>
    </row>
    <row r="382" spans="2:6">
      <c r="B382"/>
      <c r="C382"/>
      <c r="D382"/>
      <c r="E382" s="158"/>
      <c r="F382" s="158"/>
    </row>
    <row r="383" spans="2:6">
      <c r="B383"/>
      <c r="C383"/>
      <c r="D383"/>
      <c r="E383" s="158"/>
      <c r="F383" s="158"/>
    </row>
    <row r="384" spans="2:6">
      <c r="B384"/>
      <c r="C384"/>
      <c r="D384"/>
      <c r="E384" s="158"/>
      <c r="F384" s="158"/>
    </row>
    <row r="385" spans="2:6">
      <c r="B385"/>
      <c r="C385"/>
      <c r="D385"/>
      <c r="E385" s="158"/>
      <c r="F385" s="158"/>
    </row>
    <row r="386" spans="2:6">
      <c r="B386"/>
      <c r="C386"/>
      <c r="D386"/>
      <c r="E386" s="158"/>
      <c r="F386" s="158"/>
    </row>
    <row r="387" spans="2:6">
      <c r="B387"/>
      <c r="C387"/>
      <c r="D387"/>
      <c r="E387" s="158"/>
      <c r="F387" s="158"/>
    </row>
    <row r="388" spans="2:6">
      <c r="B388"/>
      <c r="C388"/>
      <c r="D388"/>
      <c r="E388" s="158"/>
      <c r="F388" s="158"/>
    </row>
    <row r="389" spans="2:6">
      <c r="B389"/>
      <c r="C389"/>
      <c r="D389"/>
      <c r="E389" s="158"/>
      <c r="F389" s="158"/>
    </row>
    <row r="390" spans="2:6">
      <c r="B390"/>
      <c r="C390"/>
      <c r="D390"/>
      <c r="E390" s="158"/>
      <c r="F390" s="158"/>
    </row>
    <row r="391" spans="2:6">
      <c r="B391"/>
      <c r="C391"/>
      <c r="D391"/>
      <c r="E391" s="158"/>
      <c r="F391" s="158"/>
    </row>
    <row r="392" spans="2:6">
      <c r="B392"/>
      <c r="C392"/>
      <c r="D392"/>
      <c r="E392" s="158"/>
      <c r="F392" s="158"/>
    </row>
    <row r="393" spans="2:6">
      <c r="B393"/>
      <c r="C393"/>
      <c r="D393"/>
      <c r="E393" s="158"/>
      <c r="F393" s="158"/>
    </row>
    <row r="394" spans="2:6">
      <c r="B394"/>
      <c r="C394"/>
      <c r="D394"/>
      <c r="E394" s="158"/>
      <c r="F394" s="158"/>
    </row>
    <row r="395" spans="2:6">
      <c r="B395"/>
      <c r="C395"/>
      <c r="D395"/>
      <c r="E395" s="158"/>
      <c r="F395" s="158"/>
    </row>
    <row r="396" spans="2:6">
      <c r="B396"/>
      <c r="C396"/>
      <c r="D396"/>
      <c r="E396" s="158"/>
      <c r="F396" s="158"/>
    </row>
    <row r="397" spans="2:6">
      <c r="B397"/>
      <c r="C397"/>
      <c r="D397"/>
      <c r="E397" s="158"/>
      <c r="F397" s="158"/>
    </row>
    <row r="398" spans="2:6">
      <c r="B398"/>
      <c r="C398"/>
      <c r="D398"/>
      <c r="E398" s="158"/>
      <c r="F398" s="158"/>
    </row>
    <row r="399" spans="2:6">
      <c r="B399"/>
      <c r="C399"/>
      <c r="D399"/>
      <c r="E399" s="158"/>
      <c r="F399" s="158"/>
    </row>
    <row r="400" spans="2:6">
      <c r="B400"/>
      <c r="C400"/>
      <c r="D400"/>
      <c r="E400" s="158"/>
      <c r="F400" s="158"/>
    </row>
    <row r="401" spans="2:6">
      <c r="B401"/>
      <c r="C401"/>
      <c r="D401"/>
      <c r="E401" s="158"/>
      <c r="F401" s="158"/>
    </row>
    <row r="402" spans="2:6">
      <c r="B402"/>
      <c r="C402"/>
      <c r="D402"/>
      <c r="E402" s="158"/>
      <c r="F402" s="158"/>
    </row>
    <row r="403" spans="2:6">
      <c r="B403"/>
      <c r="C403"/>
      <c r="D403"/>
      <c r="E403" s="158"/>
      <c r="F403" s="158"/>
    </row>
    <row r="404" spans="2:6">
      <c r="B404"/>
      <c r="C404"/>
      <c r="D404"/>
      <c r="E404" s="158"/>
      <c r="F404" s="158"/>
    </row>
    <row r="405" spans="2:6">
      <c r="B405"/>
      <c r="C405"/>
      <c r="D405"/>
      <c r="E405" s="158"/>
      <c r="F405" s="158"/>
    </row>
    <row r="406" spans="2:6">
      <c r="B406"/>
      <c r="C406"/>
      <c r="D406"/>
      <c r="E406" s="158"/>
      <c r="F406" s="158"/>
    </row>
    <row r="407" spans="2:6">
      <c r="B407"/>
      <c r="C407"/>
      <c r="D407"/>
      <c r="E407" s="158"/>
      <c r="F407" s="158"/>
    </row>
    <row r="408" spans="2:6">
      <c r="B408"/>
      <c r="C408"/>
      <c r="D408"/>
      <c r="E408" s="158"/>
      <c r="F408" s="158"/>
    </row>
    <row r="409" spans="2:6">
      <c r="B409"/>
      <c r="C409"/>
      <c r="D409"/>
      <c r="E409" s="158"/>
      <c r="F409" s="158"/>
    </row>
    <row r="410" spans="2:6">
      <c r="B410"/>
      <c r="C410"/>
      <c r="D410"/>
      <c r="E410" s="158"/>
      <c r="F410" s="158"/>
    </row>
    <row r="411" spans="2:6">
      <c r="B411"/>
      <c r="C411"/>
      <c r="D411"/>
      <c r="E411" s="158"/>
      <c r="F411" s="158"/>
    </row>
    <row r="412" spans="2:6">
      <c r="B412"/>
      <c r="C412"/>
      <c r="D412"/>
      <c r="E412" s="158"/>
      <c r="F412" s="158"/>
    </row>
    <row r="413" spans="2:6">
      <c r="B413"/>
      <c r="C413"/>
      <c r="D413"/>
      <c r="E413" s="158"/>
      <c r="F413" s="158"/>
    </row>
    <row r="414" spans="2:6">
      <c r="B414"/>
      <c r="C414"/>
      <c r="D414"/>
      <c r="E414" s="158"/>
      <c r="F414" s="158"/>
    </row>
    <row r="415" spans="2:6">
      <c r="B415"/>
      <c r="C415"/>
      <c r="D415"/>
      <c r="E415" s="158"/>
      <c r="F415" s="158"/>
    </row>
    <row r="416" spans="2:6">
      <c r="B416"/>
      <c r="C416"/>
      <c r="D416"/>
      <c r="E416" s="158"/>
      <c r="F416" s="158"/>
    </row>
    <row r="417" spans="2:6">
      <c r="B417"/>
      <c r="C417"/>
      <c r="D417"/>
      <c r="E417" s="158"/>
      <c r="F417" s="158"/>
    </row>
    <row r="418" spans="2:6">
      <c r="B418"/>
      <c r="C418"/>
      <c r="D418"/>
      <c r="E418" s="158"/>
      <c r="F418" s="158"/>
    </row>
    <row r="419" spans="2:6">
      <c r="B419"/>
      <c r="C419"/>
      <c r="D419"/>
      <c r="E419" s="158"/>
      <c r="F419" s="158"/>
    </row>
    <row r="420" spans="2:6">
      <c r="B420"/>
      <c r="C420"/>
      <c r="D420"/>
      <c r="E420" s="158"/>
      <c r="F420" s="158"/>
    </row>
    <row r="421" spans="2:6">
      <c r="B421"/>
      <c r="C421"/>
      <c r="D421"/>
      <c r="E421" s="158"/>
      <c r="F421" s="158"/>
    </row>
    <row r="422" spans="2:6">
      <c r="B422"/>
      <c r="C422"/>
      <c r="D422"/>
      <c r="E422" s="158"/>
      <c r="F422" s="158"/>
    </row>
    <row r="423" spans="2:6">
      <c r="B423"/>
      <c r="C423"/>
      <c r="D423"/>
      <c r="E423" s="158"/>
      <c r="F423" s="158"/>
    </row>
    <row r="424" spans="2:6">
      <c r="B424"/>
      <c r="C424"/>
      <c r="D424"/>
      <c r="E424" s="158"/>
      <c r="F424" s="158"/>
    </row>
    <row r="425" spans="2:6">
      <c r="B425"/>
      <c r="C425"/>
      <c r="D425"/>
      <c r="E425" s="158"/>
      <c r="F425" s="158"/>
    </row>
    <row r="426" spans="2:6">
      <c r="B426"/>
      <c r="C426"/>
      <c r="D426"/>
      <c r="E426" s="158"/>
      <c r="F426" s="158"/>
    </row>
    <row r="427" spans="2:6">
      <c r="B427"/>
      <c r="C427"/>
      <c r="D427"/>
      <c r="E427" s="158"/>
      <c r="F427" s="158"/>
    </row>
    <row r="428" spans="2:6">
      <c r="B428"/>
      <c r="C428"/>
      <c r="D428"/>
      <c r="E428" s="158"/>
      <c r="F428" s="158"/>
    </row>
    <row r="429" spans="2:6">
      <c r="B429"/>
      <c r="C429"/>
      <c r="D429"/>
      <c r="E429" s="158"/>
      <c r="F429" s="158"/>
    </row>
    <row r="430" spans="2:6">
      <c r="B430"/>
      <c r="C430"/>
      <c r="D430"/>
      <c r="E430" s="158"/>
      <c r="F430" s="158"/>
    </row>
    <row r="431" spans="2:6">
      <c r="B431"/>
      <c r="C431"/>
      <c r="D431"/>
      <c r="E431" s="158"/>
      <c r="F431" s="158"/>
    </row>
    <row r="432" spans="2:6">
      <c r="B432"/>
      <c r="C432"/>
      <c r="D432"/>
      <c r="E432" s="158"/>
      <c r="F432" s="158"/>
    </row>
    <row r="433" spans="2:6">
      <c r="B433"/>
      <c r="C433"/>
      <c r="D433"/>
      <c r="E433" s="158"/>
      <c r="F433" s="158"/>
    </row>
    <row r="434" spans="2:6">
      <c r="B434"/>
      <c r="C434"/>
      <c r="D434"/>
      <c r="E434" s="158"/>
      <c r="F434" s="158"/>
    </row>
    <row r="435" spans="2:6">
      <c r="B435"/>
      <c r="C435"/>
      <c r="D435"/>
      <c r="E435" s="158"/>
      <c r="F435" s="158"/>
    </row>
    <row r="436" spans="2:6">
      <c r="B436"/>
      <c r="C436"/>
      <c r="D436"/>
      <c r="E436" s="158"/>
      <c r="F436" s="158"/>
    </row>
    <row r="437" spans="2:6">
      <c r="B437"/>
      <c r="C437"/>
      <c r="D437"/>
      <c r="E437" s="158"/>
      <c r="F437" s="158"/>
    </row>
    <row r="438" spans="2:6">
      <c r="B438"/>
      <c r="C438"/>
      <c r="D438"/>
      <c r="E438" s="158"/>
      <c r="F438" s="158"/>
    </row>
    <row r="439" spans="2:6">
      <c r="B439"/>
      <c r="C439"/>
      <c r="D439"/>
      <c r="E439" s="158"/>
      <c r="F439" s="158"/>
    </row>
    <row r="440" spans="2:6">
      <c r="B440"/>
      <c r="C440"/>
      <c r="D440"/>
      <c r="E440" s="158"/>
      <c r="F440" s="158"/>
    </row>
    <row r="441" spans="2:6">
      <c r="B441"/>
      <c r="C441"/>
      <c r="D441"/>
      <c r="E441" s="158"/>
      <c r="F441" s="158"/>
    </row>
    <row r="442" spans="2:6">
      <c r="B442"/>
      <c r="C442"/>
      <c r="D442"/>
      <c r="E442" s="158"/>
      <c r="F442" s="158"/>
    </row>
    <row r="443" spans="2:6">
      <c r="B443"/>
      <c r="C443"/>
      <c r="D443"/>
      <c r="E443" s="158"/>
      <c r="F443" s="158"/>
    </row>
    <row r="444" spans="2:6">
      <c r="B444"/>
      <c r="C444"/>
      <c r="D444"/>
      <c r="E444" s="158"/>
      <c r="F444" s="158"/>
    </row>
    <row r="445" spans="2:6">
      <c r="B445"/>
      <c r="C445"/>
      <c r="D445"/>
      <c r="E445" s="158"/>
      <c r="F445" s="158"/>
    </row>
    <row r="446" spans="2:6">
      <c r="B446"/>
      <c r="C446"/>
      <c r="D446"/>
      <c r="E446" s="158"/>
      <c r="F446" s="158"/>
    </row>
    <row r="447" spans="2:6">
      <c r="B447"/>
      <c r="C447"/>
      <c r="D447"/>
      <c r="E447" s="158"/>
      <c r="F447" s="158"/>
    </row>
    <row r="448" spans="2:6">
      <c r="B448"/>
      <c r="C448"/>
      <c r="D448"/>
      <c r="E448" s="158"/>
      <c r="F448" s="158"/>
    </row>
    <row r="449" spans="2:6">
      <c r="B449"/>
      <c r="C449"/>
      <c r="D449"/>
      <c r="E449" s="158"/>
      <c r="F449" s="158"/>
    </row>
    <row r="450" spans="2:6">
      <c r="B450"/>
      <c r="C450"/>
      <c r="D450"/>
      <c r="E450" s="158"/>
      <c r="F450" s="158"/>
    </row>
    <row r="451" spans="2:6">
      <c r="B451"/>
      <c r="C451"/>
      <c r="D451"/>
      <c r="E451" s="158"/>
      <c r="F451" s="158"/>
    </row>
    <row r="452" spans="2:6">
      <c r="B452"/>
      <c r="C452"/>
      <c r="D452"/>
      <c r="E452" s="158"/>
      <c r="F452" s="158"/>
    </row>
    <row r="453" spans="2:6">
      <c r="B453"/>
      <c r="C453"/>
      <c r="D453"/>
      <c r="E453" s="158"/>
      <c r="F453" s="158"/>
    </row>
    <row r="454" spans="2:6">
      <c r="B454"/>
      <c r="C454"/>
      <c r="D454"/>
      <c r="E454" s="158"/>
      <c r="F454" s="158"/>
    </row>
    <row r="455" spans="2:6">
      <c r="B455"/>
      <c r="C455"/>
      <c r="D455"/>
      <c r="E455" s="158"/>
      <c r="F455" s="158"/>
    </row>
    <row r="456" spans="2:6">
      <c r="B456"/>
      <c r="C456"/>
      <c r="D456"/>
      <c r="E456" s="158"/>
      <c r="F456" s="158"/>
    </row>
    <row r="457" spans="2:6">
      <c r="B457"/>
      <c r="C457"/>
      <c r="D457"/>
      <c r="E457" s="158"/>
      <c r="F457" s="158"/>
    </row>
    <row r="458" spans="2:6">
      <c r="B458"/>
      <c r="C458"/>
      <c r="D458"/>
      <c r="E458" s="158"/>
      <c r="F458" s="158"/>
    </row>
    <row r="459" spans="2:6">
      <c r="B459"/>
      <c r="C459"/>
      <c r="D459"/>
      <c r="E459" s="158"/>
      <c r="F459" s="158"/>
    </row>
    <row r="460" spans="2:6">
      <c r="B460"/>
      <c r="C460"/>
      <c r="D460"/>
      <c r="E460" s="158"/>
      <c r="F460" s="158"/>
    </row>
    <row r="461" spans="2:6">
      <c r="B461"/>
      <c r="C461"/>
      <c r="D461"/>
      <c r="E461" s="158"/>
      <c r="F461" s="158"/>
    </row>
    <row r="462" spans="2:6">
      <c r="B462"/>
      <c r="C462"/>
      <c r="D462"/>
      <c r="E462" s="158"/>
      <c r="F462" s="158"/>
    </row>
    <row r="463" spans="2:6">
      <c r="B463"/>
      <c r="C463"/>
      <c r="D463"/>
      <c r="E463" s="158"/>
      <c r="F463" s="158"/>
    </row>
    <row r="464" spans="2:6">
      <c r="B464"/>
      <c r="C464"/>
      <c r="D464"/>
      <c r="E464" s="158"/>
      <c r="F464" s="158"/>
    </row>
    <row r="465" spans="2:6">
      <c r="B465"/>
      <c r="C465"/>
      <c r="D465"/>
      <c r="E465" s="158"/>
      <c r="F465" s="158"/>
    </row>
    <row r="466" spans="2:6">
      <c r="B466"/>
      <c r="C466"/>
      <c r="D466"/>
      <c r="E466" s="158"/>
      <c r="F466" s="158"/>
    </row>
    <row r="467" spans="2:6">
      <c r="B467"/>
      <c r="C467"/>
      <c r="D467"/>
      <c r="E467" s="158"/>
      <c r="F467" s="158"/>
    </row>
    <row r="468" spans="2:6">
      <c r="B468"/>
      <c r="C468"/>
      <c r="D468"/>
      <c r="E468" s="158"/>
      <c r="F468" s="158"/>
    </row>
    <row r="469" spans="2:6">
      <c r="B469"/>
      <c r="C469"/>
      <c r="D469"/>
      <c r="E469" s="158"/>
      <c r="F469" s="158"/>
    </row>
    <row r="470" spans="2:6">
      <c r="B470"/>
      <c r="C470"/>
      <c r="D470"/>
      <c r="E470" s="158"/>
      <c r="F470" s="158"/>
    </row>
    <row r="471" spans="2:6">
      <c r="B471"/>
      <c r="C471"/>
      <c r="D471"/>
      <c r="E471" s="158"/>
      <c r="F471" s="158"/>
    </row>
    <row r="472" spans="2:6">
      <c r="B472"/>
      <c r="C472"/>
      <c r="D472"/>
      <c r="E472" s="158"/>
      <c r="F472" s="158"/>
    </row>
    <row r="473" spans="2:6">
      <c r="B473"/>
      <c r="C473"/>
      <c r="D473"/>
      <c r="E473" s="158"/>
      <c r="F473" s="158"/>
    </row>
    <row r="474" spans="2:6">
      <c r="B474"/>
      <c r="C474"/>
      <c r="D474"/>
      <c r="E474" s="158"/>
      <c r="F474" s="158"/>
    </row>
    <row r="475" spans="2:6">
      <c r="B475"/>
      <c r="C475"/>
      <c r="D475"/>
      <c r="E475" s="158"/>
      <c r="F475" s="158"/>
    </row>
    <row r="476" spans="2:6">
      <c r="B476"/>
      <c r="C476"/>
      <c r="D476"/>
      <c r="E476" s="158"/>
      <c r="F476" s="158"/>
    </row>
    <row r="477" spans="2:6">
      <c r="B477"/>
      <c r="C477"/>
      <c r="D477"/>
      <c r="E477" s="158"/>
      <c r="F477" s="158"/>
    </row>
    <row r="478" spans="2:6">
      <c r="B478"/>
      <c r="C478"/>
      <c r="D478"/>
      <c r="E478" s="158"/>
      <c r="F478" s="158"/>
    </row>
    <row r="479" spans="2:6">
      <c r="B479"/>
      <c r="C479"/>
      <c r="D479"/>
      <c r="E479" s="158"/>
      <c r="F479" s="158"/>
    </row>
    <row r="480" spans="2:6">
      <c r="B480"/>
      <c r="C480"/>
      <c r="D480"/>
      <c r="E480" s="158"/>
      <c r="F480" s="158"/>
    </row>
    <row r="481" spans="2:6">
      <c r="B481"/>
      <c r="C481"/>
      <c r="D481"/>
      <c r="E481" s="158"/>
      <c r="F481" s="158"/>
    </row>
    <row r="482" spans="2:6">
      <c r="B482"/>
      <c r="C482"/>
      <c r="D482"/>
      <c r="E482" s="158"/>
      <c r="F482" s="158"/>
    </row>
    <row r="483" spans="2:6">
      <c r="B483"/>
      <c r="C483"/>
      <c r="D483"/>
      <c r="E483" s="158"/>
      <c r="F483" s="158"/>
    </row>
    <row r="484" spans="2:6">
      <c r="B484"/>
      <c r="C484"/>
      <c r="D484"/>
      <c r="E484" s="158"/>
      <c r="F484" s="158"/>
    </row>
    <row r="485" spans="2:6">
      <c r="B485"/>
      <c r="C485"/>
      <c r="D485"/>
      <c r="E485" s="158"/>
      <c r="F485" s="158"/>
    </row>
    <row r="486" spans="2:6">
      <c r="B486"/>
      <c r="C486"/>
      <c r="D486"/>
      <c r="E486" s="158"/>
      <c r="F486" s="158"/>
    </row>
    <row r="487" spans="2:6">
      <c r="B487"/>
      <c r="C487"/>
      <c r="D487"/>
      <c r="E487" s="158"/>
      <c r="F487" s="158"/>
    </row>
    <row r="488" spans="2:6">
      <c r="B488"/>
      <c r="C488"/>
      <c r="D488"/>
      <c r="E488" s="158"/>
      <c r="F488" s="158"/>
    </row>
    <row r="489" spans="2:6">
      <c r="B489"/>
      <c r="C489"/>
      <c r="D489"/>
      <c r="E489" s="158"/>
      <c r="F489" s="158"/>
    </row>
    <row r="490" spans="2:6">
      <c r="B490"/>
      <c r="C490"/>
      <c r="D490"/>
      <c r="E490" s="158"/>
      <c r="F490" s="158"/>
    </row>
    <row r="491" spans="2:6">
      <c r="B491"/>
      <c r="C491"/>
      <c r="D491"/>
      <c r="E491" s="158"/>
      <c r="F491" s="158"/>
    </row>
    <row r="492" spans="2:6">
      <c r="B492"/>
      <c r="C492"/>
      <c r="D492"/>
      <c r="E492" s="158"/>
      <c r="F492" s="158"/>
    </row>
    <row r="493" spans="2:6">
      <c r="B493"/>
      <c r="C493"/>
      <c r="D493"/>
      <c r="E493" s="158"/>
      <c r="F493" s="158"/>
    </row>
    <row r="494" spans="2:6">
      <c r="B494"/>
      <c r="C494"/>
      <c r="D494"/>
      <c r="E494" s="158"/>
      <c r="F494" s="158"/>
    </row>
    <row r="495" spans="2:6">
      <c r="B495"/>
      <c r="C495"/>
      <c r="D495"/>
      <c r="E495" s="158"/>
      <c r="F495" s="158"/>
    </row>
    <row r="496" spans="2:6">
      <c r="B496"/>
      <c r="C496"/>
      <c r="D496"/>
      <c r="E496" s="158"/>
      <c r="F496" s="158"/>
    </row>
    <row r="497" spans="2:6">
      <c r="B497"/>
      <c r="C497"/>
      <c r="D497"/>
      <c r="E497" s="158"/>
      <c r="F497" s="158"/>
    </row>
    <row r="498" spans="2:6">
      <c r="B498"/>
      <c r="C498"/>
      <c r="D498"/>
      <c r="E498" s="158"/>
      <c r="F498" s="158"/>
    </row>
    <row r="499" spans="2:6">
      <c r="B499"/>
      <c r="C499"/>
      <c r="D499"/>
      <c r="E499" s="158"/>
      <c r="F499" s="158"/>
    </row>
    <row r="500" spans="2:6">
      <c r="B500"/>
      <c r="C500"/>
      <c r="D500"/>
      <c r="E500" s="158"/>
      <c r="F500" s="158"/>
    </row>
    <row r="501" spans="2:6">
      <c r="B501"/>
      <c r="C501"/>
      <c r="D501"/>
      <c r="E501" s="158"/>
      <c r="F501" s="158"/>
    </row>
    <row r="502" spans="2:6">
      <c r="B502"/>
      <c r="C502"/>
      <c r="D502"/>
      <c r="E502" s="158"/>
      <c r="F502" s="158"/>
    </row>
    <row r="503" spans="2:6">
      <c r="B503"/>
      <c r="C503"/>
      <c r="D503"/>
      <c r="E503" s="158"/>
      <c r="F503" s="158"/>
    </row>
    <row r="504" spans="2:6">
      <c r="B504"/>
      <c r="C504"/>
      <c r="D504"/>
      <c r="E504" s="158"/>
      <c r="F504" s="158"/>
    </row>
    <row r="505" spans="2:6">
      <c r="B505"/>
      <c r="C505"/>
      <c r="D505"/>
      <c r="E505" s="158"/>
      <c r="F505" s="158"/>
    </row>
    <row r="506" spans="2:6">
      <c r="B506"/>
      <c r="C506"/>
      <c r="D506"/>
      <c r="E506" s="158"/>
      <c r="F506" s="158"/>
    </row>
    <row r="507" spans="2:6">
      <c r="B507"/>
      <c r="C507"/>
      <c r="D507"/>
      <c r="E507" s="158"/>
      <c r="F507" s="158"/>
    </row>
    <row r="508" spans="2:6">
      <c r="B508"/>
      <c r="C508"/>
      <c r="D508"/>
      <c r="E508" s="158"/>
      <c r="F508" s="158"/>
    </row>
    <row r="509" spans="2:6">
      <c r="B509"/>
      <c r="C509"/>
      <c r="D509"/>
      <c r="E509" s="158"/>
      <c r="F509" s="158"/>
    </row>
    <row r="510" spans="2:6">
      <c r="B510"/>
      <c r="C510"/>
      <c r="D510"/>
      <c r="E510" s="158"/>
      <c r="F510" s="158"/>
    </row>
    <row r="511" spans="2:6">
      <c r="B511"/>
      <c r="C511"/>
      <c r="D511"/>
      <c r="E511" s="158"/>
      <c r="F511" s="158"/>
    </row>
    <row r="512" spans="2:6">
      <c r="B512"/>
      <c r="C512"/>
      <c r="D512"/>
      <c r="E512" s="158"/>
      <c r="F512" s="158"/>
    </row>
    <row r="513" spans="2:6">
      <c r="B513"/>
      <c r="C513"/>
      <c r="D513"/>
      <c r="E513" s="158"/>
      <c r="F513" s="158"/>
    </row>
    <row r="514" spans="2:6">
      <c r="B514"/>
      <c r="C514"/>
      <c r="D514"/>
      <c r="E514" s="158"/>
      <c r="F514" s="158"/>
    </row>
    <row r="515" spans="2:6">
      <c r="B515"/>
      <c r="C515"/>
      <c r="D515"/>
      <c r="E515" s="158"/>
      <c r="F515" s="158"/>
    </row>
    <row r="516" spans="2:6">
      <c r="B516"/>
      <c r="C516"/>
      <c r="D516"/>
      <c r="E516" s="158"/>
      <c r="F516" s="158"/>
    </row>
    <row r="517" spans="2:6">
      <c r="B517"/>
      <c r="C517"/>
      <c r="D517"/>
      <c r="E517" s="158"/>
      <c r="F517" s="158"/>
    </row>
    <row r="518" spans="2:6">
      <c r="B518"/>
      <c r="C518"/>
      <c r="D518"/>
      <c r="E518" s="158"/>
      <c r="F518" s="158"/>
    </row>
    <row r="519" spans="2:6">
      <c r="B519"/>
      <c r="C519"/>
      <c r="D519"/>
      <c r="E519" s="158"/>
      <c r="F519" s="158"/>
    </row>
    <row r="520" spans="2:6">
      <c r="B520"/>
      <c r="C520"/>
      <c r="D520"/>
      <c r="E520" s="158"/>
      <c r="F520" s="158"/>
    </row>
    <row r="521" spans="2:6">
      <c r="B521"/>
      <c r="C521"/>
      <c r="D521"/>
      <c r="E521" s="158"/>
      <c r="F521" s="158"/>
    </row>
    <row r="522" spans="2:6">
      <c r="B522"/>
      <c r="C522"/>
      <c r="D522"/>
      <c r="E522" s="158"/>
      <c r="F522" s="158"/>
    </row>
    <row r="523" spans="2:6">
      <c r="B523"/>
      <c r="C523"/>
      <c r="D523"/>
      <c r="E523" s="158"/>
      <c r="F523" s="158"/>
    </row>
    <row r="524" spans="2:6">
      <c r="B524"/>
      <c r="C524"/>
      <c r="D524"/>
      <c r="E524" s="158"/>
      <c r="F524" s="158"/>
    </row>
    <row r="525" spans="2:6">
      <c r="B525"/>
      <c r="C525"/>
      <c r="D525"/>
      <c r="E525" s="158"/>
      <c r="F525" s="158"/>
    </row>
    <row r="526" spans="2:6">
      <c r="B526"/>
      <c r="C526"/>
      <c r="D526"/>
      <c r="E526" s="158"/>
      <c r="F526" s="158"/>
    </row>
    <row r="527" spans="2:6">
      <c r="B527"/>
      <c r="C527"/>
      <c r="D527"/>
      <c r="E527" s="158"/>
      <c r="F527" s="158"/>
    </row>
    <row r="528" spans="2:6">
      <c r="B528"/>
      <c r="C528"/>
      <c r="D528"/>
      <c r="E528" s="158"/>
      <c r="F528" s="158"/>
    </row>
    <row r="529" spans="2:6">
      <c r="B529"/>
      <c r="C529"/>
      <c r="D529"/>
      <c r="E529" s="158"/>
      <c r="F529" s="158"/>
    </row>
    <row r="530" spans="2:6">
      <c r="B530"/>
      <c r="C530"/>
      <c r="D530"/>
      <c r="E530" s="158"/>
      <c r="F530" s="158"/>
    </row>
    <row r="531" spans="2:6">
      <c r="B531"/>
      <c r="C531"/>
      <c r="D531"/>
      <c r="E531" s="158"/>
      <c r="F531" s="158"/>
    </row>
    <row r="532" spans="2:6">
      <c r="B532"/>
      <c r="C532"/>
      <c r="D532"/>
      <c r="E532" s="158"/>
      <c r="F532" s="158"/>
    </row>
    <row r="533" spans="2:6">
      <c r="B533"/>
      <c r="C533"/>
      <c r="D533"/>
      <c r="E533" s="158"/>
      <c r="F533" s="158"/>
    </row>
    <row r="534" spans="2:6">
      <c r="B534"/>
      <c r="C534"/>
      <c r="D534"/>
      <c r="E534" s="158"/>
      <c r="F534" s="158"/>
    </row>
    <row r="535" spans="2:6">
      <c r="B535"/>
      <c r="C535"/>
      <c r="D535"/>
      <c r="E535" s="158"/>
      <c r="F535" s="158"/>
    </row>
    <row r="536" spans="2:6">
      <c r="B536"/>
      <c r="C536"/>
      <c r="D536"/>
      <c r="E536" s="158"/>
      <c r="F536" s="158"/>
    </row>
    <row r="537" spans="2:6">
      <c r="B537"/>
      <c r="C537"/>
      <c r="D537"/>
      <c r="E537" s="158"/>
      <c r="F537" s="158"/>
    </row>
    <row r="538" spans="2:6">
      <c r="B538"/>
      <c r="C538"/>
      <c r="D538"/>
      <c r="E538" s="158"/>
      <c r="F538" s="158"/>
    </row>
    <row r="539" spans="2:6">
      <c r="B539"/>
      <c r="C539"/>
      <c r="D539"/>
      <c r="E539" s="158"/>
      <c r="F539" s="158"/>
    </row>
    <row r="540" spans="2:6">
      <c r="B540"/>
      <c r="C540"/>
      <c r="D540"/>
      <c r="E540" s="158"/>
      <c r="F540" s="158"/>
    </row>
    <row r="541" spans="2:6">
      <c r="B541"/>
      <c r="C541"/>
      <c r="D541"/>
      <c r="E541" s="158"/>
      <c r="F541" s="158"/>
    </row>
    <row r="542" spans="2:6">
      <c r="B542"/>
      <c r="C542"/>
      <c r="D542"/>
      <c r="E542" s="158"/>
      <c r="F542" s="158"/>
    </row>
    <row r="543" spans="2:6">
      <c r="B543"/>
      <c r="C543"/>
      <c r="D543"/>
      <c r="E543" s="158"/>
      <c r="F543" s="158"/>
    </row>
    <row r="544" spans="2:6">
      <c r="B544"/>
      <c r="C544"/>
      <c r="D544"/>
      <c r="E544" s="158"/>
      <c r="F544" s="158"/>
    </row>
    <row r="545" spans="2:6">
      <c r="B545"/>
      <c r="C545"/>
      <c r="D545"/>
      <c r="E545" s="158"/>
      <c r="F545" s="158"/>
    </row>
    <row r="546" spans="2:6">
      <c r="B546"/>
      <c r="C546"/>
      <c r="D546"/>
      <c r="E546" s="158"/>
      <c r="F546" s="158"/>
    </row>
    <row r="547" spans="2:6">
      <c r="B547"/>
      <c r="C547"/>
      <c r="D547"/>
      <c r="E547" s="158"/>
      <c r="F547" s="158"/>
    </row>
    <row r="548" spans="2:6">
      <c r="B548"/>
      <c r="C548"/>
      <c r="D548"/>
      <c r="E548" s="158"/>
      <c r="F548" s="158"/>
    </row>
    <row r="549" spans="2:6">
      <c r="B549"/>
      <c r="C549"/>
      <c r="D549"/>
      <c r="E549" s="158"/>
      <c r="F549" s="158"/>
    </row>
    <row r="550" spans="2:6">
      <c r="B550"/>
      <c r="C550"/>
      <c r="D550"/>
      <c r="E550" s="158"/>
      <c r="F550" s="158"/>
    </row>
    <row r="551" spans="2:6">
      <c r="B551"/>
      <c r="C551"/>
      <c r="D551"/>
      <c r="E551" s="158"/>
      <c r="F551" s="158"/>
    </row>
    <row r="552" spans="2:6">
      <c r="B552"/>
      <c r="C552"/>
      <c r="D552"/>
      <c r="E552" s="158"/>
      <c r="F552" s="158"/>
    </row>
    <row r="553" spans="2:6">
      <c r="B553"/>
      <c r="C553"/>
      <c r="D553"/>
      <c r="E553" s="158"/>
      <c r="F553" s="158"/>
    </row>
    <row r="554" spans="2:6">
      <c r="B554"/>
      <c r="C554"/>
      <c r="D554"/>
      <c r="E554" s="158"/>
      <c r="F554" s="158"/>
    </row>
    <row r="555" spans="2:6">
      <c r="B555"/>
      <c r="C555"/>
      <c r="D555"/>
      <c r="E555" s="158"/>
      <c r="F555" s="158"/>
    </row>
    <row r="556" spans="2:6">
      <c r="B556"/>
      <c r="C556"/>
      <c r="D556"/>
      <c r="E556" s="158"/>
      <c r="F556" s="158"/>
    </row>
    <row r="557" spans="2:6">
      <c r="B557"/>
      <c r="C557"/>
      <c r="D557"/>
      <c r="E557" s="158"/>
      <c r="F557" s="158"/>
    </row>
    <row r="558" spans="2:6">
      <c r="B558"/>
      <c r="C558"/>
      <c r="D558"/>
      <c r="E558" s="158"/>
      <c r="F558" s="158"/>
    </row>
    <row r="559" spans="2:6">
      <c r="B559"/>
      <c r="C559"/>
      <c r="D559"/>
      <c r="E559" s="158"/>
      <c r="F559" s="158"/>
    </row>
    <row r="560" spans="2:6">
      <c r="B560"/>
      <c r="C560"/>
      <c r="D560"/>
      <c r="E560" s="158"/>
      <c r="F560" s="158"/>
    </row>
    <row r="561" spans="2:6">
      <c r="B561"/>
      <c r="C561"/>
      <c r="D561"/>
      <c r="E561" s="158"/>
      <c r="F561" s="158"/>
    </row>
    <row r="562" spans="2:6">
      <c r="B562"/>
      <c r="C562"/>
      <c r="D562"/>
      <c r="E562" s="158"/>
      <c r="F562" s="158"/>
    </row>
    <row r="563" spans="2:6">
      <c r="B563"/>
      <c r="C563"/>
      <c r="D563"/>
      <c r="E563" s="158"/>
      <c r="F563" s="158"/>
    </row>
    <row r="564" spans="2:6">
      <c r="B564"/>
      <c r="C564"/>
      <c r="D564"/>
      <c r="E564" s="158"/>
      <c r="F564" s="158"/>
    </row>
    <row r="565" spans="2:6">
      <c r="B565"/>
      <c r="C565"/>
      <c r="D565"/>
      <c r="E565" s="158"/>
      <c r="F565" s="158"/>
    </row>
    <row r="566" spans="2:6">
      <c r="B566"/>
      <c r="C566"/>
      <c r="D566"/>
      <c r="E566" s="158"/>
      <c r="F566" s="158"/>
    </row>
    <row r="567" spans="2:6">
      <c r="B567"/>
      <c r="C567"/>
      <c r="D567"/>
      <c r="E567" s="158"/>
      <c r="F567" s="158"/>
    </row>
    <row r="568" spans="2:6">
      <c r="B568"/>
      <c r="C568"/>
      <c r="D568"/>
      <c r="E568" s="158"/>
      <c r="F568" s="158"/>
    </row>
    <row r="569" spans="2:6">
      <c r="B569"/>
      <c r="C569"/>
      <c r="D569"/>
      <c r="E569" s="158"/>
      <c r="F569" s="158"/>
    </row>
    <row r="570" spans="2:6">
      <c r="B570"/>
      <c r="C570"/>
      <c r="D570"/>
      <c r="E570" s="158"/>
      <c r="F570" s="158"/>
    </row>
    <row r="571" spans="2:6">
      <c r="B571"/>
      <c r="C571"/>
      <c r="D571"/>
      <c r="E571" s="158"/>
      <c r="F571" s="158"/>
    </row>
    <row r="572" spans="2:6">
      <c r="B572"/>
      <c r="C572"/>
      <c r="D572"/>
      <c r="E572" s="158"/>
      <c r="F572" s="158"/>
    </row>
    <row r="573" spans="2:6">
      <c r="B573"/>
      <c r="C573"/>
      <c r="D573"/>
      <c r="E573" s="158"/>
      <c r="F573" s="158"/>
    </row>
    <row r="574" spans="2:6">
      <c r="B574"/>
      <c r="C574"/>
      <c r="D574"/>
      <c r="E574" s="158"/>
      <c r="F574" s="158"/>
    </row>
    <row r="575" spans="2:6">
      <c r="B575"/>
      <c r="C575"/>
      <c r="D575"/>
      <c r="E575" s="158"/>
      <c r="F575" s="158"/>
    </row>
    <row r="576" spans="2:6">
      <c r="B576"/>
      <c r="C576"/>
      <c r="D576"/>
      <c r="E576" s="158"/>
      <c r="F576" s="158"/>
    </row>
    <row r="577" spans="2:6">
      <c r="B577"/>
      <c r="C577"/>
      <c r="D577"/>
      <c r="E577" s="158"/>
      <c r="F577" s="158"/>
    </row>
    <row r="578" spans="2:6">
      <c r="B578"/>
      <c r="C578"/>
      <c r="D578"/>
      <c r="E578" s="158"/>
      <c r="F578" s="158"/>
    </row>
    <row r="579" spans="2:6">
      <c r="B579"/>
      <c r="C579"/>
      <c r="D579"/>
      <c r="E579" s="158"/>
      <c r="F579" s="158"/>
    </row>
    <row r="580" spans="2:6">
      <c r="B580"/>
      <c r="C580"/>
      <c r="D580"/>
      <c r="E580" s="158"/>
      <c r="F580" s="158"/>
    </row>
    <row r="581" spans="2:6">
      <c r="B581"/>
      <c r="C581"/>
      <c r="D581"/>
      <c r="E581" s="158"/>
      <c r="F581" s="158"/>
    </row>
    <row r="582" spans="2:6">
      <c r="B582"/>
      <c r="C582"/>
      <c r="D582"/>
      <c r="E582" s="158"/>
      <c r="F582" s="158"/>
    </row>
    <row r="583" spans="2:6">
      <c r="B583"/>
      <c r="C583"/>
      <c r="D583"/>
      <c r="E583" s="158"/>
      <c r="F583" s="158"/>
    </row>
    <row r="584" spans="2:6">
      <c r="B584"/>
      <c r="C584"/>
      <c r="D584"/>
      <c r="E584" s="158"/>
      <c r="F584" s="158"/>
    </row>
    <row r="585" spans="2:6">
      <c r="B585"/>
      <c r="C585"/>
      <c r="D585"/>
      <c r="E585" s="158"/>
      <c r="F585" s="158"/>
    </row>
    <row r="586" spans="2:6">
      <c r="B586"/>
      <c r="C586"/>
      <c r="D586"/>
      <c r="E586" s="158"/>
      <c r="F586" s="158"/>
    </row>
    <row r="587" spans="2:6">
      <c r="B587"/>
      <c r="C587"/>
      <c r="D587"/>
      <c r="E587" s="158"/>
      <c r="F587" s="158"/>
    </row>
    <row r="588" spans="2:6">
      <c r="B588"/>
      <c r="C588"/>
      <c r="D588"/>
      <c r="E588" s="158"/>
      <c r="F588" s="158"/>
    </row>
    <row r="589" spans="2:6">
      <c r="B589"/>
      <c r="C589"/>
      <c r="D589"/>
      <c r="E589" s="158"/>
      <c r="F589" s="158"/>
    </row>
    <row r="590" spans="2:6">
      <c r="B590"/>
      <c r="C590"/>
      <c r="D590"/>
      <c r="E590" s="158"/>
      <c r="F590" s="158"/>
    </row>
    <row r="591" spans="2:6">
      <c r="B591"/>
      <c r="C591"/>
      <c r="D591"/>
      <c r="E591" s="158"/>
      <c r="F591" s="158"/>
    </row>
    <row r="592" spans="2:6">
      <c r="B592"/>
      <c r="C592"/>
      <c r="D592"/>
      <c r="E592" s="158"/>
      <c r="F592" s="158"/>
    </row>
    <row r="593" spans="2:6">
      <c r="B593"/>
      <c r="C593"/>
      <c r="D593"/>
      <c r="E593" s="158"/>
      <c r="F593" s="158"/>
    </row>
    <row r="594" spans="2:6">
      <c r="B594"/>
      <c r="C594"/>
      <c r="D594"/>
      <c r="E594" s="158"/>
      <c r="F594" s="158"/>
    </row>
    <row r="595" spans="2:6">
      <c r="B595"/>
      <c r="C595"/>
      <c r="D595"/>
      <c r="E595" s="158"/>
      <c r="F595" s="158"/>
    </row>
    <row r="596" spans="2:6">
      <c r="B596"/>
      <c r="C596"/>
      <c r="D596"/>
      <c r="E596" s="158"/>
      <c r="F596" s="158"/>
    </row>
    <row r="597" spans="2:6">
      <c r="B597"/>
      <c r="C597"/>
      <c r="D597"/>
      <c r="E597" s="158"/>
      <c r="F597" s="158"/>
    </row>
    <row r="598" spans="2:6">
      <c r="B598"/>
      <c r="C598"/>
      <c r="D598"/>
      <c r="E598" s="158"/>
      <c r="F598" s="158"/>
    </row>
    <row r="599" spans="2:6">
      <c r="B599"/>
      <c r="C599"/>
      <c r="D599"/>
      <c r="E599" s="158"/>
      <c r="F599" s="158"/>
    </row>
    <row r="600" spans="2:6">
      <c r="B600"/>
      <c r="C600"/>
      <c r="D600"/>
      <c r="E600" s="158"/>
      <c r="F600" s="158"/>
    </row>
    <row r="601" spans="2:6">
      <c r="B601"/>
      <c r="C601"/>
      <c r="D601"/>
      <c r="E601" s="158"/>
      <c r="F601" s="158"/>
    </row>
    <row r="602" spans="2:6">
      <c r="B602"/>
      <c r="C602"/>
      <c r="D602"/>
      <c r="E602" s="158"/>
      <c r="F602" s="158"/>
    </row>
    <row r="603" spans="2:6">
      <c r="B603"/>
      <c r="C603"/>
      <c r="D603"/>
      <c r="E603" s="158"/>
      <c r="F603" s="158"/>
    </row>
    <row r="604" spans="2:6">
      <c r="B604"/>
      <c r="C604"/>
      <c r="D604"/>
      <c r="E604" s="158"/>
      <c r="F604" s="158"/>
    </row>
    <row r="605" spans="2:6">
      <c r="B605"/>
      <c r="C605"/>
      <c r="D605"/>
      <c r="E605" s="158"/>
      <c r="F605" s="158"/>
    </row>
    <row r="606" spans="2:6">
      <c r="B606"/>
      <c r="C606"/>
      <c r="D606"/>
      <c r="E606" s="158"/>
      <c r="F606" s="158"/>
    </row>
    <row r="607" spans="2:6">
      <c r="B607"/>
      <c r="C607"/>
      <c r="D607"/>
      <c r="E607" s="158"/>
      <c r="F607" s="158"/>
    </row>
    <row r="608" spans="2:6">
      <c r="B608"/>
      <c r="C608"/>
      <c r="D608"/>
      <c r="E608" s="158"/>
      <c r="F608" s="158"/>
    </row>
    <row r="609" spans="2:6">
      <c r="B609"/>
      <c r="C609"/>
      <c r="D609"/>
      <c r="E609" s="158"/>
      <c r="F609" s="158"/>
    </row>
    <row r="610" spans="2:6">
      <c r="B610"/>
      <c r="C610"/>
      <c r="D610"/>
      <c r="E610" s="158"/>
      <c r="F610" s="158"/>
    </row>
    <row r="611" spans="2:6">
      <c r="B611"/>
      <c r="C611"/>
      <c r="D611"/>
      <c r="E611" s="158"/>
      <c r="F611" s="158"/>
    </row>
    <row r="612" spans="2:6">
      <c r="B612"/>
      <c r="C612"/>
      <c r="D612"/>
      <c r="E612" s="158"/>
      <c r="F612" s="158"/>
    </row>
    <row r="613" spans="2:6">
      <c r="B613"/>
      <c r="C613"/>
      <c r="D613"/>
      <c r="E613" s="158"/>
      <c r="F613" s="158"/>
    </row>
    <row r="614" spans="2:6">
      <c r="B614"/>
      <c r="C614"/>
      <c r="D614"/>
      <c r="E614" s="158"/>
      <c r="F614" s="158"/>
    </row>
    <row r="615" spans="2:6">
      <c r="B615"/>
      <c r="C615"/>
      <c r="D615"/>
      <c r="E615" s="158"/>
      <c r="F615" s="158"/>
    </row>
    <row r="616" spans="2:6">
      <c r="B616"/>
      <c r="C616"/>
      <c r="D616"/>
      <c r="E616" s="158"/>
      <c r="F616" s="158"/>
    </row>
    <row r="617" spans="2:6">
      <c r="B617"/>
      <c r="C617"/>
      <c r="D617"/>
      <c r="E617" s="158"/>
      <c r="F617" s="158"/>
    </row>
    <row r="618" spans="2:6">
      <c r="B618"/>
      <c r="C618"/>
      <c r="D618"/>
      <c r="E618" s="158"/>
      <c r="F618" s="158"/>
    </row>
    <row r="619" spans="2:6">
      <c r="B619"/>
      <c r="C619"/>
      <c r="D619"/>
      <c r="E619" s="158"/>
      <c r="F619" s="158"/>
    </row>
    <row r="620" spans="2:6">
      <c r="B620"/>
      <c r="C620"/>
      <c r="D620"/>
      <c r="E620" s="158"/>
      <c r="F620" s="158"/>
    </row>
    <row r="621" spans="2:6">
      <c r="B621"/>
      <c r="C621"/>
      <c r="D621"/>
      <c r="E621" s="158"/>
      <c r="F621" s="158"/>
    </row>
    <row r="622" spans="2:6">
      <c r="B622"/>
      <c r="C622"/>
      <c r="D622"/>
      <c r="E622" s="158"/>
      <c r="F622" s="158"/>
    </row>
    <row r="623" spans="2:6">
      <c r="B623"/>
      <c r="C623"/>
      <c r="D623"/>
      <c r="E623" s="158"/>
      <c r="F623" s="158"/>
    </row>
    <row r="624" spans="2:6">
      <c r="B624"/>
      <c r="C624"/>
      <c r="D624"/>
      <c r="E624" s="158"/>
      <c r="F624" s="158"/>
    </row>
    <row r="625" spans="2:6">
      <c r="B625"/>
      <c r="C625"/>
      <c r="D625"/>
      <c r="E625" s="158"/>
      <c r="F625" s="158"/>
    </row>
    <row r="626" spans="2:6">
      <c r="B626"/>
      <c r="C626"/>
      <c r="D626"/>
      <c r="E626" s="158"/>
      <c r="F626" s="158"/>
    </row>
    <row r="627" spans="2:6">
      <c r="B627"/>
      <c r="C627"/>
      <c r="D627"/>
      <c r="E627" s="158"/>
      <c r="F627" s="158"/>
    </row>
    <row r="628" spans="2:6">
      <c r="B628"/>
      <c r="C628"/>
      <c r="D628"/>
      <c r="E628" s="158"/>
      <c r="F628" s="158"/>
    </row>
    <row r="629" spans="2:6">
      <c r="B629"/>
      <c r="C629"/>
      <c r="D629"/>
      <c r="E629" s="158"/>
      <c r="F629" s="158"/>
    </row>
    <row r="630" spans="2:6">
      <c r="B630"/>
      <c r="C630"/>
      <c r="D630"/>
      <c r="E630" s="158"/>
      <c r="F630" s="158"/>
    </row>
    <row r="631" spans="2:6">
      <c r="B631"/>
      <c r="C631"/>
      <c r="D631"/>
      <c r="E631" s="158"/>
      <c r="F631" s="158"/>
    </row>
    <row r="632" spans="2:6">
      <c r="B632"/>
      <c r="C632"/>
      <c r="D632"/>
      <c r="E632" s="158"/>
      <c r="F632" s="158"/>
    </row>
    <row r="633" spans="2:6">
      <c r="B633"/>
      <c r="C633"/>
      <c r="D633"/>
      <c r="E633" s="158"/>
      <c r="F633" s="158"/>
    </row>
    <row r="634" spans="2:6">
      <c r="B634"/>
      <c r="C634"/>
      <c r="D634"/>
      <c r="E634" s="158"/>
      <c r="F634" s="158"/>
    </row>
    <row r="635" spans="2:6">
      <c r="B635"/>
      <c r="C635"/>
      <c r="D635"/>
      <c r="E635" s="158"/>
      <c r="F635" s="158"/>
    </row>
    <row r="636" spans="2:6">
      <c r="B636"/>
      <c r="C636"/>
      <c r="D636"/>
      <c r="E636" s="158"/>
      <c r="F636" s="158"/>
    </row>
    <row r="637" spans="2:6">
      <c r="B637"/>
      <c r="C637"/>
      <c r="D637"/>
      <c r="E637" s="158"/>
      <c r="F637" s="158"/>
    </row>
    <row r="638" spans="2:6">
      <c r="B638"/>
      <c r="C638"/>
      <c r="D638"/>
      <c r="E638" s="158"/>
      <c r="F638" s="158"/>
    </row>
    <row r="639" spans="2:6">
      <c r="B639"/>
      <c r="C639"/>
      <c r="D639"/>
      <c r="E639" s="158"/>
      <c r="F639" s="158"/>
    </row>
    <row r="640" spans="2:6">
      <c r="B640"/>
      <c r="C640"/>
      <c r="D640"/>
      <c r="E640" s="158"/>
      <c r="F640" s="158"/>
    </row>
    <row r="641" spans="2:6">
      <c r="B641"/>
      <c r="C641"/>
      <c r="D641"/>
      <c r="E641" s="158"/>
      <c r="F641" s="158"/>
    </row>
    <row r="642" spans="2:6">
      <c r="B642"/>
      <c r="C642"/>
      <c r="D642"/>
      <c r="E642" s="158"/>
      <c r="F642" s="158"/>
    </row>
    <row r="643" spans="2:6">
      <c r="B643"/>
      <c r="C643"/>
      <c r="D643"/>
      <c r="E643" s="158"/>
      <c r="F643" s="158"/>
    </row>
    <row r="644" spans="2:6">
      <c r="B644"/>
      <c r="C644"/>
      <c r="D644"/>
      <c r="E644" s="158"/>
      <c r="F644" s="158"/>
    </row>
    <row r="645" spans="2:6">
      <c r="B645"/>
      <c r="C645"/>
      <c r="D645"/>
      <c r="E645" s="158"/>
      <c r="F645" s="158"/>
    </row>
    <row r="646" spans="2:6">
      <c r="B646"/>
      <c r="C646"/>
      <c r="D646"/>
      <c r="E646" s="158"/>
      <c r="F646" s="158"/>
    </row>
    <row r="647" spans="2:6">
      <c r="B647"/>
      <c r="C647"/>
      <c r="D647"/>
      <c r="E647" s="158"/>
      <c r="F647" s="158"/>
    </row>
    <row r="648" spans="2:6">
      <c r="B648"/>
      <c r="C648"/>
      <c r="D648"/>
      <c r="E648" s="158"/>
      <c r="F648" s="158"/>
    </row>
    <row r="649" spans="2:6">
      <c r="B649"/>
      <c r="C649"/>
      <c r="D649"/>
      <c r="E649" s="158"/>
      <c r="F649" s="158"/>
    </row>
    <row r="650" spans="2:6">
      <c r="B650"/>
      <c r="C650"/>
      <c r="D650"/>
      <c r="E650" s="158"/>
      <c r="F650" s="158"/>
    </row>
    <row r="651" spans="2:6">
      <c r="B651"/>
      <c r="C651"/>
      <c r="D651"/>
      <c r="E651" s="158"/>
      <c r="F651" s="158"/>
    </row>
    <row r="652" spans="2:6">
      <c r="B652"/>
      <c r="C652"/>
      <c r="D652"/>
      <c r="E652" s="158"/>
      <c r="F652" s="158"/>
    </row>
    <row r="653" spans="2:6">
      <c r="B653"/>
      <c r="C653"/>
      <c r="D653"/>
      <c r="E653" s="158"/>
      <c r="F653" s="158"/>
    </row>
    <row r="654" spans="2:6">
      <c r="B654"/>
      <c r="C654"/>
      <c r="D654"/>
      <c r="E654" s="158"/>
      <c r="F654" s="158"/>
    </row>
    <row r="655" spans="2:6">
      <c r="B655"/>
      <c r="C655"/>
      <c r="D655"/>
      <c r="E655" s="158"/>
      <c r="F655" s="158"/>
    </row>
    <row r="656" spans="2:6">
      <c r="B656"/>
      <c r="C656"/>
      <c r="D656"/>
      <c r="E656" s="158"/>
      <c r="F656" s="158"/>
    </row>
    <row r="657" spans="2:6">
      <c r="B657"/>
      <c r="C657"/>
      <c r="D657"/>
      <c r="E657" s="158"/>
      <c r="F657" s="158"/>
    </row>
    <row r="658" spans="2:6">
      <c r="B658"/>
      <c r="C658"/>
      <c r="D658"/>
      <c r="E658" s="158"/>
      <c r="F658" s="158"/>
    </row>
    <row r="659" spans="2:6">
      <c r="B659"/>
      <c r="C659"/>
      <c r="D659"/>
      <c r="E659" s="158"/>
      <c r="F659" s="158"/>
    </row>
    <row r="660" spans="2:6">
      <c r="B660"/>
      <c r="C660"/>
      <c r="D660"/>
      <c r="E660" s="158"/>
      <c r="F660" s="158"/>
    </row>
    <row r="661" spans="2:6">
      <c r="B661"/>
      <c r="C661"/>
      <c r="D661"/>
      <c r="E661" s="158"/>
      <c r="F661" s="158"/>
    </row>
    <row r="662" spans="2:6">
      <c r="B662"/>
      <c r="C662"/>
      <c r="D662"/>
      <c r="E662" s="158"/>
      <c r="F662" s="158"/>
    </row>
    <row r="663" spans="2:6">
      <c r="B663"/>
      <c r="C663"/>
      <c r="D663"/>
      <c r="E663" s="158"/>
      <c r="F663" s="158"/>
    </row>
    <row r="664" spans="2:6">
      <c r="B664"/>
      <c r="C664"/>
      <c r="D664"/>
      <c r="E664" s="158"/>
      <c r="F664" s="158"/>
    </row>
    <row r="665" spans="2:6">
      <c r="B665"/>
      <c r="C665"/>
      <c r="D665"/>
      <c r="E665" s="158"/>
      <c r="F665" s="158"/>
    </row>
    <row r="666" spans="2:6">
      <c r="B666"/>
      <c r="C666"/>
      <c r="D666"/>
      <c r="E666" s="158"/>
      <c r="F666" s="158"/>
    </row>
    <row r="667" spans="2:6">
      <c r="B667"/>
      <c r="C667"/>
      <c r="D667"/>
      <c r="E667" s="158"/>
      <c r="F667" s="158"/>
    </row>
    <row r="668" spans="2:6">
      <c r="B668"/>
      <c r="C668"/>
      <c r="D668"/>
      <c r="E668" s="158"/>
      <c r="F668" s="158"/>
    </row>
    <row r="669" spans="2:6">
      <c r="B669"/>
      <c r="C669"/>
      <c r="D669"/>
      <c r="E669" s="158"/>
      <c r="F669" s="158"/>
    </row>
    <row r="670" spans="2:6">
      <c r="B670"/>
      <c r="C670"/>
      <c r="D670"/>
      <c r="E670" s="158"/>
      <c r="F670" s="158"/>
    </row>
    <row r="671" spans="2:6">
      <c r="B671"/>
      <c r="C671"/>
      <c r="D671"/>
      <c r="E671" s="158"/>
      <c r="F671" s="158"/>
    </row>
    <row r="672" spans="2:6">
      <c r="B672"/>
      <c r="C672"/>
      <c r="D672"/>
      <c r="E672" s="158"/>
      <c r="F672" s="158"/>
    </row>
    <row r="673" spans="2:6">
      <c r="B673"/>
      <c r="C673"/>
      <c r="D673"/>
      <c r="E673" s="158"/>
      <c r="F673" s="158"/>
    </row>
    <row r="674" spans="2:6">
      <c r="B674"/>
      <c r="C674"/>
      <c r="D674"/>
      <c r="E674" s="158"/>
      <c r="F674" s="158"/>
    </row>
    <row r="675" spans="2:6">
      <c r="B675"/>
      <c r="C675"/>
      <c r="D675"/>
      <c r="E675" s="158"/>
      <c r="F675" s="158"/>
    </row>
    <row r="676" spans="2:6">
      <c r="B676"/>
      <c r="C676"/>
      <c r="D676"/>
      <c r="E676" s="158"/>
      <c r="F676" s="158"/>
    </row>
    <row r="677" spans="2:6">
      <c r="B677"/>
      <c r="C677"/>
      <c r="D677"/>
      <c r="E677" s="158"/>
      <c r="F677" s="158"/>
    </row>
    <row r="678" spans="2:6">
      <c r="B678"/>
      <c r="C678"/>
      <c r="D678"/>
      <c r="E678" s="158"/>
      <c r="F678" s="158"/>
    </row>
    <row r="679" spans="2:6">
      <c r="B679"/>
      <c r="C679"/>
      <c r="D679"/>
      <c r="E679" s="158"/>
      <c r="F679" s="158"/>
    </row>
    <row r="680" spans="2:6">
      <c r="B680"/>
      <c r="C680"/>
      <c r="D680"/>
      <c r="E680" s="158"/>
      <c r="F680" s="158"/>
    </row>
    <row r="681" spans="2:6">
      <c r="B681"/>
      <c r="C681"/>
      <c r="D681"/>
      <c r="E681" s="158"/>
      <c r="F681" s="158"/>
    </row>
    <row r="682" spans="2:6">
      <c r="B682"/>
      <c r="C682"/>
      <c r="D682"/>
      <c r="E682" s="158"/>
      <c r="F682" s="158"/>
    </row>
    <row r="683" spans="2:6">
      <c r="B683"/>
      <c r="C683"/>
      <c r="D683"/>
      <c r="E683" s="158"/>
      <c r="F683" s="158"/>
    </row>
    <row r="684" spans="2:6">
      <c r="B684"/>
      <c r="C684"/>
      <c r="D684"/>
      <c r="E684" s="158"/>
      <c r="F684" s="158"/>
    </row>
    <row r="685" spans="2:6">
      <c r="B685"/>
      <c r="C685"/>
      <c r="D685"/>
      <c r="E685" s="158"/>
      <c r="F685" s="158"/>
    </row>
    <row r="686" spans="2:6">
      <c r="B686"/>
      <c r="C686"/>
      <c r="D686"/>
      <c r="E686" s="158"/>
      <c r="F686" s="158"/>
    </row>
    <row r="687" spans="2:6">
      <c r="B687"/>
      <c r="C687"/>
      <c r="D687"/>
      <c r="E687" s="158"/>
      <c r="F687" s="158"/>
    </row>
    <row r="688" spans="2:6">
      <c r="B688"/>
      <c r="C688"/>
      <c r="D688"/>
      <c r="E688" s="158"/>
      <c r="F688" s="158"/>
    </row>
    <row r="689" spans="2:6">
      <c r="B689"/>
      <c r="C689"/>
      <c r="D689"/>
      <c r="E689" s="158"/>
      <c r="F689" s="158"/>
    </row>
    <row r="690" spans="2:6">
      <c r="B690"/>
      <c r="C690"/>
      <c r="D690"/>
      <c r="E690" s="158"/>
      <c r="F690" s="158"/>
    </row>
    <row r="691" spans="2:6">
      <c r="B691"/>
      <c r="C691"/>
      <c r="D691"/>
      <c r="E691" s="158"/>
      <c r="F691" s="158"/>
    </row>
    <row r="692" spans="2:6">
      <c r="B692"/>
      <c r="C692"/>
      <c r="D692"/>
      <c r="E692" s="158"/>
      <c r="F692" s="158"/>
    </row>
    <row r="693" spans="2:6">
      <c r="B693"/>
      <c r="C693"/>
      <c r="D693"/>
      <c r="E693" s="158"/>
      <c r="F693" s="158"/>
    </row>
    <row r="694" spans="2:6">
      <c r="B694"/>
      <c r="C694"/>
      <c r="D694"/>
      <c r="E694" s="158"/>
      <c r="F694" s="158"/>
    </row>
    <row r="695" spans="2:6">
      <c r="B695"/>
      <c r="C695"/>
      <c r="D695"/>
      <c r="E695" s="158"/>
      <c r="F695" s="158"/>
    </row>
    <row r="696" spans="2:6">
      <c r="B696"/>
      <c r="C696"/>
      <c r="D696"/>
      <c r="E696" s="158"/>
      <c r="F696" s="158"/>
    </row>
    <row r="697" spans="2:6">
      <c r="B697"/>
      <c r="C697"/>
      <c r="D697"/>
      <c r="E697" s="158"/>
      <c r="F697" s="158"/>
    </row>
    <row r="698" spans="2:6">
      <c r="B698"/>
      <c r="C698"/>
      <c r="D698"/>
      <c r="E698" s="158"/>
      <c r="F698" s="158"/>
    </row>
    <row r="699" spans="2:6">
      <c r="B699"/>
      <c r="C699"/>
      <c r="D699"/>
      <c r="E699" s="158"/>
      <c r="F699" s="158"/>
    </row>
    <row r="700" spans="2:6">
      <c r="B700"/>
      <c r="C700"/>
      <c r="D700"/>
      <c r="E700" s="158"/>
      <c r="F700" s="158"/>
    </row>
    <row r="701" spans="2:6">
      <c r="B701"/>
      <c r="C701"/>
      <c r="D701"/>
      <c r="E701" s="158"/>
      <c r="F701" s="158"/>
    </row>
    <row r="702" spans="2:6">
      <c r="B702"/>
      <c r="C702"/>
      <c r="D702"/>
      <c r="E702" s="158"/>
      <c r="F702" s="158"/>
    </row>
    <row r="703" spans="2:6">
      <c r="B703"/>
      <c r="C703"/>
      <c r="D703"/>
      <c r="E703" s="158"/>
      <c r="F703" s="158"/>
    </row>
    <row r="704" spans="2:6">
      <c r="B704"/>
      <c r="C704"/>
      <c r="D704"/>
      <c r="E704" s="158"/>
      <c r="F704" s="158"/>
    </row>
    <row r="705" spans="2:6">
      <c r="B705"/>
      <c r="C705"/>
      <c r="D705"/>
      <c r="E705" s="158"/>
      <c r="F705" s="158"/>
    </row>
    <row r="706" spans="2:6">
      <c r="B706"/>
      <c r="C706"/>
      <c r="D706"/>
      <c r="E706" s="158"/>
      <c r="F706" s="158"/>
    </row>
    <row r="707" spans="2:6">
      <c r="B707"/>
      <c r="C707"/>
      <c r="D707"/>
      <c r="E707" s="158"/>
      <c r="F707" s="158"/>
    </row>
    <row r="708" spans="2:6">
      <c r="B708"/>
      <c r="C708"/>
      <c r="D708"/>
      <c r="E708" s="158"/>
      <c r="F708" s="158"/>
    </row>
    <row r="709" spans="2:6">
      <c r="B709"/>
      <c r="C709"/>
      <c r="D709"/>
      <c r="E709" s="158"/>
      <c r="F709" s="158"/>
    </row>
    <row r="710" spans="2:6">
      <c r="B710"/>
      <c r="C710"/>
      <c r="D710"/>
      <c r="E710" s="158"/>
      <c r="F710" s="158"/>
    </row>
    <row r="711" spans="2:6">
      <c r="B711"/>
      <c r="C711"/>
      <c r="D711"/>
      <c r="E711" s="158"/>
      <c r="F711" s="158"/>
    </row>
    <row r="712" spans="2:6">
      <c r="B712"/>
      <c r="C712"/>
      <c r="D712"/>
      <c r="E712" s="158"/>
      <c r="F712" s="158"/>
    </row>
    <row r="713" spans="2:6">
      <c r="B713"/>
      <c r="C713"/>
      <c r="D713"/>
      <c r="E713" s="158"/>
      <c r="F713" s="158"/>
    </row>
    <row r="714" spans="2:6">
      <c r="B714"/>
      <c r="C714"/>
      <c r="D714"/>
      <c r="E714" s="158"/>
      <c r="F714" s="158"/>
    </row>
    <row r="715" spans="2:6">
      <c r="B715"/>
      <c r="C715"/>
      <c r="D715"/>
      <c r="E715" s="158"/>
      <c r="F715" s="158"/>
    </row>
    <row r="716" spans="2:6">
      <c r="B716"/>
      <c r="C716"/>
      <c r="D716"/>
      <c r="E716" s="158"/>
      <c r="F716" s="158"/>
    </row>
    <row r="717" spans="2:6">
      <c r="B717"/>
      <c r="C717"/>
      <c r="D717"/>
      <c r="E717" s="158"/>
      <c r="F717" s="158"/>
    </row>
    <row r="718" spans="2:6">
      <c r="B718"/>
      <c r="C718"/>
      <c r="D718"/>
      <c r="E718" s="158"/>
      <c r="F718" s="158"/>
    </row>
    <row r="719" spans="2:6">
      <c r="B719"/>
      <c r="C719"/>
      <c r="D719"/>
      <c r="E719" s="158"/>
      <c r="F719" s="158"/>
    </row>
    <row r="720" spans="2:6">
      <c r="B720"/>
      <c r="C720"/>
      <c r="D720"/>
      <c r="E720" s="158"/>
      <c r="F720" s="158"/>
    </row>
    <row r="721" spans="2:6">
      <c r="B721"/>
      <c r="C721"/>
      <c r="D721"/>
      <c r="E721" s="158"/>
      <c r="F721" s="158"/>
    </row>
    <row r="722" spans="2:6">
      <c r="B722"/>
      <c r="C722"/>
      <c r="D722"/>
      <c r="E722" s="158"/>
      <c r="F722" s="158"/>
    </row>
    <row r="723" spans="2:6">
      <c r="B723"/>
      <c r="C723"/>
      <c r="D723"/>
      <c r="E723" s="158"/>
      <c r="F723" s="158"/>
    </row>
    <row r="724" spans="2:6">
      <c r="B724"/>
      <c r="C724"/>
      <c r="D724"/>
      <c r="E724" s="158"/>
      <c r="F724" s="158"/>
    </row>
    <row r="725" spans="2:6">
      <c r="B725"/>
      <c r="C725"/>
      <c r="D725"/>
      <c r="E725" s="158"/>
      <c r="F725" s="158"/>
    </row>
    <row r="726" spans="2:6">
      <c r="B726"/>
      <c r="C726"/>
      <c r="D726"/>
      <c r="E726" s="158"/>
      <c r="F726" s="158"/>
    </row>
    <row r="727" spans="2:6">
      <c r="B727"/>
      <c r="C727"/>
      <c r="D727"/>
      <c r="E727" s="158"/>
      <c r="F727" s="158"/>
    </row>
    <row r="728" spans="2:6">
      <c r="B728"/>
      <c r="C728"/>
      <c r="D728"/>
      <c r="E728" s="158"/>
      <c r="F728" s="158"/>
    </row>
    <row r="729" spans="2:6">
      <c r="B729"/>
      <c r="C729"/>
      <c r="D729"/>
      <c r="E729" s="158"/>
      <c r="F729" s="158"/>
    </row>
    <row r="730" spans="2:6">
      <c r="B730"/>
      <c r="C730"/>
      <c r="D730"/>
      <c r="E730" s="158"/>
      <c r="F730" s="158"/>
    </row>
    <row r="731" spans="2:6">
      <c r="B731"/>
      <c r="C731"/>
      <c r="D731"/>
      <c r="E731" s="158"/>
      <c r="F731" s="158"/>
    </row>
    <row r="732" spans="2:6">
      <c r="B732"/>
      <c r="C732"/>
      <c r="D732"/>
      <c r="E732" s="158"/>
      <c r="F732" s="158"/>
    </row>
    <row r="733" spans="2:6">
      <c r="B733"/>
      <c r="C733"/>
      <c r="D733"/>
      <c r="E733" s="158"/>
      <c r="F733" s="158"/>
    </row>
    <row r="734" spans="2:6">
      <c r="B734"/>
      <c r="C734"/>
      <c r="D734"/>
      <c r="E734" s="158"/>
      <c r="F734" s="158"/>
    </row>
    <row r="735" spans="2:6">
      <c r="B735"/>
      <c r="C735"/>
      <c r="D735"/>
      <c r="E735" s="158"/>
      <c r="F735" s="158"/>
    </row>
    <row r="736" spans="2:6">
      <c r="B736"/>
      <c r="C736"/>
      <c r="D736"/>
      <c r="E736" s="158"/>
      <c r="F736" s="158"/>
    </row>
    <row r="737" spans="2:6">
      <c r="B737"/>
      <c r="C737"/>
      <c r="D737"/>
      <c r="E737" s="158"/>
      <c r="F737" s="158"/>
    </row>
    <row r="738" spans="2:6">
      <c r="B738"/>
      <c r="C738"/>
      <c r="D738"/>
      <c r="E738" s="158"/>
      <c r="F738" s="158"/>
    </row>
    <row r="739" spans="2:6">
      <c r="B739"/>
      <c r="C739"/>
      <c r="D739"/>
      <c r="E739" s="158"/>
      <c r="F739" s="158"/>
    </row>
    <row r="740" spans="2:6">
      <c r="B740"/>
      <c r="C740"/>
      <c r="D740"/>
      <c r="E740" s="158"/>
      <c r="F740" s="158"/>
    </row>
    <row r="741" spans="2:6">
      <c r="B741"/>
      <c r="C741"/>
      <c r="D741"/>
      <c r="E741" s="158"/>
      <c r="F741" s="158"/>
    </row>
    <row r="742" spans="2:6">
      <c r="B742"/>
      <c r="C742"/>
      <c r="D742"/>
      <c r="E742" s="158"/>
      <c r="F742" s="158"/>
    </row>
    <row r="743" spans="2:6">
      <c r="B743"/>
      <c r="C743"/>
      <c r="D743"/>
      <c r="E743" s="158"/>
      <c r="F743" s="158"/>
    </row>
    <row r="744" spans="2:6">
      <c r="B744"/>
      <c r="C744"/>
      <c r="D744"/>
      <c r="E744" s="158"/>
      <c r="F744" s="158"/>
    </row>
    <row r="745" spans="2:6">
      <c r="B745"/>
      <c r="C745"/>
      <c r="D745"/>
      <c r="E745" s="158"/>
      <c r="F745" s="158"/>
    </row>
    <row r="746" spans="2:6">
      <c r="B746"/>
      <c r="C746"/>
      <c r="D746"/>
      <c r="E746" s="158"/>
      <c r="F746" s="158"/>
    </row>
    <row r="747" spans="2:6">
      <c r="B747"/>
      <c r="C747"/>
      <c r="D747"/>
      <c r="E747" s="158"/>
      <c r="F747" s="158"/>
    </row>
    <row r="748" spans="2:6">
      <c r="B748"/>
      <c r="C748"/>
      <c r="D748"/>
      <c r="E748" s="158"/>
      <c r="F748" s="158"/>
    </row>
    <row r="749" spans="2:6">
      <c r="B749"/>
      <c r="C749"/>
      <c r="D749"/>
      <c r="E749" s="158"/>
      <c r="F749" s="158"/>
    </row>
    <row r="750" spans="2:6">
      <c r="B750"/>
      <c r="C750"/>
      <c r="D750"/>
      <c r="E750" s="158"/>
      <c r="F750" s="158"/>
    </row>
    <row r="751" spans="2:6">
      <c r="B751"/>
      <c r="C751"/>
      <c r="D751"/>
      <c r="E751" s="158"/>
      <c r="F751" s="158"/>
    </row>
    <row r="752" spans="2:6">
      <c r="B752"/>
      <c r="C752"/>
      <c r="D752"/>
      <c r="E752" s="158"/>
      <c r="F752" s="158"/>
    </row>
    <row r="753" spans="2:6">
      <c r="B753"/>
      <c r="C753"/>
      <c r="D753"/>
      <c r="E753" s="158"/>
      <c r="F753" s="158"/>
    </row>
    <row r="754" spans="2:6">
      <c r="B754"/>
      <c r="C754"/>
      <c r="D754"/>
      <c r="E754" s="158"/>
      <c r="F754" s="158"/>
    </row>
    <row r="755" spans="2:6">
      <c r="B755"/>
      <c r="C755"/>
      <c r="D755"/>
      <c r="E755" s="158"/>
      <c r="F755" s="158"/>
    </row>
    <row r="756" spans="2:6">
      <c r="B756"/>
      <c r="C756"/>
      <c r="D756"/>
      <c r="E756" s="158"/>
      <c r="F756" s="158"/>
    </row>
    <row r="757" spans="2:6">
      <c r="B757"/>
      <c r="C757"/>
      <c r="D757"/>
      <c r="E757" s="158"/>
      <c r="F757" s="158"/>
    </row>
    <row r="758" spans="2:6">
      <c r="B758"/>
      <c r="C758"/>
      <c r="D758"/>
      <c r="E758" s="158"/>
      <c r="F758" s="158"/>
    </row>
    <row r="759" spans="2:6">
      <c r="B759"/>
      <c r="C759"/>
      <c r="D759"/>
      <c r="E759" s="158"/>
      <c r="F759" s="158"/>
    </row>
    <row r="760" spans="2:6">
      <c r="B760"/>
      <c r="C760"/>
      <c r="D760"/>
      <c r="E760" s="158"/>
      <c r="F760" s="158"/>
    </row>
    <row r="761" spans="2:6">
      <c r="B761"/>
      <c r="C761"/>
      <c r="D761"/>
      <c r="E761" s="158"/>
      <c r="F761" s="158"/>
    </row>
    <row r="762" spans="2:6">
      <c r="B762"/>
      <c r="C762"/>
      <c r="D762"/>
      <c r="E762" s="158"/>
      <c r="F762" s="158"/>
    </row>
    <row r="763" spans="2:6">
      <c r="B763"/>
      <c r="C763"/>
      <c r="D763"/>
      <c r="E763" s="158"/>
      <c r="F763" s="158"/>
    </row>
    <row r="764" spans="2:6">
      <c r="B764"/>
      <c r="C764"/>
      <c r="D764"/>
      <c r="E764" s="158"/>
      <c r="F764" s="158"/>
    </row>
    <row r="765" spans="2:6">
      <c r="B765"/>
      <c r="C765"/>
      <c r="D765"/>
      <c r="E765" s="158"/>
      <c r="F765" s="158"/>
    </row>
    <row r="766" spans="2:6">
      <c r="B766"/>
      <c r="C766"/>
      <c r="D766"/>
      <c r="E766" s="158"/>
      <c r="F766" s="158"/>
    </row>
    <row r="767" spans="2:6">
      <c r="B767"/>
      <c r="C767"/>
      <c r="D767"/>
      <c r="E767" s="158"/>
      <c r="F767" s="158"/>
    </row>
    <row r="768" spans="2:6">
      <c r="B768"/>
      <c r="C768"/>
      <c r="D768"/>
      <c r="E768" s="158"/>
      <c r="F768" s="158"/>
    </row>
    <row r="769" spans="2:6">
      <c r="B769"/>
      <c r="C769"/>
      <c r="D769"/>
      <c r="E769" s="158"/>
      <c r="F769" s="158"/>
    </row>
    <row r="770" spans="2:6">
      <c r="B770"/>
      <c r="C770"/>
      <c r="D770"/>
      <c r="E770" s="158"/>
      <c r="F770" s="158"/>
    </row>
    <row r="771" spans="2:6">
      <c r="B771"/>
      <c r="C771"/>
      <c r="D771"/>
      <c r="E771" s="158"/>
      <c r="F771" s="158"/>
    </row>
    <row r="772" spans="2:6">
      <c r="B772"/>
      <c r="C772"/>
      <c r="D772"/>
      <c r="E772" s="158"/>
      <c r="F772" s="158"/>
    </row>
    <row r="773" spans="2:6">
      <c r="B773"/>
      <c r="C773"/>
      <c r="D773"/>
      <c r="E773" s="158"/>
      <c r="F773" s="158"/>
    </row>
    <row r="774" spans="2:6">
      <c r="B774"/>
      <c r="C774"/>
      <c r="D774"/>
      <c r="E774" s="158"/>
      <c r="F774" s="158"/>
    </row>
    <row r="775" spans="2:6">
      <c r="B775"/>
      <c r="C775"/>
      <c r="D775"/>
      <c r="E775" s="158"/>
      <c r="F775" s="158"/>
    </row>
    <row r="776" spans="2:6">
      <c r="B776"/>
      <c r="C776"/>
      <c r="D776"/>
      <c r="E776" s="158"/>
      <c r="F776" s="158"/>
    </row>
    <row r="777" spans="2:6">
      <c r="B777"/>
      <c r="C777"/>
      <c r="D777"/>
      <c r="E777" s="158"/>
      <c r="F777" s="158"/>
    </row>
    <row r="778" spans="2:6">
      <c r="B778"/>
      <c r="C778"/>
      <c r="D778"/>
      <c r="E778" s="158"/>
      <c r="F778" s="158"/>
    </row>
    <row r="779" spans="2:6">
      <c r="B779"/>
      <c r="C779"/>
      <c r="D779"/>
      <c r="E779" s="158"/>
      <c r="F779" s="158"/>
    </row>
    <row r="780" spans="2:6">
      <c r="B780"/>
      <c r="C780"/>
      <c r="D780"/>
      <c r="E780" s="158"/>
      <c r="F780" s="158"/>
    </row>
    <row r="781" spans="2:6">
      <c r="B781"/>
      <c r="C781"/>
      <c r="D781"/>
      <c r="E781" s="158"/>
      <c r="F781" s="158"/>
    </row>
    <row r="782" spans="2:6">
      <c r="B782"/>
      <c r="C782"/>
      <c r="D782"/>
      <c r="E782" s="158"/>
      <c r="F782" s="158"/>
    </row>
    <row r="783" spans="2:6">
      <c r="B783"/>
      <c r="C783"/>
      <c r="D783"/>
      <c r="E783" s="158"/>
      <c r="F783" s="158"/>
    </row>
    <row r="784" spans="2:6">
      <c r="B784"/>
      <c r="C784"/>
      <c r="D784"/>
      <c r="E784" s="158"/>
      <c r="F784" s="158"/>
    </row>
    <row r="785" spans="2:6">
      <c r="B785"/>
      <c r="C785"/>
      <c r="D785"/>
      <c r="E785" s="158"/>
      <c r="F785" s="158"/>
    </row>
    <row r="786" spans="2:6">
      <c r="B786"/>
      <c r="C786"/>
      <c r="D786"/>
      <c r="E786" s="158"/>
      <c r="F786" s="158"/>
    </row>
    <row r="787" spans="2:6">
      <c r="B787"/>
      <c r="C787"/>
      <c r="D787"/>
      <c r="E787" s="158"/>
      <c r="F787" s="158"/>
    </row>
    <row r="788" spans="2:6">
      <c r="B788"/>
      <c r="C788"/>
      <c r="D788"/>
      <c r="E788" s="158"/>
      <c r="F788" s="158"/>
    </row>
    <row r="789" spans="2:6">
      <c r="B789"/>
      <c r="C789"/>
      <c r="D789"/>
      <c r="E789" s="158"/>
      <c r="F789" s="158"/>
    </row>
    <row r="790" spans="2:6">
      <c r="B790"/>
      <c r="C790"/>
      <c r="D790"/>
      <c r="E790" s="158"/>
      <c r="F790" s="158"/>
    </row>
    <row r="791" spans="2:6">
      <c r="B791"/>
      <c r="C791"/>
      <c r="D791"/>
      <c r="E791" s="158"/>
      <c r="F791" s="158"/>
    </row>
    <row r="792" spans="2:6">
      <c r="B792"/>
      <c r="C792"/>
      <c r="D792"/>
      <c r="E792" s="158"/>
      <c r="F792" s="158"/>
    </row>
    <row r="793" spans="2:6">
      <c r="B793"/>
      <c r="C793"/>
      <c r="D793"/>
      <c r="E793" s="158"/>
      <c r="F793" s="158"/>
    </row>
    <row r="794" spans="2:6">
      <c r="B794"/>
      <c r="C794"/>
      <c r="D794"/>
      <c r="E794" s="158"/>
      <c r="F794" s="158"/>
    </row>
    <row r="795" spans="2:6">
      <c r="B795"/>
      <c r="C795"/>
      <c r="D795"/>
      <c r="E795" s="158"/>
      <c r="F795" s="158"/>
    </row>
    <row r="796" spans="2:6">
      <c r="B796"/>
      <c r="C796"/>
      <c r="D796"/>
      <c r="E796" s="158"/>
      <c r="F796" s="158"/>
    </row>
    <row r="797" spans="2:6">
      <c r="B797"/>
      <c r="C797"/>
      <c r="D797"/>
      <c r="E797" s="158"/>
      <c r="F797" s="158"/>
    </row>
    <row r="798" spans="2:6">
      <c r="B798"/>
      <c r="C798"/>
      <c r="D798"/>
      <c r="E798" s="158"/>
      <c r="F798" s="158"/>
    </row>
    <row r="799" spans="2:6">
      <c r="B799"/>
      <c r="C799"/>
      <c r="D799"/>
      <c r="E799" s="158"/>
      <c r="F799" s="158"/>
    </row>
    <row r="800" spans="2:6">
      <c r="B800"/>
      <c r="C800"/>
      <c r="D800"/>
      <c r="E800" s="158"/>
      <c r="F800" s="158"/>
    </row>
    <row r="801" spans="2:6">
      <c r="B801"/>
      <c r="C801"/>
      <c r="D801"/>
      <c r="E801" s="158"/>
      <c r="F801" s="158"/>
    </row>
    <row r="802" spans="2:6">
      <c r="B802"/>
      <c r="C802"/>
      <c r="D802"/>
      <c r="E802" s="158"/>
      <c r="F802" s="158"/>
    </row>
    <row r="803" spans="2:6">
      <c r="B803"/>
      <c r="C803"/>
      <c r="D803"/>
      <c r="E803" s="158"/>
      <c r="F803" s="158"/>
    </row>
    <row r="804" spans="2:6">
      <c r="B804"/>
      <c r="C804"/>
      <c r="D804"/>
      <c r="E804" s="158"/>
      <c r="F804" s="158"/>
    </row>
    <row r="805" spans="2:6">
      <c r="B805"/>
      <c r="C805"/>
      <c r="D805"/>
      <c r="E805" s="158"/>
      <c r="F805" s="158"/>
    </row>
    <row r="806" spans="2:6">
      <c r="B806"/>
      <c r="C806"/>
      <c r="D806"/>
      <c r="E806" s="158"/>
      <c r="F806" s="158"/>
    </row>
    <row r="807" spans="2:6">
      <c r="B807"/>
      <c r="C807"/>
      <c r="D807"/>
      <c r="E807" s="158"/>
      <c r="F807" s="158"/>
    </row>
    <row r="808" spans="2:6">
      <c r="B808"/>
      <c r="C808"/>
      <c r="D808"/>
      <c r="E808" s="158"/>
      <c r="F808" s="158"/>
    </row>
    <row r="809" spans="2:6">
      <c r="B809"/>
      <c r="C809"/>
      <c r="D809"/>
      <c r="E809" s="158"/>
      <c r="F809" s="158"/>
    </row>
    <row r="810" spans="2:6">
      <c r="B810"/>
      <c r="C810"/>
      <c r="D810"/>
      <c r="E810" s="158"/>
      <c r="F810" s="158"/>
    </row>
    <row r="811" spans="2:6">
      <c r="B811"/>
      <c r="C811"/>
      <c r="D811"/>
      <c r="E811" s="158"/>
      <c r="F811" s="158"/>
    </row>
    <row r="812" spans="2:6">
      <c r="B812"/>
      <c r="C812"/>
      <c r="D812"/>
      <c r="E812" s="158"/>
      <c r="F812" s="158"/>
    </row>
    <row r="813" spans="2:6">
      <c r="B813"/>
      <c r="C813"/>
      <c r="D813"/>
      <c r="E813" s="158"/>
      <c r="F813" s="158"/>
    </row>
    <row r="814" spans="2:6">
      <c r="B814"/>
      <c r="C814"/>
      <c r="D814"/>
      <c r="E814" s="158"/>
      <c r="F814" s="158"/>
    </row>
    <row r="815" spans="2:6">
      <c r="B815"/>
      <c r="C815"/>
      <c r="D815"/>
      <c r="E815" s="158"/>
      <c r="F815" s="158"/>
    </row>
    <row r="816" spans="2:6">
      <c r="B816"/>
      <c r="C816"/>
      <c r="D816"/>
      <c r="E816" s="158"/>
      <c r="F816" s="158"/>
    </row>
    <row r="817" spans="2:6">
      <c r="B817"/>
      <c r="C817"/>
      <c r="D817"/>
      <c r="E817" s="158"/>
      <c r="F817" s="158"/>
    </row>
    <row r="818" spans="2:6">
      <c r="B818"/>
      <c r="C818"/>
      <c r="D818"/>
      <c r="E818" s="158"/>
      <c r="F818" s="158"/>
    </row>
    <row r="819" spans="2:6">
      <c r="B819"/>
      <c r="C819"/>
      <c r="D819"/>
      <c r="E819" s="158"/>
      <c r="F819" s="158"/>
    </row>
    <row r="820" spans="2:6">
      <c r="B820"/>
      <c r="C820"/>
      <c r="D820"/>
      <c r="E820" s="158"/>
      <c r="F820" s="158"/>
    </row>
    <row r="821" spans="2:6">
      <c r="B821"/>
      <c r="C821"/>
      <c r="D821"/>
      <c r="E821" s="158"/>
      <c r="F821" s="158"/>
    </row>
    <row r="822" spans="2:6">
      <c r="B822"/>
      <c r="C822"/>
      <c r="D822"/>
      <c r="E822" s="158"/>
      <c r="F822" s="158"/>
    </row>
    <row r="823" spans="2:6">
      <c r="B823"/>
      <c r="C823"/>
      <c r="D823"/>
      <c r="E823" s="158"/>
      <c r="F823" s="158"/>
    </row>
    <row r="824" spans="2:6">
      <c r="B824"/>
      <c r="C824"/>
      <c r="D824"/>
      <c r="E824" s="158"/>
      <c r="F824" s="158"/>
    </row>
    <row r="825" spans="2:6">
      <c r="B825"/>
      <c r="C825"/>
      <c r="D825"/>
      <c r="E825" s="158"/>
      <c r="F825" s="158"/>
    </row>
    <row r="826" spans="2:6">
      <c r="B826"/>
      <c r="C826"/>
      <c r="D826"/>
      <c r="E826" s="158"/>
      <c r="F826" s="158"/>
    </row>
    <row r="827" spans="2:6">
      <c r="B827"/>
      <c r="C827"/>
      <c r="D827"/>
      <c r="E827" s="158"/>
      <c r="F827" s="158"/>
    </row>
    <row r="828" spans="2:6">
      <c r="B828"/>
      <c r="C828"/>
      <c r="D828"/>
      <c r="E828" s="158"/>
      <c r="F828" s="158"/>
    </row>
    <row r="829" spans="2:6">
      <c r="B829"/>
      <c r="C829"/>
      <c r="D829"/>
      <c r="E829" s="158"/>
      <c r="F829" s="158"/>
    </row>
    <row r="830" spans="2:6">
      <c r="B830"/>
      <c r="C830"/>
      <c r="D830"/>
      <c r="E830" s="158"/>
      <c r="F830" s="158"/>
    </row>
    <row r="831" spans="2:6">
      <c r="B831"/>
      <c r="C831"/>
      <c r="D831"/>
      <c r="E831" s="158"/>
      <c r="F831" s="158"/>
    </row>
    <row r="832" spans="2:6">
      <c r="B832"/>
      <c r="C832"/>
      <c r="D832"/>
      <c r="E832" s="158"/>
      <c r="F832" s="158"/>
    </row>
    <row r="833" spans="2:6">
      <c r="B833"/>
      <c r="C833"/>
      <c r="D833"/>
      <c r="E833" s="158"/>
      <c r="F833" s="158"/>
    </row>
    <row r="834" spans="2:6">
      <c r="B834"/>
      <c r="C834"/>
      <c r="D834"/>
      <c r="E834" s="158"/>
      <c r="F834" s="158"/>
    </row>
    <row r="835" spans="2:6">
      <c r="B835"/>
      <c r="C835"/>
      <c r="D835"/>
      <c r="E835" s="158"/>
      <c r="F835" s="158"/>
    </row>
    <row r="836" spans="2:6">
      <c r="B836"/>
      <c r="C836"/>
      <c r="D836"/>
      <c r="E836" s="158"/>
      <c r="F836" s="158"/>
    </row>
    <row r="837" spans="2:6">
      <c r="B837"/>
      <c r="C837"/>
      <c r="D837"/>
      <c r="E837" s="158"/>
      <c r="F837" s="158"/>
    </row>
    <row r="838" spans="2:6">
      <c r="B838"/>
      <c r="C838"/>
      <c r="D838"/>
      <c r="E838" s="158"/>
      <c r="F838" s="158"/>
    </row>
    <row r="839" spans="2:6">
      <c r="B839"/>
      <c r="C839"/>
      <c r="D839"/>
      <c r="E839" s="158"/>
      <c r="F839" s="158"/>
    </row>
    <row r="840" spans="2:6">
      <c r="B840"/>
      <c r="C840"/>
      <c r="D840" s="158"/>
      <c r="E840" s="158"/>
      <c r="F840" s="158"/>
    </row>
    <row r="841" spans="2:6">
      <c r="B841"/>
      <c r="C841"/>
      <c r="D841" s="158"/>
      <c r="E841" s="158"/>
      <c r="F841" s="158"/>
    </row>
    <row r="842" spans="2:6">
      <c r="B842"/>
      <c r="C842"/>
      <c r="D842" s="158"/>
      <c r="E842" s="158"/>
      <c r="F842" s="158"/>
    </row>
    <row r="843" spans="2:6">
      <c r="B843"/>
      <c r="C843"/>
      <c r="D843" s="158"/>
      <c r="E843" s="158"/>
      <c r="F843" s="158"/>
    </row>
    <row r="844" spans="2:6">
      <c r="B844"/>
      <c r="C844"/>
      <c r="D844" s="158"/>
      <c r="E844" s="158"/>
      <c r="F844" s="158"/>
    </row>
    <row r="845" spans="2:6">
      <c r="B845"/>
      <c r="C845"/>
      <c r="D845" s="158"/>
      <c r="E845" s="158"/>
      <c r="F845" s="158"/>
    </row>
    <row r="846" spans="2:6">
      <c r="B846"/>
      <c r="C846"/>
      <c r="D846" s="158"/>
      <c r="E846" s="158"/>
      <c r="F846" s="158"/>
    </row>
    <row r="847" spans="2:6">
      <c r="B847"/>
      <c r="C847"/>
      <c r="D847" s="158"/>
      <c r="E847" s="158"/>
      <c r="F847" s="158"/>
    </row>
    <row r="848" spans="2:6">
      <c r="B848"/>
      <c r="C848"/>
      <c r="D848" s="158"/>
      <c r="E848" s="158"/>
      <c r="F848" s="158"/>
    </row>
    <row r="849" spans="2:6">
      <c r="B849"/>
      <c r="C849"/>
      <c r="D849" s="158"/>
      <c r="E849" s="158"/>
      <c r="F849" s="158"/>
    </row>
    <row r="850" spans="2:6">
      <c r="B850"/>
      <c r="C850"/>
      <c r="D850" s="158"/>
      <c r="E850" s="158"/>
      <c r="F850" s="158"/>
    </row>
    <row r="851" spans="2:6">
      <c r="B851"/>
      <c r="C851"/>
      <c r="D851" s="158"/>
      <c r="E851" s="158"/>
      <c r="F851" s="158"/>
    </row>
    <row r="852" spans="2:6">
      <c r="B852"/>
      <c r="C852"/>
      <c r="D852" s="158"/>
      <c r="E852" s="158"/>
      <c r="F852" s="158"/>
    </row>
    <row r="853" spans="2:6">
      <c r="B853"/>
      <c r="C853"/>
      <c r="D853" s="158"/>
      <c r="E853" s="158"/>
      <c r="F853" s="158"/>
    </row>
    <row r="854" spans="2:6">
      <c r="B854"/>
      <c r="C854"/>
      <c r="D854" s="158"/>
      <c r="E854" s="158"/>
      <c r="F854" s="158"/>
    </row>
    <row r="855" spans="2:6">
      <c r="B855"/>
      <c r="C855"/>
      <c r="D855" s="158"/>
      <c r="E855" s="158"/>
      <c r="F855" s="158"/>
    </row>
    <row r="856" spans="2:6">
      <c r="B856"/>
      <c r="C856"/>
      <c r="D856" s="158"/>
      <c r="E856" s="158"/>
      <c r="F856" s="158"/>
    </row>
    <row r="857" spans="2:6">
      <c r="B857"/>
      <c r="C857"/>
      <c r="D857" s="158"/>
      <c r="E857" s="158"/>
      <c r="F857" s="158"/>
    </row>
    <row r="858" spans="2:6">
      <c r="B858"/>
      <c r="C858"/>
      <c r="D858" s="158"/>
      <c r="E858" s="158"/>
      <c r="F858" s="158"/>
    </row>
    <row r="859" spans="2:6">
      <c r="B859"/>
      <c r="C859"/>
      <c r="D859" s="158"/>
      <c r="E859" s="158"/>
      <c r="F859" s="158"/>
    </row>
    <row r="860" spans="2:6">
      <c r="B860"/>
      <c r="C860"/>
      <c r="D860" s="158"/>
      <c r="E860" s="158"/>
      <c r="F860" s="158"/>
    </row>
    <row r="861" spans="2:6">
      <c r="B861"/>
      <c r="C861"/>
      <c r="D861" s="158"/>
      <c r="E861" s="158"/>
      <c r="F861" s="158"/>
    </row>
    <row r="862" spans="2:6">
      <c r="B862"/>
      <c r="C862"/>
      <c r="D862" s="158"/>
      <c r="E862" s="158"/>
      <c r="F862" s="158"/>
    </row>
    <row r="863" spans="2:6">
      <c r="B863"/>
      <c r="C863"/>
      <c r="D863" s="158"/>
      <c r="E863" s="158"/>
      <c r="F863" s="158"/>
    </row>
    <row r="864" spans="2:6">
      <c r="B864"/>
      <c r="C864"/>
      <c r="D864" s="158"/>
      <c r="E864" s="158"/>
      <c r="F864" s="158"/>
    </row>
    <row r="865" spans="2:6">
      <c r="B865"/>
      <c r="C865"/>
      <c r="D865" s="158"/>
      <c r="E865" s="158"/>
      <c r="F865" s="158"/>
    </row>
    <row r="866" spans="2:6">
      <c r="B866"/>
      <c r="C866"/>
      <c r="D866" s="158"/>
      <c r="E866" s="158"/>
      <c r="F866" s="158"/>
    </row>
    <row r="867" spans="2:6">
      <c r="B867"/>
      <c r="C867"/>
      <c r="D867" s="158"/>
      <c r="E867" s="158"/>
      <c r="F867" s="158"/>
    </row>
    <row r="868" spans="2:6">
      <c r="B868"/>
      <c r="C868"/>
      <c r="D868" s="158"/>
      <c r="E868" s="158"/>
      <c r="F868" s="158"/>
    </row>
    <row r="869" spans="2:6">
      <c r="B869"/>
      <c r="C869"/>
      <c r="D869" s="158"/>
      <c r="E869" s="158"/>
      <c r="F869" s="158"/>
    </row>
    <row r="870" spans="2:6">
      <c r="B870"/>
      <c r="C870"/>
      <c r="D870" s="158"/>
      <c r="E870" s="158"/>
      <c r="F870" s="158"/>
    </row>
    <row r="871" spans="2:6">
      <c r="B871"/>
      <c r="C871"/>
      <c r="D871" s="158"/>
      <c r="E871" s="158"/>
      <c r="F871" s="158"/>
    </row>
    <row r="872" spans="2:6">
      <c r="B872"/>
      <c r="C872"/>
      <c r="D872" s="158"/>
      <c r="E872" s="158"/>
      <c r="F872" s="158"/>
    </row>
    <row r="873" spans="2:6">
      <c r="B873"/>
      <c r="C873"/>
      <c r="D873" s="158"/>
      <c r="E873" s="158"/>
      <c r="F873" s="158"/>
    </row>
    <row r="874" spans="2:6">
      <c r="B874"/>
      <c r="C874"/>
      <c r="D874" s="158"/>
      <c r="E874" s="158"/>
      <c r="F874" s="158"/>
    </row>
    <row r="875" spans="2:6">
      <c r="B875"/>
      <c r="C875"/>
      <c r="D875" s="158"/>
      <c r="E875" s="158"/>
      <c r="F875" s="158"/>
    </row>
    <row r="876" spans="2:6">
      <c r="B876"/>
      <c r="C876"/>
      <c r="D876" s="158"/>
      <c r="E876" s="158"/>
      <c r="F876" s="158"/>
    </row>
    <row r="877" spans="2:6">
      <c r="B877"/>
      <c r="C877"/>
      <c r="D877" s="158"/>
      <c r="E877" s="158"/>
      <c r="F877" s="158"/>
    </row>
    <row r="878" spans="2:6">
      <c r="B878"/>
      <c r="C878"/>
      <c r="D878" s="158"/>
      <c r="E878" s="158"/>
      <c r="F878" s="158"/>
    </row>
    <row r="879" spans="2:6">
      <c r="B879"/>
      <c r="C879"/>
      <c r="D879" s="158"/>
      <c r="E879" s="158"/>
      <c r="F879" s="158"/>
    </row>
    <row r="880" spans="2:6">
      <c r="B880"/>
      <c r="C880"/>
      <c r="D880" s="158"/>
      <c r="E880" s="158"/>
      <c r="F880" s="158"/>
    </row>
    <row r="881" spans="2:6">
      <c r="B881"/>
      <c r="C881"/>
      <c r="D881" s="158"/>
      <c r="E881" s="158"/>
      <c r="F881" s="158"/>
    </row>
    <row r="882" spans="2:6">
      <c r="B882"/>
      <c r="C882"/>
      <c r="D882" s="158"/>
      <c r="E882" s="158"/>
      <c r="F882" s="158"/>
    </row>
    <row r="883" spans="2:6">
      <c r="B883"/>
      <c r="C883"/>
      <c r="D883" s="158"/>
      <c r="E883" s="158"/>
      <c r="F883" s="158"/>
    </row>
    <row r="884" spans="2:6">
      <c r="B884"/>
      <c r="C884"/>
      <c r="D884" s="158"/>
      <c r="E884" s="158"/>
      <c r="F884" s="158"/>
    </row>
    <row r="885" spans="2:6">
      <c r="B885"/>
      <c r="C885"/>
      <c r="D885" s="158"/>
      <c r="E885" s="158"/>
      <c r="F885" s="158"/>
    </row>
    <row r="886" spans="2:6">
      <c r="B886"/>
      <c r="C886"/>
      <c r="D886" s="158"/>
      <c r="E886" s="158"/>
      <c r="F886" s="158"/>
    </row>
    <row r="887" spans="2:6">
      <c r="B887"/>
      <c r="C887"/>
      <c r="D887" s="158"/>
      <c r="E887" s="158"/>
      <c r="F887" s="158"/>
    </row>
    <row r="888" spans="2:6">
      <c r="B888"/>
      <c r="C888"/>
      <c r="D888" s="158"/>
      <c r="E888" s="158"/>
      <c r="F888" s="158"/>
    </row>
    <row r="889" spans="2:6">
      <c r="B889"/>
      <c r="C889"/>
      <c r="D889" s="158"/>
      <c r="E889" s="158"/>
      <c r="F889" s="158"/>
    </row>
    <row r="890" spans="2:6">
      <c r="B890"/>
      <c r="C890"/>
      <c r="D890" s="158"/>
      <c r="E890" s="158"/>
      <c r="F890" s="158"/>
    </row>
    <row r="891" spans="2:6">
      <c r="B891"/>
      <c r="C891"/>
      <c r="D891" s="158"/>
      <c r="E891" s="158"/>
      <c r="F891" s="158"/>
    </row>
    <row r="892" spans="2:6">
      <c r="B892"/>
      <c r="C892"/>
      <c r="D892" s="158"/>
      <c r="E892" s="158"/>
      <c r="F892" s="158"/>
    </row>
    <row r="893" spans="2:6">
      <c r="B893"/>
      <c r="C893"/>
      <c r="D893" s="158"/>
      <c r="E893" s="158"/>
      <c r="F893" s="158"/>
    </row>
    <row r="894" spans="2:6">
      <c r="B894"/>
      <c r="C894"/>
      <c r="D894" s="158"/>
      <c r="E894" s="158"/>
      <c r="F894" s="158"/>
    </row>
    <row r="895" spans="2:6">
      <c r="B895"/>
      <c r="C895"/>
      <c r="D895" s="158"/>
      <c r="E895" s="158"/>
      <c r="F895" s="158"/>
    </row>
    <row r="896" spans="2:6">
      <c r="B896"/>
      <c r="C896"/>
      <c r="D896" s="158"/>
      <c r="E896" s="158"/>
      <c r="F896" s="158"/>
    </row>
    <row r="897" spans="2:6">
      <c r="B897"/>
      <c r="C897"/>
      <c r="D897" s="158"/>
      <c r="E897" s="158"/>
      <c r="F897" s="158"/>
    </row>
    <row r="898" spans="2:6">
      <c r="B898"/>
      <c r="C898"/>
      <c r="D898" s="158"/>
      <c r="E898" s="158"/>
      <c r="F898" s="158"/>
    </row>
    <row r="899" spans="2:6">
      <c r="B899"/>
      <c r="C899"/>
      <c r="D899" s="158"/>
      <c r="E899" s="158"/>
      <c r="F899" s="158"/>
    </row>
    <row r="900" spans="2:6">
      <c r="B900"/>
      <c r="C900"/>
      <c r="D900" s="158"/>
      <c r="E900" s="158"/>
      <c r="F900" s="158"/>
    </row>
    <row r="901" spans="2:6">
      <c r="B901"/>
      <c r="C901"/>
      <c r="D901" s="158"/>
      <c r="E901" s="158"/>
      <c r="F901" s="158"/>
    </row>
    <row r="902" spans="2:6">
      <c r="B902"/>
      <c r="C902"/>
      <c r="D902" s="158"/>
      <c r="E902" s="158"/>
      <c r="F902" s="158"/>
    </row>
    <row r="903" spans="2:6">
      <c r="B903"/>
      <c r="C903"/>
      <c r="D903" s="158"/>
      <c r="E903" s="158"/>
      <c r="F903" s="158"/>
    </row>
    <row r="904" spans="2:6">
      <c r="B904"/>
      <c r="C904"/>
      <c r="D904" s="158"/>
      <c r="E904" s="158"/>
      <c r="F904" s="158"/>
    </row>
    <row r="905" spans="2:6">
      <c r="B905"/>
      <c r="C905"/>
      <c r="D905" s="158"/>
      <c r="E905" s="158"/>
      <c r="F905" s="158"/>
    </row>
    <row r="906" spans="2:6">
      <c r="B906"/>
      <c r="C906"/>
      <c r="D906" s="158"/>
      <c r="E906" s="158"/>
      <c r="F906" s="158"/>
    </row>
    <row r="907" spans="2:6">
      <c r="B907"/>
      <c r="C907"/>
      <c r="D907" s="158"/>
      <c r="E907" s="158"/>
      <c r="F907" s="158"/>
    </row>
    <row r="908" spans="2:6">
      <c r="B908"/>
      <c r="C908"/>
      <c r="D908" s="158"/>
      <c r="E908" s="158"/>
      <c r="F908" s="158"/>
    </row>
    <row r="909" spans="2:6">
      <c r="B909"/>
      <c r="C909"/>
      <c r="D909" s="158"/>
      <c r="E909" s="158"/>
      <c r="F909" s="158"/>
    </row>
    <row r="910" spans="2:6">
      <c r="B910"/>
      <c r="C910"/>
      <c r="D910" s="158"/>
      <c r="E910" s="158"/>
      <c r="F910" s="158"/>
    </row>
    <row r="911" spans="2:6">
      <c r="B911"/>
      <c r="C911"/>
      <c r="D911" s="158"/>
      <c r="E911" s="158"/>
      <c r="F911" s="158"/>
    </row>
    <row r="912" spans="2:6">
      <c r="B912"/>
      <c r="C912"/>
      <c r="D912" s="158"/>
      <c r="E912" s="158"/>
      <c r="F912" s="158"/>
    </row>
    <row r="913" spans="2:6">
      <c r="B913"/>
      <c r="C913"/>
      <c r="D913" s="158"/>
      <c r="E913" s="158"/>
      <c r="F913" s="158"/>
    </row>
    <row r="914" spans="2:6">
      <c r="B914"/>
      <c r="C914"/>
      <c r="D914" s="158"/>
      <c r="E914" s="158"/>
      <c r="F914" s="158"/>
    </row>
    <row r="915" spans="2:6">
      <c r="B915"/>
      <c r="C915"/>
      <c r="D915" s="158"/>
      <c r="E915" s="158"/>
      <c r="F915" s="158"/>
    </row>
    <row r="916" spans="2:6">
      <c r="B916"/>
      <c r="C916"/>
      <c r="D916" s="158"/>
      <c r="E916" s="158"/>
      <c r="F916" s="158"/>
    </row>
    <row r="917" spans="2:6">
      <c r="B917"/>
      <c r="C917"/>
      <c r="D917" s="158"/>
      <c r="E917" s="158"/>
      <c r="F917" s="158"/>
    </row>
    <row r="918" spans="2:6">
      <c r="B918"/>
      <c r="C918"/>
      <c r="D918" s="158"/>
      <c r="E918" s="158"/>
      <c r="F918" s="158"/>
    </row>
    <row r="919" spans="2:6">
      <c r="B919"/>
      <c r="C919"/>
      <c r="D919" s="158"/>
      <c r="E919" s="158"/>
      <c r="F919" s="158"/>
    </row>
    <row r="920" spans="2:6">
      <c r="B920"/>
      <c r="C920"/>
      <c r="D920" s="158"/>
      <c r="E920" s="158"/>
      <c r="F920" s="158"/>
    </row>
    <row r="921" spans="2:6">
      <c r="B921"/>
      <c r="C921"/>
      <c r="D921" s="158"/>
      <c r="E921" s="158"/>
      <c r="F921" s="158"/>
    </row>
    <row r="922" spans="2:6">
      <c r="B922"/>
      <c r="C922"/>
      <c r="D922" s="158"/>
      <c r="E922" s="158"/>
      <c r="F922" s="158"/>
    </row>
    <row r="923" spans="2:6">
      <c r="B923"/>
      <c r="C923"/>
      <c r="D923" s="158"/>
      <c r="E923" s="158"/>
      <c r="F923" s="158"/>
    </row>
    <row r="924" spans="2:6">
      <c r="B924"/>
      <c r="C924"/>
      <c r="D924" s="158"/>
      <c r="E924" s="158"/>
      <c r="F924" s="158"/>
    </row>
    <row r="925" spans="2:6">
      <c r="B925"/>
      <c r="C925"/>
      <c r="D925" s="158"/>
      <c r="E925" s="158"/>
      <c r="F925" s="158"/>
    </row>
    <row r="926" spans="2:6">
      <c r="B926"/>
      <c r="C926"/>
      <c r="D926" s="158"/>
      <c r="E926" s="158"/>
      <c r="F926" s="158"/>
    </row>
    <row r="927" spans="2:6">
      <c r="B927"/>
      <c r="C927"/>
      <c r="D927" s="158"/>
      <c r="E927" s="158"/>
      <c r="F927" s="158"/>
    </row>
    <row r="928" spans="2:6">
      <c r="B928"/>
      <c r="C928"/>
      <c r="D928" s="158"/>
      <c r="E928" s="158"/>
      <c r="F928" s="158"/>
    </row>
    <row r="929" spans="2:6">
      <c r="B929"/>
      <c r="C929"/>
      <c r="D929" s="158"/>
      <c r="E929" s="158"/>
      <c r="F929" s="158"/>
    </row>
    <row r="930" spans="2:6">
      <c r="B930"/>
      <c r="C930"/>
      <c r="D930" s="158"/>
      <c r="E930" s="158"/>
      <c r="F930" s="158"/>
    </row>
    <row r="931" spans="2:6">
      <c r="B931"/>
      <c r="C931"/>
      <c r="D931" s="158"/>
      <c r="E931" s="158"/>
      <c r="F931" s="158"/>
    </row>
    <row r="932" spans="2:6">
      <c r="B932"/>
      <c r="C932"/>
      <c r="D932" s="158"/>
      <c r="E932" s="158"/>
      <c r="F932" s="158"/>
    </row>
    <row r="933" spans="2:6">
      <c r="B933"/>
      <c r="C933"/>
      <c r="D933" s="158"/>
      <c r="E933" s="158"/>
      <c r="F933" s="158"/>
    </row>
    <row r="934" spans="2:6">
      <c r="B934"/>
      <c r="C934"/>
      <c r="D934" s="158"/>
      <c r="E934" s="158"/>
      <c r="F934" s="158"/>
    </row>
    <row r="935" spans="2:6">
      <c r="B935"/>
      <c r="C935"/>
      <c r="D935" s="158"/>
      <c r="E935" s="158"/>
      <c r="F935" s="158"/>
    </row>
    <row r="936" spans="2:6">
      <c r="B936"/>
      <c r="C936"/>
      <c r="D936" s="158"/>
      <c r="E936" s="158"/>
      <c r="F936" s="158"/>
    </row>
    <row r="937" spans="2:6">
      <c r="B937"/>
      <c r="C937"/>
      <c r="D937" s="158"/>
      <c r="E937" s="158"/>
      <c r="F937" s="158"/>
    </row>
    <row r="938" spans="2:6">
      <c r="B938"/>
      <c r="C938"/>
      <c r="D938" s="158"/>
      <c r="E938" s="158"/>
      <c r="F938" s="158"/>
    </row>
    <row r="939" spans="2:6">
      <c r="B939"/>
      <c r="C939"/>
      <c r="D939" s="158"/>
      <c r="E939" s="158"/>
      <c r="F939" s="158"/>
    </row>
    <row r="940" spans="2:6">
      <c r="B940"/>
      <c r="C940"/>
      <c r="D940" s="158"/>
      <c r="E940" s="158"/>
      <c r="F940" s="158"/>
    </row>
    <row r="941" spans="2:6">
      <c r="B941"/>
      <c r="C941"/>
      <c r="D941" s="158"/>
      <c r="E941" s="158"/>
      <c r="F941" s="158"/>
    </row>
    <row r="942" spans="2:6">
      <c r="B942"/>
      <c r="C942"/>
      <c r="D942" s="158"/>
      <c r="E942" s="158"/>
      <c r="F942" s="158"/>
    </row>
    <row r="943" spans="2:6">
      <c r="B943"/>
      <c r="C943"/>
      <c r="D943" s="158"/>
      <c r="E943" s="158"/>
      <c r="F943" s="158"/>
    </row>
    <row r="944" spans="2:6">
      <c r="B944"/>
      <c r="C944"/>
      <c r="D944" s="158"/>
      <c r="E944" s="158"/>
      <c r="F944" s="158"/>
    </row>
    <row r="945" spans="2:6">
      <c r="B945"/>
      <c r="C945"/>
      <c r="D945" s="158"/>
      <c r="E945" s="158"/>
      <c r="F945" s="158"/>
    </row>
    <row r="946" spans="2:6">
      <c r="B946"/>
      <c r="C946"/>
      <c r="D946" s="158"/>
      <c r="E946" s="158"/>
      <c r="F946" s="158"/>
    </row>
    <row r="947" spans="2:6">
      <c r="B947"/>
      <c r="C947"/>
      <c r="D947" s="158"/>
      <c r="E947" s="158"/>
      <c r="F947" s="158"/>
    </row>
    <row r="948" spans="2:6">
      <c r="B948"/>
      <c r="C948"/>
      <c r="D948" s="158"/>
      <c r="E948" s="158"/>
      <c r="F948" s="158"/>
    </row>
    <row r="949" spans="2:6">
      <c r="B949"/>
      <c r="C949"/>
      <c r="D949" s="158"/>
      <c r="E949" s="158"/>
      <c r="F949" s="158"/>
    </row>
    <row r="950" spans="2:6">
      <c r="B950"/>
      <c r="C950"/>
      <c r="D950" s="158"/>
      <c r="E950" s="158"/>
      <c r="F950" s="158"/>
    </row>
    <row r="951" spans="2:6">
      <c r="B951"/>
      <c r="C951"/>
      <c r="D951" s="158"/>
      <c r="E951" s="158"/>
      <c r="F951" s="158"/>
    </row>
    <row r="952" spans="2:6">
      <c r="B952"/>
      <c r="C952"/>
      <c r="D952" s="158"/>
      <c r="E952" s="158"/>
      <c r="F952" s="158"/>
    </row>
    <row r="953" spans="2:6">
      <c r="B953"/>
      <c r="C953"/>
      <c r="D953" s="158"/>
      <c r="E953" s="158"/>
      <c r="F953" s="158"/>
    </row>
    <row r="954" spans="2:6">
      <c r="B954"/>
      <c r="C954"/>
      <c r="D954" s="158"/>
      <c r="E954" s="158"/>
      <c r="F954" s="158"/>
    </row>
    <row r="955" spans="2:6">
      <c r="B955"/>
      <c r="C955"/>
      <c r="D955" s="158"/>
      <c r="E955" s="158"/>
      <c r="F955" s="158"/>
    </row>
    <row r="956" spans="2:6">
      <c r="B956"/>
      <c r="C956"/>
      <c r="D956" s="158"/>
      <c r="E956" s="158"/>
      <c r="F956" s="158"/>
    </row>
    <row r="957" spans="2:6">
      <c r="B957"/>
      <c r="C957"/>
      <c r="D957" s="158"/>
      <c r="E957" s="158"/>
      <c r="F957" s="158"/>
    </row>
    <row r="958" spans="2:6">
      <c r="B958"/>
      <c r="C958"/>
      <c r="D958" s="158"/>
      <c r="E958" s="158"/>
      <c r="F958" s="158"/>
    </row>
    <row r="959" spans="2:6">
      <c r="B959"/>
      <c r="C959"/>
      <c r="D959" s="158"/>
      <c r="E959" s="158"/>
      <c r="F959" s="158"/>
    </row>
    <row r="960" spans="2:6">
      <c r="B960"/>
      <c r="C960"/>
      <c r="D960" s="158"/>
      <c r="E960" s="158"/>
      <c r="F960" s="158"/>
    </row>
    <row r="961" spans="2:6">
      <c r="B961"/>
      <c r="C961"/>
      <c r="D961" s="158"/>
      <c r="E961" s="158"/>
      <c r="F961" s="158"/>
    </row>
    <row r="962" spans="2:6">
      <c r="B962"/>
      <c r="C962"/>
      <c r="D962" s="158"/>
      <c r="E962" s="158"/>
      <c r="F962" s="158"/>
    </row>
    <row r="963" spans="2:6">
      <c r="B963"/>
      <c r="C963"/>
      <c r="D963" s="158"/>
      <c r="E963" s="158"/>
      <c r="F963" s="158"/>
    </row>
    <row r="964" spans="2:6">
      <c r="B964"/>
      <c r="C964"/>
      <c r="D964" s="158"/>
      <c r="E964" s="158"/>
      <c r="F964" s="158"/>
    </row>
    <row r="965" spans="2:6">
      <c r="B965"/>
      <c r="C965"/>
      <c r="D965" s="158"/>
      <c r="E965" s="158"/>
      <c r="F965" s="158"/>
    </row>
    <row r="966" spans="2:6">
      <c r="B966"/>
      <c r="C966"/>
      <c r="D966" s="158"/>
      <c r="E966" s="158"/>
      <c r="F966" s="158"/>
    </row>
    <row r="967" spans="2:6">
      <c r="B967"/>
      <c r="C967"/>
      <c r="D967" s="158"/>
      <c r="E967" s="158"/>
      <c r="F967" s="158"/>
    </row>
    <row r="968" spans="2:6">
      <c r="B968"/>
      <c r="C968"/>
      <c r="D968" s="158"/>
      <c r="E968" s="158"/>
      <c r="F968" s="158"/>
    </row>
    <row r="969" spans="2:6">
      <c r="B969"/>
      <c r="C969"/>
      <c r="D969" s="158"/>
      <c r="E969" s="158"/>
      <c r="F969" s="158"/>
    </row>
    <row r="970" spans="2:6">
      <c r="B970"/>
      <c r="C970"/>
      <c r="D970" s="158"/>
      <c r="E970" s="158"/>
      <c r="F970" s="158"/>
    </row>
    <row r="971" spans="2:6">
      <c r="B971"/>
      <c r="C971"/>
      <c r="D971" s="158"/>
      <c r="E971" s="158"/>
      <c r="F971" s="158"/>
    </row>
    <row r="972" spans="2:6">
      <c r="B972"/>
      <c r="C972"/>
      <c r="D972" s="158"/>
      <c r="E972" s="158"/>
      <c r="F972" s="158"/>
    </row>
    <row r="973" spans="2:6">
      <c r="B973"/>
      <c r="C973"/>
      <c r="D973" s="158"/>
      <c r="E973" s="158"/>
      <c r="F973" s="158"/>
    </row>
    <row r="974" spans="2:6">
      <c r="B974"/>
      <c r="C974"/>
      <c r="D974" s="158"/>
      <c r="E974" s="158"/>
      <c r="F974" s="158"/>
    </row>
    <row r="975" spans="2:6">
      <c r="B975"/>
      <c r="C975"/>
      <c r="D975" s="158"/>
      <c r="E975" s="158"/>
      <c r="F975" s="158"/>
    </row>
    <row r="976" spans="2:6">
      <c r="B976"/>
      <c r="C976"/>
      <c r="D976" s="158"/>
      <c r="E976" s="158"/>
      <c r="F976" s="158"/>
    </row>
    <row r="977" spans="2:6">
      <c r="B977"/>
      <c r="C977"/>
      <c r="D977" s="158"/>
      <c r="E977" s="158"/>
      <c r="F977" s="158"/>
    </row>
    <row r="978" spans="2:6">
      <c r="B978"/>
      <c r="C978"/>
      <c r="D978" s="158"/>
      <c r="E978" s="158"/>
      <c r="F978" s="158"/>
    </row>
    <row r="979" spans="2:6">
      <c r="B979"/>
      <c r="C979"/>
      <c r="D979" s="158"/>
      <c r="E979" s="158"/>
      <c r="F979" s="158"/>
    </row>
    <row r="980" spans="2:6">
      <c r="B980"/>
      <c r="C980"/>
      <c r="D980" s="158"/>
      <c r="E980" s="158"/>
      <c r="F980" s="158"/>
    </row>
    <row r="981" spans="2:6">
      <c r="B981"/>
      <c r="C981"/>
      <c r="D981" s="158"/>
      <c r="E981" s="158"/>
      <c r="F981" s="158"/>
    </row>
    <row r="982" spans="2:6">
      <c r="B982"/>
      <c r="C982"/>
      <c r="D982" s="158"/>
      <c r="E982" s="158"/>
      <c r="F982" s="158"/>
    </row>
    <row r="983" spans="2:6">
      <c r="B983"/>
      <c r="C983"/>
      <c r="D983" s="158"/>
      <c r="E983" s="158"/>
      <c r="F983" s="158"/>
    </row>
    <row r="984" spans="2:6">
      <c r="B984"/>
      <c r="C984"/>
      <c r="D984" s="158"/>
      <c r="E984" s="158"/>
      <c r="F984" s="158"/>
    </row>
    <row r="985" spans="2:6">
      <c r="B985"/>
      <c r="C985"/>
      <c r="D985" s="158"/>
      <c r="E985" s="158"/>
      <c r="F985" s="158"/>
    </row>
    <row r="986" spans="2:6">
      <c r="B986"/>
      <c r="C986"/>
      <c r="D986" s="158"/>
      <c r="E986" s="158"/>
      <c r="F986" s="158"/>
    </row>
    <row r="987" spans="2:6">
      <c r="B987"/>
      <c r="C987"/>
      <c r="D987" s="158"/>
      <c r="E987" s="158"/>
      <c r="F987" s="158"/>
    </row>
    <row r="988" spans="2:6">
      <c r="B988"/>
      <c r="C988"/>
      <c r="D988" s="158"/>
      <c r="E988" s="158"/>
      <c r="F988" s="158"/>
    </row>
    <row r="989" spans="2:6">
      <c r="B989"/>
      <c r="C989"/>
      <c r="D989" s="158"/>
      <c r="E989" s="158"/>
      <c r="F989" s="158"/>
    </row>
    <row r="990" spans="2:6">
      <c r="B990"/>
      <c r="C990"/>
      <c r="D990" s="158"/>
      <c r="E990" s="158"/>
      <c r="F990" s="158"/>
    </row>
    <row r="991" spans="2:6">
      <c r="B991"/>
      <c r="C991"/>
      <c r="D991" s="158"/>
      <c r="E991" s="158"/>
      <c r="F991" s="158"/>
    </row>
    <row r="992" spans="2:6">
      <c r="B992"/>
      <c r="C992"/>
      <c r="D992" s="158"/>
      <c r="E992" s="158"/>
      <c r="F992" s="158"/>
    </row>
    <row r="993" spans="2:6">
      <c r="B993"/>
      <c r="C993"/>
      <c r="D993" s="158"/>
      <c r="E993" s="158"/>
      <c r="F993" s="158"/>
    </row>
    <row r="994" spans="2:6">
      <c r="B994"/>
      <c r="C994"/>
      <c r="D994" s="158"/>
      <c r="E994" s="158"/>
      <c r="F994" s="158"/>
    </row>
    <row r="995" spans="2:6">
      <c r="B995"/>
      <c r="C995"/>
      <c r="D995" s="158"/>
      <c r="E995" s="158"/>
      <c r="F995" s="158"/>
    </row>
    <row r="996" spans="2:6">
      <c r="B996"/>
      <c r="C996"/>
      <c r="D996" s="158"/>
      <c r="E996" s="158"/>
      <c r="F996" s="158"/>
    </row>
    <row r="997" spans="2:6">
      <c r="B997"/>
      <c r="C997"/>
      <c r="D997" s="158"/>
      <c r="E997" s="158"/>
      <c r="F997" s="158"/>
    </row>
    <row r="998" spans="2:6">
      <c r="B998"/>
      <c r="C998"/>
      <c r="D998" s="158"/>
      <c r="E998" s="158"/>
      <c r="F998" s="158"/>
    </row>
    <row r="999" spans="2:6">
      <c r="B999"/>
      <c r="C999"/>
      <c r="D999" s="158"/>
      <c r="E999" s="158"/>
      <c r="F999" s="158"/>
    </row>
    <row r="1000" spans="2:6">
      <c r="B1000"/>
      <c r="C1000"/>
      <c r="D1000" s="158"/>
      <c r="E1000" s="158"/>
      <c r="F1000" s="158"/>
    </row>
    <row r="1001" spans="2:6">
      <c r="B1001"/>
      <c r="C1001"/>
      <c r="D1001" s="158"/>
      <c r="E1001" s="158"/>
      <c r="F1001" s="158"/>
    </row>
    <row r="1002" spans="2:6">
      <c r="B1002"/>
      <c r="C1002"/>
      <c r="D1002" s="158"/>
      <c r="E1002" s="158"/>
      <c r="F1002" s="158"/>
    </row>
    <row r="1003" spans="2:6">
      <c r="B1003"/>
      <c r="C1003"/>
      <c r="D1003" s="158"/>
      <c r="E1003" s="158"/>
      <c r="F1003" s="158"/>
    </row>
    <row r="1004" spans="2:6">
      <c r="B1004"/>
      <c r="C1004"/>
      <c r="D1004" s="158"/>
      <c r="E1004" s="158"/>
      <c r="F1004" s="158"/>
    </row>
    <row r="1005" spans="2:6">
      <c r="B1005"/>
      <c r="C1005"/>
      <c r="D1005" s="158"/>
      <c r="E1005" s="158"/>
      <c r="F1005" s="158"/>
    </row>
    <row r="1006" spans="2:6">
      <c r="B1006"/>
      <c r="C1006"/>
      <c r="D1006" s="158"/>
      <c r="E1006" s="158"/>
      <c r="F1006" s="158"/>
    </row>
    <row r="1007" spans="2:6">
      <c r="B1007"/>
      <c r="C1007"/>
      <c r="D1007" s="158"/>
      <c r="E1007" s="158"/>
      <c r="F1007" s="158"/>
    </row>
    <row r="1008" spans="2:6">
      <c r="B1008"/>
      <c r="C1008"/>
      <c r="D1008" s="158"/>
      <c r="E1008" s="158"/>
      <c r="F1008" s="158"/>
    </row>
    <row r="1009" spans="2:6">
      <c r="B1009"/>
      <c r="C1009"/>
      <c r="D1009" s="158"/>
      <c r="E1009" s="158"/>
      <c r="F1009" s="158"/>
    </row>
    <row r="1010" spans="2:6">
      <c r="B1010"/>
      <c r="C1010"/>
      <c r="D1010" s="158"/>
      <c r="E1010" s="158"/>
      <c r="F1010" s="158"/>
    </row>
    <row r="1011" spans="2:6">
      <c r="B1011"/>
      <c r="C1011"/>
      <c r="D1011" s="158"/>
      <c r="E1011" s="158"/>
      <c r="F1011" s="158"/>
    </row>
    <row r="1012" spans="2:6">
      <c r="B1012"/>
      <c r="C1012"/>
      <c r="D1012" s="158"/>
      <c r="E1012" s="158"/>
      <c r="F1012" s="158"/>
    </row>
    <row r="1013" spans="2:6">
      <c r="B1013"/>
      <c r="C1013"/>
      <c r="D1013" s="158"/>
      <c r="E1013" s="158"/>
      <c r="F1013" s="158"/>
    </row>
    <row r="1014" spans="2:6">
      <c r="B1014"/>
      <c r="C1014"/>
      <c r="D1014" s="158"/>
      <c r="E1014" s="158"/>
      <c r="F1014" s="158"/>
    </row>
    <row r="1015" spans="2:6">
      <c r="B1015"/>
      <c r="C1015"/>
      <c r="D1015" s="158"/>
      <c r="E1015" s="158"/>
      <c r="F1015" s="158"/>
    </row>
    <row r="1016" spans="2:6">
      <c r="B1016"/>
      <c r="C1016"/>
      <c r="D1016" s="158"/>
      <c r="E1016" s="158"/>
      <c r="F1016" s="158"/>
    </row>
    <row r="1017" spans="2:6">
      <c r="B1017"/>
      <c r="C1017"/>
      <c r="D1017" s="158"/>
      <c r="E1017" s="158"/>
      <c r="F1017" s="158"/>
    </row>
    <row r="1018" spans="2:6">
      <c r="B1018"/>
      <c r="C1018"/>
      <c r="D1018" s="158"/>
      <c r="E1018" s="158"/>
      <c r="F1018" s="158"/>
    </row>
    <row r="1019" spans="2:6">
      <c r="B1019"/>
      <c r="C1019"/>
      <c r="D1019" s="158"/>
      <c r="E1019" s="158"/>
      <c r="F1019" s="158"/>
    </row>
    <row r="1020" spans="2:6">
      <c r="B1020"/>
      <c r="C1020"/>
      <c r="D1020" s="158"/>
      <c r="E1020" s="158"/>
      <c r="F1020" s="158"/>
    </row>
    <row r="1021" spans="2:6">
      <c r="B1021"/>
      <c r="C1021"/>
      <c r="D1021" s="158"/>
      <c r="E1021" s="158"/>
      <c r="F1021" s="158"/>
    </row>
    <row r="1022" spans="2:6">
      <c r="B1022"/>
      <c r="C1022"/>
      <c r="D1022" s="158"/>
      <c r="E1022" s="158"/>
      <c r="F1022" s="158"/>
    </row>
    <row r="1023" spans="2:6">
      <c r="B1023"/>
      <c r="C1023"/>
      <c r="D1023" s="158"/>
      <c r="E1023" s="158"/>
      <c r="F1023" s="158"/>
    </row>
    <row r="1024" spans="2:6">
      <c r="B1024"/>
      <c r="C1024"/>
      <c r="D1024" s="158"/>
      <c r="E1024" s="158"/>
      <c r="F1024" s="158"/>
    </row>
    <row r="1025" spans="2:6">
      <c r="B1025"/>
      <c r="C1025"/>
      <c r="D1025" s="158"/>
      <c r="E1025" s="158"/>
      <c r="F1025" s="158"/>
    </row>
    <row r="1026" spans="2:6">
      <c r="B1026"/>
      <c r="C1026"/>
      <c r="D1026" s="158"/>
      <c r="E1026" s="158"/>
      <c r="F1026" s="158"/>
    </row>
    <row r="1027" spans="2:6">
      <c r="B1027"/>
      <c r="C1027"/>
      <c r="D1027" s="158"/>
      <c r="E1027" s="158"/>
      <c r="F1027" s="158"/>
    </row>
    <row r="1028" spans="2:6">
      <c r="B1028"/>
      <c r="C1028"/>
      <c r="D1028" s="158"/>
      <c r="E1028" s="158"/>
      <c r="F1028" s="158"/>
    </row>
    <row r="1029" spans="2:6">
      <c r="B1029"/>
      <c r="C1029"/>
      <c r="D1029" s="158"/>
      <c r="E1029" s="158"/>
      <c r="F1029" s="158"/>
    </row>
    <row r="1030" spans="2:6">
      <c r="B1030"/>
      <c r="C1030"/>
      <c r="D1030" s="158"/>
      <c r="E1030" s="158"/>
      <c r="F1030" s="158"/>
    </row>
    <row r="1031" spans="2:6">
      <c r="B1031"/>
      <c r="C1031"/>
      <c r="D1031" s="158"/>
      <c r="E1031" s="158"/>
      <c r="F1031" s="158"/>
    </row>
    <row r="1032" spans="2:6">
      <c r="B1032"/>
      <c r="C1032"/>
      <c r="D1032" s="158"/>
      <c r="E1032" s="158"/>
      <c r="F1032" s="158"/>
    </row>
    <row r="1033" spans="2:6">
      <c r="B1033"/>
      <c r="C1033"/>
      <c r="D1033" s="158"/>
      <c r="E1033" s="158"/>
      <c r="F1033" s="158"/>
    </row>
    <row r="1034" spans="2:6">
      <c r="B1034"/>
      <c r="C1034"/>
      <c r="D1034" s="158"/>
      <c r="E1034" s="158"/>
      <c r="F1034" s="158"/>
    </row>
    <row r="1035" spans="2:6">
      <c r="B1035"/>
      <c r="C1035"/>
      <c r="D1035" s="158"/>
      <c r="E1035" s="158"/>
      <c r="F1035" s="158"/>
    </row>
    <row r="1036" spans="2:6">
      <c r="B1036"/>
      <c r="C1036"/>
      <c r="D1036" s="158"/>
      <c r="E1036" s="158"/>
      <c r="F1036" s="158"/>
    </row>
    <row r="1037" spans="2:6">
      <c r="B1037"/>
      <c r="C1037"/>
      <c r="D1037" s="158"/>
      <c r="E1037" s="158"/>
      <c r="F1037" s="158"/>
    </row>
    <row r="1038" spans="2:6">
      <c r="B1038"/>
      <c r="C1038"/>
      <c r="D1038" s="158"/>
      <c r="E1038" s="158"/>
      <c r="F1038" s="158"/>
    </row>
    <row r="1039" spans="2:6">
      <c r="B1039"/>
      <c r="C1039"/>
      <c r="D1039" s="158"/>
      <c r="E1039" s="158"/>
      <c r="F1039" s="158"/>
    </row>
    <row r="1040" spans="2:6">
      <c r="B1040"/>
      <c r="C1040"/>
      <c r="D1040" s="158"/>
      <c r="E1040" s="158"/>
      <c r="F1040" s="158"/>
    </row>
    <row r="1041" spans="2:6">
      <c r="B1041"/>
      <c r="C1041"/>
      <c r="D1041" s="158"/>
      <c r="E1041" s="158"/>
      <c r="F1041" s="158"/>
    </row>
    <row r="1042" spans="2:6">
      <c r="B1042"/>
      <c r="C1042"/>
      <c r="D1042" s="158"/>
      <c r="E1042" s="158"/>
      <c r="F1042" s="158"/>
    </row>
    <row r="1043" spans="2:6">
      <c r="B1043"/>
      <c r="C1043"/>
      <c r="D1043" s="158"/>
      <c r="E1043" s="158"/>
      <c r="F1043" s="158"/>
    </row>
    <row r="1044" spans="2:6">
      <c r="B1044"/>
      <c r="C1044"/>
      <c r="D1044" s="158"/>
      <c r="E1044" s="158"/>
      <c r="F1044" s="158"/>
    </row>
    <row r="1045" spans="2:6">
      <c r="B1045"/>
      <c r="C1045"/>
      <c r="D1045" s="158"/>
      <c r="E1045" s="158"/>
      <c r="F1045" s="158"/>
    </row>
    <row r="1046" spans="2:6">
      <c r="B1046"/>
      <c r="C1046"/>
      <c r="D1046" s="158"/>
      <c r="E1046" s="158"/>
      <c r="F1046" s="158"/>
    </row>
    <row r="1047" spans="2:6">
      <c r="B1047"/>
      <c r="C1047"/>
      <c r="D1047" s="158"/>
      <c r="E1047" s="158"/>
      <c r="F1047" s="158"/>
    </row>
    <row r="1048" spans="2:6">
      <c r="B1048"/>
      <c r="C1048"/>
      <c r="D1048" s="158"/>
      <c r="E1048" s="158"/>
      <c r="F1048" s="158"/>
    </row>
    <row r="1049" spans="2:6">
      <c r="B1049"/>
      <c r="C1049"/>
      <c r="D1049" s="158"/>
      <c r="E1049" s="158"/>
      <c r="F1049" s="158"/>
    </row>
    <row r="1050" spans="2:6">
      <c r="B1050"/>
      <c r="C1050"/>
      <c r="D1050" s="158"/>
      <c r="E1050" s="158"/>
      <c r="F1050" s="158"/>
    </row>
    <row r="1051" spans="2:6">
      <c r="B1051"/>
      <c r="C1051"/>
      <c r="D1051" s="158"/>
      <c r="E1051" s="158"/>
      <c r="F1051" s="158"/>
    </row>
    <row r="1052" spans="2:6">
      <c r="B1052"/>
      <c r="C1052"/>
      <c r="D1052" s="158"/>
      <c r="E1052" s="158"/>
      <c r="F1052" s="158"/>
    </row>
    <row r="1053" spans="2:6">
      <c r="B1053"/>
      <c r="C1053"/>
      <c r="D1053" s="158"/>
      <c r="E1053" s="158"/>
      <c r="F1053" s="158"/>
    </row>
    <row r="1054" spans="2:6">
      <c r="B1054"/>
      <c r="C1054"/>
      <c r="D1054" s="158"/>
      <c r="E1054" s="158"/>
      <c r="F1054" s="158"/>
    </row>
    <row r="1055" spans="2:6">
      <c r="B1055"/>
      <c r="C1055"/>
      <c r="D1055" s="158"/>
      <c r="E1055" s="158"/>
      <c r="F1055" s="158"/>
    </row>
    <row r="1056" spans="2:6">
      <c r="B1056"/>
      <c r="C1056"/>
      <c r="D1056" s="158"/>
      <c r="E1056" s="158"/>
      <c r="F1056" s="158"/>
    </row>
    <row r="1057" spans="2:6">
      <c r="B1057"/>
      <c r="C1057"/>
      <c r="D1057" s="158"/>
      <c r="E1057" s="158"/>
      <c r="F1057" s="158"/>
    </row>
    <row r="1058" spans="2:6">
      <c r="B1058"/>
      <c r="C1058"/>
      <c r="D1058" s="158"/>
      <c r="E1058" s="158"/>
      <c r="F1058" s="158"/>
    </row>
    <row r="1059" spans="2:6">
      <c r="B1059"/>
      <c r="C1059"/>
      <c r="D1059" s="158"/>
      <c r="E1059" s="158"/>
      <c r="F1059" s="158"/>
    </row>
    <row r="1060" spans="2:6">
      <c r="B1060"/>
      <c r="C1060"/>
      <c r="D1060" s="158"/>
      <c r="E1060" s="158"/>
      <c r="F1060" s="158"/>
    </row>
    <row r="1061" spans="2:6">
      <c r="B1061"/>
      <c r="C1061"/>
      <c r="D1061" s="158"/>
      <c r="E1061" s="158"/>
      <c r="F1061" s="158"/>
    </row>
    <row r="1062" spans="2:6">
      <c r="B1062"/>
      <c r="C1062"/>
      <c r="D1062" s="158"/>
      <c r="E1062" s="158"/>
      <c r="F1062" s="158"/>
    </row>
    <row r="1063" spans="2:6">
      <c r="B1063"/>
      <c r="C1063"/>
      <c r="D1063" s="158"/>
      <c r="E1063" s="158"/>
      <c r="F1063" s="158"/>
    </row>
    <row r="1064" spans="2:6">
      <c r="B1064"/>
      <c r="C1064"/>
      <c r="D1064" s="158"/>
      <c r="E1064" s="158"/>
      <c r="F1064" s="158"/>
    </row>
    <row r="1065" spans="2:6">
      <c r="B1065"/>
      <c r="C1065"/>
      <c r="D1065" s="158"/>
      <c r="E1065" s="158"/>
      <c r="F1065" s="158"/>
    </row>
    <row r="1066" spans="2:6">
      <c r="B1066"/>
      <c r="C1066"/>
      <c r="D1066" s="158"/>
      <c r="E1066" s="158"/>
      <c r="F1066" s="158"/>
    </row>
    <row r="1067" spans="2:6">
      <c r="B1067"/>
      <c r="C1067"/>
      <c r="D1067" s="158"/>
      <c r="E1067" s="158"/>
      <c r="F1067" s="158"/>
    </row>
    <row r="1068" spans="2:6">
      <c r="B1068"/>
      <c r="C1068"/>
      <c r="D1068" s="158"/>
      <c r="E1068" s="158"/>
      <c r="F1068" s="158"/>
    </row>
    <row r="1069" spans="2:6">
      <c r="B1069"/>
      <c r="C1069"/>
      <c r="D1069" s="158"/>
      <c r="E1069" s="158"/>
      <c r="F1069" s="158"/>
    </row>
    <row r="1070" spans="2:6">
      <c r="B1070"/>
      <c r="C1070"/>
      <c r="D1070" s="158"/>
      <c r="E1070" s="158"/>
      <c r="F1070" s="158"/>
    </row>
    <row r="1071" spans="2:6">
      <c r="B1071"/>
      <c r="C1071"/>
      <c r="D1071" s="158"/>
      <c r="E1071" s="158"/>
      <c r="F1071" s="158"/>
    </row>
    <row r="1072" spans="2:6">
      <c r="B1072"/>
      <c r="C1072"/>
      <c r="D1072" s="158"/>
      <c r="E1072" s="158"/>
      <c r="F1072" s="158"/>
    </row>
    <row r="1073" spans="2:6">
      <c r="B1073"/>
      <c r="C1073"/>
      <c r="D1073" s="158"/>
      <c r="E1073" s="158"/>
      <c r="F1073" s="158"/>
    </row>
    <row r="1074" spans="2:6">
      <c r="B1074"/>
      <c r="C1074"/>
      <c r="D1074" s="158"/>
      <c r="E1074" s="158"/>
      <c r="F1074" s="158"/>
    </row>
    <row r="1075" spans="2:6">
      <c r="B1075"/>
      <c r="C1075"/>
      <c r="D1075" s="158"/>
      <c r="E1075" s="158"/>
      <c r="F1075" s="158"/>
    </row>
    <row r="1076" spans="2:6">
      <c r="B1076"/>
      <c r="C1076"/>
      <c r="D1076" s="158"/>
      <c r="E1076" s="158"/>
      <c r="F1076" s="158"/>
    </row>
    <row r="1077" spans="2:6">
      <c r="B1077"/>
      <c r="C1077"/>
      <c r="D1077" s="158"/>
      <c r="E1077" s="158"/>
      <c r="F1077" s="158"/>
    </row>
    <row r="1078" spans="2:6">
      <c r="B1078"/>
      <c r="C1078"/>
      <c r="D1078" s="158"/>
      <c r="E1078" s="158"/>
      <c r="F1078" s="158"/>
    </row>
    <row r="1079" spans="2:6">
      <c r="B1079"/>
      <c r="C1079"/>
      <c r="D1079" s="158"/>
      <c r="E1079" s="158"/>
      <c r="F1079" s="158"/>
    </row>
    <row r="1080" spans="2:6">
      <c r="B1080"/>
      <c r="C1080"/>
      <c r="D1080" s="158"/>
      <c r="E1080" s="158"/>
      <c r="F1080" s="158"/>
    </row>
    <row r="1081" spans="2:6">
      <c r="B1081"/>
      <c r="C1081"/>
      <c r="D1081" s="158"/>
      <c r="E1081" s="158"/>
      <c r="F1081" s="158"/>
    </row>
    <row r="1082" spans="2:6">
      <c r="B1082"/>
      <c r="C1082"/>
      <c r="D1082" s="158"/>
      <c r="E1082" s="158"/>
      <c r="F1082" s="158"/>
    </row>
    <row r="1083" spans="2:6">
      <c r="B1083"/>
      <c r="C1083"/>
      <c r="D1083" s="158"/>
      <c r="E1083" s="158"/>
      <c r="F1083" s="158"/>
    </row>
    <row r="1084" spans="2:6">
      <c r="B1084"/>
      <c r="C1084"/>
      <c r="D1084" s="158"/>
      <c r="E1084" s="158"/>
      <c r="F1084" s="158"/>
    </row>
    <row r="1085" spans="2:6">
      <c r="B1085"/>
      <c r="C1085"/>
      <c r="D1085" s="158"/>
      <c r="E1085" s="158"/>
      <c r="F1085" s="158"/>
    </row>
    <row r="1086" spans="2:6">
      <c r="B1086"/>
      <c r="C1086"/>
      <c r="D1086" s="158"/>
      <c r="E1086" s="158"/>
      <c r="F1086" s="158"/>
    </row>
    <row r="1087" spans="2:6">
      <c r="B1087"/>
      <c r="C1087"/>
      <c r="D1087" s="158"/>
      <c r="E1087" s="158"/>
      <c r="F1087" s="158"/>
    </row>
    <row r="1088" spans="2:6">
      <c r="B1088"/>
      <c r="C1088"/>
      <c r="D1088" s="158"/>
      <c r="E1088" s="158"/>
      <c r="F1088" s="158"/>
    </row>
    <row r="1089" spans="2:6">
      <c r="B1089"/>
      <c r="C1089"/>
      <c r="D1089" s="158"/>
      <c r="E1089" s="158"/>
      <c r="F1089" s="158"/>
    </row>
    <row r="1090" spans="2:6">
      <c r="B1090"/>
      <c r="C1090"/>
      <c r="D1090" s="158"/>
      <c r="E1090" s="158"/>
      <c r="F1090" s="158"/>
    </row>
    <row r="1091" spans="2:6">
      <c r="B1091"/>
      <c r="C1091"/>
      <c r="D1091" s="158"/>
      <c r="E1091" s="158"/>
      <c r="F1091" s="158"/>
    </row>
    <row r="1092" spans="2:6">
      <c r="B1092"/>
      <c r="C1092"/>
      <c r="D1092" s="158"/>
      <c r="E1092" s="158"/>
      <c r="F1092" s="158"/>
    </row>
    <row r="1093" spans="2:6">
      <c r="B1093"/>
      <c r="C1093"/>
      <c r="D1093" s="158"/>
      <c r="E1093" s="158"/>
      <c r="F1093" s="158"/>
    </row>
    <row r="1094" spans="2:6">
      <c r="B1094"/>
      <c r="C1094"/>
      <c r="D1094" s="158"/>
      <c r="E1094" s="158"/>
      <c r="F1094" s="158"/>
    </row>
    <row r="1095" spans="2:6">
      <c r="B1095"/>
      <c r="C1095"/>
      <c r="D1095" s="158"/>
      <c r="E1095" s="158"/>
      <c r="F1095" s="158"/>
    </row>
    <row r="1096" spans="2:6">
      <c r="B1096"/>
      <c r="C1096"/>
      <c r="D1096" s="158"/>
      <c r="E1096" s="158"/>
      <c r="F1096" s="158"/>
    </row>
    <row r="1097" spans="2:6">
      <c r="B1097"/>
      <c r="C1097"/>
      <c r="D1097" s="158"/>
      <c r="E1097" s="158"/>
      <c r="F1097" s="158"/>
    </row>
    <row r="1098" spans="2:6">
      <c r="B1098"/>
      <c r="C1098"/>
      <c r="D1098" s="158"/>
      <c r="E1098" s="158"/>
      <c r="F1098" s="158"/>
    </row>
    <row r="1099" spans="2:6">
      <c r="B1099"/>
      <c r="C1099"/>
      <c r="D1099" s="158"/>
      <c r="E1099" s="158"/>
      <c r="F1099" s="158"/>
    </row>
    <row r="1100" spans="2:6">
      <c r="B1100"/>
      <c r="C1100"/>
      <c r="D1100" s="158"/>
      <c r="E1100" s="158"/>
      <c r="F1100" s="158"/>
    </row>
    <row r="1101" spans="2:6">
      <c r="B1101"/>
      <c r="C1101"/>
      <c r="D1101" s="158"/>
      <c r="E1101" s="158"/>
      <c r="F1101" s="158"/>
    </row>
    <row r="1102" spans="2:6">
      <c r="B1102"/>
      <c r="C1102"/>
      <c r="D1102" s="158"/>
      <c r="E1102" s="158"/>
      <c r="F1102" s="158"/>
    </row>
    <row r="1103" spans="2:6">
      <c r="B1103"/>
      <c r="C1103"/>
      <c r="D1103" s="158"/>
      <c r="E1103" s="158"/>
      <c r="F1103" s="158"/>
    </row>
    <row r="1104" spans="2:6">
      <c r="B1104"/>
      <c r="C1104"/>
      <c r="D1104" s="158"/>
      <c r="E1104" s="158"/>
      <c r="F1104" s="158"/>
    </row>
    <row r="1105" spans="2:6">
      <c r="B1105"/>
      <c r="C1105"/>
      <c r="D1105" s="158"/>
      <c r="E1105" s="158"/>
      <c r="F1105" s="158"/>
    </row>
    <row r="1106" spans="2:6">
      <c r="B1106"/>
      <c r="C1106"/>
      <c r="D1106" s="158"/>
      <c r="E1106" s="158"/>
      <c r="F1106" s="158"/>
    </row>
    <row r="1107" spans="2:6">
      <c r="B1107"/>
      <c r="C1107"/>
      <c r="D1107" s="158"/>
      <c r="E1107" s="158"/>
      <c r="F1107" s="158"/>
    </row>
    <row r="1108" spans="2:6">
      <c r="B1108"/>
      <c r="C1108"/>
      <c r="D1108" s="158"/>
      <c r="E1108" s="158"/>
      <c r="F1108" s="158"/>
    </row>
    <row r="1109" spans="2:6">
      <c r="B1109"/>
      <c r="C1109"/>
      <c r="D1109" s="158"/>
      <c r="E1109" s="158"/>
      <c r="F1109" s="158"/>
    </row>
    <row r="1110" spans="2:6">
      <c r="B1110"/>
      <c r="C1110"/>
      <c r="D1110" s="158"/>
      <c r="E1110" s="158"/>
      <c r="F1110" s="158"/>
    </row>
    <row r="1111" spans="2:6">
      <c r="B1111"/>
      <c r="C1111"/>
      <c r="D1111" s="158"/>
      <c r="E1111" s="158"/>
      <c r="F1111" s="158"/>
    </row>
    <row r="1112" spans="2:6">
      <c r="B1112"/>
      <c r="C1112"/>
      <c r="D1112" s="158"/>
      <c r="E1112" s="158"/>
      <c r="F1112" s="158"/>
    </row>
    <row r="1113" spans="2:6">
      <c r="B1113"/>
      <c r="C1113"/>
      <c r="D1113" s="158"/>
      <c r="E1113" s="158"/>
      <c r="F1113" s="158"/>
    </row>
    <row r="1114" spans="2:6">
      <c r="B1114"/>
      <c r="C1114"/>
      <c r="D1114" s="158"/>
      <c r="E1114" s="158"/>
      <c r="F1114" s="158"/>
    </row>
    <row r="1115" spans="2:6">
      <c r="B1115"/>
      <c r="C1115"/>
      <c r="D1115" s="158"/>
      <c r="E1115" s="158"/>
      <c r="F1115" s="158"/>
    </row>
    <row r="1116" spans="2:6">
      <c r="B1116"/>
      <c r="C1116"/>
      <c r="D1116" s="158"/>
      <c r="E1116" s="158"/>
      <c r="F1116" s="158"/>
    </row>
    <row r="1117" spans="2:6">
      <c r="B1117"/>
      <c r="C1117"/>
      <c r="D1117" s="158"/>
      <c r="E1117" s="158"/>
      <c r="F1117" s="158"/>
    </row>
    <row r="1118" spans="2:6">
      <c r="B1118"/>
      <c r="C1118"/>
      <c r="D1118" s="158"/>
      <c r="E1118" s="158"/>
      <c r="F1118" s="158"/>
    </row>
    <row r="1119" spans="2:6">
      <c r="B1119"/>
      <c r="C1119"/>
      <c r="D1119" s="158"/>
      <c r="E1119" s="158"/>
      <c r="F1119" s="158"/>
    </row>
    <row r="1120" spans="2:6">
      <c r="B1120"/>
      <c r="C1120"/>
      <c r="D1120" s="158"/>
      <c r="E1120" s="158"/>
      <c r="F1120" s="158"/>
    </row>
    <row r="1121" spans="2:6">
      <c r="B1121"/>
      <c r="C1121"/>
      <c r="D1121" s="158"/>
      <c r="E1121" s="158"/>
      <c r="F1121" s="158"/>
    </row>
    <row r="1122" spans="2:6">
      <c r="B1122"/>
      <c r="C1122"/>
      <c r="D1122" s="158"/>
      <c r="E1122" s="158"/>
      <c r="F1122" s="158"/>
    </row>
    <row r="1123" spans="2:6">
      <c r="B1123"/>
      <c r="C1123"/>
      <c r="D1123" s="158"/>
      <c r="E1123" s="158"/>
      <c r="F1123" s="158"/>
    </row>
    <row r="1124" spans="2:6">
      <c r="B1124"/>
      <c r="C1124"/>
      <c r="D1124" s="158"/>
      <c r="E1124" s="158"/>
      <c r="F1124" s="158"/>
    </row>
    <row r="1125" spans="2:6">
      <c r="B1125"/>
      <c r="C1125"/>
      <c r="D1125" s="158"/>
      <c r="E1125" s="158"/>
      <c r="F1125" s="158"/>
    </row>
    <row r="1126" spans="2:6">
      <c r="B1126"/>
      <c r="C1126"/>
      <c r="D1126" s="158"/>
      <c r="E1126" s="158"/>
      <c r="F1126" s="158"/>
    </row>
    <row r="1127" spans="2:6">
      <c r="B1127"/>
      <c r="C1127"/>
      <c r="D1127" s="158"/>
      <c r="E1127" s="158"/>
      <c r="F1127" s="158"/>
    </row>
    <row r="1128" spans="2:6">
      <c r="B1128"/>
      <c r="C1128"/>
      <c r="D1128" s="158"/>
      <c r="E1128" s="158"/>
      <c r="F1128" s="158"/>
    </row>
    <row r="1129" spans="2:6">
      <c r="B1129"/>
      <c r="C1129"/>
      <c r="D1129" s="158"/>
      <c r="E1129" s="158"/>
      <c r="F1129" s="158"/>
    </row>
    <row r="1130" spans="2:6">
      <c r="B1130"/>
      <c r="C1130"/>
      <c r="D1130" s="158"/>
      <c r="E1130" s="158"/>
      <c r="F1130" s="158"/>
    </row>
    <row r="1131" spans="2:6">
      <c r="B1131"/>
      <c r="C1131"/>
      <c r="D1131" s="158"/>
      <c r="E1131" s="158"/>
      <c r="F1131" s="158"/>
    </row>
    <row r="1132" spans="2:6">
      <c r="B1132"/>
      <c r="C1132"/>
      <c r="D1132" s="158"/>
      <c r="E1132" s="158"/>
      <c r="F1132" s="158"/>
    </row>
    <row r="1133" spans="2:6">
      <c r="B1133"/>
      <c r="C1133"/>
      <c r="D1133" s="158"/>
      <c r="E1133" s="158"/>
      <c r="F1133" s="158"/>
    </row>
    <row r="1134" spans="2:6">
      <c r="B1134"/>
      <c r="C1134"/>
      <c r="D1134" s="158"/>
      <c r="E1134" s="158"/>
      <c r="F1134" s="158"/>
    </row>
    <row r="1135" spans="2:6">
      <c r="B1135"/>
      <c r="C1135"/>
      <c r="D1135" s="158"/>
      <c r="E1135" s="158"/>
      <c r="F1135" s="158"/>
    </row>
    <row r="1136" spans="2:6">
      <c r="B1136"/>
      <c r="C1136"/>
      <c r="D1136" s="158"/>
      <c r="E1136" s="158"/>
      <c r="F1136" s="158"/>
    </row>
    <row r="1137" spans="4:6">
      <c r="D1137" s="158"/>
      <c r="E1137" s="158"/>
      <c r="F1137" s="158"/>
    </row>
    <row r="1138" spans="4:6">
      <c r="D1138" s="158"/>
      <c r="E1138" s="158"/>
      <c r="F1138" s="158"/>
    </row>
    <row r="1139" spans="4:6">
      <c r="D1139" s="158"/>
      <c r="E1139" s="158"/>
      <c r="F1139" s="158"/>
    </row>
    <row r="1140" spans="4:6">
      <c r="D1140" s="158"/>
      <c r="E1140" s="158"/>
      <c r="F1140" s="158"/>
    </row>
    <row r="1141" spans="4:6">
      <c r="D1141" s="158"/>
      <c r="E1141" s="158"/>
      <c r="F1141" s="158"/>
    </row>
    <row r="1142" spans="4:6">
      <c r="D1142" s="158"/>
      <c r="E1142" s="158"/>
      <c r="F1142" s="158"/>
    </row>
    <row r="1143" spans="4:6">
      <c r="D1143" s="158"/>
      <c r="E1143" s="158"/>
      <c r="F1143" s="158"/>
    </row>
    <row r="1144" spans="4:6">
      <c r="D1144" s="158"/>
      <c r="E1144" s="158"/>
      <c r="F1144" s="158"/>
    </row>
    <row r="1145" spans="4:6">
      <c r="D1145" s="158"/>
      <c r="E1145" s="158"/>
      <c r="F1145" s="158"/>
    </row>
    <row r="1146" spans="4:6">
      <c r="D1146" s="158"/>
      <c r="E1146" s="158"/>
      <c r="F1146" s="158"/>
    </row>
    <row r="1147" spans="4:6">
      <c r="D1147" s="158"/>
      <c r="E1147" s="158"/>
      <c r="F1147" s="158"/>
    </row>
    <row r="1148" spans="4:6">
      <c r="D1148" s="158"/>
      <c r="E1148" s="158"/>
      <c r="F1148" s="158"/>
    </row>
    <row r="1149" spans="4:6">
      <c r="D1149" s="158"/>
      <c r="E1149" s="158"/>
      <c r="F1149" s="158"/>
    </row>
    <row r="1150" spans="4:6">
      <c r="D1150" s="158"/>
      <c r="E1150" s="158"/>
      <c r="F1150" s="158"/>
    </row>
    <row r="1151" spans="4:6">
      <c r="D1151" s="158"/>
      <c r="E1151" s="158"/>
      <c r="F1151" s="158"/>
    </row>
    <row r="1152" spans="4:6">
      <c r="D1152" s="158"/>
      <c r="E1152" s="158"/>
      <c r="F1152" s="158"/>
    </row>
    <row r="1153" spans="4:6">
      <c r="D1153" s="158"/>
      <c r="E1153" s="158"/>
      <c r="F1153" s="158"/>
    </row>
    <row r="1154" spans="4:6">
      <c r="D1154" s="158"/>
      <c r="E1154" s="158"/>
      <c r="F1154" s="158"/>
    </row>
    <row r="1155" spans="4:6">
      <c r="D1155" s="158"/>
      <c r="E1155" s="158"/>
      <c r="F1155" s="158"/>
    </row>
    <row r="1156" spans="4:6">
      <c r="D1156" s="158"/>
      <c r="E1156" s="158"/>
      <c r="F1156" s="158"/>
    </row>
    <row r="1157" spans="4:6">
      <c r="D1157" s="158"/>
      <c r="E1157" s="158"/>
      <c r="F1157" s="158"/>
    </row>
    <row r="1158" spans="4:6">
      <c r="D1158" s="158"/>
      <c r="E1158" s="158"/>
      <c r="F1158" s="158"/>
    </row>
    <row r="1159" spans="4:6">
      <c r="D1159" s="158"/>
      <c r="E1159" s="158"/>
      <c r="F1159" s="158"/>
    </row>
    <row r="1160" spans="4:6">
      <c r="D1160" s="158"/>
      <c r="E1160" s="158"/>
      <c r="F1160" s="158"/>
    </row>
    <row r="1161" spans="4:6">
      <c r="D1161" s="158"/>
      <c r="E1161" s="158"/>
      <c r="F1161" s="158"/>
    </row>
    <row r="1162" spans="4:6">
      <c r="D1162" s="158"/>
      <c r="E1162" s="158"/>
      <c r="F1162" s="158"/>
    </row>
    <row r="1163" spans="4:6">
      <c r="D1163" s="158"/>
      <c r="E1163" s="158"/>
      <c r="F1163" s="158"/>
    </row>
    <row r="1164" spans="4:6">
      <c r="D1164" s="158"/>
      <c r="E1164" s="158"/>
      <c r="F1164" s="158"/>
    </row>
    <row r="1165" spans="4:6">
      <c r="D1165" s="158"/>
      <c r="E1165" s="158"/>
      <c r="F1165" s="158"/>
    </row>
    <row r="1166" spans="4:6">
      <c r="D1166" s="158"/>
      <c r="E1166" s="158"/>
      <c r="F1166" s="158"/>
    </row>
    <row r="1167" spans="4:6">
      <c r="D1167" s="158"/>
      <c r="E1167" s="158"/>
      <c r="F1167" s="158"/>
    </row>
    <row r="1168" spans="4:6">
      <c r="D1168" s="158"/>
      <c r="E1168" s="158"/>
      <c r="F1168" s="158"/>
    </row>
    <row r="1169" spans="4:6">
      <c r="D1169" s="158"/>
      <c r="E1169" s="158"/>
      <c r="F1169" s="158"/>
    </row>
    <row r="1170" spans="4:6">
      <c r="D1170" s="158"/>
      <c r="E1170" s="158"/>
      <c r="F1170" s="158"/>
    </row>
    <row r="1171" spans="4:6">
      <c r="D1171" s="158"/>
      <c r="E1171" s="158"/>
      <c r="F1171" s="158"/>
    </row>
    <row r="1172" spans="4:6">
      <c r="D1172" s="158"/>
      <c r="E1172" s="158"/>
      <c r="F1172" s="158"/>
    </row>
    <row r="1173" spans="4:6">
      <c r="D1173" s="158"/>
      <c r="E1173" s="158"/>
      <c r="F1173" s="158"/>
    </row>
    <row r="1174" spans="4:6">
      <c r="D1174" s="158"/>
      <c r="E1174" s="158"/>
      <c r="F1174" s="158"/>
    </row>
    <row r="1175" spans="4:6">
      <c r="D1175" s="158"/>
      <c r="E1175" s="158"/>
      <c r="F1175" s="158"/>
    </row>
    <row r="1176" spans="4:6">
      <c r="D1176" s="158"/>
      <c r="E1176" s="158"/>
      <c r="F1176" s="158"/>
    </row>
    <row r="1177" spans="4:6">
      <c r="D1177" s="158"/>
      <c r="E1177" s="158"/>
      <c r="F1177" s="158"/>
    </row>
    <row r="1178" spans="4:6">
      <c r="D1178" s="158"/>
      <c r="E1178" s="158"/>
      <c r="F1178" s="158"/>
    </row>
    <row r="1179" spans="4:6">
      <c r="D1179" s="158"/>
      <c r="E1179" s="158"/>
      <c r="F1179" s="158"/>
    </row>
    <row r="1180" spans="4:6">
      <c r="D1180" s="158"/>
      <c r="E1180" s="158"/>
      <c r="F1180" s="158"/>
    </row>
    <row r="1181" spans="4:6">
      <c r="D1181" s="158"/>
      <c r="E1181" s="158"/>
      <c r="F1181" s="158"/>
    </row>
    <row r="1182" spans="4:6">
      <c r="D1182" s="158"/>
      <c r="E1182" s="158"/>
      <c r="F1182" s="158"/>
    </row>
    <row r="1183" spans="4:6">
      <c r="D1183" s="158"/>
      <c r="E1183" s="158"/>
      <c r="F1183" s="158"/>
    </row>
    <row r="1184" spans="4:6">
      <c r="D1184" s="158"/>
      <c r="E1184" s="158"/>
      <c r="F1184" s="158"/>
    </row>
    <row r="1185" spans="4:6">
      <c r="D1185" s="158"/>
      <c r="E1185" s="158"/>
      <c r="F1185" s="158"/>
    </row>
    <row r="1186" spans="4:6">
      <c r="D1186" s="158"/>
      <c r="E1186" s="158"/>
      <c r="F1186" s="158"/>
    </row>
    <row r="1187" spans="4:6">
      <c r="D1187" s="158"/>
      <c r="E1187" s="158"/>
      <c r="F1187" s="158"/>
    </row>
    <row r="1188" spans="4:6">
      <c r="D1188" s="158"/>
      <c r="E1188" s="158"/>
      <c r="F1188" s="158"/>
    </row>
    <row r="1189" spans="4:6">
      <c r="D1189" s="158"/>
      <c r="E1189" s="158"/>
      <c r="F1189" s="158"/>
    </row>
    <row r="1190" spans="4:6">
      <c r="D1190" s="158"/>
      <c r="E1190" s="158"/>
      <c r="F1190" s="158"/>
    </row>
    <row r="1191" spans="4:6">
      <c r="D1191" s="158"/>
      <c r="E1191" s="158"/>
      <c r="F1191" s="158"/>
    </row>
    <row r="1192" spans="4:6">
      <c r="D1192" s="158"/>
      <c r="E1192" s="158"/>
      <c r="F1192" s="158"/>
    </row>
    <row r="1193" spans="4:6">
      <c r="D1193" s="158"/>
      <c r="E1193" s="158"/>
      <c r="F1193" s="158"/>
    </row>
    <row r="1194" spans="4:6">
      <c r="D1194" s="158"/>
      <c r="E1194" s="158"/>
      <c r="F1194" s="158"/>
    </row>
    <row r="1195" spans="4:6">
      <c r="D1195" s="158"/>
      <c r="E1195" s="158"/>
      <c r="F1195" s="158"/>
    </row>
    <row r="1196" spans="4:6">
      <c r="D1196" s="158"/>
      <c r="E1196" s="158"/>
      <c r="F1196" s="158"/>
    </row>
    <row r="1197" spans="4:6">
      <c r="D1197" s="158"/>
      <c r="E1197" s="158"/>
      <c r="F1197" s="158"/>
    </row>
    <row r="1198" spans="4:6">
      <c r="D1198" s="158"/>
      <c r="E1198" s="158"/>
      <c r="F1198" s="158"/>
    </row>
    <row r="1199" spans="4:6">
      <c r="D1199" s="158"/>
      <c r="E1199" s="158"/>
      <c r="F1199" s="158"/>
    </row>
    <row r="1200" spans="4:6">
      <c r="D1200" s="158"/>
      <c r="E1200" s="158"/>
      <c r="F1200" s="158"/>
    </row>
    <row r="1201" spans="4:6">
      <c r="D1201" s="158"/>
      <c r="E1201" s="158"/>
      <c r="F1201" s="158"/>
    </row>
    <row r="1202" spans="4:6">
      <c r="D1202" s="158"/>
      <c r="E1202" s="158"/>
      <c r="F1202" s="158"/>
    </row>
    <row r="1203" spans="4:6">
      <c r="D1203" s="158"/>
      <c r="E1203" s="158"/>
      <c r="F1203" s="158"/>
    </row>
    <row r="1204" spans="4:6">
      <c r="D1204" s="158"/>
      <c r="E1204" s="158"/>
      <c r="F1204" s="158"/>
    </row>
    <row r="1205" spans="4:6">
      <c r="D1205" s="158"/>
      <c r="E1205" s="158"/>
      <c r="F1205" s="158"/>
    </row>
    <row r="1206" spans="4:6">
      <c r="D1206" s="158"/>
      <c r="E1206" s="158"/>
      <c r="F1206" s="158"/>
    </row>
    <row r="1207" spans="4:6">
      <c r="D1207" s="158"/>
      <c r="E1207" s="158"/>
      <c r="F1207" s="158"/>
    </row>
    <row r="1208" spans="4:6">
      <c r="D1208" s="158"/>
      <c r="E1208" s="158"/>
      <c r="F1208" s="158"/>
    </row>
    <row r="1209" spans="4:6">
      <c r="D1209" s="158"/>
      <c r="E1209" s="158"/>
      <c r="F1209" s="158"/>
    </row>
    <row r="1210" spans="4:6">
      <c r="D1210" s="158"/>
      <c r="E1210" s="158"/>
      <c r="F1210" s="158"/>
    </row>
    <row r="1211" spans="4:6">
      <c r="D1211" s="158"/>
      <c r="E1211" s="158"/>
      <c r="F1211" s="158"/>
    </row>
    <row r="1212" spans="4:6">
      <c r="D1212" s="158"/>
      <c r="E1212" s="158"/>
      <c r="F1212" s="158"/>
    </row>
    <row r="1213" spans="4:6">
      <c r="D1213" s="158"/>
      <c r="E1213" s="158"/>
      <c r="F1213" s="158"/>
    </row>
    <row r="1214" spans="4:6">
      <c r="D1214" s="158"/>
      <c r="E1214" s="158"/>
      <c r="F1214" s="158"/>
    </row>
  </sheetData>
  <autoFilter ref="B3:I3" xr:uid="{1F1D6C3A-71D7-FD4F-96F6-5CD0DD4590DB}">
    <sortState xmlns:xlrd2="http://schemas.microsoft.com/office/spreadsheetml/2017/richdata2" ref="B4:I335">
      <sortCondition ref="B3:B335"/>
    </sortState>
  </autoFilter>
  <phoneticPr fontId="34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D565-9118-F045-87ED-D1B8004D9690}">
  <dimension ref="A1:AG1214"/>
  <sheetViews>
    <sheetView zoomScaleNormal="100" workbookViewId="0">
      <pane ySplit="3" topLeftCell="A122" activePane="bottomLeft" state="frozen"/>
      <selection pane="bottomLeft" activeCell="B128" sqref="B128:C128"/>
    </sheetView>
  </sheetViews>
  <sheetFormatPr defaultColWidth="10.83203125" defaultRowHeight="15.7"/>
  <cols>
    <col min="1" max="1" width="4.83203125" style="158" customWidth="1"/>
    <col min="2" max="2" width="50.83203125" style="58" customWidth="1"/>
    <col min="3" max="3" width="30.83203125" style="58" customWidth="1"/>
    <col min="4" max="4" width="20.83203125" style="58" customWidth="1"/>
    <col min="5" max="6" width="30.83203125" style="58" customWidth="1"/>
    <col min="7" max="7" width="30.83203125" style="158" customWidth="1"/>
    <col min="8" max="8" width="24.83203125" style="58" customWidth="1"/>
    <col min="9" max="13" width="16.83203125" style="58" customWidth="1"/>
    <col min="14" max="15" width="10.83203125" style="158"/>
    <col min="16" max="16" width="60.83203125" style="158" customWidth="1"/>
    <col min="17" max="17" width="40.83203125" style="158" customWidth="1"/>
    <col min="18" max="16384" width="10.83203125" style="158"/>
  </cols>
  <sheetData>
    <row r="1" spans="1:33" s="2" customFormat="1" ht="20.7">
      <c r="A1" s="151" t="s">
        <v>79</v>
      </c>
      <c r="B1" s="21" t="s">
        <v>1137</v>
      </c>
      <c r="C1" s="14"/>
      <c r="D1" s="158"/>
      <c r="E1" s="158"/>
      <c r="F1" s="158"/>
      <c r="G1" s="59"/>
      <c r="H1" s="158"/>
      <c r="I1" s="158"/>
      <c r="J1" s="158"/>
      <c r="K1" s="158"/>
      <c r="L1" s="158"/>
      <c r="M1" s="158"/>
      <c r="N1" s="21"/>
      <c r="P1" s="59"/>
      <c r="Q1" s="59"/>
      <c r="R1" s="59"/>
      <c r="S1" s="59"/>
      <c r="T1" s="58"/>
      <c r="U1" s="58"/>
      <c r="V1" s="58"/>
      <c r="W1" s="58"/>
      <c r="X1" s="58"/>
      <c r="Y1" s="58"/>
      <c r="Z1" s="58"/>
      <c r="AA1" s="58"/>
      <c r="AB1" s="58"/>
      <c r="AC1" s="58"/>
      <c r="AD1" s="158"/>
      <c r="AE1" s="158"/>
      <c r="AF1" s="58"/>
      <c r="AG1" s="158"/>
    </row>
    <row r="2" spans="1:33" s="49" customFormat="1" ht="36">
      <c r="B2" s="23" t="s">
        <v>1149</v>
      </c>
      <c r="C2" s="23" t="s">
        <v>1148</v>
      </c>
      <c r="D2" s="23" t="s">
        <v>13</v>
      </c>
      <c r="E2" s="23" t="s">
        <v>14</v>
      </c>
      <c r="F2" s="23" t="s">
        <v>15</v>
      </c>
      <c r="G2" s="23" t="s">
        <v>821</v>
      </c>
      <c r="H2" s="109" t="s">
        <v>819</v>
      </c>
      <c r="I2" s="109" t="s">
        <v>837</v>
      </c>
      <c r="J2" s="109" t="s">
        <v>838</v>
      </c>
      <c r="K2" s="109" t="s">
        <v>839</v>
      </c>
      <c r="L2" s="109" t="s">
        <v>840</v>
      </c>
      <c r="M2" s="109" t="s">
        <v>836</v>
      </c>
      <c r="N2" s="109" t="s">
        <v>813</v>
      </c>
      <c r="O2" s="109" t="s">
        <v>814</v>
      </c>
      <c r="P2" s="23" t="s">
        <v>568</v>
      </c>
      <c r="Q2" s="23" t="s">
        <v>46</v>
      </c>
    </row>
    <row r="3" spans="1:33" s="49" customFormat="1" ht="18">
      <c r="B3" s="17"/>
      <c r="C3" s="17"/>
      <c r="D3" s="17"/>
      <c r="E3" s="17"/>
      <c r="F3" s="17"/>
      <c r="G3" s="17"/>
      <c r="H3" s="17"/>
      <c r="I3" s="17" t="s">
        <v>71</v>
      </c>
      <c r="J3" s="17" t="s">
        <v>71</v>
      </c>
      <c r="K3" s="17" t="s">
        <v>841</v>
      </c>
      <c r="L3" s="17" t="s">
        <v>841</v>
      </c>
      <c r="M3" s="17"/>
      <c r="N3" s="17" t="s">
        <v>19</v>
      </c>
      <c r="O3" s="17" t="s">
        <v>19</v>
      </c>
      <c r="P3" s="17"/>
      <c r="Q3" s="17"/>
    </row>
    <row r="4" spans="1:33" ht="18">
      <c r="B4" s="103" t="s">
        <v>983</v>
      </c>
      <c r="C4" s="47" t="s">
        <v>1196</v>
      </c>
      <c r="D4" s="47" t="s">
        <v>93</v>
      </c>
      <c r="E4" s="261">
        <v>45.957059215915201</v>
      </c>
      <c r="F4" s="263">
        <v>-66.646612339531899</v>
      </c>
      <c r="G4" s="47" t="s">
        <v>598</v>
      </c>
      <c r="H4" s="47"/>
      <c r="I4" s="68"/>
      <c r="J4" s="68"/>
      <c r="K4" s="124"/>
      <c r="L4" s="124"/>
      <c r="M4" s="124"/>
      <c r="N4" s="124"/>
      <c r="O4" s="124"/>
      <c r="P4" s="18"/>
      <c r="Q4" s="18"/>
    </row>
    <row r="5" spans="1:33" ht="18">
      <c r="B5" s="103" t="s">
        <v>1048</v>
      </c>
      <c r="C5" s="47" t="s">
        <v>1197</v>
      </c>
      <c r="D5" s="47" t="s">
        <v>93</v>
      </c>
      <c r="E5" s="261">
        <v>45.7314380100851</v>
      </c>
      <c r="F5" s="261">
        <v>-64.758531476715703</v>
      </c>
      <c r="G5" s="47" t="s">
        <v>598</v>
      </c>
      <c r="H5" s="47"/>
      <c r="I5" s="68"/>
      <c r="J5" s="68"/>
      <c r="K5" s="124"/>
      <c r="L5" s="124"/>
      <c r="M5" s="124"/>
      <c r="N5" s="124"/>
      <c r="O5" s="124"/>
      <c r="P5" s="18"/>
      <c r="Q5" s="18"/>
    </row>
    <row r="6" spans="1:33" ht="18">
      <c r="B6" s="103" t="s">
        <v>1393</v>
      </c>
      <c r="C6" s="47" t="s">
        <v>1198</v>
      </c>
      <c r="D6" s="47" t="s">
        <v>93</v>
      </c>
      <c r="E6" s="261">
        <v>47.474671148017201</v>
      </c>
      <c r="F6" s="263">
        <v>-65.496119433216904</v>
      </c>
      <c r="G6" s="47" t="s">
        <v>598</v>
      </c>
      <c r="H6" s="47"/>
      <c r="I6" s="68"/>
      <c r="J6" s="68"/>
      <c r="K6" s="124"/>
      <c r="L6" s="124"/>
      <c r="M6" s="124"/>
      <c r="N6" s="124"/>
      <c r="O6" s="124"/>
      <c r="P6" s="18"/>
      <c r="Q6" s="18"/>
    </row>
    <row r="7" spans="1:33" ht="18">
      <c r="B7" s="103" t="s">
        <v>1392</v>
      </c>
      <c r="C7" s="47" t="s">
        <v>1394</v>
      </c>
      <c r="D7" s="47" t="s">
        <v>93</v>
      </c>
      <c r="E7" s="261">
        <v>47.473632550994203</v>
      </c>
      <c r="F7" s="263">
        <v>-65.495491861752996</v>
      </c>
      <c r="G7" s="47" t="s">
        <v>598</v>
      </c>
      <c r="H7" s="47"/>
      <c r="I7" s="68"/>
      <c r="J7" s="68"/>
      <c r="K7" s="124"/>
      <c r="L7" s="124"/>
      <c r="M7" s="124"/>
      <c r="N7" s="124"/>
      <c r="O7" s="124"/>
      <c r="P7" s="18"/>
      <c r="Q7" s="18"/>
    </row>
    <row r="8" spans="1:33" ht="18">
      <c r="B8" s="103" t="s">
        <v>929</v>
      </c>
      <c r="C8" s="47" t="s">
        <v>1199</v>
      </c>
      <c r="D8" s="47" t="s">
        <v>93</v>
      </c>
      <c r="E8" s="261">
        <v>46.056387988047902</v>
      </c>
      <c r="F8" s="263">
        <v>-64.881522239131101</v>
      </c>
      <c r="G8" s="47" t="s">
        <v>598</v>
      </c>
      <c r="H8" s="47"/>
      <c r="I8" s="68"/>
      <c r="J8" s="68"/>
      <c r="K8" s="124"/>
      <c r="L8" s="124"/>
      <c r="M8" s="124"/>
      <c r="N8" s="124"/>
      <c r="O8" s="124"/>
      <c r="P8" s="18"/>
      <c r="Q8" s="18"/>
    </row>
    <row r="9" spans="1:33" ht="18">
      <c r="B9" s="103" t="s">
        <v>1060</v>
      </c>
      <c r="C9" s="47" t="s">
        <v>1462</v>
      </c>
      <c r="D9" s="47" t="s">
        <v>93</v>
      </c>
      <c r="E9" s="261">
        <v>47.9878657387641</v>
      </c>
      <c r="F9" s="263">
        <v>-66.728364857145195</v>
      </c>
      <c r="G9" s="47" t="s">
        <v>598</v>
      </c>
      <c r="H9" s="47"/>
      <c r="I9" s="68"/>
      <c r="J9" s="68"/>
      <c r="K9" s="124"/>
      <c r="L9" s="124"/>
      <c r="M9" s="124"/>
      <c r="N9" s="124"/>
      <c r="O9" s="124"/>
      <c r="P9" s="18"/>
      <c r="Q9" s="18"/>
    </row>
    <row r="10" spans="1:33" ht="18">
      <c r="B10" s="103" t="s">
        <v>1066</v>
      </c>
      <c r="C10" s="47" t="s">
        <v>1395</v>
      </c>
      <c r="D10" s="47" t="s">
        <v>93</v>
      </c>
      <c r="E10" s="261">
        <v>47.010154278411797</v>
      </c>
      <c r="F10" s="263">
        <v>-65.497731203928296</v>
      </c>
      <c r="G10" s="47" t="s">
        <v>598</v>
      </c>
      <c r="H10" s="47"/>
      <c r="I10" s="68"/>
      <c r="J10" s="68"/>
      <c r="K10" s="124"/>
      <c r="L10" s="124"/>
      <c r="M10" s="124"/>
      <c r="N10" s="124"/>
      <c r="O10" s="124"/>
      <c r="P10" s="18"/>
      <c r="Q10" s="18"/>
    </row>
    <row r="11" spans="1:33" ht="18">
      <c r="B11" s="103" t="s">
        <v>1152</v>
      </c>
      <c r="C11" s="47" t="s">
        <v>1201</v>
      </c>
      <c r="D11" s="47" t="s">
        <v>93</v>
      </c>
      <c r="E11" s="261">
        <v>45.871611900180099</v>
      </c>
      <c r="F11" s="263">
        <v>-64.268244621665303</v>
      </c>
      <c r="G11" s="47" t="s">
        <v>598</v>
      </c>
      <c r="H11" s="47"/>
      <c r="I11" s="68"/>
      <c r="J11" s="68"/>
      <c r="K11" s="124"/>
      <c r="L11" s="124"/>
      <c r="M11" s="124"/>
      <c r="N11" s="124"/>
      <c r="O11" s="124"/>
      <c r="P11" s="18"/>
      <c r="Q11" s="18"/>
    </row>
    <row r="12" spans="1:33" ht="18">
      <c r="B12" s="103" t="s">
        <v>1070</v>
      </c>
      <c r="C12" s="47" t="s">
        <v>1202</v>
      </c>
      <c r="D12" s="47" t="s">
        <v>93</v>
      </c>
      <c r="E12" s="261">
        <v>47.041068193536702</v>
      </c>
      <c r="F12" s="263">
        <v>-64.977236753725805</v>
      </c>
      <c r="G12" s="47" t="s">
        <v>598</v>
      </c>
      <c r="H12" s="47"/>
      <c r="I12" s="68"/>
      <c r="J12" s="68"/>
      <c r="K12" s="124"/>
      <c r="L12" s="124"/>
      <c r="M12" s="124"/>
      <c r="N12" s="124"/>
      <c r="O12" s="124"/>
      <c r="P12" s="18"/>
      <c r="Q12" s="18"/>
    </row>
    <row r="13" spans="1:33" ht="18">
      <c r="B13" s="103" t="s">
        <v>964</v>
      </c>
      <c r="C13" s="47" t="s">
        <v>1203</v>
      </c>
      <c r="D13" s="47" t="s">
        <v>93</v>
      </c>
      <c r="E13" s="261">
        <v>46.0755544101102</v>
      </c>
      <c r="F13" s="263">
        <v>-64.822671994469701</v>
      </c>
      <c r="G13" s="47" t="s">
        <v>598</v>
      </c>
      <c r="H13" s="47"/>
      <c r="I13" s="68"/>
      <c r="J13" s="68"/>
      <c r="K13" s="124"/>
      <c r="L13" s="124"/>
      <c r="M13" s="124"/>
      <c r="N13" s="124"/>
      <c r="O13" s="124"/>
      <c r="P13" s="18"/>
      <c r="Q13" s="18"/>
    </row>
    <row r="14" spans="1:33" ht="18">
      <c r="B14" s="103" t="s">
        <v>1088</v>
      </c>
      <c r="C14" s="47" t="s">
        <v>1204</v>
      </c>
      <c r="D14" s="47" t="s">
        <v>93</v>
      </c>
      <c r="E14" s="261">
        <v>47.303013346199599</v>
      </c>
      <c r="F14" s="263">
        <v>-68.485588477935295</v>
      </c>
      <c r="G14" s="47" t="s">
        <v>598</v>
      </c>
      <c r="H14" s="47"/>
      <c r="I14" s="68"/>
      <c r="J14" s="68"/>
      <c r="K14" s="124"/>
      <c r="L14" s="124"/>
      <c r="M14" s="124"/>
      <c r="N14" s="124"/>
      <c r="O14" s="124"/>
      <c r="P14" s="18"/>
      <c r="Q14" s="18"/>
    </row>
    <row r="15" spans="1:33" ht="18">
      <c r="B15" s="103" t="s">
        <v>1007</v>
      </c>
      <c r="C15" s="47" t="s">
        <v>1205</v>
      </c>
      <c r="D15" s="47" t="s">
        <v>93</v>
      </c>
      <c r="E15" s="261">
        <v>45.959026561086702</v>
      </c>
      <c r="F15" s="263">
        <v>-66.591538828102898</v>
      </c>
      <c r="G15" s="47" t="s">
        <v>598</v>
      </c>
      <c r="H15" s="47"/>
      <c r="I15" s="68"/>
      <c r="J15" s="68"/>
      <c r="K15" s="124"/>
      <c r="L15" s="124"/>
      <c r="M15" s="124"/>
      <c r="N15" s="124"/>
      <c r="O15" s="124"/>
      <c r="P15" s="18"/>
      <c r="Q15" s="18"/>
    </row>
    <row r="16" spans="1:33" ht="18">
      <c r="B16" s="103" t="s">
        <v>1396</v>
      </c>
      <c r="C16" s="47" t="s">
        <v>1206</v>
      </c>
      <c r="D16" s="47" t="s">
        <v>93</v>
      </c>
      <c r="E16" s="261">
        <v>47.592023875689797</v>
      </c>
      <c r="F16" s="263">
        <v>-65.612787327739099</v>
      </c>
      <c r="G16" s="47" t="s">
        <v>598</v>
      </c>
      <c r="H16" s="47"/>
      <c r="I16" s="68"/>
      <c r="J16" s="68"/>
      <c r="K16" s="124"/>
      <c r="L16" s="124"/>
      <c r="M16" s="124"/>
      <c r="N16" s="124"/>
      <c r="O16" s="124"/>
      <c r="P16" s="18"/>
      <c r="Q16" s="18"/>
    </row>
    <row r="17" spans="2:17" ht="18">
      <c r="B17" s="103" t="s">
        <v>1397</v>
      </c>
      <c r="C17" s="98" t="s">
        <v>1207</v>
      </c>
      <c r="D17" s="47" t="s">
        <v>93</v>
      </c>
      <c r="E17" s="261">
        <v>47.625282110165202</v>
      </c>
      <c r="F17" s="263">
        <v>-65.706190645143707</v>
      </c>
      <c r="G17" s="47" t="s">
        <v>598</v>
      </c>
      <c r="H17" s="47"/>
      <c r="I17" s="68"/>
      <c r="J17" s="68"/>
      <c r="K17" s="124"/>
      <c r="L17" s="124"/>
      <c r="M17" s="124"/>
      <c r="N17" s="124"/>
      <c r="O17" s="124"/>
      <c r="P17" s="18"/>
      <c r="Q17" s="18"/>
    </row>
    <row r="18" spans="2:17" ht="18">
      <c r="B18" s="103" t="s">
        <v>1008</v>
      </c>
      <c r="C18" s="47" t="s">
        <v>1208</v>
      </c>
      <c r="D18" s="47" t="s">
        <v>93</v>
      </c>
      <c r="E18" s="261">
        <v>47.037286684524901</v>
      </c>
      <c r="F18" s="263">
        <v>-65.154209093295805</v>
      </c>
      <c r="G18" s="47" t="s">
        <v>598</v>
      </c>
      <c r="H18" s="47"/>
      <c r="I18" s="68"/>
      <c r="J18" s="68"/>
      <c r="K18" s="124"/>
      <c r="L18" s="124"/>
      <c r="M18" s="124"/>
      <c r="N18" s="124"/>
      <c r="O18" s="124"/>
      <c r="P18" s="18"/>
      <c r="Q18" s="18"/>
    </row>
    <row r="19" spans="2:17" ht="18">
      <c r="B19" s="103" t="s">
        <v>988</v>
      </c>
      <c r="C19" s="47" t="s">
        <v>1209</v>
      </c>
      <c r="D19" s="47" t="s">
        <v>93</v>
      </c>
      <c r="E19" s="261">
        <v>45.275824397703197</v>
      </c>
      <c r="F19" s="261">
        <v>-66.028616628367303</v>
      </c>
      <c r="G19" s="47" t="s">
        <v>598</v>
      </c>
      <c r="H19" s="47"/>
      <c r="I19" s="68"/>
      <c r="J19" s="68"/>
      <c r="K19" s="124"/>
      <c r="L19" s="124"/>
      <c r="M19" s="124"/>
      <c r="N19" s="124"/>
      <c r="O19" s="124"/>
      <c r="P19" s="18"/>
      <c r="Q19" s="18"/>
    </row>
    <row r="20" spans="2:17" ht="18">
      <c r="B20" s="103" t="s">
        <v>1142</v>
      </c>
      <c r="C20" s="47" t="s">
        <v>1374</v>
      </c>
      <c r="D20" s="47" t="s">
        <v>93</v>
      </c>
      <c r="E20" s="261">
        <v>45.275824397703197</v>
      </c>
      <c r="F20" s="261">
        <v>-66.028616628367303</v>
      </c>
      <c r="G20" s="47" t="s">
        <v>598</v>
      </c>
      <c r="H20" s="47"/>
      <c r="I20" s="68"/>
      <c r="J20" s="68"/>
      <c r="K20" s="124"/>
      <c r="L20" s="124"/>
      <c r="M20" s="124"/>
      <c r="N20" s="124"/>
      <c r="O20" s="124"/>
      <c r="P20" s="18"/>
      <c r="Q20" s="18"/>
    </row>
    <row r="21" spans="2:17" ht="18">
      <c r="B21" s="103" t="s">
        <v>956</v>
      </c>
      <c r="C21" s="47" t="s">
        <v>1494</v>
      </c>
      <c r="D21" s="47" t="s">
        <v>93</v>
      </c>
      <c r="E21" s="261">
        <v>45.157394350832099</v>
      </c>
      <c r="F21" s="263">
        <v>-67.132527222681105</v>
      </c>
      <c r="G21" s="47" t="s">
        <v>598</v>
      </c>
      <c r="H21" s="47"/>
      <c r="I21" s="68"/>
      <c r="J21" s="68"/>
      <c r="K21" s="124"/>
      <c r="L21" s="124"/>
      <c r="M21" s="124"/>
      <c r="N21" s="124"/>
      <c r="O21" s="124"/>
      <c r="P21" s="18"/>
      <c r="Q21" s="18"/>
    </row>
    <row r="22" spans="2:17" ht="18">
      <c r="B22" s="103" t="s">
        <v>649</v>
      </c>
      <c r="C22" s="47" t="s">
        <v>1375</v>
      </c>
      <c r="D22" s="47" t="s">
        <v>93</v>
      </c>
      <c r="E22" s="261">
        <v>46.542821500000002</v>
      </c>
      <c r="F22" s="263">
        <v>-67.668708899999999</v>
      </c>
      <c r="G22" s="47" t="s">
        <v>598</v>
      </c>
      <c r="H22" s="47"/>
      <c r="I22" s="68"/>
      <c r="J22" s="68"/>
      <c r="K22" s="124"/>
      <c r="L22" s="124"/>
      <c r="M22" s="124"/>
      <c r="N22" s="124"/>
      <c r="O22" s="124"/>
      <c r="P22" s="18"/>
      <c r="Q22" s="18"/>
    </row>
    <row r="23" spans="2:17" ht="18">
      <c r="B23" s="103" t="s">
        <v>1014</v>
      </c>
      <c r="C23" s="47" t="s">
        <v>1210</v>
      </c>
      <c r="D23" s="47" t="s">
        <v>93</v>
      </c>
      <c r="E23" s="261">
        <v>46.5431830111715</v>
      </c>
      <c r="F23" s="263">
        <v>-67.666616329245201</v>
      </c>
      <c r="G23" s="47" t="s">
        <v>598</v>
      </c>
      <c r="H23" s="47"/>
      <c r="I23" s="68"/>
      <c r="J23" s="68"/>
      <c r="K23" s="124"/>
      <c r="L23" s="124"/>
      <c r="M23" s="124"/>
      <c r="N23" s="124"/>
      <c r="O23" s="124"/>
      <c r="P23" s="18"/>
      <c r="Q23" s="18"/>
    </row>
    <row r="24" spans="2:17" ht="18">
      <c r="B24" s="103" t="s">
        <v>1482</v>
      </c>
      <c r="C24" s="47" t="s">
        <v>1483</v>
      </c>
      <c r="D24" s="47" t="s">
        <v>93</v>
      </c>
      <c r="E24" s="261">
        <v>47.893982962390901</v>
      </c>
      <c r="F24" s="263">
        <v>-65.852577563048797</v>
      </c>
      <c r="G24" s="47" t="s">
        <v>598</v>
      </c>
      <c r="H24" s="47"/>
      <c r="I24" s="68"/>
      <c r="J24" s="68"/>
      <c r="K24" s="124"/>
      <c r="L24" s="124"/>
      <c r="M24" s="124"/>
      <c r="N24" s="124"/>
      <c r="O24" s="124"/>
      <c r="P24" s="18"/>
      <c r="Q24" s="18"/>
    </row>
    <row r="25" spans="2:17" ht="18">
      <c r="B25" s="103" t="s">
        <v>211</v>
      </c>
      <c r="C25" s="47" t="s">
        <v>1376</v>
      </c>
      <c r="D25" s="47" t="s">
        <v>93</v>
      </c>
      <c r="E25" s="261">
        <v>47.890293999999997</v>
      </c>
      <c r="F25" s="263">
        <v>-65.872703999999999</v>
      </c>
      <c r="G25" s="47" t="s">
        <v>598</v>
      </c>
      <c r="H25" s="47"/>
      <c r="I25" s="68"/>
      <c r="J25" s="68"/>
      <c r="K25" s="124"/>
      <c r="L25" s="124"/>
      <c r="M25" s="124"/>
      <c r="N25" s="124"/>
      <c r="O25" s="124"/>
      <c r="P25" s="18"/>
      <c r="Q25" s="18"/>
    </row>
    <row r="26" spans="2:17" ht="18">
      <c r="B26" s="103" t="s">
        <v>1113</v>
      </c>
      <c r="C26" s="47" t="s">
        <v>1453</v>
      </c>
      <c r="D26" s="47" t="s">
        <v>93</v>
      </c>
      <c r="E26" s="261">
        <v>47.905039452380699</v>
      </c>
      <c r="F26" s="263">
        <v>-65.846549691531607</v>
      </c>
      <c r="G26" s="47" t="s">
        <v>598</v>
      </c>
      <c r="H26" s="47"/>
      <c r="I26" s="68"/>
      <c r="J26" s="68"/>
      <c r="K26" s="124"/>
      <c r="L26" s="124"/>
      <c r="M26" s="124"/>
      <c r="N26" s="124"/>
      <c r="O26" s="124"/>
      <c r="P26" s="18"/>
      <c r="Q26" s="18"/>
    </row>
    <row r="27" spans="2:17" ht="18">
      <c r="B27" s="103" t="s">
        <v>1031</v>
      </c>
      <c r="C27" s="47" t="s">
        <v>1211</v>
      </c>
      <c r="D27" s="47" t="s">
        <v>93</v>
      </c>
      <c r="E27" s="261">
        <v>47.898556935503102</v>
      </c>
      <c r="F27" s="263">
        <v>-65.866373157186104</v>
      </c>
      <c r="G27" s="47" t="s">
        <v>598</v>
      </c>
      <c r="H27" s="47"/>
      <c r="I27" s="68"/>
      <c r="J27" s="68"/>
      <c r="K27" s="124"/>
      <c r="L27" s="124"/>
      <c r="M27" s="124"/>
      <c r="N27" s="124"/>
      <c r="O27" s="124"/>
      <c r="P27" s="18"/>
      <c r="Q27" s="18"/>
    </row>
    <row r="28" spans="2:17" ht="18">
      <c r="B28" s="103" t="s">
        <v>1133</v>
      </c>
      <c r="C28" s="47" t="s">
        <v>1430</v>
      </c>
      <c r="D28" s="47" t="s">
        <v>93</v>
      </c>
      <c r="E28" s="261">
        <v>47.884242867439397</v>
      </c>
      <c r="F28" s="263">
        <v>-65.928480506687393</v>
      </c>
      <c r="G28" s="47" t="s">
        <v>598</v>
      </c>
      <c r="H28" s="47"/>
      <c r="I28" s="68"/>
      <c r="J28" s="68"/>
      <c r="K28" s="124"/>
      <c r="L28" s="124"/>
      <c r="M28" s="124"/>
      <c r="N28" s="124"/>
      <c r="O28" s="124"/>
      <c r="P28" s="18"/>
      <c r="Q28" s="18"/>
    </row>
    <row r="29" spans="2:17" ht="18">
      <c r="B29" s="103" t="s">
        <v>1072</v>
      </c>
      <c r="C29" s="47" t="s">
        <v>1212</v>
      </c>
      <c r="D29" s="47" t="s">
        <v>93</v>
      </c>
      <c r="E29" s="261">
        <v>47.7194833981507</v>
      </c>
      <c r="F29" s="263">
        <v>-65.710080838714703</v>
      </c>
      <c r="G29" s="47" t="s">
        <v>598</v>
      </c>
      <c r="H29" s="47"/>
      <c r="I29" s="68"/>
      <c r="J29" s="68"/>
      <c r="K29" s="124"/>
      <c r="L29" s="124"/>
      <c r="M29" s="124"/>
      <c r="N29" s="124"/>
      <c r="O29" s="124"/>
      <c r="P29" s="18"/>
      <c r="Q29" s="18"/>
    </row>
    <row r="30" spans="2:17" ht="18">
      <c r="B30" s="103" t="s">
        <v>999</v>
      </c>
      <c r="C30" s="47" t="s">
        <v>1213</v>
      </c>
      <c r="D30" s="47" t="s">
        <v>93</v>
      </c>
      <c r="E30" s="261">
        <v>47.749439757677202</v>
      </c>
      <c r="F30" s="263">
        <v>-65.069977788372199</v>
      </c>
      <c r="G30" s="47" t="s">
        <v>598</v>
      </c>
      <c r="H30" s="47"/>
      <c r="I30" s="68"/>
      <c r="J30" s="68"/>
      <c r="K30" s="124"/>
      <c r="L30" s="124"/>
      <c r="M30" s="124"/>
      <c r="N30" s="124"/>
      <c r="O30" s="124"/>
      <c r="P30" s="18"/>
      <c r="Q30" s="18"/>
    </row>
    <row r="31" spans="2:17" ht="18">
      <c r="B31" s="103" t="s">
        <v>1046</v>
      </c>
      <c r="C31" s="47" t="s">
        <v>1214</v>
      </c>
      <c r="D31" s="47" t="s">
        <v>93</v>
      </c>
      <c r="E31" s="261">
        <v>45.049266004614999</v>
      </c>
      <c r="F31" s="263">
        <v>-66.793811933863594</v>
      </c>
      <c r="G31" s="47" t="s">
        <v>598</v>
      </c>
      <c r="H31" s="47"/>
      <c r="I31" s="68"/>
      <c r="J31" s="68"/>
      <c r="K31" s="124"/>
      <c r="L31" s="124"/>
      <c r="M31" s="124"/>
      <c r="N31" s="124"/>
      <c r="O31" s="124"/>
      <c r="P31" s="18"/>
      <c r="Q31" s="18"/>
    </row>
    <row r="32" spans="2:17" ht="18">
      <c r="B32" s="103" t="s">
        <v>1158</v>
      </c>
      <c r="C32" s="47" t="s">
        <v>1215</v>
      </c>
      <c r="D32" s="47" t="s">
        <v>93</v>
      </c>
      <c r="E32" s="261">
        <v>46.4699708436778</v>
      </c>
      <c r="F32" s="263">
        <v>-66.396257944139094</v>
      </c>
      <c r="G32" s="47" t="s">
        <v>598</v>
      </c>
      <c r="H32" s="47"/>
      <c r="I32" s="68"/>
      <c r="J32" s="68"/>
      <c r="K32" s="124"/>
      <c r="L32" s="124"/>
      <c r="M32" s="124"/>
      <c r="N32" s="124"/>
      <c r="O32" s="124"/>
      <c r="P32" s="18"/>
      <c r="Q32" s="18"/>
    </row>
    <row r="33" spans="2:17" ht="18">
      <c r="B33" s="103" t="s">
        <v>1398</v>
      </c>
      <c r="C33" s="47" t="s">
        <v>1216</v>
      </c>
      <c r="D33" s="47" t="s">
        <v>93</v>
      </c>
      <c r="E33" s="261">
        <v>45.330827798351898</v>
      </c>
      <c r="F33" s="263">
        <v>-66.028108989300804</v>
      </c>
      <c r="G33" s="47" t="s">
        <v>598</v>
      </c>
      <c r="H33" s="47"/>
      <c r="I33" s="68"/>
      <c r="J33" s="68"/>
      <c r="K33" s="124"/>
      <c r="L33" s="124"/>
      <c r="M33" s="124"/>
      <c r="N33" s="124"/>
      <c r="O33" s="124"/>
      <c r="P33" s="18"/>
      <c r="Q33" s="18"/>
    </row>
    <row r="34" spans="2:17" ht="18">
      <c r="B34" s="103" t="s">
        <v>1138</v>
      </c>
      <c r="C34" s="47" t="s">
        <v>1399</v>
      </c>
      <c r="D34" s="47" t="s">
        <v>93</v>
      </c>
      <c r="E34" s="261">
        <v>46.989373138283</v>
      </c>
      <c r="F34" s="263">
        <v>-65.531074666488294</v>
      </c>
      <c r="G34" s="47" t="s">
        <v>598</v>
      </c>
      <c r="H34" s="47"/>
      <c r="I34" s="68"/>
      <c r="J34" s="68"/>
      <c r="K34" s="124"/>
      <c r="L34" s="124"/>
      <c r="M34" s="124"/>
      <c r="N34" s="124"/>
      <c r="O34" s="124"/>
      <c r="P34" s="18"/>
      <c r="Q34" s="18"/>
    </row>
    <row r="35" spans="2:17" ht="18">
      <c r="B35" s="103" t="s">
        <v>962</v>
      </c>
      <c r="C35" s="47" t="s">
        <v>1217</v>
      </c>
      <c r="D35" s="47" t="s">
        <v>93</v>
      </c>
      <c r="E35" s="261">
        <v>45.991280616342699</v>
      </c>
      <c r="F35" s="263">
        <v>-66.359297251928993</v>
      </c>
      <c r="G35" s="47" t="s">
        <v>598</v>
      </c>
      <c r="H35" s="47"/>
      <c r="I35" s="68"/>
      <c r="J35" s="68"/>
      <c r="K35" s="124"/>
      <c r="L35" s="124"/>
      <c r="M35" s="124"/>
      <c r="N35" s="124"/>
      <c r="O35" s="124"/>
      <c r="P35" s="18"/>
      <c r="Q35" s="18"/>
    </row>
    <row r="36" spans="2:17" ht="18">
      <c r="B36" s="103" t="s">
        <v>1006</v>
      </c>
      <c r="C36" s="47" t="s">
        <v>1218</v>
      </c>
      <c r="D36" s="47" t="s">
        <v>93</v>
      </c>
      <c r="E36" s="261">
        <v>45.852381015683498</v>
      </c>
      <c r="F36" s="263">
        <v>-66.466447365885202</v>
      </c>
      <c r="G36" s="47" t="s">
        <v>598</v>
      </c>
      <c r="H36" s="47"/>
      <c r="I36" s="68"/>
      <c r="J36" s="68"/>
      <c r="K36" s="124"/>
      <c r="L36" s="124"/>
      <c r="M36" s="124"/>
      <c r="N36" s="124"/>
      <c r="O36" s="124"/>
      <c r="P36" s="18"/>
      <c r="Q36" s="18"/>
    </row>
    <row r="37" spans="2:17" ht="18">
      <c r="B37" s="103" t="s">
        <v>1025</v>
      </c>
      <c r="C37" s="47" t="s">
        <v>1219</v>
      </c>
      <c r="D37" s="47" t="s">
        <v>93</v>
      </c>
      <c r="E37" s="261">
        <v>46.134447776939702</v>
      </c>
      <c r="F37" s="263">
        <v>-64.754935361680197</v>
      </c>
      <c r="G37" s="47" t="s">
        <v>598</v>
      </c>
      <c r="H37" s="47"/>
      <c r="I37" s="68"/>
      <c r="J37" s="68"/>
      <c r="K37" s="124"/>
      <c r="L37" s="124"/>
      <c r="M37" s="124"/>
      <c r="N37" s="124"/>
      <c r="O37" s="124"/>
      <c r="P37" s="18"/>
      <c r="Q37" s="18"/>
    </row>
    <row r="38" spans="2:17" ht="18">
      <c r="B38" s="103" t="s">
        <v>1054</v>
      </c>
      <c r="C38" s="47" t="s">
        <v>1220</v>
      </c>
      <c r="D38" s="47" t="s">
        <v>93</v>
      </c>
      <c r="E38" s="261">
        <v>45.849945967823402</v>
      </c>
      <c r="F38" s="263">
        <v>-66.459760953786201</v>
      </c>
      <c r="G38" s="47" t="s">
        <v>598</v>
      </c>
      <c r="H38" s="47"/>
      <c r="I38" s="68"/>
      <c r="J38" s="68"/>
      <c r="K38" s="124"/>
      <c r="L38" s="124"/>
      <c r="M38" s="124"/>
      <c r="N38" s="124"/>
      <c r="O38" s="124"/>
      <c r="P38" s="18"/>
      <c r="Q38" s="18"/>
    </row>
    <row r="39" spans="2:17" ht="18">
      <c r="B39" s="103" t="s">
        <v>1081</v>
      </c>
      <c r="C39" s="47" t="s">
        <v>1221</v>
      </c>
      <c r="D39" s="47" t="s">
        <v>93</v>
      </c>
      <c r="E39" s="261">
        <v>47.999756292988501</v>
      </c>
      <c r="F39" s="263">
        <v>-66.682999378003203</v>
      </c>
      <c r="G39" s="47" t="s">
        <v>598</v>
      </c>
      <c r="H39" s="47"/>
      <c r="I39" s="68"/>
      <c r="J39" s="68"/>
      <c r="K39" s="124"/>
      <c r="L39" s="124"/>
      <c r="M39" s="124"/>
      <c r="N39" s="124"/>
      <c r="O39" s="124"/>
      <c r="P39" s="18"/>
      <c r="Q39" s="18"/>
    </row>
    <row r="40" spans="2:17" ht="18">
      <c r="B40" s="103" t="s">
        <v>990</v>
      </c>
      <c r="C40" s="47" t="s">
        <v>1222</v>
      </c>
      <c r="D40" s="47" t="s">
        <v>93</v>
      </c>
      <c r="E40" s="261">
        <v>44.894492264947502</v>
      </c>
      <c r="F40" s="263">
        <v>-66.903903057578404</v>
      </c>
      <c r="G40" s="47" t="s">
        <v>598</v>
      </c>
      <c r="H40" s="47"/>
      <c r="I40" s="68"/>
      <c r="J40" s="68"/>
      <c r="K40" s="124"/>
      <c r="L40" s="124"/>
      <c r="M40" s="124"/>
      <c r="N40" s="124"/>
      <c r="O40" s="124"/>
      <c r="P40" s="18"/>
      <c r="Q40" s="18"/>
    </row>
    <row r="41" spans="2:17" ht="18">
      <c r="B41" s="103" t="s">
        <v>936</v>
      </c>
      <c r="C41" s="47" t="s">
        <v>1223</v>
      </c>
      <c r="D41" s="47" t="s">
        <v>93</v>
      </c>
      <c r="E41" s="261">
        <v>46.057138060900598</v>
      </c>
      <c r="F41" s="263">
        <v>-65.538314595525094</v>
      </c>
      <c r="G41" s="47" t="s">
        <v>598</v>
      </c>
      <c r="H41" s="47"/>
      <c r="I41" s="68"/>
      <c r="J41" s="68"/>
      <c r="K41" s="124"/>
      <c r="L41" s="124"/>
      <c r="M41" s="124"/>
      <c r="N41" s="124"/>
      <c r="O41" s="124"/>
      <c r="P41" s="18"/>
      <c r="Q41" s="18"/>
    </row>
    <row r="42" spans="2:17" ht="18">
      <c r="B42" s="103" t="s">
        <v>1156</v>
      </c>
      <c r="C42" s="98" t="s">
        <v>1439</v>
      </c>
      <c r="D42" s="47" t="s">
        <v>93</v>
      </c>
      <c r="E42" s="261">
        <v>46.138047520231602</v>
      </c>
      <c r="F42" s="263">
        <v>-64.748708470061004</v>
      </c>
      <c r="G42" s="47" t="s">
        <v>598</v>
      </c>
      <c r="H42" s="47"/>
      <c r="I42" s="68"/>
      <c r="J42" s="68"/>
      <c r="K42" s="124"/>
      <c r="L42" s="124"/>
      <c r="M42" s="124"/>
      <c r="N42" s="124"/>
      <c r="O42" s="124"/>
      <c r="P42" s="18"/>
      <c r="Q42" s="18"/>
    </row>
    <row r="43" spans="2:17" ht="18">
      <c r="B43" s="103" t="s">
        <v>1042</v>
      </c>
      <c r="C43" s="47" t="s">
        <v>1440</v>
      </c>
      <c r="D43" s="47" t="s">
        <v>93</v>
      </c>
      <c r="E43" s="261">
        <v>45.213671101058402</v>
      </c>
      <c r="F43" s="263">
        <v>-65.978681152281297</v>
      </c>
      <c r="G43" s="47" t="s">
        <v>598</v>
      </c>
      <c r="H43" s="47"/>
      <c r="I43" s="68"/>
      <c r="J43" s="68"/>
      <c r="K43" s="124"/>
      <c r="L43" s="124"/>
      <c r="M43" s="124"/>
      <c r="N43" s="124"/>
      <c r="O43" s="124"/>
      <c r="P43" s="18"/>
      <c r="Q43" s="18"/>
    </row>
    <row r="44" spans="2:17" ht="18">
      <c r="B44" s="103" t="s">
        <v>1065</v>
      </c>
      <c r="C44" s="47" t="s">
        <v>1224</v>
      </c>
      <c r="D44" s="47" t="s">
        <v>93</v>
      </c>
      <c r="E44" s="261">
        <v>45.891570600858103</v>
      </c>
      <c r="F44" s="263">
        <v>-67.457703731321203</v>
      </c>
      <c r="G44" s="47" t="s">
        <v>598</v>
      </c>
      <c r="H44" s="47"/>
      <c r="I44" s="68"/>
      <c r="J44" s="68"/>
      <c r="K44" s="124"/>
      <c r="L44" s="124"/>
      <c r="M44" s="124"/>
      <c r="N44" s="124"/>
      <c r="O44" s="124"/>
      <c r="P44" s="18"/>
      <c r="Q44" s="18"/>
    </row>
    <row r="45" spans="2:17" ht="18">
      <c r="B45" s="103" t="s">
        <v>1044</v>
      </c>
      <c r="C45" s="47" t="s">
        <v>1225</v>
      </c>
      <c r="D45" s="47" t="s">
        <v>93</v>
      </c>
      <c r="E45" s="261">
        <v>46.208344013528098</v>
      </c>
      <c r="F45" s="261">
        <v>-64.271147071372795</v>
      </c>
      <c r="G45" s="47" t="s">
        <v>598</v>
      </c>
      <c r="H45" s="47"/>
      <c r="I45" s="68"/>
      <c r="J45" s="68"/>
      <c r="K45" s="124"/>
      <c r="L45" s="124"/>
      <c r="M45" s="124"/>
      <c r="N45" s="124"/>
      <c r="O45" s="124"/>
      <c r="P45" s="18"/>
      <c r="Q45" s="18"/>
    </row>
    <row r="46" spans="2:17" ht="18">
      <c r="B46" s="103" t="s">
        <v>1000</v>
      </c>
      <c r="C46" s="47" t="s">
        <v>1200</v>
      </c>
      <c r="D46" s="47" t="s">
        <v>93</v>
      </c>
      <c r="E46" s="261">
        <v>47.788580505733499</v>
      </c>
      <c r="F46" s="263">
        <v>-64.935260249978398</v>
      </c>
      <c r="G46" s="47" t="s">
        <v>598</v>
      </c>
      <c r="H46" s="47"/>
      <c r="I46" s="68"/>
      <c r="J46" s="68"/>
      <c r="K46" s="124"/>
      <c r="L46" s="124"/>
      <c r="M46" s="124"/>
      <c r="N46" s="124"/>
      <c r="O46" s="124"/>
      <c r="P46" s="18"/>
      <c r="Q46" s="18"/>
    </row>
    <row r="47" spans="2:17" ht="18">
      <c r="B47" s="103" t="s">
        <v>1128</v>
      </c>
      <c r="C47" s="47" t="s">
        <v>1400</v>
      </c>
      <c r="D47" s="47" t="s">
        <v>93</v>
      </c>
      <c r="E47" s="261">
        <v>47.745896314692402</v>
      </c>
      <c r="F47" s="263">
        <v>-64.911527354233399</v>
      </c>
      <c r="G47" s="47" t="s">
        <v>598</v>
      </c>
      <c r="H47" s="47"/>
      <c r="I47" s="68"/>
      <c r="J47" s="68"/>
      <c r="K47" s="124"/>
      <c r="L47" s="124"/>
      <c r="M47" s="124"/>
      <c r="N47" s="124"/>
      <c r="O47" s="124"/>
      <c r="P47" s="18"/>
      <c r="Q47" s="18"/>
    </row>
    <row r="48" spans="2:17" ht="18">
      <c r="B48" s="99" t="s">
        <v>372</v>
      </c>
      <c r="C48" s="47" t="s">
        <v>1377</v>
      </c>
      <c r="D48" s="47" t="s">
        <v>93</v>
      </c>
      <c r="E48" s="261">
        <v>47.507138099999999</v>
      </c>
      <c r="F48" s="263">
        <v>-66.413513300000005</v>
      </c>
      <c r="G48" s="47" t="s">
        <v>598</v>
      </c>
      <c r="H48" s="47"/>
      <c r="I48" s="68"/>
      <c r="J48" s="68"/>
      <c r="K48" s="124"/>
      <c r="L48" s="124"/>
      <c r="M48" s="124"/>
      <c r="N48" s="124"/>
      <c r="O48" s="124"/>
      <c r="P48" s="18"/>
      <c r="Q48" s="18"/>
    </row>
    <row r="49" spans="2:17" ht="18">
      <c r="B49" s="103" t="s">
        <v>1030</v>
      </c>
      <c r="C49" s="47" t="s">
        <v>1441</v>
      </c>
      <c r="D49" s="47" t="s">
        <v>93</v>
      </c>
      <c r="E49" s="261">
        <v>47.563457729458896</v>
      </c>
      <c r="F49" s="263">
        <v>-66.289144345386205</v>
      </c>
      <c r="G49" s="47" t="s">
        <v>598</v>
      </c>
      <c r="H49" s="47"/>
      <c r="I49" s="68"/>
      <c r="J49" s="68"/>
      <c r="K49" s="124"/>
      <c r="L49" s="124"/>
      <c r="M49" s="124"/>
      <c r="N49" s="124"/>
      <c r="O49" s="124"/>
      <c r="P49" s="18"/>
      <c r="Q49" s="18"/>
    </row>
    <row r="50" spans="2:17" ht="18">
      <c r="B50" s="103" t="s">
        <v>1037</v>
      </c>
      <c r="C50" s="47" t="s">
        <v>1226</v>
      </c>
      <c r="D50" s="47" t="s">
        <v>93</v>
      </c>
      <c r="E50" s="261">
        <v>45.960230596760503</v>
      </c>
      <c r="F50" s="263">
        <v>-66.642494264280202</v>
      </c>
      <c r="G50" s="47" t="s">
        <v>598</v>
      </c>
      <c r="H50" s="47"/>
      <c r="I50" s="68"/>
      <c r="J50" s="68"/>
      <c r="K50" s="124"/>
      <c r="L50" s="124"/>
      <c r="M50" s="124"/>
      <c r="N50" s="124"/>
      <c r="O50" s="124"/>
      <c r="P50" s="18"/>
      <c r="Q50" s="18"/>
    </row>
    <row r="51" spans="2:17" ht="18">
      <c r="B51" s="103" t="s">
        <v>1010</v>
      </c>
      <c r="C51" s="47" t="s">
        <v>1227</v>
      </c>
      <c r="D51" s="47" t="s">
        <v>93</v>
      </c>
      <c r="E51" s="261">
        <v>45.892124815254498</v>
      </c>
      <c r="F51" s="263">
        <v>-64.368514570893595</v>
      </c>
      <c r="G51" s="47" t="s">
        <v>598</v>
      </c>
      <c r="H51" s="47"/>
      <c r="I51" s="68"/>
      <c r="J51" s="68"/>
      <c r="K51" s="124"/>
      <c r="L51" s="124"/>
      <c r="M51" s="124"/>
      <c r="N51" s="124"/>
      <c r="O51" s="124"/>
      <c r="P51" s="18"/>
      <c r="Q51" s="18"/>
    </row>
    <row r="52" spans="2:17" ht="18">
      <c r="B52" s="103" t="s">
        <v>1082</v>
      </c>
      <c r="C52" s="47" t="s">
        <v>1228</v>
      </c>
      <c r="D52" s="47" t="s">
        <v>93</v>
      </c>
      <c r="E52" s="261">
        <v>47.978672528485902</v>
      </c>
      <c r="F52" s="263">
        <v>-66.287313311122901</v>
      </c>
      <c r="G52" s="47" t="s">
        <v>598</v>
      </c>
      <c r="H52" s="47"/>
      <c r="I52" s="68"/>
      <c r="J52" s="68"/>
      <c r="K52" s="124"/>
      <c r="L52" s="124"/>
      <c r="M52" s="124"/>
      <c r="N52" s="124"/>
      <c r="O52" s="124"/>
      <c r="P52" s="18"/>
      <c r="Q52" s="18"/>
    </row>
    <row r="53" spans="2:17" ht="18">
      <c r="B53" s="103" t="s">
        <v>1068</v>
      </c>
      <c r="C53" s="47" t="s">
        <v>1229</v>
      </c>
      <c r="D53" s="47" t="s">
        <v>93</v>
      </c>
      <c r="E53" s="261">
        <v>46.0870782924192</v>
      </c>
      <c r="F53" s="263">
        <v>-64.733589285715794</v>
      </c>
      <c r="G53" s="47" t="s">
        <v>598</v>
      </c>
      <c r="H53" s="47"/>
      <c r="I53" s="68"/>
      <c r="J53" s="68"/>
      <c r="K53" s="124"/>
      <c r="L53" s="124"/>
      <c r="M53" s="124"/>
      <c r="N53" s="124"/>
      <c r="O53" s="124"/>
      <c r="P53" s="18"/>
      <c r="Q53" s="18"/>
    </row>
    <row r="54" spans="2:17" ht="18">
      <c r="B54" s="103" t="s">
        <v>1032</v>
      </c>
      <c r="C54" s="47" t="s">
        <v>1230</v>
      </c>
      <c r="D54" s="47" t="s">
        <v>93</v>
      </c>
      <c r="E54" s="261">
        <v>46.173609398563997</v>
      </c>
      <c r="F54" s="263">
        <v>-65.900051627268198</v>
      </c>
      <c r="G54" s="47" t="s">
        <v>598</v>
      </c>
      <c r="H54" s="47"/>
      <c r="I54" s="68"/>
      <c r="J54" s="68"/>
      <c r="K54" s="124"/>
      <c r="L54" s="124"/>
      <c r="M54" s="124"/>
      <c r="N54" s="124"/>
      <c r="O54" s="124"/>
      <c r="P54" s="18"/>
      <c r="Q54" s="18"/>
    </row>
    <row r="55" spans="2:17" ht="18">
      <c r="B55" s="103" t="s">
        <v>1075</v>
      </c>
      <c r="C55" s="47" t="s">
        <v>1231</v>
      </c>
      <c r="D55" s="47" t="s">
        <v>93</v>
      </c>
      <c r="E55" s="261">
        <v>47.941993771199101</v>
      </c>
      <c r="F55" s="263">
        <v>-66.784108481731394</v>
      </c>
      <c r="G55" s="47" t="s">
        <v>598</v>
      </c>
      <c r="H55" s="47"/>
      <c r="I55" s="68"/>
      <c r="J55" s="68"/>
      <c r="K55" s="124"/>
      <c r="L55" s="124"/>
      <c r="M55" s="124"/>
      <c r="N55" s="124"/>
      <c r="O55" s="124"/>
      <c r="P55" s="18"/>
      <c r="Q55" s="18"/>
    </row>
    <row r="56" spans="2:17" ht="18">
      <c r="B56" s="103" t="s">
        <v>1109</v>
      </c>
      <c r="C56" s="47" t="s">
        <v>1232</v>
      </c>
      <c r="D56" s="47" t="s">
        <v>93</v>
      </c>
      <c r="E56" s="261">
        <v>46.100025460734301</v>
      </c>
      <c r="F56" s="263">
        <v>-64.777963223318295</v>
      </c>
      <c r="G56" s="47" t="s">
        <v>598</v>
      </c>
      <c r="H56" s="47"/>
      <c r="I56" s="68"/>
      <c r="J56" s="68"/>
      <c r="K56" s="124"/>
      <c r="L56" s="124"/>
      <c r="M56" s="124"/>
      <c r="N56" s="124"/>
      <c r="O56" s="124"/>
      <c r="P56" s="18"/>
      <c r="Q56" s="18"/>
    </row>
    <row r="57" spans="2:17" ht="18">
      <c r="B57" s="103" t="s">
        <v>1050</v>
      </c>
      <c r="C57" s="47" t="s">
        <v>1233</v>
      </c>
      <c r="D57" s="47" t="s">
        <v>93</v>
      </c>
      <c r="E57" s="261">
        <v>47.2575600611586</v>
      </c>
      <c r="F57" s="263">
        <v>-68.6100803219244</v>
      </c>
      <c r="G57" s="47" t="s">
        <v>598</v>
      </c>
      <c r="H57" s="47"/>
      <c r="I57" s="68"/>
      <c r="J57" s="68"/>
      <c r="K57" s="124"/>
      <c r="L57" s="124"/>
      <c r="M57" s="124"/>
      <c r="N57" s="124"/>
      <c r="O57" s="124"/>
      <c r="P57" s="18"/>
      <c r="Q57" s="18"/>
    </row>
    <row r="58" spans="2:17" ht="18">
      <c r="B58" s="103" t="s">
        <v>948</v>
      </c>
      <c r="C58" s="47" t="s">
        <v>1234</v>
      </c>
      <c r="D58" s="47" t="s">
        <v>93</v>
      </c>
      <c r="E58" s="261">
        <v>46.359334756818001</v>
      </c>
      <c r="F58" s="263">
        <v>-65.128729701504795</v>
      </c>
      <c r="G58" s="47" t="s">
        <v>598</v>
      </c>
      <c r="H58" s="47"/>
      <c r="I58" s="68"/>
      <c r="J58" s="68"/>
      <c r="K58" s="124"/>
      <c r="L58" s="124"/>
      <c r="M58" s="124"/>
      <c r="N58" s="124"/>
      <c r="O58" s="124"/>
      <c r="P58" s="18"/>
      <c r="Q58" s="18"/>
    </row>
    <row r="59" spans="2:17" ht="18">
      <c r="B59" s="103" t="s">
        <v>937</v>
      </c>
      <c r="C59" s="47" t="s">
        <v>1235</v>
      </c>
      <c r="D59" s="47" t="s">
        <v>93</v>
      </c>
      <c r="E59" s="261">
        <v>46.105260705471103</v>
      </c>
      <c r="F59" s="263">
        <v>-65.883404355004302</v>
      </c>
      <c r="G59" s="47" t="s">
        <v>598</v>
      </c>
      <c r="H59" s="47"/>
      <c r="I59" s="68"/>
      <c r="J59" s="68"/>
      <c r="K59" s="124"/>
      <c r="L59" s="124"/>
      <c r="M59" s="124"/>
      <c r="N59" s="124"/>
      <c r="O59" s="124"/>
      <c r="P59" s="18"/>
      <c r="Q59" s="18"/>
    </row>
    <row r="60" spans="2:17" ht="18">
      <c r="B60" s="103" t="s">
        <v>1023</v>
      </c>
      <c r="C60" s="47" t="s">
        <v>1236</v>
      </c>
      <c r="D60" s="47" t="s">
        <v>93</v>
      </c>
      <c r="E60" s="261">
        <v>46.330613128968601</v>
      </c>
      <c r="F60" s="263">
        <v>-64.671474502246895</v>
      </c>
      <c r="G60" s="47" t="s">
        <v>598</v>
      </c>
      <c r="H60" s="47"/>
      <c r="I60" s="68"/>
      <c r="J60" s="68"/>
      <c r="K60" s="124"/>
      <c r="L60" s="124"/>
      <c r="M60" s="124"/>
      <c r="N60" s="124"/>
      <c r="O60" s="124"/>
      <c r="P60" s="18"/>
      <c r="Q60" s="18"/>
    </row>
    <row r="61" spans="2:17" ht="18">
      <c r="B61" s="103" t="s">
        <v>939</v>
      </c>
      <c r="C61" s="47" t="s">
        <v>1237</v>
      </c>
      <c r="D61" s="47" t="s">
        <v>93</v>
      </c>
      <c r="E61" s="261">
        <v>45.9324417128813</v>
      </c>
      <c r="F61" s="263">
        <v>-65.794087167787794</v>
      </c>
      <c r="G61" s="47" t="s">
        <v>598</v>
      </c>
      <c r="H61" s="47"/>
      <c r="I61" s="68"/>
      <c r="J61" s="68"/>
      <c r="K61" s="124"/>
      <c r="L61" s="124"/>
      <c r="M61" s="124"/>
      <c r="N61" s="124"/>
      <c r="O61" s="124"/>
      <c r="P61" s="18"/>
      <c r="Q61" s="18"/>
    </row>
    <row r="62" spans="2:17" ht="18">
      <c r="B62" s="103" t="s">
        <v>279</v>
      </c>
      <c r="C62" s="47" t="s">
        <v>1378</v>
      </c>
      <c r="D62" s="47" t="s">
        <v>93</v>
      </c>
      <c r="E62" s="261">
        <v>45.154026999999999</v>
      </c>
      <c r="F62" s="263">
        <v>-66.201931999999999</v>
      </c>
      <c r="G62" s="47" t="s">
        <v>598</v>
      </c>
      <c r="H62" s="47"/>
      <c r="I62" s="68"/>
      <c r="J62" s="68"/>
      <c r="K62" s="124"/>
      <c r="L62" s="124"/>
      <c r="M62" s="124"/>
      <c r="N62" s="124"/>
      <c r="O62" s="124"/>
      <c r="P62" s="18"/>
      <c r="Q62" s="18"/>
    </row>
    <row r="63" spans="2:17" ht="18">
      <c r="B63" s="103" t="s">
        <v>1079</v>
      </c>
      <c r="C63" s="47" t="s">
        <v>1238</v>
      </c>
      <c r="D63" s="47" t="s">
        <v>93</v>
      </c>
      <c r="E63" s="261">
        <v>45.977184989929299</v>
      </c>
      <c r="F63" s="263">
        <v>-64.539847410152007</v>
      </c>
      <c r="G63" s="47" t="s">
        <v>598</v>
      </c>
      <c r="H63" s="47"/>
      <c r="I63" s="68"/>
      <c r="J63" s="68"/>
      <c r="K63" s="124"/>
      <c r="L63" s="124"/>
      <c r="M63" s="124"/>
      <c r="N63" s="124"/>
      <c r="O63" s="124"/>
      <c r="P63" s="18"/>
      <c r="Q63" s="18"/>
    </row>
    <row r="64" spans="2:17" ht="18">
      <c r="B64" s="103" t="s">
        <v>980</v>
      </c>
      <c r="C64" s="47" t="s">
        <v>1239</v>
      </c>
      <c r="D64" s="47" t="s">
        <v>93</v>
      </c>
      <c r="E64" s="261">
        <v>46.110086090523602</v>
      </c>
      <c r="F64" s="263">
        <v>-64.818026626526702</v>
      </c>
      <c r="G64" s="47" t="s">
        <v>598</v>
      </c>
      <c r="H64" s="47"/>
      <c r="I64" s="68"/>
      <c r="J64" s="68"/>
      <c r="K64" s="124"/>
      <c r="L64" s="124"/>
      <c r="M64" s="124"/>
      <c r="N64" s="124"/>
      <c r="O64" s="124"/>
      <c r="P64" s="18"/>
      <c r="Q64" s="18"/>
    </row>
    <row r="65" spans="2:17" ht="18">
      <c r="B65" s="103" t="s">
        <v>1039</v>
      </c>
      <c r="C65" s="47" t="s">
        <v>1240</v>
      </c>
      <c r="D65" s="47" t="s">
        <v>93</v>
      </c>
      <c r="E65" s="261">
        <v>46.158603387190702</v>
      </c>
      <c r="F65" s="263">
        <v>-67.587692777078601</v>
      </c>
      <c r="G65" s="47" t="s">
        <v>598</v>
      </c>
      <c r="H65" s="47"/>
      <c r="I65" s="68"/>
      <c r="J65" s="68"/>
      <c r="K65" s="124"/>
      <c r="L65" s="124"/>
      <c r="M65" s="124"/>
      <c r="N65" s="124"/>
      <c r="O65" s="124"/>
      <c r="P65" s="18"/>
      <c r="Q65" s="18"/>
    </row>
    <row r="66" spans="2:17" ht="18">
      <c r="B66" s="103" t="s">
        <v>1096</v>
      </c>
      <c r="C66" s="47" t="s">
        <v>1241</v>
      </c>
      <c r="D66" s="47" t="s">
        <v>93</v>
      </c>
      <c r="E66" s="261">
        <v>46.1623899811188</v>
      </c>
      <c r="F66" s="263">
        <v>-64.589286344563504</v>
      </c>
      <c r="G66" s="47" t="s">
        <v>598</v>
      </c>
      <c r="H66" s="47"/>
      <c r="I66" s="68"/>
      <c r="J66" s="68"/>
      <c r="K66" s="124"/>
      <c r="L66" s="124"/>
      <c r="M66" s="124"/>
      <c r="N66" s="124"/>
      <c r="O66" s="124"/>
      <c r="P66" s="18"/>
      <c r="Q66" s="18"/>
    </row>
    <row r="67" spans="2:17" ht="18">
      <c r="B67" s="103" t="s">
        <v>1114</v>
      </c>
      <c r="C67" s="47" t="s">
        <v>1401</v>
      </c>
      <c r="D67" s="47" t="s">
        <v>93</v>
      </c>
      <c r="E67" s="261">
        <v>45.285831603544501</v>
      </c>
      <c r="F67" s="263">
        <v>-66.073342105933506</v>
      </c>
      <c r="G67" s="47" t="s">
        <v>598</v>
      </c>
      <c r="H67" s="47"/>
      <c r="I67" s="68"/>
      <c r="J67" s="68"/>
      <c r="K67" s="124"/>
      <c r="L67" s="124"/>
      <c r="M67" s="124"/>
      <c r="N67" s="124"/>
      <c r="O67" s="124"/>
      <c r="P67" s="18"/>
      <c r="Q67" s="18"/>
    </row>
    <row r="68" spans="2:17" ht="18">
      <c r="B68" s="103" t="s">
        <v>1086</v>
      </c>
      <c r="C68" s="47" t="s">
        <v>1242</v>
      </c>
      <c r="D68" s="47" t="s">
        <v>93</v>
      </c>
      <c r="E68" s="261">
        <v>46.306199636088699</v>
      </c>
      <c r="F68" s="261">
        <v>-66.720452488266403</v>
      </c>
      <c r="G68" s="47" t="s">
        <v>598</v>
      </c>
      <c r="H68" s="47"/>
      <c r="I68" s="68"/>
      <c r="J68" s="68"/>
      <c r="K68" s="124"/>
      <c r="L68" s="124"/>
      <c r="M68" s="124"/>
      <c r="N68" s="124"/>
      <c r="O68" s="124"/>
      <c r="P68" s="18"/>
      <c r="Q68" s="18"/>
    </row>
    <row r="69" spans="2:17" ht="18">
      <c r="B69" s="103" t="s">
        <v>994</v>
      </c>
      <c r="C69" s="47" t="s">
        <v>1243</v>
      </c>
      <c r="D69" s="47" t="s">
        <v>93</v>
      </c>
      <c r="E69" s="261">
        <v>45.276299699771201</v>
      </c>
      <c r="F69" s="261">
        <v>-66.049345794578102</v>
      </c>
      <c r="G69" s="47" t="s">
        <v>598</v>
      </c>
      <c r="H69" s="47"/>
      <c r="I69" s="68"/>
      <c r="J69" s="68"/>
      <c r="K69" s="124"/>
      <c r="L69" s="124"/>
      <c r="M69" s="124"/>
      <c r="N69" s="124"/>
      <c r="O69" s="124"/>
      <c r="P69" s="18"/>
      <c r="Q69" s="18"/>
    </row>
    <row r="70" spans="2:17" ht="18">
      <c r="B70" s="103" t="s">
        <v>1051</v>
      </c>
      <c r="C70" s="47" t="s">
        <v>1244</v>
      </c>
      <c r="D70" s="47" t="s">
        <v>93</v>
      </c>
      <c r="E70" s="261">
        <v>48.0539487984814</v>
      </c>
      <c r="F70" s="263">
        <v>-66.370770871599703</v>
      </c>
      <c r="G70" s="47" t="s">
        <v>598</v>
      </c>
      <c r="H70" s="47"/>
      <c r="I70" s="68"/>
      <c r="J70" s="68"/>
      <c r="K70" s="124"/>
      <c r="L70" s="124"/>
      <c r="M70" s="124"/>
      <c r="N70" s="124"/>
      <c r="O70" s="124"/>
      <c r="P70" s="18"/>
      <c r="Q70" s="18"/>
    </row>
    <row r="71" spans="2:17" ht="18">
      <c r="B71" s="103" t="s">
        <v>973</v>
      </c>
      <c r="C71" s="47" t="s">
        <v>1245</v>
      </c>
      <c r="D71" s="47" t="s">
        <v>93</v>
      </c>
      <c r="E71" s="261">
        <v>48.043841902922097</v>
      </c>
      <c r="F71" s="263">
        <v>-66.397808321873498</v>
      </c>
      <c r="G71" s="47" t="s">
        <v>598</v>
      </c>
      <c r="H71" s="47"/>
      <c r="I71" s="68"/>
      <c r="J71" s="68"/>
      <c r="K71" s="124"/>
      <c r="L71" s="124"/>
      <c r="M71" s="124"/>
      <c r="N71" s="124"/>
      <c r="O71" s="124"/>
      <c r="P71" s="18"/>
      <c r="Q71" s="18"/>
    </row>
    <row r="72" spans="2:17" ht="18">
      <c r="B72" s="103" t="s">
        <v>989</v>
      </c>
      <c r="C72" s="47" t="s">
        <v>1246</v>
      </c>
      <c r="D72" s="47" t="s">
        <v>93</v>
      </c>
      <c r="E72" s="261">
        <v>44.980692598730698</v>
      </c>
      <c r="F72" s="263">
        <v>-66.973611593803099</v>
      </c>
      <c r="G72" s="47" t="s">
        <v>598</v>
      </c>
      <c r="H72" s="47"/>
      <c r="I72" s="68"/>
      <c r="J72" s="68"/>
      <c r="K72" s="124"/>
      <c r="L72" s="124"/>
      <c r="M72" s="124"/>
      <c r="N72" s="124"/>
      <c r="O72" s="124"/>
      <c r="P72" s="18"/>
      <c r="Q72" s="18"/>
    </row>
    <row r="73" spans="2:17" ht="18">
      <c r="B73" s="103" t="s">
        <v>1045</v>
      </c>
      <c r="C73" s="47" t="s">
        <v>1247</v>
      </c>
      <c r="D73" s="47" t="s">
        <v>93</v>
      </c>
      <c r="E73" s="261">
        <v>46.496300288102901</v>
      </c>
      <c r="F73" s="263">
        <v>-67.042636529756606</v>
      </c>
      <c r="G73" s="47" t="s">
        <v>598</v>
      </c>
      <c r="H73" s="47"/>
      <c r="I73" s="68"/>
      <c r="J73" s="68"/>
      <c r="K73" s="124"/>
      <c r="L73" s="124"/>
      <c r="M73" s="124"/>
      <c r="N73" s="124"/>
      <c r="O73" s="124"/>
      <c r="P73" s="18"/>
      <c r="Q73" s="18"/>
    </row>
    <row r="74" spans="2:17" ht="18">
      <c r="B74" s="103" t="s">
        <v>1159</v>
      </c>
      <c r="C74" s="47" t="s">
        <v>1248</v>
      </c>
      <c r="D74" s="47" t="s">
        <v>93</v>
      </c>
      <c r="E74" s="261">
        <v>45.561872081788103</v>
      </c>
      <c r="F74" s="263">
        <v>-65.5756564902576</v>
      </c>
      <c r="G74" s="47" t="s">
        <v>598</v>
      </c>
      <c r="H74" s="47"/>
      <c r="I74" s="68"/>
      <c r="J74" s="68"/>
      <c r="K74" s="124"/>
      <c r="L74" s="124"/>
      <c r="M74" s="124"/>
      <c r="N74" s="124"/>
      <c r="O74" s="124"/>
      <c r="P74" s="18"/>
      <c r="Q74" s="18"/>
    </row>
    <row r="75" spans="2:17" ht="18">
      <c r="B75" s="103" t="s">
        <v>986</v>
      </c>
      <c r="C75" s="47" t="s">
        <v>1249</v>
      </c>
      <c r="D75" s="47" t="s">
        <v>93</v>
      </c>
      <c r="E75" s="261">
        <v>45.2539191806666</v>
      </c>
      <c r="F75" s="261">
        <v>-66.113418579838097</v>
      </c>
      <c r="G75" s="47" t="s">
        <v>598</v>
      </c>
      <c r="H75" s="47"/>
      <c r="I75" s="68"/>
      <c r="J75" s="68"/>
      <c r="K75" s="124"/>
      <c r="L75" s="124"/>
      <c r="M75" s="124"/>
      <c r="N75" s="124"/>
      <c r="O75" s="124"/>
      <c r="P75" s="18"/>
      <c r="Q75" s="18"/>
    </row>
    <row r="76" spans="2:17" ht="18">
      <c r="B76" s="103" t="s">
        <v>1110</v>
      </c>
      <c r="C76" s="47" t="s">
        <v>1250</v>
      </c>
      <c r="D76" s="47" t="s">
        <v>93</v>
      </c>
      <c r="E76" s="261">
        <v>45.973506981586802</v>
      </c>
      <c r="F76" s="263">
        <v>-66.629753828804098</v>
      </c>
      <c r="G76" s="47" t="s">
        <v>598</v>
      </c>
      <c r="H76" s="47"/>
      <c r="I76" s="68"/>
      <c r="J76" s="68"/>
      <c r="K76" s="124"/>
      <c r="L76" s="124"/>
      <c r="M76" s="124"/>
      <c r="N76" s="124"/>
      <c r="O76" s="124"/>
      <c r="P76" s="18"/>
      <c r="Q76" s="18"/>
    </row>
    <row r="77" spans="2:17" ht="18">
      <c r="B77" s="103" t="s">
        <v>1094</v>
      </c>
      <c r="C77" s="47" t="s">
        <v>1251</v>
      </c>
      <c r="D77" s="47" t="s">
        <v>93</v>
      </c>
      <c r="E77" s="261">
        <v>46.1057017015657</v>
      </c>
      <c r="F77" s="263">
        <v>-64.7225388345081</v>
      </c>
      <c r="G77" s="47" t="s">
        <v>598</v>
      </c>
      <c r="H77" s="47"/>
      <c r="I77" s="68"/>
      <c r="J77" s="68"/>
      <c r="K77" s="124"/>
      <c r="L77" s="124"/>
      <c r="M77" s="124"/>
      <c r="N77" s="124"/>
      <c r="O77" s="124"/>
      <c r="P77" s="18"/>
      <c r="Q77" s="18"/>
    </row>
    <row r="78" spans="2:17" ht="18">
      <c r="B78" s="103" t="s">
        <v>1402</v>
      </c>
      <c r="C78" s="47" t="s">
        <v>1403</v>
      </c>
      <c r="D78" s="47" t="s">
        <v>93</v>
      </c>
      <c r="E78" s="261">
        <v>45.907619813258599</v>
      </c>
      <c r="F78" s="261">
        <v>-66.611901408664707</v>
      </c>
      <c r="G78" s="47" t="s">
        <v>598</v>
      </c>
      <c r="H78" s="47"/>
      <c r="I78" s="68"/>
      <c r="J78" s="68"/>
      <c r="K78" s="124"/>
      <c r="L78" s="124"/>
      <c r="M78" s="124"/>
      <c r="N78" s="124"/>
      <c r="O78" s="124"/>
      <c r="P78" s="18"/>
      <c r="Q78" s="18"/>
    </row>
    <row r="79" spans="2:17" ht="18">
      <c r="B79" s="103" t="s">
        <v>1040</v>
      </c>
      <c r="C79" s="47" t="s">
        <v>1252</v>
      </c>
      <c r="D79" s="47" t="s">
        <v>93</v>
      </c>
      <c r="E79" s="261">
        <v>46.549606484538799</v>
      </c>
      <c r="F79" s="263">
        <v>-66.117557248245006</v>
      </c>
      <c r="G79" s="47" t="s">
        <v>598</v>
      </c>
      <c r="H79" s="47"/>
      <c r="I79" s="68"/>
      <c r="J79" s="68"/>
      <c r="K79" s="124"/>
      <c r="L79" s="124"/>
      <c r="M79" s="124"/>
      <c r="N79" s="124"/>
      <c r="O79" s="124"/>
      <c r="P79" s="18"/>
      <c r="Q79" s="18"/>
    </row>
    <row r="80" spans="2:17" ht="18">
      <c r="B80" s="103" t="s">
        <v>1058</v>
      </c>
      <c r="C80" s="47" t="s">
        <v>1253</v>
      </c>
      <c r="D80" s="47" t="s">
        <v>93</v>
      </c>
      <c r="E80" s="261">
        <v>45.865180675024298</v>
      </c>
      <c r="F80" s="263">
        <v>-64.537302731360199</v>
      </c>
      <c r="G80" s="47" t="s">
        <v>598</v>
      </c>
      <c r="H80" s="47"/>
      <c r="I80" s="68"/>
      <c r="J80" s="68"/>
      <c r="K80" s="124"/>
      <c r="L80" s="124"/>
      <c r="M80" s="124"/>
      <c r="N80" s="124"/>
      <c r="O80" s="124"/>
      <c r="P80" s="18"/>
      <c r="Q80" s="18"/>
    </row>
    <row r="81" spans="2:17" ht="18">
      <c r="B81" s="103" t="s">
        <v>979</v>
      </c>
      <c r="C81" s="47" t="s">
        <v>1254</v>
      </c>
      <c r="D81" s="47" t="s">
        <v>93</v>
      </c>
      <c r="E81" s="261">
        <v>46.111045658860597</v>
      </c>
      <c r="F81" s="263">
        <v>-64.753840811214801</v>
      </c>
      <c r="G81" s="47" t="s">
        <v>598</v>
      </c>
      <c r="H81" s="47"/>
      <c r="I81" s="68"/>
      <c r="J81" s="68"/>
      <c r="K81" s="124"/>
      <c r="L81" s="124"/>
      <c r="M81" s="124"/>
      <c r="N81" s="124"/>
      <c r="O81" s="124"/>
      <c r="P81" s="18"/>
      <c r="Q81" s="18"/>
    </row>
    <row r="82" spans="2:17" ht="18">
      <c r="B82" s="103" t="s">
        <v>945</v>
      </c>
      <c r="C82" s="47" t="s">
        <v>1255</v>
      </c>
      <c r="D82" s="47" t="s">
        <v>93</v>
      </c>
      <c r="E82" s="261">
        <v>47.039287104242199</v>
      </c>
      <c r="F82" s="263">
        <v>-65.449751908559804</v>
      </c>
      <c r="G82" s="47" t="s">
        <v>598</v>
      </c>
      <c r="H82" s="47"/>
      <c r="I82" s="68"/>
      <c r="J82" s="68"/>
      <c r="K82" s="124"/>
      <c r="L82" s="124"/>
      <c r="M82" s="124"/>
      <c r="N82" s="124"/>
      <c r="O82" s="124"/>
      <c r="P82" s="18"/>
      <c r="Q82" s="18"/>
    </row>
    <row r="83" spans="2:17" ht="18">
      <c r="B83" s="103" t="s">
        <v>1080</v>
      </c>
      <c r="C83" s="47" t="s">
        <v>1256</v>
      </c>
      <c r="D83" s="47" t="s">
        <v>93</v>
      </c>
      <c r="E83" s="261">
        <v>47.387527633583801</v>
      </c>
      <c r="F83" s="263">
        <v>-68.338357179046696</v>
      </c>
      <c r="G83" s="47" t="s">
        <v>598</v>
      </c>
      <c r="H83" s="47"/>
      <c r="I83" s="68"/>
      <c r="J83" s="68"/>
      <c r="K83" s="124"/>
      <c r="L83" s="124"/>
      <c r="M83" s="124"/>
      <c r="N83" s="124"/>
      <c r="O83" s="124"/>
      <c r="P83" s="18"/>
      <c r="Q83" s="18"/>
    </row>
    <row r="84" spans="2:17" ht="18">
      <c r="B84" s="103" t="s">
        <v>1003</v>
      </c>
      <c r="C84" s="47" t="s">
        <v>1257</v>
      </c>
      <c r="D84" s="47" t="s">
        <v>93</v>
      </c>
      <c r="E84" s="261">
        <v>47.393194669885503</v>
      </c>
      <c r="F84" s="263">
        <v>-68.353583781237305</v>
      </c>
      <c r="G84" s="47" t="s">
        <v>598</v>
      </c>
      <c r="H84" s="47"/>
      <c r="I84" s="68"/>
      <c r="J84" s="68"/>
      <c r="K84" s="124"/>
      <c r="L84" s="124"/>
      <c r="M84" s="124"/>
      <c r="N84" s="124"/>
      <c r="O84" s="124"/>
      <c r="P84" s="18"/>
      <c r="Q84" s="18"/>
    </row>
    <row r="85" spans="2:17" ht="18">
      <c r="B85" s="103" t="s">
        <v>1130</v>
      </c>
      <c r="C85" s="47" t="s">
        <v>1404</v>
      </c>
      <c r="D85" s="47" t="s">
        <v>93</v>
      </c>
      <c r="E85" s="261">
        <v>47.411706078910697</v>
      </c>
      <c r="F85" s="263">
        <v>-68.245240259920706</v>
      </c>
      <c r="G85" s="47" t="s">
        <v>598</v>
      </c>
      <c r="H85" s="47"/>
      <c r="I85" s="68"/>
      <c r="J85" s="68"/>
      <c r="K85" s="124"/>
      <c r="L85" s="124"/>
      <c r="M85" s="124"/>
      <c r="N85" s="124"/>
      <c r="O85" s="124"/>
      <c r="P85" s="18"/>
      <c r="Q85" s="18"/>
    </row>
    <row r="86" spans="2:17" ht="18">
      <c r="B86" s="103" t="s">
        <v>1052</v>
      </c>
      <c r="C86" s="47" t="s">
        <v>1258</v>
      </c>
      <c r="D86" s="47" t="s">
        <v>93</v>
      </c>
      <c r="E86" s="261">
        <v>47.368781683664899</v>
      </c>
      <c r="F86" s="263">
        <v>-68.326876757478701</v>
      </c>
      <c r="G86" s="47" t="s">
        <v>598</v>
      </c>
      <c r="H86" s="47"/>
      <c r="I86" s="68"/>
      <c r="J86" s="68"/>
      <c r="K86" s="124"/>
      <c r="L86" s="124"/>
      <c r="M86" s="124"/>
      <c r="N86" s="124"/>
      <c r="O86" s="124"/>
      <c r="P86" s="18"/>
      <c r="Q86" s="18"/>
    </row>
    <row r="87" spans="2:17" ht="18">
      <c r="B87" s="103" t="s">
        <v>1125</v>
      </c>
      <c r="C87" s="47" t="s">
        <v>1405</v>
      </c>
      <c r="D87" s="47" t="s">
        <v>93</v>
      </c>
      <c r="E87" s="261">
        <v>48.016111576624503</v>
      </c>
      <c r="F87" s="263">
        <v>-66.443728441194693</v>
      </c>
      <c r="G87" s="47" t="s">
        <v>598</v>
      </c>
      <c r="H87" s="47"/>
      <c r="I87" s="68"/>
      <c r="J87" s="68"/>
      <c r="K87" s="124"/>
      <c r="L87" s="124"/>
      <c r="M87" s="124"/>
      <c r="N87" s="124"/>
      <c r="O87" s="124"/>
      <c r="P87" s="18"/>
      <c r="Q87" s="18"/>
    </row>
    <row r="88" spans="2:17" ht="18">
      <c r="B88" s="103" t="s">
        <v>1112</v>
      </c>
      <c r="C88" s="47" t="s">
        <v>1259</v>
      </c>
      <c r="D88" s="47" t="s">
        <v>93</v>
      </c>
      <c r="E88" s="261">
        <v>45.393561635327103</v>
      </c>
      <c r="F88" s="261">
        <v>-65.973103919117904</v>
      </c>
      <c r="G88" s="47" t="s">
        <v>598</v>
      </c>
      <c r="H88" s="47"/>
      <c r="I88" s="68"/>
      <c r="J88" s="68"/>
      <c r="K88" s="124"/>
      <c r="L88" s="124"/>
      <c r="M88" s="124"/>
      <c r="N88" s="124"/>
      <c r="O88" s="124"/>
      <c r="P88" s="18"/>
      <c r="Q88" s="18"/>
    </row>
    <row r="89" spans="2:17" ht="18">
      <c r="B89" s="103" t="s">
        <v>1073</v>
      </c>
      <c r="C89" s="47" t="s">
        <v>1454</v>
      </c>
      <c r="D89" s="47" t="s">
        <v>93</v>
      </c>
      <c r="E89" s="261">
        <v>45.187339168043998</v>
      </c>
      <c r="F89" s="263">
        <v>-67.312648349490004</v>
      </c>
      <c r="G89" s="47" t="s">
        <v>598</v>
      </c>
      <c r="H89" s="47"/>
      <c r="I89" s="68"/>
      <c r="J89" s="68"/>
      <c r="K89" s="124"/>
      <c r="L89" s="124"/>
      <c r="M89" s="124"/>
      <c r="N89" s="124"/>
      <c r="O89" s="124"/>
      <c r="P89" s="18"/>
      <c r="Q89" s="18"/>
    </row>
    <row r="90" spans="2:17" ht="18">
      <c r="B90" s="103" t="s">
        <v>992</v>
      </c>
      <c r="C90" s="47" t="s">
        <v>1260</v>
      </c>
      <c r="D90" s="47" t="s">
        <v>93</v>
      </c>
      <c r="E90" s="261">
        <v>46.447410735912698</v>
      </c>
      <c r="F90" s="263">
        <v>-67.613169135019604</v>
      </c>
      <c r="G90" s="47" t="s">
        <v>598</v>
      </c>
      <c r="H90" s="47"/>
      <c r="I90" s="68"/>
      <c r="J90" s="68"/>
      <c r="K90" s="124"/>
      <c r="L90" s="124"/>
      <c r="M90" s="124"/>
      <c r="N90" s="124"/>
      <c r="O90" s="124"/>
      <c r="P90" s="18"/>
      <c r="Q90" s="18"/>
    </row>
    <row r="91" spans="2:17" ht="18">
      <c r="B91" s="103" t="s">
        <v>1092</v>
      </c>
      <c r="C91" s="47" t="s">
        <v>1261</v>
      </c>
      <c r="D91" s="47" t="s">
        <v>93</v>
      </c>
      <c r="E91" s="261">
        <v>47.990379870576902</v>
      </c>
      <c r="F91" s="261">
        <v>-66.7234615832636</v>
      </c>
      <c r="G91" s="47" t="s">
        <v>598</v>
      </c>
      <c r="H91" s="47"/>
      <c r="I91" s="68"/>
      <c r="J91" s="68"/>
      <c r="K91" s="124"/>
      <c r="L91" s="124"/>
      <c r="M91" s="124"/>
      <c r="N91" s="124"/>
      <c r="O91" s="124"/>
      <c r="P91" s="18"/>
      <c r="Q91" s="18"/>
    </row>
    <row r="92" spans="2:17" ht="18">
      <c r="B92" s="103" t="s">
        <v>1055</v>
      </c>
      <c r="C92" s="98" t="s">
        <v>1456</v>
      </c>
      <c r="D92" s="47" t="s">
        <v>93</v>
      </c>
      <c r="E92" s="261">
        <v>47.370851522353</v>
      </c>
      <c r="F92" s="263">
        <v>-68.329635828167895</v>
      </c>
      <c r="G92" s="47" t="s">
        <v>598</v>
      </c>
      <c r="H92" s="47"/>
      <c r="I92" s="68"/>
      <c r="J92" s="68"/>
      <c r="K92" s="124"/>
      <c r="L92" s="124"/>
      <c r="M92" s="124"/>
      <c r="N92" s="124"/>
      <c r="O92" s="124"/>
      <c r="P92" s="18"/>
      <c r="Q92" s="18"/>
    </row>
    <row r="93" spans="2:17" ht="18">
      <c r="B93" s="103" t="s">
        <v>1071</v>
      </c>
      <c r="C93" s="98" t="s">
        <v>1458</v>
      </c>
      <c r="D93" s="47" t="s">
        <v>93</v>
      </c>
      <c r="E93" s="261">
        <v>47.367782742070801</v>
      </c>
      <c r="F93" s="263">
        <v>-68.263021397781699</v>
      </c>
      <c r="G93" s="47" t="s">
        <v>598</v>
      </c>
      <c r="H93" s="47"/>
      <c r="I93" s="68"/>
      <c r="J93" s="68"/>
      <c r="K93" s="124"/>
      <c r="L93" s="124"/>
      <c r="M93" s="124"/>
      <c r="N93" s="124"/>
      <c r="O93" s="124"/>
      <c r="P93" s="18"/>
      <c r="Q93" s="18"/>
    </row>
    <row r="94" spans="2:17" ht="18">
      <c r="B94" s="103" t="s">
        <v>1457</v>
      </c>
      <c r="C94" s="47" t="s">
        <v>1455</v>
      </c>
      <c r="D94" s="47" t="s">
        <v>93</v>
      </c>
      <c r="E94" s="261">
        <v>46.907844316519501</v>
      </c>
      <c r="F94" s="263">
        <v>-67.390528586767402</v>
      </c>
      <c r="G94" s="47" t="s">
        <v>598</v>
      </c>
      <c r="H94" s="47"/>
      <c r="I94" s="68"/>
      <c r="J94" s="68"/>
      <c r="K94" s="124"/>
      <c r="L94" s="124"/>
      <c r="M94" s="124"/>
      <c r="N94" s="124"/>
      <c r="O94" s="124"/>
      <c r="P94" s="18"/>
      <c r="Q94" s="18"/>
    </row>
    <row r="95" spans="2:17" ht="18">
      <c r="B95" s="103" t="s">
        <v>1053</v>
      </c>
      <c r="C95" s="47" t="s">
        <v>1262</v>
      </c>
      <c r="D95" s="47" t="s">
        <v>93</v>
      </c>
      <c r="E95" s="261">
        <v>45.651026281757296</v>
      </c>
      <c r="F95" s="263">
        <v>-66.598693750970398</v>
      </c>
      <c r="G95" s="47" t="s">
        <v>598</v>
      </c>
      <c r="H95" s="47"/>
      <c r="I95" s="68"/>
      <c r="J95" s="68"/>
      <c r="K95" s="124"/>
      <c r="L95" s="124"/>
      <c r="M95" s="124"/>
      <c r="N95" s="124"/>
      <c r="O95" s="124"/>
      <c r="P95" s="18"/>
      <c r="Q95" s="18"/>
    </row>
    <row r="96" spans="2:17" ht="18">
      <c r="B96" s="103" t="s">
        <v>1078</v>
      </c>
      <c r="C96" s="47" t="s">
        <v>1263</v>
      </c>
      <c r="D96" s="47" t="s">
        <v>93</v>
      </c>
      <c r="E96" s="261">
        <v>46.055498346586603</v>
      </c>
      <c r="F96" s="263">
        <v>-64.582139545670003</v>
      </c>
      <c r="G96" s="47" t="s">
        <v>598</v>
      </c>
      <c r="H96" s="47"/>
      <c r="I96" s="68"/>
      <c r="J96" s="68"/>
      <c r="K96" s="124"/>
      <c r="L96" s="124"/>
      <c r="M96" s="124"/>
      <c r="N96" s="124"/>
      <c r="O96" s="124"/>
      <c r="P96" s="18"/>
      <c r="Q96" s="18"/>
    </row>
    <row r="97" spans="2:17" ht="18">
      <c r="B97" s="103" t="s">
        <v>1098</v>
      </c>
      <c r="C97" s="47" t="s">
        <v>1264</v>
      </c>
      <c r="D97" s="47" t="s">
        <v>93</v>
      </c>
      <c r="E97" s="261">
        <v>45.4463424998684</v>
      </c>
      <c r="F97" s="261">
        <v>-65.963016630732199</v>
      </c>
      <c r="G97" s="47" t="s">
        <v>598</v>
      </c>
      <c r="H97" s="47"/>
      <c r="I97" s="68"/>
      <c r="J97" s="68"/>
      <c r="K97" s="124"/>
      <c r="L97" s="124"/>
      <c r="M97" s="124"/>
      <c r="N97" s="124"/>
      <c r="O97" s="124"/>
      <c r="P97" s="18"/>
      <c r="Q97" s="18"/>
    </row>
    <row r="98" spans="2:17" ht="18">
      <c r="B98" s="103" t="s">
        <v>941</v>
      </c>
      <c r="C98" s="47" t="s">
        <v>1265</v>
      </c>
      <c r="D98" s="47" t="s">
        <v>93</v>
      </c>
      <c r="E98" s="261">
        <v>47.021617050797801</v>
      </c>
      <c r="F98" s="263">
        <v>-65.461374230566406</v>
      </c>
      <c r="G98" s="47" t="s">
        <v>598</v>
      </c>
      <c r="H98" s="47"/>
      <c r="I98" s="68"/>
      <c r="J98" s="68"/>
      <c r="K98" s="124"/>
      <c r="L98" s="124"/>
      <c r="M98" s="124"/>
      <c r="N98" s="124"/>
      <c r="O98" s="124"/>
      <c r="P98" s="18"/>
      <c r="Q98" s="18"/>
    </row>
    <row r="99" spans="2:17" ht="18">
      <c r="B99" s="103" t="s">
        <v>967</v>
      </c>
      <c r="C99" s="47" t="s">
        <v>1266</v>
      </c>
      <c r="D99" s="47" t="s">
        <v>93</v>
      </c>
      <c r="E99" s="261">
        <v>46.154193151141598</v>
      </c>
      <c r="F99" s="261">
        <v>-67.534663948631703</v>
      </c>
      <c r="G99" s="47" t="s">
        <v>598</v>
      </c>
      <c r="H99" s="47"/>
      <c r="I99" s="68"/>
      <c r="J99" s="68"/>
      <c r="K99" s="124"/>
      <c r="L99" s="124"/>
      <c r="M99" s="124"/>
      <c r="N99" s="124"/>
      <c r="O99" s="124"/>
      <c r="P99" s="18"/>
      <c r="Q99" s="18"/>
    </row>
    <row r="100" spans="2:17" ht="18">
      <c r="B100" s="103" t="s">
        <v>1011</v>
      </c>
      <c r="C100" s="47" t="s">
        <v>1267</v>
      </c>
      <c r="D100" s="47" t="s">
        <v>93</v>
      </c>
      <c r="E100" s="261">
        <v>45.299464193255297</v>
      </c>
      <c r="F100" s="263">
        <v>-66.196611225576206</v>
      </c>
      <c r="G100" s="47" t="s">
        <v>598</v>
      </c>
      <c r="H100" s="47"/>
      <c r="I100" s="68"/>
      <c r="J100" s="68"/>
      <c r="K100" s="124"/>
      <c r="L100" s="124"/>
      <c r="M100" s="124"/>
      <c r="N100" s="124"/>
      <c r="O100" s="124"/>
      <c r="P100" s="18"/>
      <c r="Q100" s="18"/>
    </row>
    <row r="101" spans="2:17" ht="18">
      <c r="B101" s="103" t="s">
        <v>1097</v>
      </c>
      <c r="C101" s="47" t="s">
        <v>1268</v>
      </c>
      <c r="D101" s="47" t="s">
        <v>93</v>
      </c>
      <c r="E101" s="261">
        <v>47.050457560800197</v>
      </c>
      <c r="F101" s="263">
        <v>-67.715676980167999</v>
      </c>
      <c r="G101" s="47" t="s">
        <v>598</v>
      </c>
      <c r="H101" s="47"/>
      <c r="I101" s="68"/>
      <c r="J101" s="68"/>
      <c r="K101" s="124"/>
      <c r="L101" s="124"/>
      <c r="M101" s="124"/>
      <c r="N101" s="124"/>
      <c r="O101" s="124"/>
      <c r="P101" s="18"/>
      <c r="Q101" s="18"/>
    </row>
    <row r="102" spans="2:17" ht="18">
      <c r="B102" s="103" t="s">
        <v>178</v>
      </c>
      <c r="C102" s="47" t="s">
        <v>1379</v>
      </c>
      <c r="D102" s="47" t="s">
        <v>93</v>
      </c>
      <c r="E102" s="261">
        <v>47.042932100000002</v>
      </c>
      <c r="F102" s="263">
        <v>-67.736865899999998</v>
      </c>
      <c r="G102" s="47" t="s">
        <v>598</v>
      </c>
      <c r="H102" s="47"/>
      <c r="I102" s="68"/>
      <c r="J102" s="68"/>
      <c r="K102" s="124"/>
      <c r="L102" s="124"/>
      <c r="M102" s="124"/>
      <c r="N102" s="124"/>
      <c r="O102" s="124"/>
      <c r="P102" s="18"/>
      <c r="Q102" s="18"/>
    </row>
    <row r="103" spans="2:17" ht="18">
      <c r="B103" s="103" t="s">
        <v>970</v>
      </c>
      <c r="C103" s="47" t="s">
        <v>1269</v>
      </c>
      <c r="D103" s="47" t="s">
        <v>93</v>
      </c>
      <c r="E103" s="261">
        <v>47.061640703002801</v>
      </c>
      <c r="F103" s="263">
        <v>-67.7590672327877</v>
      </c>
      <c r="G103" s="47" t="s">
        <v>598</v>
      </c>
      <c r="H103" s="47"/>
      <c r="I103" s="68"/>
      <c r="J103" s="68"/>
      <c r="K103" s="124"/>
      <c r="L103" s="124"/>
      <c r="M103" s="124"/>
      <c r="N103" s="124"/>
      <c r="O103" s="124"/>
      <c r="P103" s="18"/>
      <c r="Q103" s="18"/>
    </row>
    <row r="104" spans="2:17" ht="18">
      <c r="B104" s="103" t="s">
        <v>996</v>
      </c>
      <c r="C104" s="47" t="s">
        <v>1270</v>
      </c>
      <c r="D104" s="47" t="s">
        <v>93</v>
      </c>
      <c r="E104" s="261">
        <v>47.035834158580201</v>
      </c>
      <c r="F104" s="263">
        <v>-67.740926243783804</v>
      </c>
      <c r="G104" s="47" t="s">
        <v>598</v>
      </c>
      <c r="H104" s="47"/>
      <c r="I104" s="68"/>
      <c r="J104" s="68"/>
      <c r="K104" s="124"/>
      <c r="L104" s="124"/>
      <c r="M104" s="124"/>
      <c r="N104" s="124"/>
      <c r="O104" s="124"/>
      <c r="P104" s="18"/>
      <c r="Q104" s="18"/>
    </row>
    <row r="105" spans="2:17" ht="18">
      <c r="B105" s="103" t="s">
        <v>960</v>
      </c>
      <c r="C105" s="47" t="s">
        <v>1271</v>
      </c>
      <c r="D105" s="47" t="s">
        <v>93</v>
      </c>
      <c r="E105" s="261">
        <v>46.043549153590298</v>
      </c>
      <c r="F105" s="261">
        <v>-66.033289583636702</v>
      </c>
      <c r="G105" s="47" t="s">
        <v>598</v>
      </c>
      <c r="H105" s="47"/>
      <c r="I105" s="68"/>
      <c r="J105" s="68"/>
      <c r="K105" s="124"/>
      <c r="L105" s="124"/>
      <c r="M105" s="124"/>
      <c r="N105" s="124"/>
      <c r="O105" s="124"/>
      <c r="P105" s="18"/>
      <c r="Q105" s="18"/>
    </row>
    <row r="106" spans="2:17" ht="18">
      <c r="B106" s="103" t="s">
        <v>1116</v>
      </c>
      <c r="C106" s="47" t="s">
        <v>1407</v>
      </c>
      <c r="D106" s="47" t="s">
        <v>93</v>
      </c>
      <c r="E106" s="261">
        <v>46.059608098730799</v>
      </c>
      <c r="F106" s="263">
        <v>-66.003260347018497</v>
      </c>
      <c r="G106" s="47" t="s">
        <v>598</v>
      </c>
      <c r="H106" s="47"/>
      <c r="I106" s="68"/>
      <c r="J106" s="68"/>
      <c r="K106" s="124"/>
      <c r="L106" s="124"/>
      <c r="M106" s="124"/>
      <c r="N106" s="124"/>
      <c r="O106" s="124"/>
      <c r="P106" s="18"/>
      <c r="Q106" s="18"/>
    </row>
    <row r="107" spans="2:17" ht="18">
      <c r="B107" s="103" t="s">
        <v>1408</v>
      </c>
      <c r="C107" s="98" t="s">
        <v>1272</v>
      </c>
      <c r="D107" s="47" t="s">
        <v>93</v>
      </c>
      <c r="E107" s="261">
        <v>44.685789125029103</v>
      </c>
      <c r="F107" s="263">
        <v>-66.773557728314998</v>
      </c>
      <c r="G107" s="47" t="s">
        <v>598</v>
      </c>
      <c r="H107" s="47"/>
      <c r="I107" s="68"/>
      <c r="J107" s="68"/>
      <c r="K107" s="124"/>
      <c r="L107" s="124"/>
      <c r="M107" s="124"/>
      <c r="N107" s="124"/>
      <c r="O107" s="124"/>
      <c r="P107" s="18"/>
      <c r="Q107" s="18"/>
    </row>
    <row r="108" spans="2:17" ht="18">
      <c r="B108" s="103" t="s">
        <v>309</v>
      </c>
      <c r="C108" s="47" t="s">
        <v>1380</v>
      </c>
      <c r="D108" s="47" t="s">
        <v>93</v>
      </c>
      <c r="E108" s="261">
        <v>44.722394000000001</v>
      </c>
      <c r="F108" s="263">
        <v>-66.823886000000002</v>
      </c>
      <c r="G108" s="47" t="s">
        <v>598</v>
      </c>
      <c r="H108" s="47"/>
      <c r="I108" s="68"/>
      <c r="J108" s="68"/>
      <c r="K108" s="124"/>
      <c r="L108" s="124"/>
      <c r="M108" s="124"/>
      <c r="N108" s="124"/>
      <c r="O108" s="124"/>
      <c r="P108" s="18"/>
      <c r="Q108" s="18"/>
    </row>
    <row r="109" spans="2:17" ht="18">
      <c r="B109" s="159" t="s">
        <v>373</v>
      </c>
      <c r="C109" s="47" t="s">
        <v>1381</v>
      </c>
      <c r="D109" s="47" t="s">
        <v>93</v>
      </c>
      <c r="E109" s="261">
        <v>45.284199999999998</v>
      </c>
      <c r="F109" s="261">
        <v>-66.009444000000002</v>
      </c>
      <c r="G109" s="47" t="s">
        <v>598</v>
      </c>
      <c r="H109" s="47"/>
      <c r="I109" s="68"/>
      <c r="J109" s="68"/>
      <c r="K109" s="124"/>
      <c r="L109" s="124"/>
      <c r="M109" s="124"/>
      <c r="N109" s="124"/>
      <c r="O109" s="124"/>
      <c r="P109" s="18"/>
      <c r="Q109" s="18"/>
    </row>
    <row r="110" spans="2:17" ht="18">
      <c r="B110" s="103" t="s">
        <v>969</v>
      </c>
      <c r="C110" s="47" t="s">
        <v>1273</v>
      </c>
      <c r="D110" s="47" t="s">
        <v>93</v>
      </c>
      <c r="E110" s="261">
        <v>47.325861704225801</v>
      </c>
      <c r="F110" s="263">
        <v>-68.139589078362604</v>
      </c>
      <c r="G110" s="47" t="s">
        <v>598</v>
      </c>
      <c r="H110" s="47"/>
      <c r="I110" s="68"/>
      <c r="J110" s="68"/>
      <c r="K110" s="124"/>
      <c r="L110" s="124"/>
      <c r="M110" s="124"/>
      <c r="N110" s="124"/>
      <c r="O110" s="124"/>
      <c r="P110" s="18"/>
      <c r="Q110" s="18"/>
    </row>
    <row r="111" spans="2:17" ht="18">
      <c r="B111" s="103" t="s">
        <v>1101</v>
      </c>
      <c r="C111" s="47" t="s">
        <v>1274</v>
      </c>
      <c r="D111" s="47" t="s">
        <v>93</v>
      </c>
      <c r="E111" s="261">
        <v>46.062824943382601</v>
      </c>
      <c r="F111" s="263">
        <v>-64.765759529682597</v>
      </c>
      <c r="G111" s="47" t="s">
        <v>598</v>
      </c>
      <c r="H111" s="47"/>
      <c r="I111" s="68"/>
      <c r="J111" s="68"/>
      <c r="K111" s="124"/>
      <c r="L111" s="124"/>
      <c r="M111" s="124"/>
      <c r="N111" s="124"/>
      <c r="O111" s="124"/>
      <c r="P111" s="18"/>
      <c r="Q111" s="18"/>
    </row>
    <row r="112" spans="2:17" ht="18">
      <c r="B112" s="103" t="s">
        <v>950</v>
      </c>
      <c r="C112" s="47" t="s">
        <v>1275</v>
      </c>
      <c r="D112" s="47" t="s">
        <v>93</v>
      </c>
      <c r="E112" s="261">
        <v>47.530678002292802</v>
      </c>
      <c r="F112" s="263">
        <v>-65.0743736941359</v>
      </c>
      <c r="G112" s="47" t="s">
        <v>598</v>
      </c>
      <c r="H112" s="47"/>
      <c r="I112" s="68"/>
      <c r="J112" s="68"/>
      <c r="K112" s="124"/>
      <c r="L112" s="124"/>
      <c r="M112" s="124"/>
      <c r="N112" s="124"/>
      <c r="O112" s="124"/>
      <c r="P112" s="18"/>
      <c r="Q112" s="18"/>
    </row>
    <row r="113" spans="2:17" ht="18">
      <c r="B113" s="103" t="s">
        <v>965</v>
      </c>
      <c r="C113" s="47" t="s">
        <v>1276</v>
      </c>
      <c r="D113" s="47" t="s">
        <v>93</v>
      </c>
      <c r="E113" s="261">
        <v>46.0680959931152</v>
      </c>
      <c r="F113" s="263">
        <v>-67.021193869080406</v>
      </c>
      <c r="G113" s="47" t="s">
        <v>598</v>
      </c>
      <c r="H113" s="47"/>
      <c r="I113" s="68"/>
      <c r="J113" s="68"/>
      <c r="K113" s="124"/>
      <c r="L113" s="124"/>
      <c r="M113" s="124"/>
      <c r="N113" s="124"/>
      <c r="O113" s="124"/>
      <c r="P113" s="18"/>
      <c r="Q113" s="18"/>
    </row>
    <row r="114" spans="2:17" ht="18">
      <c r="B114" s="103" t="s">
        <v>1103</v>
      </c>
      <c r="C114" s="47" t="s">
        <v>1277</v>
      </c>
      <c r="D114" s="47" t="s">
        <v>93</v>
      </c>
      <c r="E114" s="261">
        <v>45.513333989046998</v>
      </c>
      <c r="F114" s="261">
        <v>-65.829673721104797</v>
      </c>
      <c r="G114" s="47" t="s">
        <v>598</v>
      </c>
      <c r="H114" s="47"/>
      <c r="I114" s="68"/>
      <c r="J114" s="68"/>
      <c r="K114" s="124"/>
      <c r="L114" s="124"/>
      <c r="M114" s="124"/>
      <c r="N114" s="124"/>
      <c r="O114" s="124"/>
      <c r="P114" s="18"/>
      <c r="Q114" s="18"/>
    </row>
    <row r="115" spans="2:17" ht="18">
      <c r="B115" s="103" t="s">
        <v>934</v>
      </c>
      <c r="C115" s="47" t="s">
        <v>1278</v>
      </c>
      <c r="D115" s="47" t="s">
        <v>93</v>
      </c>
      <c r="E115" s="261">
        <v>45.513333989046998</v>
      </c>
      <c r="F115" s="261">
        <v>-65.829673721104797</v>
      </c>
      <c r="G115" s="47" t="s">
        <v>598</v>
      </c>
      <c r="H115" s="47"/>
      <c r="I115" s="68"/>
      <c r="J115" s="68"/>
      <c r="K115" s="124"/>
      <c r="L115" s="124"/>
      <c r="M115" s="124"/>
      <c r="N115" s="124"/>
      <c r="O115" s="124"/>
      <c r="P115" s="18"/>
      <c r="Q115" s="18"/>
    </row>
    <row r="116" spans="2:17" ht="18">
      <c r="B116" s="103" t="s">
        <v>947</v>
      </c>
      <c r="C116" s="47" t="s">
        <v>1279</v>
      </c>
      <c r="D116" s="47" t="s">
        <v>93</v>
      </c>
      <c r="E116" s="261">
        <v>46.477083411785003</v>
      </c>
      <c r="F116" s="263">
        <v>-65.228110991437603</v>
      </c>
      <c r="G116" s="47" t="s">
        <v>598</v>
      </c>
      <c r="H116" s="47"/>
      <c r="I116" s="68"/>
      <c r="J116" s="68"/>
      <c r="K116" s="124"/>
      <c r="L116" s="124"/>
      <c r="M116" s="124"/>
      <c r="N116" s="124"/>
      <c r="O116" s="124"/>
      <c r="P116" s="18"/>
      <c r="Q116" s="18"/>
    </row>
    <row r="117" spans="2:17" ht="18">
      <c r="B117" s="103" t="s">
        <v>1019</v>
      </c>
      <c r="C117" s="47" t="s">
        <v>1280</v>
      </c>
      <c r="D117" s="47" t="s">
        <v>93</v>
      </c>
      <c r="E117" s="261">
        <v>46.086041828510403</v>
      </c>
      <c r="F117" s="263">
        <v>-64.027080477468203</v>
      </c>
      <c r="G117" s="47" t="s">
        <v>598</v>
      </c>
      <c r="H117" s="47"/>
      <c r="I117" s="68"/>
      <c r="J117" s="68"/>
      <c r="K117" s="124"/>
      <c r="L117" s="124"/>
      <c r="M117" s="124"/>
      <c r="N117" s="124"/>
      <c r="O117" s="124"/>
      <c r="P117" s="18"/>
      <c r="Q117" s="18"/>
    </row>
    <row r="118" spans="2:17" ht="18">
      <c r="B118" s="103" t="s">
        <v>1056</v>
      </c>
      <c r="C118" s="47" t="s">
        <v>1281</v>
      </c>
      <c r="D118" s="47" t="s">
        <v>93</v>
      </c>
      <c r="E118" s="261">
        <v>46.312581419955499</v>
      </c>
      <c r="F118" s="263">
        <v>-67.535214498212895</v>
      </c>
      <c r="G118" s="47" t="s">
        <v>598</v>
      </c>
      <c r="H118" s="47"/>
      <c r="I118" s="68"/>
      <c r="J118" s="68"/>
      <c r="K118" s="124"/>
      <c r="L118" s="124"/>
      <c r="M118" s="124"/>
      <c r="N118" s="124"/>
      <c r="O118" s="124"/>
      <c r="P118" s="18"/>
      <c r="Q118" s="18"/>
    </row>
    <row r="119" spans="2:17" ht="18">
      <c r="B119" s="103" t="s">
        <v>1089</v>
      </c>
      <c r="C119" s="47" t="s">
        <v>1282</v>
      </c>
      <c r="D119" s="47" t="s">
        <v>93</v>
      </c>
      <c r="E119" s="261">
        <v>45.708333053318299</v>
      </c>
      <c r="F119" s="261">
        <v>-67.027163867474499</v>
      </c>
      <c r="G119" s="47" t="s">
        <v>598</v>
      </c>
      <c r="H119" s="47"/>
      <c r="I119" s="68"/>
      <c r="J119" s="68"/>
      <c r="K119" s="124"/>
      <c r="L119" s="124"/>
      <c r="M119" s="124"/>
      <c r="N119" s="124"/>
      <c r="O119" s="124"/>
      <c r="P119" s="18"/>
      <c r="Q119" s="18"/>
    </row>
    <row r="120" spans="2:17" ht="18">
      <c r="B120" s="103" t="s">
        <v>1035</v>
      </c>
      <c r="C120" s="47" t="s">
        <v>1283</v>
      </c>
      <c r="D120" s="47" t="s">
        <v>93</v>
      </c>
      <c r="E120" s="261">
        <v>46.003885321235998</v>
      </c>
      <c r="F120" s="263">
        <v>-65.326317944024694</v>
      </c>
      <c r="G120" s="47" t="s">
        <v>598</v>
      </c>
      <c r="H120" s="47"/>
      <c r="I120" s="68"/>
      <c r="J120" s="68"/>
      <c r="K120" s="124"/>
      <c r="L120" s="124"/>
      <c r="M120" s="124"/>
      <c r="N120" s="124"/>
      <c r="O120" s="124"/>
      <c r="P120" s="18"/>
      <c r="Q120" s="18"/>
    </row>
    <row r="121" spans="2:17" ht="18">
      <c r="B121" s="103" t="s">
        <v>1132</v>
      </c>
      <c r="C121" s="47" t="s">
        <v>1406</v>
      </c>
      <c r="D121" s="47" t="s">
        <v>93</v>
      </c>
      <c r="E121" s="261">
        <v>47.0971958976655</v>
      </c>
      <c r="F121" s="263">
        <v>-65.601054847975107</v>
      </c>
      <c r="G121" s="47" t="s">
        <v>598</v>
      </c>
      <c r="H121" s="47"/>
      <c r="I121" s="68"/>
      <c r="J121" s="68"/>
      <c r="K121" s="124"/>
      <c r="L121" s="124"/>
      <c r="M121" s="124"/>
      <c r="N121" s="124"/>
      <c r="O121" s="124"/>
      <c r="P121" s="18"/>
      <c r="Q121" s="18"/>
    </row>
    <row r="122" spans="2:17" ht="18">
      <c r="B122" s="103" t="s">
        <v>1034</v>
      </c>
      <c r="C122" s="47" t="s">
        <v>1284</v>
      </c>
      <c r="D122" s="47" t="s">
        <v>93</v>
      </c>
      <c r="E122" s="261">
        <v>45.921631949897098</v>
      </c>
      <c r="F122" s="263">
        <v>-64.645636220767699</v>
      </c>
      <c r="G122" s="47" t="s">
        <v>598</v>
      </c>
      <c r="H122" s="47"/>
      <c r="I122" s="68"/>
      <c r="J122" s="68"/>
      <c r="K122" s="124"/>
      <c r="L122" s="124"/>
      <c r="M122" s="124"/>
      <c r="N122" s="124"/>
      <c r="O122" s="124"/>
      <c r="P122" s="18"/>
      <c r="Q122" s="18"/>
    </row>
    <row r="123" spans="2:17" ht="18">
      <c r="B123" s="103" t="s">
        <v>1093</v>
      </c>
      <c r="C123" s="47" t="s">
        <v>1285</v>
      </c>
      <c r="D123" s="47" t="s">
        <v>93</v>
      </c>
      <c r="E123" s="261">
        <v>46.721396977078399</v>
      </c>
      <c r="F123" s="263">
        <v>-65.828945135474399</v>
      </c>
      <c r="G123" s="47" t="s">
        <v>598</v>
      </c>
      <c r="H123" s="47"/>
      <c r="I123" s="68"/>
      <c r="J123" s="68"/>
      <c r="K123" s="124"/>
      <c r="L123" s="124"/>
      <c r="M123" s="124"/>
      <c r="N123" s="124"/>
      <c r="O123" s="124"/>
      <c r="P123" s="18"/>
      <c r="Q123" s="18"/>
    </row>
    <row r="124" spans="2:17" ht="18">
      <c r="B124" s="103" t="s">
        <v>991</v>
      </c>
      <c r="C124" s="47" t="s">
        <v>1286</v>
      </c>
      <c r="D124" s="47" t="s">
        <v>93</v>
      </c>
      <c r="E124" s="261">
        <v>46.439654646894297</v>
      </c>
      <c r="F124" s="263">
        <v>-67.656217327810296</v>
      </c>
      <c r="G124" s="47" t="s">
        <v>598</v>
      </c>
      <c r="H124" s="47"/>
      <c r="I124" s="68"/>
      <c r="J124" s="68"/>
      <c r="K124" s="124"/>
      <c r="L124" s="124"/>
      <c r="M124" s="124"/>
      <c r="N124" s="124"/>
      <c r="O124" s="124"/>
      <c r="P124" s="18"/>
      <c r="Q124" s="18"/>
    </row>
    <row r="125" spans="2:17" ht="18">
      <c r="B125" s="98" t="s">
        <v>1474</v>
      </c>
      <c r="C125" s="98" t="s">
        <v>1464</v>
      </c>
      <c r="D125" s="47" t="s">
        <v>93</v>
      </c>
      <c r="E125" s="261">
        <v>46.601599999999998</v>
      </c>
      <c r="F125" s="263">
        <v>-67.788839999999993</v>
      </c>
      <c r="G125" s="47" t="s">
        <v>598</v>
      </c>
      <c r="H125" s="47"/>
      <c r="I125" s="68"/>
      <c r="J125" s="68"/>
      <c r="K125" s="124"/>
      <c r="L125" s="124"/>
      <c r="M125" s="124"/>
      <c r="N125" s="124"/>
      <c r="O125" s="124"/>
      <c r="P125" s="18"/>
      <c r="Q125" s="18"/>
    </row>
    <row r="126" spans="2:17" ht="18">
      <c r="B126" s="98" t="s">
        <v>1477</v>
      </c>
      <c r="C126" s="98" t="s">
        <v>1475</v>
      </c>
      <c r="D126" s="47" t="s">
        <v>93</v>
      </c>
      <c r="E126" s="261">
        <v>45.209812300000003</v>
      </c>
      <c r="F126" s="263">
        <v>-67.431312599999998</v>
      </c>
      <c r="G126" s="47" t="s">
        <v>598</v>
      </c>
      <c r="H126" s="47"/>
      <c r="I126" s="68"/>
      <c r="J126" s="68"/>
      <c r="K126" s="124"/>
      <c r="L126" s="124"/>
      <c r="M126" s="124"/>
      <c r="N126" s="124"/>
      <c r="O126" s="124"/>
      <c r="P126" s="18"/>
      <c r="Q126" s="18"/>
    </row>
    <row r="127" spans="2:17" ht="18">
      <c r="B127" s="98" t="s">
        <v>1465</v>
      </c>
      <c r="C127" s="47" t="s">
        <v>808</v>
      </c>
      <c r="D127" s="47" t="s">
        <v>93</v>
      </c>
      <c r="E127" s="261">
        <v>47.355555099999997</v>
      </c>
      <c r="F127" s="263">
        <v>-68.301677999999995</v>
      </c>
      <c r="G127" s="47" t="s">
        <v>598</v>
      </c>
      <c r="H127" s="47"/>
      <c r="I127" s="68"/>
      <c r="J127" s="68"/>
      <c r="K127" s="124"/>
      <c r="L127" s="124"/>
      <c r="M127" s="124"/>
      <c r="N127" s="124"/>
      <c r="O127" s="124"/>
      <c r="P127" s="18"/>
      <c r="Q127" s="18"/>
    </row>
    <row r="128" spans="2:17" ht="18">
      <c r="B128" s="98" t="s">
        <v>1506</v>
      </c>
      <c r="C128" s="98" t="s">
        <v>1476</v>
      </c>
      <c r="D128" s="47" t="s">
        <v>93</v>
      </c>
      <c r="E128" s="261">
        <v>45.851582999999998</v>
      </c>
      <c r="F128" s="263">
        <v>-67.789544000000006</v>
      </c>
      <c r="G128" s="47" t="s">
        <v>598</v>
      </c>
      <c r="H128" s="47"/>
      <c r="I128" s="68"/>
      <c r="J128" s="68"/>
      <c r="K128" s="124"/>
      <c r="L128" s="124"/>
      <c r="M128" s="124"/>
      <c r="N128" s="124"/>
      <c r="O128" s="124"/>
      <c r="P128" s="18"/>
      <c r="Q128" s="18"/>
    </row>
    <row r="129" spans="2:17" ht="18">
      <c r="B129" s="98" t="s">
        <v>1478</v>
      </c>
      <c r="C129" s="98" t="s">
        <v>1473</v>
      </c>
      <c r="D129" s="47" t="s">
        <v>93</v>
      </c>
      <c r="E129" s="261">
        <v>45.176119</v>
      </c>
      <c r="F129" s="263">
        <v>-67.293625000000006</v>
      </c>
      <c r="G129" s="47" t="s">
        <v>598</v>
      </c>
      <c r="H129" s="47"/>
      <c r="I129" s="68"/>
      <c r="J129" s="68"/>
      <c r="K129" s="124"/>
      <c r="L129" s="124"/>
      <c r="M129" s="124"/>
      <c r="N129" s="124"/>
      <c r="O129" s="124"/>
      <c r="P129" s="18"/>
      <c r="Q129" s="18"/>
    </row>
    <row r="130" spans="2:17" ht="18">
      <c r="B130" s="98" t="s">
        <v>1469</v>
      </c>
      <c r="C130" s="47" t="s">
        <v>809</v>
      </c>
      <c r="D130" s="47" t="s">
        <v>93</v>
      </c>
      <c r="E130" s="261">
        <v>46.825228000000003</v>
      </c>
      <c r="F130" s="263">
        <v>-67.789615999999995</v>
      </c>
      <c r="G130" s="47" t="s">
        <v>598</v>
      </c>
      <c r="H130" s="47"/>
      <c r="I130" s="68"/>
      <c r="J130" s="68"/>
      <c r="K130" s="124"/>
      <c r="L130" s="124"/>
      <c r="M130" s="124"/>
      <c r="N130" s="124"/>
      <c r="O130" s="124"/>
      <c r="P130" s="18"/>
      <c r="Q130" s="18"/>
    </row>
    <row r="131" spans="2:17" ht="18">
      <c r="B131" s="98" t="s">
        <v>1472</v>
      </c>
      <c r="C131" s="47" t="s">
        <v>810</v>
      </c>
      <c r="D131" s="47" t="s">
        <v>93</v>
      </c>
      <c r="E131" s="261">
        <v>46.791153000000001</v>
      </c>
      <c r="F131" s="263">
        <v>-67.789603999999997</v>
      </c>
      <c r="G131" s="47" t="s">
        <v>598</v>
      </c>
      <c r="H131" s="47"/>
      <c r="I131" s="68"/>
      <c r="J131" s="68"/>
      <c r="K131" s="124"/>
      <c r="L131" s="124"/>
      <c r="M131" s="124"/>
      <c r="N131" s="124"/>
      <c r="O131" s="124"/>
      <c r="P131" s="18"/>
      <c r="Q131" s="18"/>
    </row>
    <row r="132" spans="2:17" ht="18">
      <c r="B132" s="260" t="s">
        <v>1496</v>
      </c>
      <c r="C132" s="98" t="s">
        <v>577</v>
      </c>
      <c r="D132" s="47" t="s">
        <v>93</v>
      </c>
      <c r="E132" s="261">
        <v>45.863827974679701</v>
      </c>
      <c r="F132" s="263">
        <v>-64.262927242528306</v>
      </c>
      <c r="G132" s="47" t="s">
        <v>598</v>
      </c>
      <c r="H132" s="47"/>
      <c r="I132" s="68"/>
      <c r="J132" s="68"/>
      <c r="K132" s="124"/>
      <c r="L132" s="124"/>
      <c r="M132" s="124"/>
      <c r="N132" s="124"/>
      <c r="O132" s="124"/>
      <c r="P132" s="18"/>
      <c r="Q132" s="18"/>
    </row>
    <row r="133" spans="2:17" ht="18">
      <c r="B133" s="260" t="s">
        <v>1497</v>
      </c>
      <c r="C133" s="98" t="s">
        <v>576</v>
      </c>
      <c r="D133" s="47" t="s">
        <v>93</v>
      </c>
      <c r="E133" s="261">
        <v>45.897508769703201</v>
      </c>
      <c r="F133" s="263">
        <v>-64.2274077152356</v>
      </c>
      <c r="G133" s="47" t="s">
        <v>598</v>
      </c>
      <c r="H133" s="47"/>
      <c r="I133" s="68"/>
      <c r="J133" s="68"/>
      <c r="K133" s="124"/>
      <c r="L133" s="124"/>
      <c r="M133" s="124"/>
      <c r="N133" s="124"/>
      <c r="O133" s="124"/>
      <c r="P133" s="18"/>
      <c r="Q133" s="18"/>
    </row>
    <row r="134" spans="2:17" ht="18">
      <c r="B134" s="98" t="s">
        <v>1498</v>
      </c>
      <c r="C134" s="98" t="s">
        <v>767</v>
      </c>
      <c r="D134" s="47" t="s">
        <v>93</v>
      </c>
      <c r="E134" s="261">
        <v>47.458770694952399</v>
      </c>
      <c r="F134" s="263">
        <v>-68.523105955611001</v>
      </c>
      <c r="G134" s="47" t="s">
        <v>598</v>
      </c>
      <c r="H134" s="47"/>
      <c r="I134" s="68"/>
      <c r="J134" s="68"/>
      <c r="K134" s="124"/>
      <c r="L134" s="124"/>
      <c r="M134" s="124"/>
      <c r="N134" s="124"/>
      <c r="O134" s="124"/>
      <c r="P134" s="18"/>
      <c r="Q134" s="18"/>
    </row>
    <row r="135" spans="2:17" ht="18">
      <c r="B135" s="98" t="s">
        <v>1499</v>
      </c>
      <c r="C135" s="98" t="s">
        <v>768</v>
      </c>
      <c r="D135" s="47" t="s">
        <v>93</v>
      </c>
      <c r="E135" s="261">
        <v>47.992634573925002</v>
      </c>
      <c r="F135" s="263">
        <v>-66.851371534211694</v>
      </c>
      <c r="G135" s="47" t="s">
        <v>598</v>
      </c>
      <c r="H135" s="47"/>
      <c r="I135" s="68"/>
      <c r="J135" s="68"/>
      <c r="K135" s="124"/>
      <c r="L135" s="124"/>
      <c r="M135" s="124"/>
      <c r="N135" s="124"/>
      <c r="O135" s="124"/>
      <c r="P135" s="18"/>
      <c r="Q135" s="18"/>
    </row>
    <row r="136" spans="2:17" ht="18">
      <c r="B136" s="98" t="s">
        <v>1500</v>
      </c>
      <c r="C136" s="98" t="s">
        <v>575</v>
      </c>
      <c r="D136" s="47" t="s">
        <v>93</v>
      </c>
      <c r="E136" s="261">
        <v>45.897508769703201</v>
      </c>
      <c r="F136" s="261">
        <v>-64.2274077152356</v>
      </c>
      <c r="G136" s="47" t="s">
        <v>598</v>
      </c>
      <c r="H136" s="47"/>
      <c r="I136" s="68"/>
      <c r="J136" s="68"/>
      <c r="K136" s="124"/>
      <c r="L136" s="124"/>
      <c r="M136" s="124"/>
      <c r="N136" s="124"/>
      <c r="O136" s="124"/>
      <c r="P136" s="18"/>
      <c r="Q136" s="18"/>
    </row>
    <row r="137" spans="2:17" ht="18">
      <c r="B137" s="98" t="s">
        <v>1501</v>
      </c>
      <c r="C137" s="98" t="s">
        <v>766</v>
      </c>
      <c r="D137" s="47" t="s">
        <v>93</v>
      </c>
      <c r="E137" s="261">
        <v>46.205068549493703</v>
      </c>
      <c r="F137" s="261">
        <v>-63.757450644197398</v>
      </c>
      <c r="G137" s="47" t="s">
        <v>598</v>
      </c>
      <c r="H137" s="47"/>
      <c r="I137" s="68"/>
      <c r="J137" s="68"/>
      <c r="K137" s="124"/>
      <c r="L137" s="124"/>
      <c r="M137" s="124"/>
      <c r="N137" s="124"/>
      <c r="O137" s="124"/>
      <c r="P137" s="18"/>
      <c r="Q137" s="18"/>
    </row>
    <row r="138" spans="2:17" ht="18">
      <c r="B138" s="103" t="s">
        <v>1135</v>
      </c>
      <c r="C138" s="47" t="s">
        <v>1409</v>
      </c>
      <c r="D138" s="47" t="s">
        <v>93</v>
      </c>
      <c r="E138" s="261">
        <v>47.3705606354211</v>
      </c>
      <c r="F138" s="263">
        <v>-68.278358570634197</v>
      </c>
      <c r="G138" s="47" t="s">
        <v>598</v>
      </c>
      <c r="H138" s="47"/>
      <c r="I138" s="68"/>
      <c r="J138" s="68"/>
      <c r="K138" s="124"/>
      <c r="L138" s="124"/>
      <c r="M138" s="124"/>
      <c r="N138" s="124"/>
      <c r="O138" s="124"/>
      <c r="P138" s="18"/>
      <c r="Q138" s="18"/>
    </row>
    <row r="139" spans="2:17" ht="18">
      <c r="B139" s="103" t="s">
        <v>1049</v>
      </c>
      <c r="C139" s="47" t="s">
        <v>1442</v>
      </c>
      <c r="D139" s="47" t="s">
        <v>93</v>
      </c>
      <c r="E139" s="261">
        <v>45.261579536365602</v>
      </c>
      <c r="F139" s="261">
        <v>-66.093877103544898</v>
      </c>
      <c r="G139" s="47" t="s">
        <v>598</v>
      </c>
      <c r="H139" s="47"/>
      <c r="I139" s="68"/>
      <c r="J139" s="68"/>
      <c r="K139" s="124"/>
      <c r="L139" s="124"/>
      <c r="M139" s="124"/>
      <c r="N139" s="124"/>
      <c r="O139" s="124"/>
      <c r="P139" s="18"/>
      <c r="Q139" s="18"/>
    </row>
    <row r="140" spans="2:17" ht="18">
      <c r="B140" s="103" t="s">
        <v>1451</v>
      </c>
      <c r="C140" s="47" t="s">
        <v>1411</v>
      </c>
      <c r="D140" s="47" t="s">
        <v>93</v>
      </c>
      <c r="E140" s="261">
        <v>45.276827871146999</v>
      </c>
      <c r="F140" s="261">
        <v>-66.012581923951203</v>
      </c>
      <c r="G140" s="47" t="s">
        <v>598</v>
      </c>
      <c r="H140" s="47"/>
      <c r="I140" s="68"/>
      <c r="J140" s="68"/>
      <c r="K140" s="124"/>
      <c r="L140" s="124"/>
      <c r="M140" s="124"/>
      <c r="N140" s="124"/>
      <c r="O140" s="124"/>
      <c r="P140" s="18"/>
      <c r="Q140" s="18"/>
    </row>
    <row r="141" spans="2:17" ht="18">
      <c r="B141" s="103" t="s">
        <v>1410</v>
      </c>
      <c r="C141" s="47" t="s">
        <v>1412</v>
      </c>
      <c r="D141" s="47" t="s">
        <v>93</v>
      </c>
      <c r="E141" s="261">
        <v>45.277746193381901</v>
      </c>
      <c r="F141" s="261">
        <v>-66.008727824679596</v>
      </c>
      <c r="G141" s="47" t="s">
        <v>598</v>
      </c>
      <c r="H141" s="47"/>
      <c r="I141" s="68"/>
      <c r="J141" s="68"/>
      <c r="K141" s="124"/>
      <c r="L141" s="124"/>
      <c r="M141" s="124"/>
      <c r="N141" s="124"/>
      <c r="O141" s="124"/>
      <c r="P141" s="18"/>
      <c r="Q141" s="18"/>
    </row>
    <row r="142" spans="2:17" ht="18">
      <c r="B142" s="103" t="s">
        <v>1413</v>
      </c>
      <c r="C142" s="47" t="s">
        <v>1414</v>
      </c>
      <c r="D142" s="47" t="s">
        <v>93</v>
      </c>
      <c r="E142" s="261">
        <v>45.279977908869199</v>
      </c>
      <c r="F142" s="261">
        <v>-66.010533929764804</v>
      </c>
      <c r="G142" s="47" t="s">
        <v>598</v>
      </c>
      <c r="H142" s="47"/>
      <c r="I142" s="68"/>
      <c r="J142" s="68"/>
      <c r="K142" s="124"/>
      <c r="L142" s="124"/>
      <c r="M142" s="124"/>
      <c r="N142" s="124"/>
      <c r="O142" s="124"/>
      <c r="P142" s="18"/>
      <c r="Q142" s="18"/>
    </row>
    <row r="143" spans="2:17" ht="18">
      <c r="B143" s="103" t="s">
        <v>1002</v>
      </c>
      <c r="C143" s="47" t="s">
        <v>1443</v>
      </c>
      <c r="D143" s="47" t="s">
        <v>93</v>
      </c>
      <c r="E143" s="261">
        <v>45.2576087073598</v>
      </c>
      <c r="F143" s="261">
        <v>-66.095753867834603</v>
      </c>
      <c r="G143" s="47" t="s">
        <v>598</v>
      </c>
      <c r="H143" s="47"/>
      <c r="I143" s="68"/>
      <c r="J143" s="68"/>
      <c r="K143" s="124"/>
      <c r="L143" s="124"/>
      <c r="M143" s="124"/>
      <c r="N143" s="124"/>
      <c r="O143" s="124"/>
      <c r="P143" s="18"/>
      <c r="Q143" s="18"/>
    </row>
    <row r="144" spans="2:17" ht="18">
      <c r="B144" s="103" t="s">
        <v>1059</v>
      </c>
      <c r="C144" s="47" t="s">
        <v>1287</v>
      </c>
      <c r="D144" s="47" t="s">
        <v>93</v>
      </c>
      <c r="E144" s="261">
        <v>47.916698078177198</v>
      </c>
      <c r="F144" s="263">
        <v>-65.978728071332696</v>
      </c>
      <c r="G144" s="47" t="s">
        <v>598</v>
      </c>
      <c r="H144" s="47"/>
      <c r="I144" s="68"/>
      <c r="J144" s="68"/>
      <c r="K144" s="124"/>
      <c r="L144" s="124"/>
      <c r="M144" s="124"/>
      <c r="N144" s="124"/>
      <c r="O144" s="124"/>
      <c r="P144" s="18"/>
      <c r="Q144" s="18"/>
    </row>
    <row r="145" spans="2:17" ht="18">
      <c r="B145" s="103" t="s">
        <v>1085</v>
      </c>
      <c r="C145" s="47" t="s">
        <v>1288</v>
      </c>
      <c r="D145" s="47" t="s">
        <v>93</v>
      </c>
      <c r="E145" s="261">
        <v>45.780884634397701</v>
      </c>
      <c r="F145" s="261">
        <v>-66.100772092222797</v>
      </c>
      <c r="G145" s="47" t="s">
        <v>598</v>
      </c>
      <c r="H145" s="47"/>
      <c r="I145" s="68"/>
      <c r="J145" s="68"/>
      <c r="K145" s="124"/>
      <c r="L145" s="124"/>
      <c r="M145" s="124"/>
      <c r="N145" s="124"/>
      <c r="O145" s="124"/>
      <c r="P145" s="18"/>
      <c r="Q145" s="18"/>
    </row>
    <row r="146" spans="2:17" ht="18">
      <c r="B146" s="103" t="s">
        <v>618</v>
      </c>
      <c r="C146" s="98" t="s">
        <v>757</v>
      </c>
      <c r="D146" s="47" t="s">
        <v>93</v>
      </c>
      <c r="E146" s="261">
        <v>46.048339882735903</v>
      </c>
      <c r="F146" s="263">
        <v>-64.898632684562102</v>
      </c>
      <c r="G146" s="47" t="s">
        <v>598</v>
      </c>
      <c r="H146" s="47"/>
      <c r="I146" s="68"/>
      <c r="J146" s="68"/>
      <c r="K146" s="124"/>
      <c r="L146" s="124"/>
      <c r="M146" s="124"/>
      <c r="N146" s="124"/>
      <c r="O146" s="124"/>
      <c r="P146" s="18"/>
      <c r="Q146" s="18"/>
    </row>
    <row r="147" spans="2:17" ht="18">
      <c r="B147" s="103" t="s">
        <v>630</v>
      </c>
      <c r="C147" s="98" t="s">
        <v>702</v>
      </c>
      <c r="D147" s="47" t="s">
        <v>93</v>
      </c>
      <c r="E147" s="261">
        <v>46.125025797485897</v>
      </c>
      <c r="F147" s="263">
        <v>-64.817206424374703</v>
      </c>
      <c r="G147" s="47" t="s">
        <v>598</v>
      </c>
      <c r="H147" s="47"/>
      <c r="I147" s="68"/>
      <c r="J147" s="68"/>
      <c r="K147" s="124"/>
      <c r="L147" s="124"/>
      <c r="M147" s="124"/>
      <c r="N147" s="124"/>
      <c r="O147" s="124"/>
      <c r="P147" s="18"/>
      <c r="Q147" s="18"/>
    </row>
    <row r="148" spans="2:17" ht="18">
      <c r="B148" s="179" t="s">
        <v>619</v>
      </c>
      <c r="C148" s="98" t="s">
        <v>701</v>
      </c>
      <c r="D148" s="47" t="s">
        <v>93</v>
      </c>
      <c r="E148" s="261">
        <v>46.030791322352499</v>
      </c>
      <c r="F148" s="263">
        <v>-65.287526884603807</v>
      </c>
      <c r="G148" s="47" t="s">
        <v>598</v>
      </c>
      <c r="H148" s="47"/>
      <c r="I148" s="68"/>
      <c r="J148" s="68"/>
      <c r="K148" s="124"/>
      <c r="L148" s="124"/>
      <c r="M148" s="124"/>
      <c r="N148" s="124"/>
      <c r="O148" s="124"/>
      <c r="P148" s="18"/>
      <c r="Q148" s="18"/>
    </row>
    <row r="149" spans="2:17" ht="18">
      <c r="B149" s="103" t="s">
        <v>635</v>
      </c>
      <c r="C149" s="98" t="s">
        <v>765</v>
      </c>
      <c r="D149" s="47" t="s">
        <v>93</v>
      </c>
      <c r="E149" s="261">
        <v>47.026199724019797</v>
      </c>
      <c r="F149" s="263">
        <v>-67.745718480218997</v>
      </c>
      <c r="G149" s="47" t="s">
        <v>598</v>
      </c>
      <c r="H149" s="47"/>
      <c r="I149" s="68"/>
      <c r="J149" s="68"/>
      <c r="K149" s="124"/>
      <c r="L149" s="124"/>
      <c r="M149" s="124"/>
      <c r="N149" s="124"/>
      <c r="O149" s="124"/>
      <c r="P149" s="18"/>
      <c r="Q149" s="18"/>
    </row>
    <row r="150" spans="2:17" ht="18">
      <c r="B150" s="103" t="s">
        <v>638</v>
      </c>
      <c r="C150" s="98" t="s">
        <v>762</v>
      </c>
      <c r="D150" s="47" t="s">
        <v>93</v>
      </c>
      <c r="E150" s="261">
        <v>46.133703727654002</v>
      </c>
      <c r="F150" s="263">
        <v>-64.758363665272299</v>
      </c>
      <c r="G150" s="47" t="s">
        <v>598</v>
      </c>
      <c r="H150" s="47"/>
      <c r="I150" s="68"/>
      <c r="J150" s="68"/>
      <c r="K150" s="124"/>
      <c r="L150" s="124"/>
      <c r="M150" s="124"/>
      <c r="N150" s="124"/>
      <c r="O150" s="124"/>
      <c r="P150" s="18"/>
      <c r="Q150" s="18"/>
    </row>
    <row r="151" spans="2:17" ht="18">
      <c r="B151" s="103" t="s">
        <v>631</v>
      </c>
      <c r="C151" s="98" t="s">
        <v>743</v>
      </c>
      <c r="D151" s="47" t="s">
        <v>93</v>
      </c>
      <c r="E151" s="261">
        <v>46.171861473670802</v>
      </c>
      <c r="F151" s="263">
        <v>-67.589488128365701</v>
      </c>
      <c r="G151" s="47" t="s">
        <v>598</v>
      </c>
      <c r="H151" s="47"/>
      <c r="I151" s="68"/>
      <c r="J151" s="68"/>
      <c r="K151" s="124"/>
      <c r="L151" s="124"/>
      <c r="M151" s="124"/>
      <c r="N151" s="124"/>
      <c r="O151" s="124"/>
      <c r="P151" s="18"/>
      <c r="Q151" s="18"/>
    </row>
    <row r="152" spans="2:17" ht="18">
      <c r="B152" s="103" t="s">
        <v>652</v>
      </c>
      <c r="C152" s="98" t="s">
        <v>754</v>
      </c>
      <c r="D152" s="47" t="s">
        <v>93</v>
      </c>
      <c r="E152" s="261">
        <v>46.206545550721998</v>
      </c>
      <c r="F152" s="261">
        <v>-64.507896710368797</v>
      </c>
      <c r="G152" s="47" t="s">
        <v>598</v>
      </c>
      <c r="H152" s="47"/>
      <c r="I152" s="68"/>
      <c r="J152" s="68"/>
      <c r="K152" s="124"/>
      <c r="L152" s="124"/>
      <c r="M152" s="124"/>
      <c r="N152" s="124"/>
      <c r="O152" s="124"/>
      <c r="P152" s="18"/>
      <c r="Q152" s="18"/>
    </row>
    <row r="153" spans="2:17" ht="18">
      <c r="B153" s="103" t="s">
        <v>624</v>
      </c>
      <c r="C153" s="98" t="s">
        <v>739</v>
      </c>
      <c r="D153" s="47" t="s">
        <v>93</v>
      </c>
      <c r="E153" s="261">
        <v>45.121127085806002</v>
      </c>
      <c r="F153" s="263">
        <v>-66.823235401354495</v>
      </c>
      <c r="G153" s="47" t="s">
        <v>598</v>
      </c>
      <c r="H153" s="47"/>
      <c r="I153" s="68"/>
      <c r="J153" s="68"/>
      <c r="K153" s="124"/>
      <c r="L153" s="124"/>
      <c r="M153" s="124"/>
      <c r="N153" s="124"/>
      <c r="O153" s="124"/>
      <c r="P153" s="18"/>
      <c r="Q153" s="18"/>
    </row>
    <row r="154" spans="2:17" ht="18">
      <c r="B154" s="103" t="s">
        <v>626</v>
      </c>
      <c r="C154" s="98" t="s">
        <v>742</v>
      </c>
      <c r="D154" s="47" t="s">
        <v>93</v>
      </c>
      <c r="E154" s="261">
        <v>45.589712805656497</v>
      </c>
      <c r="F154" s="263">
        <v>-67.315929835900107</v>
      </c>
      <c r="G154" s="47" t="s">
        <v>598</v>
      </c>
      <c r="H154" s="47"/>
      <c r="I154" s="68"/>
      <c r="J154" s="68"/>
      <c r="K154" s="124"/>
      <c r="L154" s="124"/>
      <c r="M154" s="124"/>
      <c r="N154" s="124"/>
      <c r="O154" s="124"/>
      <c r="P154" s="18"/>
      <c r="Q154" s="18"/>
    </row>
    <row r="155" spans="2:17" ht="18">
      <c r="B155" s="103" t="s">
        <v>657</v>
      </c>
      <c r="C155" s="98" t="s">
        <v>709</v>
      </c>
      <c r="D155" s="47" t="s">
        <v>93</v>
      </c>
      <c r="E155" s="261">
        <v>47.572128515144797</v>
      </c>
      <c r="F155" s="263">
        <v>-65.6318926423736</v>
      </c>
      <c r="G155" s="47" t="s">
        <v>598</v>
      </c>
      <c r="H155" s="47"/>
      <c r="I155" s="68"/>
      <c r="J155" s="68"/>
      <c r="K155" s="124"/>
      <c r="L155" s="124"/>
      <c r="M155" s="124"/>
      <c r="N155" s="124"/>
      <c r="O155" s="124"/>
      <c r="P155" s="18"/>
      <c r="Q155" s="18"/>
    </row>
    <row r="156" spans="2:17" ht="18">
      <c r="B156" s="103" t="s">
        <v>645</v>
      </c>
      <c r="C156" s="98" t="s">
        <v>699</v>
      </c>
      <c r="D156" s="47" t="s">
        <v>93</v>
      </c>
      <c r="E156" s="261">
        <v>47.454392406614502</v>
      </c>
      <c r="F156" s="263">
        <v>-67.442093908376407</v>
      </c>
      <c r="G156" s="47" t="s">
        <v>598</v>
      </c>
      <c r="H156" s="47"/>
      <c r="I156" s="68"/>
      <c r="J156" s="68"/>
      <c r="K156" s="124"/>
      <c r="L156" s="124"/>
      <c r="M156" s="124"/>
      <c r="N156" s="124"/>
      <c r="O156" s="124"/>
      <c r="P156" s="18"/>
      <c r="Q156" s="18"/>
    </row>
    <row r="157" spans="2:17" ht="18">
      <c r="B157" s="103" t="s">
        <v>623</v>
      </c>
      <c r="C157" s="98" t="s">
        <v>756</v>
      </c>
      <c r="D157" s="47" t="s">
        <v>93</v>
      </c>
      <c r="E157" s="261">
        <v>45.927170645843702</v>
      </c>
      <c r="F157" s="263">
        <v>-64.667834676733406</v>
      </c>
      <c r="G157" s="47" t="s">
        <v>598</v>
      </c>
      <c r="H157" s="47"/>
      <c r="I157" s="68"/>
      <c r="J157" s="68"/>
      <c r="K157" s="124"/>
      <c r="L157" s="124"/>
      <c r="M157" s="124"/>
      <c r="N157" s="124"/>
      <c r="O157" s="124"/>
      <c r="P157" s="18"/>
      <c r="Q157" s="18"/>
    </row>
    <row r="158" spans="2:17" ht="18">
      <c r="B158" s="103" t="s">
        <v>617</v>
      </c>
      <c r="C158" s="98" t="s">
        <v>728</v>
      </c>
      <c r="D158" s="47" t="s">
        <v>93</v>
      </c>
      <c r="E158" s="261">
        <v>45.256453101210397</v>
      </c>
      <c r="F158" s="261">
        <v>-66.093536183451107</v>
      </c>
      <c r="G158" s="47" t="s">
        <v>598</v>
      </c>
      <c r="H158" s="47"/>
      <c r="I158" s="68"/>
      <c r="J158" s="68"/>
      <c r="K158" s="124"/>
      <c r="L158" s="124"/>
      <c r="M158" s="124"/>
      <c r="N158" s="124"/>
      <c r="O158" s="124"/>
      <c r="P158" s="18"/>
      <c r="Q158" s="18"/>
    </row>
    <row r="159" spans="2:17" ht="18">
      <c r="B159" s="103" t="s">
        <v>656</v>
      </c>
      <c r="C159" s="98" t="s">
        <v>731</v>
      </c>
      <c r="D159" s="47" t="s">
        <v>93</v>
      </c>
      <c r="E159" s="261">
        <v>48.058296540199997</v>
      </c>
      <c r="F159" s="263">
        <v>-66.3997694254614</v>
      </c>
      <c r="G159" s="47" t="s">
        <v>598</v>
      </c>
      <c r="H159" s="47"/>
      <c r="I159" s="68"/>
      <c r="J159" s="68"/>
      <c r="K159" s="124"/>
      <c r="L159" s="124"/>
      <c r="M159" s="124"/>
      <c r="N159" s="124"/>
      <c r="O159" s="124"/>
      <c r="P159" s="18"/>
      <c r="Q159" s="18"/>
    </row>
    <row r="160" spans="2:17" ht="18">
      <c r="B160" s="103" t="s">
        <v>650</v>
      </c>
      <c r="C160" s="98" t="s">
        <v>738</v>
      </c>
      <c r="D160" s="47" t="s">
        <v>93</v>
      </c>
      <c r="E160" s="261">
        <v>46.309317595580303</v>
      </c>
      <c r="F160" s="263">
        <v>-67.622268152981505</v>
      </c>
      <c r="G160" s="47" t="s">
        <v>598</v>
      </c>
      <c r="H160" s="47"/>
      <c r="I160" s="68"/>
      <c r="J160" s="68"/>
      <c r="K160" s="124"/>
      <c r="L160" s="124"/>
      <c r="M160" s="124"/>
      <c r="N160" s="124"/>
      <c r="O160" s="124"/>
      <c r="P160" s="18"/>
      <c r="Q160" s="18"/>
    </row>
    <row r="161" spans="2:17" ht="18">
      <c r="B161" s="103" t="s">
        <v>625</v>
      </c>
      <c r="C161" s="98" t="s">
        <v>744</v>
      </c>
      <c r="D161" s="47" t="s">
        <v>93</v>
      </c>
      <c r="E161" s="261">
        <v>45.157444844694503</v>
      </c>
      <c r="F161" s="263">
        <v>-67.130168786951103</v>
      </c>
      <c r="G161" s="47" t="s">
        <v>598</v>
      </c>
      <c r="H161" s="47"/>
      <c r="I161" s="68"/>
      <c r="J161" s="68"/>
      <c r="K161" s="124"/>
      <c r="L161" s="124"/>
      <c r="M161" s="124"/>
      <c r="N161" s="124"/>
      <c r="O161" s="124"/>
      <c r="P161" s="18"/>
      <c r="Q161" s="18"/>
    </row>
    <row r="162" spans="2:17" ht="18">
      <c r="B162" s="103" t="s">
        <v>662</v>
      </c>
      <c r="C162" s="98" t="s">
        <v>755</v>
      </c>
      <c r="D162" s="47" t="s">
        <v>93</v>
      </c>
      <c r="E162" s="261">
        <v>45.925607840524201</v>
      </c>
      <c r="F162" s="261">
        <v>-64.481995267087299</v>
      </c>
      <c r="G162" s="47" t="s">
        <v>598</v>
      </c>
      <c r="H162" s="47"/>
      <c r="I162" s="68"/>
      <c r="J162" s="68"/>
      <c r="K162" s="124"/>
      <c r="L162" s="124"/>
      <c r="M162" s="124"/>
      <c r="N162" s="124"/>
      <c r="O162" s="124"/>
      <c r="P162" s="18"/>
      <c r="Q162" s="18"/>
    </row>
    <row r="163" spans="2:17" ht="18">
      <c r="B163" s="103" t="s">
        <v>641</v>
      </c>
      <c r="C163" s="98" t="s">
        <v>751</v>
      </c>
      <c r="D163" s="47" t="s">
        <v>93</v>
      </c>
      <c r="E163" s="261">
        <v>47.882016011311897</v>
      </c>
      <c r="F163" s="263">
        <v>-65.988914655903599</v>
      </c>
      <c r="G163" s="47" t="s">
        <v>598</v>
      </c>
      <c r="H163" s="47"/>
      <c r="I163" s="68"/>
      <c r="J163" s="68"/>
      <c r="K163" s="124"/>
      <c r="L163" s="124"/>
      <c r="M163" s="124"/>
      <c r="N163" s="124"/>
      <c r="O163" s="124"/>
      <c r="P163" s="18"/>
      <c r="Q163" s="18"/>
    </row>
    <row r="164" spans="2:17" ht="18">
      <c r="B164" s="103" t="s">
        <v>663</v>
      </c>
      <c r="C164" s="98" t="s">
        <v>710</v>
      </c>
      <c r="D164" s="47" t="s">
        <v>93</v>
      </c>
      <c r="E164" s="261">
        <v>47.977438460097702</v>
      </c>
      <c r="F164" s="263">
        <v>-66.675263124219597</v>
      </c>
      <c r="G164" s="47" t="s">
        <v>598</v>
      </c>
      <c r="H164" s="47"/>
      <c r="I164" s="68"/>
      <c r="J164" s="68"/>
      <c r="K164" s="124"/>
      <c r="L164" s="124"/>
      <c r="M164" s="124"/>
      <c r="N164" s="124"/>
      <c r="O164" s="124"/>
      <c r="P164" s="18"/>
      <c r="Q164" s="18"/>
    </row>
    <row r="165" spans="2:17" ht="18">
      <c r="B165" s="103" t="s">
        <v>644</v>
      </c>
      <c r="C165" s="98" t="s">
        <v>705</v>
      </c>
      <c r="D165" s="47" t="s">
        <v>93</v>
      </c>
      <c r="E165" s="261">
        <v>47.287874320931003</v>
      </c>
      <c r="F165" s="263">
        <v>-67.709759990769001</v>
      </c>
      <c r="G165" s="47" t="s">
        <v>598</v>
      </c>
      <c r="H165" s="47"/>
      <c r="I165" s="68"/>
      <c r="J165" s="68"/>
      <c r="K165" s="124"/>
      <c r="L165" s="124"/>
      <c r="M165" s="124"/>
      <c r="N165" s="124"/>
      <c r="O165" s="124"/>
      <c r="P165" s="18"/>
      <c r="Q165" s="18"/>
    </row>
    <row r="166" spans="2:17" ht="18">
      <c r="B166" s="103" t="s">
        <v>629</v>
      </c>
      <c r="C166" s="98" t="s">
        <v>735</v>
      </c>
      <c r="D166" s="47" t="s">
        <v>93</v>
      </c>
      <c r="E166" s="261">
        <v>45.9679898148988</v>
      </c>
      <c r="F166" s="263">
        <v>-67.236396753715098</v>
      </c>
      <c r="G166" s="47" t="s">
        <v>598</v>
      </c>
      <c r="H166" s="47"/>
      <c r="I166" s="68"/>
      <c r="J166" s="68"/>
      <c r="K166" s="124"/>
      <c r="L166" s="124"/>
      <c r="M166" s="124"/>
      <c r="N166" s="124"/>
      <c r="O166" s="124"/>
      <c r="P166" s="18"/>
      <c r="Q166" s="18"/>
    </row>
    <row r="167" spans="2:17" ht="18">
      <c r="B167" s="103" t="s">
        <v>621</v>
      </c>
      <c r="C167" s="98" t="s">
        <v>730</v>
      </c>
      <c r="D167" s="47" t="s">
        <v>93</v>
      </c>
      <c r="E167" s="261">
        <v>47.001954316555697</v>
      </c>
      <c r="F167" s="263">
        <v>-65.502257340518199</v>
      </c>
      <c r="G167" s="47" t="s">
        <v>598</v>
      </c>
      <c r="H167" s="47"/>
      <c r="I167" s="68"/>
      <c r="J167" s="68"/>
      <c r="K167" s="124"/>
      <c r="L167" s="124"/>
      <c r="M167" s="124"/>
      <c r="N167" s="124"/>
      <c r="O167" s="124"/>
      <c r="P167" s="18"/>
      <c r="Q167" s="18"/>
    </row>
    <row r="168" spans="2:17" ht="18">
      <c r="B168" s="103" t="s">
        <v>648</v>
      </c>
      <c r="C168" s="98" t="s">
        <v>753</v>
      </c>
      <c r="D168" s="47" t="s">
        <v>93</v>
      </c>
      <c r="E168" s="261">
        <v>46.095135946704602</v>
      </c>
      <c r="F168" s="263">
        <v>-64.750458560997004</v>
      </c>
      <c r="G168" s="47" t="s">
        <v>598</v>
      </c>
      <c r="H168" s="47"/>
      <c r="I168" s="68"/>
      <c r="J168" s="68"/>
      <c r="K168" s="124"/>
      <c r="L168" s="124"/>
      <c r="M168" s="124"/>
      <c r="N168" s="124"/>
      <c r="O168" s="124"/>
      <c r="P168" s="18"/>
      <c r="Q168" s="18"/>
    </row>
    <row r="169" spans="2:17" ht="18">
      <c r="B169" s="103" t="s">
        <v>622</v>
      </c>
      <c r="C169" s="98" t="s">
        <v>749</v>
      </c>
      <c r="D169" s="47" t="s">
        <v>93</v>
      </c>
      <c r="E169" s="261">
        <v>47.2197906495946</v>
      </c>
      <c r="F169" s="263">
        <v>-65.399404706898594</v>
      </c>
      <c r="G169" s="47" t="s">
        <v>598</v>
      </c>
      <c r="H169" s="47"/>
      <c r="I169" s="68"/>
      <c r="J169" s="68"/>
      <c r="K169" s="124"/>
      <c r="L169" s="124"/>
      <c r="M169" s="124"/>
      <c r="N169" s="124"/>
      <c r="O169" s="124"/>
      <c r="P169" s="18"/>
      <c r="Q169" s="18"/>
    </row>
    <row r="170" spans="2:17" ht="18">
      <c r="B170" s="103" t="s">
        <v>616</v>
      </c>
      <c r="C170" s="98" t="s">
        <v>750</v>
      </c>
      <c r="D170" s="47" t="s">
        <v>93</v>
      </c>
      <c r="E170" s="261">
        <v>46.998832680604501</v>
      </c>
      <c r="F170" s="263">
        <v>-65.410111235650405</v>
      </c>
      <c r="G170" s="47" t="s">
        <v>598</v>
      </c>
      <c r="H170" s="47"/>
      <c r="I170" s="68"/>
      <c r="J170" s="68"/>
      <c r="K170" s="124"/>
      <c r="L170" s="124"/>
      <c r="M170" s="124"/>
      <c r="N170" s="124"/>
      <c r="O170" s="124"/>
      <c r="P170" s="18"/>
      <c r="Q170" s="18"/>
    </row>
    <row r="171" spans="2:17" ht="18">
      <c r="B171" s="103" t="s">
        <v>646</v>
      </c>
      <c r="C171" s="98" t="s">
        <v>726</v>
      </c>
      <c r="D171" s="47" t="s">
        <v>93</v>
      </c>
      <c r="E171" s="261">
        <v>45.197616729852598</v>
      </c>
      <c r="F171" s="263">
        <v>-66.296212187951099</v>
      </c>
      <c r="G171" s="47" t="s">
        <v>598</v>
      </c>
      <c r="H171" s="47"/>
      <c r="I171" s="68"/>
      <c r="J171" s="68"/>
      <c r="K171" s="124"/>
      <c r="L171" s="124"/>
      <c r="M171" s="124"/>
      <c r="N171" s="124"/>
      <c r="O171" s="124"/>
      <c r="P171" s="18"/>
      <c r="Q171" s="18"/>
    </row>
    <row r="172" spans="2:17" ht="18">
      <c r="B172" s="103" t="s">
        <v>632</v>
      </c>
      <c r="C172" s="98" t="s">
        <v>723</v>
      </c>
      <c r="D172" s="47" t="s">
        <v>93</v>
      </c>
      <c r="E172" s="261">
        <v>47.369988363956601</v>
      </c>
      <c r="F172" s="263">
        <v>-68.261553530249898</v>
      </c>
      <c r="G172" s="47" t="s">
        <v>598</v>
      </c>
      <c r="H172" s="47"/>
      <c r="I172" s="68"/>
      <c r="J172" s="68"/>
      <c r="K172" s="124"/>
      <c r="L172" s="124"/>
      <c r="M172" s="124"/>
      <c r="N172" s="124"/>
      <c r="O172" s="124"/>
      <c r="P172" s="18"/>
      <c r="Q172" s="18"/>
    </row>
    <row r="173" spans="2:17" ht="18">
      <c r="B173" s="103" t="s">
        <v>642</v>
      </c>
      <c r="C173" s="98" t="s">
        <v>722</v>
      </c>
      <c r="D173" s="47" t="s">
        <v>93</v>
      </c>
      <c r="E173" s="261">
        <v>47.702084562390397</v>
      </c>
      <c r="F173" s="263">
        <v>-65.751936121900201</v>
      </c>
      <c r="G173" s="47" t="s">
        <v>598</v>
      </c>
      <c r="H173" s="47"/>
      <c r="I173" s="68"/>
      <c r="J173" s="68"/>
      <c r="K173" s="124"/>
      <c r="L173" s="124"/>
      <c r="M173" s="124"/>
      <c r="N173" s="124"/>
      <c r="O173" s="124"/>
      <c r="P173" s="18"/>
      <c r="Q173" s="18"/>
    </row>
    <row r="174" spans="2:17" ht="18">
      <c r="B174" s="103" t="s">
        <v>655</v>
      </c>
      <c r="C174" s="98" t="s">
        <v>698</v>
      </c>
      <c r="D174" s="47" t="s">
        <v>93</v>
      </c>
      <c r="E174" s="261">
        <v>45.187756662522503</v>
      </c>
      <c r="F174" s="263">
        <v>-67.298986722342804</v>
      </c>
      <c r="G174" s="47" t="s">
        <v>598</v>
      </c>
      <c r="H174" s="47"/>
      <c r="I174" s="68"/>
      <c r="J174" s="68"/>
      <c r="K174" s="124"/>
      <c r="L174" s="124"/>
      <c r="M174" s="124"/>
      <c r="N174" s="124"/>
      <c r="O174" s="124"/>
      <c r="P174" s="18"/>
      <c r="Q174" s="18"/>
    </row>
    <row r="175" spans="2:17" ht="18">
      <c r="B175" s="103" t="s">
        <v>658</v>
      </c>
      <c r="C175" s="98" t="s">
        <v>733</v>
      </c>
      <c r="D175" s="47" t="s">
        <v>93</v>
      </c>
      <c r="E175" s="261">
        <v>47.5171516151254</v>
      </c>
      <c r="F175" s="263">
        <v>-65.805658354633394</v>
      </c>
      <c r="G175" s="47" t="s">
        <v>598</v>
      </c>
      <c r="H175" s="47"/>
      <c r="I175" s="68"/>
      <c r="J175" s="68"/>
      <c r="K175" s="124"/>
      <c r="L175" s="124"/>
      <c r="M175" s="124"/>
      <c r="N175" s="124"/>
      <c r="O175" s="124"/>
      <c r="P175" s="18"/>
      <c r="Q175" s="18"/>
    </row>
    <row r="176" spans="2:17" ht="18">
      <c r="B176" s="103" t="s">
        <v>664</v>
      </c>
      <c r="C176" s="98" t="s">
        <v>711</v>
      </c>
      <c r="D176" s="47" t="s">
        <v>93</v>
      </c>
      <c r="E176" s="261">
        <v>47.965083673890803</v>
      </c>
      <c r="F176" s="263">
        <v>-66.774594178795496</v>
      </c>
      <c r="G176" s="47" t="s">
        <v>598</v>
      </c>
      <c r="H176" s="47"/>
      <c r="I176" s="68"/>
      <c r="J176" s="68"/>
      <c r="K176" s="124"/>
      <c r="L176" s="124"/>
      <c r="M176" s="124"/>
      <c r="N176" s="124"/>
      <c r="O176" s="124"/>
      <c r="P176" s="18"/>
      <c r="Q176" s="18"/>
    </row>
    <row r="177" spans="2:17" ht="18">
      <c r="B177" s="103" t="s">
        <v>633</v>
      </c>
      <c r="C177" s="98" t="s">
        <v>724</v>
      </c>
      <c r="D177" s="47" t="s">
        <v>93</v>
      </c>
      <c r="E177" s="261">
        <v>47.196292274737701</v>
      </c>
      <c r="F177" s="263">
        <v>-67.926381191302298</v>
      </c>
      <c r="G177" s="47" t="s">
        <v>598</v>
      </c>
      <c r="H177" s="47"/>
      <c r="I177" s="68"/>
      <c r="J177" s="68"/>
      <c r="K177" s="124"/>
      <c r="L177" s="124"/>
      <c r="M177" s="124"/>
      <c r="N177" s="124"/>
      <c r="O177" s="124"/>
      <c r="P177" s="18"/>
      <c r="Q177" s="18"/>
    </row>
    <row r="178" spans="2:17" ht="18">
      <c r="B178" s="103" t="s">
        <v>639</v>
      </c>
      <c r="C178" s="98" t="s">
        <v>758</v>
      </c>
      <c r="D178" s="47" t="s">
        <v>93</v>
      </c>
      <c r="E178" s="261">
        <v>46.061720308637497</v>
      </c>
      <c r="F178" s="263">
        <v>-64.556169560658702</v>
      </c>
      <c r="G178" s="47" t="s">
        <v>598</v>
      </c>
      <c r="H178" s="47"/>
      <c r="I178" s="68"/>
      <c r="J178" s="68"/>
      <c r="K178" s="124"/>
      <c r="L178" s="124"/>
      <c r="M178" s="124"/>
      <c r="N178" s="124"/>
      <c r="O178" s="124"/>
      <c r="P178" s="18"/>
      <c r="Q178" s="18"/>
    </row>
    <row r="179" spans="2:17" ht="18">
      <c r="B179" s="103" t="s">
        <v>666</v>
      </c>
      <c r="C179" s="98" t="s">
        <v>706</v>
      </c>
      <c r="D179" s="47" t="s">
        <v>93</v>
      </c>
      <c r="E179" s="261">
        <v>45.9805792060694</v>
      </c>
      <c r="F179" s="263">
        <v>-64.511700311424505</v>
      </c>
      <c r="G179" s="47" t="s">
        <v>598</v>
      </c>
      <c r="H179" s="47"/>
      <c r="I179" s="68"/>
      <c r="J179" s="68"/>
      <c r="K179" s="124"/>
      <c r="L179" s="124"/>
      <c r="M179" s="124"/>
      <c r="N179" s="124"/>
      <c r="O179" s="124"/>
      <c r="P179" s="18"/>
      <c r="Q179" s="18"/>
    </row>
    <row r="180" spans="2:17" ht="18">
      <c r="B180" s="103" t="s">
        <v>660</v>
      </c>
      <c r="C180" s="98" t="s">
        <v>745</v>
      </c>
      <c r="D180" s="47" t="s">
        <v>93</v>
      </c>
      <c r="E180" s="261">
        <v>47.394024848127501</v>
      </c>
      <c r="F180" s="263">
        <v>-68.333881981433507</v>
      </c>
      <c r="G180" s="47" t="s">
        <v>598</v>
      </c>
      <c r="H180" s="47"/>
      <c r="I180" s="68"/>
      <c r="J180" s="68"/>
      <c r="K180" s="124"/>
      <c r="L180" s="124"/>
      <c r="M180" s="124"/>
      <c r="N180" s="124"/>
      <c r="O180" s="124"/>
      <c r="P180" s="18"/>
      <c r="Q180" s="18"/>
    </row>
    <row r="181" spans="2:17" ht="18">
      <c r="B181" s="103" t="s">
        <v>665</v>
      </c>
      <c r="C181" s="98" t="s">
        <v>748</v>
      </c>
      <c r="D181" s="47" t="s">
        <v>93</v>
      </c>
      <c r="E181" s="261">
        <v>47.9850718626627</v>
      </c>
      <c r="F181" s="263">
        <v>-66.719417486671901</v>
      </c>
      <c r="G181" s="47" t="s">
        <v>598</v>
      </c>
      <c r="H181" s="47"/>
      <c r="I181" s="68"/>
      <c r="J181" s="68"/>
      <c r="K181" s="124"/>
      <c r="L181" s="124"/>
      <c r="M181" s="124"/>
      <c r="N181" s="124"/>
      <c r="O181" s="124"/>
      <c r="P181" s="18"/>
      <c r="Q181" s="18"/>
    </row>
    <row r="182" spans="2:17" ht="18">
      <c r="B182" s="103" t="s">
        <v>643</v>
      </c>
      <c r="C182" s="98" t="s">
        <v>703</v>
      </c>
      <c r="D182" s="47" t="s">
        <v>93</v>
      </c>
      <c r="E182" s="261">
        <v>47.594986929454898</v>
      </c>
      <c r="F182" s="263">
        <v>-65.667856181816603</v>
      </c>
      <c r="G182" s="47" t="s">
        <v>598</v>
      </c>
      <c r="H182" s="47"/>
      <c r="I182" s="68"/>
      <c r="J182" s="68"/>
      <c r="K182" s="124"/>
      <c r="L182" s="124"/>
      <c r="M182" s="124"/>
      <c r="N182" s="124"/>
      <c r="O182" s="124"/>
      <c r="P182" s="18"/>
      <c r="Q182" s="18"/>
    </row>
    <row r="183" spans="2:17" ht="18">
      <c r="B183" s="103" t="s">
        <v>640</v>
      </c>
      <c r="C183" s="98" t="s">
        <v>707</v>
      </c>
      <c r="D183" s="47" t="s">
        <v>93</v>
      </c>
      <c r="E183" s="261">
        <v>47.971041994348397</v>
      </c>
      <c r="F183" s="263">
        <v>-66.2925160733095</v>
      </c>
      <c r="G183" s="47" t="s">
        <v>598</v>
      </c>
      <c r="H183" s="47"/>
      <c r="I183" s="68"/>
      <c r="J183" s="68"/>
      <c r="K183" s="124"/>
      <c r="L183" s="124"/>
      <c r="M183" s="124"/>
      <c r="N183" s="124"/>
      <c r="O183" s="124"/>
      <c r="P183" s="18"/>
      <c r="Q183" s="18"/>
    </row>
    <row r="184" spans="2:17" ht="18">
      <c r="B184" s="103" t="s">
        <v>628</v>
      </c>
      <c r="C184" s="98" t="s">
        <v>708</v>
      </c>
      <c r="D184" s="47" t="s">
        <v>93</v>
      </c>
      <c r="E184" s="261">
        <v>45.836313992987101</v>
      </c>
      <c r="F184" s="263">
        <v>-67.172291218665706</v>
      </c>
      <c r="G184" s="47" t="s">
        <v>598</v>
      </c>
      <c r="H184" s="47"/>
      <c r="I184" s="68"/>
      <c r="J184" s="68"/>
      <c r="K184" s="124"/>
      <c r="L184" s="124"/>
      <c r="M184" s="124"/>
      <c r="N184" s="124"/>
      <c r="O184" s="124"/>
      <c r="P184" s="18"/>
      <c r="Q184" s="18"/>
    </row>
    <row r="185" spans="2:17" ht="18">
      <c r="B185" s="103" t="s">
        <v>1450</v>
      </c>
      <c r="C185" s="47" t="s">
        <v>769</v>
      </c>
      <c r="D185" s="47" t="s">
        <v>93</v>
      </c>
      <c r="E185" s="261">
        <v>47.712362298851197</v>
      </c>
      <c r="F185" s="263">
        <v>-64.740275738313699</v>
      </c>
      <c r="G185" s="47" t="s">
        <v>598</v>
      </c>
      <c r="H185" s="47"/>
      <c r="I185" s="68"/>
      <c r="J185" s="68"/>
      <c r="K185" s="124"/>
      <c r="L185" s="124"/>
      <c r="M185" s="124"/>
      <c r="N185" s="124"/>
      <c r="O185" s="124"/>
      <c r="P185" s="18"/>
      <c r="Q185" s="18"/>
    </row>
    <row r="186" spans="2:17" ht="18">
      <c r="B186" s="103" t="s">
        <v>620</v>
      </c>
      <c r="C186" s="98" t="s">
        <v>740</v>
      </c>
      <c r="D186" s="47" t="s">
        <v>93</v>
      </c>
      <c r="E186" s="261">
        <v>45.939145558253998</v>
      </c>
      <c r="F186" s="263">
        <v>-65.795117535701394</v>
      </c>
      <c r="G186" s="47" t="s">
        <v>598</v>
      </c>
      <c r="H186" s="47"/>
      <c r="I186" s="68"/>
      <c r="J186" s="68"/>
      <c r="K186" s="124"/>
      <c r="L186" s="124"/>
      <c r="M186" s="124"/>
      <c r="N186" s="124"/>
      <c r="O186" s="124"/>
      <c r="P186" s="18"/>
      <c r="Q186" s="18"/>
    </row>
    <row r="187" spans="2:17" ht="18">
      <c r="B187" s="103" t="s">
        <v>651</v>
      </c>
      <c r="C187" s="98" t="s">
        <v>736</v>
      </c>
      <c r="D187" s="47" t="s">
        <v>93</v>
      </c>
      <c r="E187" s="261">
        <v>46.277314904924197</v>
      </c>
      <c r="F187" s="261">
        <v>-66.602695686970193</v>
      </c>
      <c r="G187" s="47" t="s">
        <v>598</v>
      </c>
      <c r="H187" s="47"/>
      <c r="I187" s="68"/>
      <c r="J187" s="68"/>
      <c r="K187" s="124"/>
      <c r="L187" s="124"/>
      <c r="M187" s="124"/>
      <c r="N187" s="124"/>
      <c r="O187" s="124"/>
      <c r="P187" s="18"/>
      <c r="Q187" s="18"/>
    </row>
    <row r="188" spans="2:17" ht="18">
      <c r="B188" s="103" t="s">
        <v>667</v>
      </c>
      <c r="C188" s="98" t="s">
        <v>747</v>
      </c>
      <c r="D188" s="47" t="s">
        <v>93</v>
      </c>
      <c r="E188" s="261">
        <v>47.3057889649739</v>
      </c>
      <c r="F188" s="263">
        <v>-68.484888314752894</v>
      </c>
      <c r="G188" s="47" t="s">
        <v>598</v>
      </c>
      <c r="H188" s="47"/>
      <c r="I188" s="68"/>
      <c r="J188" s="68"/>
      <c r="K188" s="124"/>
      <c r="L188" s="124"/>
      <c r="M188" s="124"/>
      <c r="N188" s="124"/>
      <c r="O188" s="124"/>
      <c r="P188" s="18"/>
      <c r="Q188" s="18"/>
    </row>
    <row r="189" spans="2:17" ht="18">
      <c r="B189" s="103" t="s">
        <v>636</v>
      </c>
      <c r="C189" s="98" t="s">
        <v>697</v>
      </c>
      <c r="D189" s="47" t="s">
        <v>93</v>
      </c>
      <c r="E189" s="261">
        <v>47.056335763932701</v>
      </c>
      <c r="F189" s="263">
        <v>-67.763331265860302</v>
      </c>
      <c r="G189" s="47" t="s">
        <v>598</v>
      </c>
      <c r="H189" s="47"/>
      <c r="I189" s="68"/>
      <c r="J189" s="68"/>
      <c r="K189" s="124"/>
      <c r="L189" s="124"/>
      <c r="M189" s="124"/>
      <c r="N189" s="124"/>
      <c r="O189" s="124"/>
      <c r="P189" s="18"/>
      <c r="Q189" s="18"/>
    </row>
    <row r="190" spans="2:17" ht="18">
      <c r="B190" s="103" t="s">
        <v>627</v>
      </c>
      <c r="C190" s="98" t="s">
        <v>712</v>
      </c>
      <c r="D190" s="47" t="s">
        <v>93</v>
      </c>
      <c r="E190" s="261">
        <v>45.695289135605897</v>
      </c>
      <c r="F190" s="261">
        <v>-67.142642933836996</v>
      </c>
      <c r="G190" s="47" t="s">
        <v>598</v>
      </c>
      <c r="H190" s="47"/>
      <c r="I190" s="68"/>
      <c r="J190" s="68"/>
      <c r="K190" s="124"/>
      <c r="L190" s="124"/>
      <c r="M190" s="124"/>
      <c r="N190" s="124"/>
      <c r="O190" s="124"/>
      <c r="P190" s="18"/>
      <c r="Q190" s="18"/>
    </row>
    <row r="191" spans="2:17" ht="18">
      <c r="B191" s="103" t="s">
        <v>668</v>
      </c>
      <c r="C191" s="98" t="s">
        <v>713</v>
      </c>
      <c r="D191" s="47" t="s">
        <v>93</v>
      </c>
      <c r="E191" s="261">
        <v>45.637675838655902</v>
      </c>
      <c r="F191" s="263">
        <v>-66.596079424461493</v>
      </c>
      <c r="G191" s="47" t="s">
        <v>598</v>
      </c>
      <c r="H191" s="47"/>
      <c r="I191" s="68"/>
      <c r="J191" s="68"/>
      <c r="K191" s="124"/>
      <c r="L191" s="124"/>
      <c r="M191" s="124"/>
      <c r="N191" s="124"/>
      <c r="O191" s="124"/>
      <c r="P191" s="18"/>
      <c r="Q191" s="18"/>
    </row>
    <row r="192" spans="2:17" ht="18">
      <c r="B192" s="103" t="s">
        <v>676</v>
      </c>
      <c r="C192" s="98" t="s">
        <v>752</v>
      </c>
      <c r="D192" s="47" t="s">
        <v>93</v>
      </c>
      <c r="E192" s="261">
        <v>47.848961023862699</v>
      </c>
      <c r="F192" s="263">
        <v>-65.893512298149503</v>
      </c>
      <c r="G192" s="47" t="s">
        <v>598</v>
      </c>
      <c r="H192" s="47"/>
      <c r="I192" s="68"/>
      <c r="J192" s="68"/>
      <c r="K192" s="124"/>
      <c r="L192" s="124"/>
      <c r="M192" s="124"/>
      <c r="N192" s="124"/>
      <c r="O192" s="124"/>
      <c r="P192" s="18"/>
      <c r="Q192" s="18"/>
    </row>
    <row r="193" spans="2:17" ht="18">
      <c r="B193" s="103" t="s">
        <v>677</v>
      </c>
      <c r="C193" s="98" t="s">
        <v>729</v>
      </c>
      <c r="D193" s="47" t="s">
        <v>93</v>
      </c>
      <c r="E193" s="261">
        <v>45.8362950920515</v>
      </c>
      <c r="F193" s="263">
        <v>-67.172267302475404</v>
      </c>
      <c r="G193" s="47" t="s">
        <v>598</v>
      </c>
      <c r="H193" s="47"/>
      <c r="I193" s="68"/>
      <c r="J193" s="68"/>
      <c r="K193" s="124"/>
      <c r="L193" s="124"/>
      <c r="M193" s="124"/>
      <c r="N193" s="124"/>
      <c r="O193" s="124"/>
      <c r="P193" s="18"/>
      <c r="Q193" s="18"/>
    </row>
    <row r="194" spans="2:17" ht="18">
      <c r="B194" s="103" t="s">
        <v>696</v>
      </c>
      <c r="C194" s="98" t="s">
        <v>732</v>
      </c>
      <c r="D194" s="47" t="s">
        <v>93</v>
      </c>
      <c r="E194" s="261">
        <v>47.9834340534887</v>
      </c>
      <c r="F194" s="263">
        <v>-66.726324271999303</v>
      </c>
      <c r="G194" s="47" t="s">
        <v>598</v>
      </c>
      <c r="H194" s="47"/>
      <c r="I194" s="68"/>
      <c r="J194" s="68"/>
      <c r="K194" s="124"/>
      <c r="L194" s="124"/>
      <c r="M194" s="124"/>
      <c r="N194" s="124"/>
      <c r="O194" s="124"/>
      <c r="P194" s="18"/>
      <c r="Q194" s="18"/>
    </row>
    <row r="195" spans="2:17" ht="18">
      <c r="B195" s="103" t="s">
        <v>674</v>
      </c>
      <c r="C195" s="98" t="s">
        <v>700</v>
      </c>
      <c r="D195" s="47" t="s">
        <v>93</v>
      </c>
      <c r="E195" s="261">
        <v>46.840351016369098</v>
      </c>
      <c r="F195" s="263">
        <v>-67.702732483303294</v>
      </c>
      <c r="G195" s="47" t="s">
        <v>598</v>
      </c>
      <c r="H195" s="47"/>
      <c r="I195" s="68"/>
      <c r="J195" s="68"/>
      <c r="K195" s="124"/>
      <c r="L195" s="124"/>
      <c r="M195" s="124"/>
      <c r="N195" s="124"/>
      <c r="O195" s="124"/>
      <c r="P195" s="18"/>
      <c r="Q195" s="18"/>
    </row>
    <row r="196" spans="2:17" ht="18">
      <c r="B196" s="103" t="s">
        <v>672</v>
      </c>
      <c r="C196" s="98" t="s">
        <v>725</v>
      </c>
      <c r="D196" s="47" t="s">
        <v>93</v>
      </c>
      <c r="E196" s="261">
        <v>46.7094399799673</v>
      </c>
      <c r="F196" s="263">
        <v>-65.741049650632306</v>
      </c>
      <c r="G196" s="47" t="s">
        <v>598</v>
      </c>
      <c r="H196" s="47"/>
      <c r="I196" s="68"/>
      <c r="J196" s="68"/>
      <c r="K196" s="124"/>
      <c r="L196" s="124"/>
      <c r="M196" s="124"/>
      <c r="N196" s="124"/>
      <c r="O196" s="124"/>
      <c r="P196" s="18"/>
      <c r="Q196" s="18"/>
    </row>
    <row r="197" spans="2:17" ht="18">
      <c r="B197" s="103" t="s">
        <v>687</v>
      </c>
      <c r="C197" s="98" t="s">
        <v>746</v>
      </c>
      <c r="D197" s="47" t="s">
        <v>93</v>
      </c>
      <c r="E197" s="261">
        <v>47.045539908781898</v>
      </c>
      <c r="F197" s="263">
        <v>-67.732618508685903</v>
      </c>
      <c r="G197" s="47" t="s">
        <v>598</v>
      </c>
      <c r="H197" s="47"/>
      <c r="I197" s="68"/>
      <c r="J197" s="68"/>
      <c r="K197" s="124"/>
      <c r="L197" s="124"/>
      <c r="M197" s="124"/>
      <c r="N197" s="124"/>
      <c r="O197" s="124"/>
      <c r="P197" s="18"/>
      <c r="Q197" s="18"/>
    </row>
    <row r="198" spans="2:17" ht="18">
      <c r="B198" s="103" t="s">
        <v>684</v>
      </c>
      <c r="C198" s="98" t="s">
        <v>721</v>
      </c>
      <c r="D198" s="47" t="s">
        <v>93</v>
      </c>
      <c r="E198" s="261">
        <v>45.415969003065399</v>
      </c>
      <c r="F198" s="261">
        <v>-65.905125604457794</v>
      </c>
      <c r="G198" s="47" t="s">
        <v>598</v>
      </c>
      <c r="H198" s="47"/>
      <c r="I198" s="68"/>
      <c r="J198" s="68"/>
      <c r="K198" s="124"/>
      <c r="L198" s="124"/>
      <c r="M198" s="124"/>
      <c r="N198" s="124"/>
      <c r="O198" s="124"/>
      <c r="P198" s="18"/>
      <c r="Q198" s="18"/>
    </row>
    <row r="199" spans="2:17" ht="18">
      <c r="B199" s="103" t="s">
        <v>669</v>
      </c>
      <c r="C199" s="98" t="s">
        <v>720</v>
      </c>
      <c r="D199" s="47" t="s">
        <v>93</v>
      </c>
      <c r="E199" s="261">
        <v>45.855827080536898</v>
      </c>
      <c r="F199" s="263">
        <v>-66.624409594500406</v>
      </c>
      <c r="G199" s="47" t="s">
        <v>598</v>
      </c>
      <c r="H199" s="47"/>
      <c r="I199" s="68"/>
      <c r="J199" s="68"/>
      <c r="K199" s="124"/>
      <c r="L199" s="124"/>
      <c r="M199" s="124"/>
      <c r="N199" s="124"/>
      <c r="O199" s="124"/>
      <c r="P199" s="18"/>
      <c r="Q199" s="18"/>
    </row>
    <row r="200" spans="2:17" ht="18">
      <c r="B200" s="103" t="s">
        <v>673</v>
      </c>
      <c r="C200" s="98" t="s">
        <v>760</v>
      </c>
      <c r="D200" s="47" t="s">
        <v>93</v>
      </c>
      <c r="E200" s="261">
        <v>46.037239621616102</v>
      </c>
      <c r="F200" s="263">
        <v>-64.788604053373305</v>
      </c>
      <c r="G200" s="47" t="s">
        <v>598</v>
      </c>
      <c r="H200" s="47"/>
      <c r="I200" s="68"/>
      <c r="J200" s="68"/>
      <c r="K200" s="124"/>
      <c r="L200" s="124"/>
      <c r="M200" s="124"/>
      <c r="N200" s="124"/>
      <c r="O200" s="124"/>
      <c r="P200" s="18"/>
      <c r="Q200" s="18"/>
    </row>
    <row r="201" spans="2:17" ht="18">
      <c r="B201" s="103" t="s">
        <v>678</v>
      </c>
      <c r="C201" s="98" t="s">
        <v>763</v>
      </c>
      <c r="D201" s="47" t="s">
        <v>93</v>
      </c>
      <c r="E201" s="261">
        <v>46.130318394835399</v>
      </c>
      <c r="F201" s="263">
        <v>-67.1112748468679</v>
      </c>
      <c r="G201" s="47" t="s">
        <v>598</v>
      </c>
      <c r="H201" s="47"/>
      <c r="I201" s="68"/>
      <c r="J201" s="68"/>
      <c r="K201" s="124"/>
      <c r="L201" s="124"/>
      <c r="M201" s="124"/>
      <c r="N201" s="124"/>
      <c r="O201" s="124"/>
      <c r="P201" s="18"/>
      <c r="Q201" s="18"/>
    </row>
    <row r="202" spans="2:17" ht="18">
      <c r="B202" s="103" t="s">
        <v>683</v>
      </c>
      <c r="C202" s="98" t="s">
        <v>715</v>
      </c>
      <c r="D202" s="47" t="s">
        <v>93</v>
      </c>
      <c r="E202" s="261">
        <v>45.502604277361797</v>
      </c>
      <c r="F202" s="261">
        <v>-65.8099809084475</v>
      </c>
      <c r="G202" s="47" t="s">
        <v>598</v>
      </c>
      <c r="H202" s="47"/>
      <c r="I202" s="68"/>
      <c r="J202" s="68"/>
      <c r="K202" s="124"/>
      <c r="L202" s="124"/>
      <c r="M202" s="124"/>
      <c r="N202" s="124"/>
      <c r="O202" s="124"/>
      <c r="P202" s="18"/>
      <c r="Q202" s="18"/>
    </row>
    <row r="203" spans="2:17" ht="18">
      <c r="B203" s="103" t="s">
        <v>671</v>
      </c>
      <c r="C203" s="98" t="s">
        <v>737</v>
      </c>
      <c r="D203" s="47" t="s">
        <v>93</v>
      </c>
      <c r="E203" s="261">
        <v>45.907429918174003</v>
      </c>
      <c r="F203" s="263">
        <v>-66.612127399568905</v>
      </c>
      <c r="G203" s="47" t="s">
        <v>598</v>
      </c>
      <c r="H203" s="47"/>
      <c r="I203" s="68"/>
      <c r="J203" s="68"/>
      <c r="K203" s="124"/>
      <c r="L203" s="124"/>
      <c r="M203" s="124"/>
      <c r="N203" s="124"/>
      <c r="O203" s="124"/>
      <c r="P203" s="18"/>
      <c r="Q203" s="18"/>
    </row>
    <row r="204" spans="2:17" ht="18">
      <c r="B204" s="103" t="s">
        <v>688</v>
      </c>
      <c r="C204" s="98" t="s">
        <v>761</v>
      </c>
      <c r="D204" s="47" t="s">
        <v>93</v>
      </c>
      <c r="E204" s="261">
        <v>45.765008334663797</v>
      </c>
      <c r="F204" s="261">
        <v>-65.471509922892906</v>
      </c>
      <c r="G204" s="47" t="s">
        <v>598</v>
      </c>
      <c r="H204" s="47"/>
      <c r="I204" s="68"/>
      <c r="J204" s="68"/>
      <c r="K204" s="124"/>
      <c r="L204" s="124"/>
      <c r="M204" s="124"/>
      <c r="N204" s="124"/>
      <c r="O204" s="124"/>
      <c r="P204" s="18"/>
      <c r="Q204" s="18"/>
    </row>
    <row r="205" spans="2:17" ht="18">
      <c r="B205" s="103" t="s">
        <v>681</v>
      </c>
      <c r="C205" s="98" t="s">
        <v>716</v>
      </c>
      <c r="D205" s="47" t="s">
        <v>93</v>
      </c>
      <c r="E205" s="261">
        <v>45.611752251172</v>
      </c>
      <c r="F205" s="263">
        <v>-65.715252007270706</v>
      </c>
      <c r="G205" s="47" t="s">
        <v>598</v>
      </c>
      <c r="H205" s="47"/>
      <c r="I205" s="68"/>
      <c r="J205" s="68"/>
      <c r="K205" s="124"/>
      <c r="L205" s="124"/>
      <c r="M205" s="124"/>
      <c r="N205" s="124"/>
      <c r="O205" s="124"/>
      <c r="P205" s="18"/>
      <c r="Q205" s="18"/>
    </row>
    <row r="206" spans="2:17" ht="18">
      <c r="B206" s="103" t="s">
        <v>1153</v>
      </c>
      <c r="C206" s="98" t="s">
        <v>1154</v>
      </c>
      <c r="D206" s="47" t="s">
        <v>93</v>
      </c>
      <c r="E206" s="261">
        <v>46.136042453943801</v>
      </c>
      <c r="F206" s="263">
        <v>-64.747777559594098</v>
      </c>
      <c r="G206" s="47" t="s">
        <v>598</v>
      </c>
      <c r="H206" s="47"/>
      <c r="I206" s="68"/>
      <c r="J206" s="68"/>
      <c r="K206" s="124"/>
      <c r="L206" s="124"/>
      <c r="M206" s="124"/>
      <c r="N206" s="124"/>
      <c r="O206" s="124"/>
      <c r="P206" s="18"/>
      <c r="Q206" s="18"/>
    </row>
    <row r="207" spans="2:17" ht="18">
      <c r="B207" s="103" t="s">
        <v>689</v>
      </c>
      <c r="C207" s="98" t="s">
        <v>718</v>
      </c>
      <c r="D207" s="47" t="s">
        <v>93</v>
      </c>
      <c r="E207" s="261">
        <v>45.769886502804397</v>
      </c>
      <c r="F207" s="261">
        <v>-65.439066588054501</v>
      </c>
      <c r="G207" s="47" t="s">
        <v>598</v>
      </c>
      <c r="H207" s="47"/>
      <c r="I207" s="68"/>
      <c r="J207" s="68"/>
      <c r="K207" s="124"/>
      <c r="L207" s="124"/>
      <c r="M207" s="124"/>
      <c r="N207" s="124"/>
      <c r="O207" s="124"/>
      <c r="P207" s="18"/>
      <c r="Q207" s="18"/>
    </row>
    <row r="208" spans="2:17" ht="18">
      <c r="B208" s="103" t="s">
        <v>685</v>
      </c>
      <c r="C208" s="98" t="s">
        <v>727</v>
      </c>
      <c r="D208" s="47" t="s">
        <v>93</v>
      </c>
      <c r="E208" s="261">
        <v>45.374772766325698</v>
      </c>
      <c r="F208" s="261">
        <v>-65.954220367748405</v>
      </c>
      <c r="G208" s="47" t="s">
        <v>598</v>
      </c>
      <c r="H208" s="47"/>
      <c r="I208" s="68"/>
      <c r="J208" s="68"/>
      <c r="K208" s="124"/>
      <c r="L208" s="124"/>
      <c r="M208" s="124"/>
      <c r="N208" s="124"/>
      <c r="O208" s="124"/>
      <c r="P208" s="18"/>
      <c r="Q208" s="18"/>
    </row>
    <row r="209" spans="2:17" ht="18">
      <c r="B209" s="103" t="s">
        <v>686</v>
      </c>
      <c r="C209" s="98" t="s">
        <v>759</v>
      </c>
      <c r="D209" s="47" t="s">
        <v>93</v>
      </c>
      <c r="E209" s="261">
        <v>46.109825142521103</v>
      </c>
      <c r="F209" s="263">
        <v>-64.720170030653193</v>
      </c>
      <c r="G209" s="47" t="s">
        <v>598</v>
      </c>
      <c r="H209" s="47"/>
      <c r="I209" s="68"/>
      <c r="J209" s="68"/>
      <c r="K209" s="124"/>
      <c r="L209" s="124"/>
      <c r="M209" s="124"/>
      <c r="N209" s="124"/>
      <c r="O209" s="124"/>
      <c r="P209" s="18"/>
      <c r="Q209" s="18"/>
    </row>
    <row r="210" spans="2:17" ht="18">
      <c r="B210" s="103" t="s">
        <v>675</v>
      </c>
      <c r="C210" s="98" t="s">
        <v>741</v>
      </c>
      <c r="D210" s="47" t="s">
        <v>93</v>
      </c>
      <c r="E210" s="261">
        <v>45.983199406044797</v>
      </c>
      <c r="F210" s="263">
        <v>-66.620716916363705</v>
      </c>
      <c r="G210" s="47" t="s">
        <v>598</v>
      </c>
      <c r="H210" s="47"/>
      <c r="I210" s="68"/>
      <c r="J210" s="68"/>
      <c r="K210" s="124"/>
      <c r="L210" s="124"/>
      <c r="M210" s="124"/>
      <c r="N210" s="124"/>
      <c r="O210" s="124"/>
      <c r="P210" s="18"/>
      <c r="Q210" s="18"/>
    </row>
    <row r="211" spans="2:17" ht="18">
      <c r="B211" s="103" t="s">
        <v>680</v>
      </c>
      <c r="C211" s="98" t="s">
        <v>734</v>
      </c>
      <c r="D211" s="47" t="s">
        <v>93</v>
      </c>
      <c r="E211" s="261">
        <v>47.489863938654302</v>
      </c>
      <c r="F211" s="263">
        <v>-65.907613370462599</v>
      </c>
      <c r="G211" s="47" t="s">
        <v>598</v>
      </c>
      <c r="H211" s="47"/>
      <c r="I211" s="68"/>
      <c r="J211" s="68"/>
      <c r="K211" s="124"/>
      <c r="L211" s="124"/>
      <c r="M211" s="124"/>
      <c r="N211" s="124"/>
      <c r="O211" s="124"/>
      <c r="P211" s="18"/>
      <c r="Q211" s="18"/>
    </row>
    <row r="212" spans="2:17" ht="18">
      <c r="B212" s="103" t="s">
        <v>670</v>
      </c>
      <c r="C212" s="98" t="s">
        <v>717</v>
      </c>
      <c r="D212" s="47" t="s">
        <v>93</v>
      </c>
      <c r="E212" s="261">
        <v>45.856182004476501</v>
      </c>
      <c r="F212" s="263">
        <v>-66.624671379648106</v>
      </c>
      <c r="G212" s="47" t="s">
        <v>598</v>
      </c>
      <c r="H212" s="47"/>
      <c r="I212" s="68"/>
      <c r="J212" s="68"/>
      <c r="K212" s="124"/>
      <c r="L212" s="124"/>
      <c r="M212" s="124"/>
      <c r="N212" s="124"/>
      <c r="O212" s="124"/>
      <c r="P212" s="18"/>
      <c r="Q212" s="18"/>
    </row>
    <row r="213" spans="2:17" ht="18">
      <c r="B213" s="103" t="s">
        <v>679</v>
      </c>
      <c r="C213" s="98" t="s">
        <v>764</v>
      </c>
      <c r="D213" s="47" t="s">
        <v>93</v>
      </c>
      <c r="E213" s="261">
        <v>46.310177363951297</v>
      </c>
      <c r="F213" s="263">
        <v>-67.366610826571801</v>
      </c>
      <c r="G213" s="47" t="s">
        <v>598</v>
      </c>
      <c r="H213" s="47"/>
      <c r="I213" s="68"/>
      <c r="J213" s="68"/>
      <c r="K213" s="124"/>
      <c r="L213" s="124"/>
      <c r="M213" s="124"/>
      <c r="N213" s="124"/>
      <c r="O213" s="124"/>
      <c r="P213" s="18"/>
      <c r="Q213" s="18"/>
    </row>
    <row r="214" spans="2:17" ht="18">
      <c r="B214" s="103" t="s">
        <v>690</v>
      </c>
      <c r="C214" s="98" t="s">
        <v>719</v>
      </c>
      <c r="D214" s="47" t="s">
        <v>93</v>
      </c>
      <c r="E214" s="261">
        <v>45.376103567995898</v>
      </c>
      <c r="F214" s="261">
        <v>-65.953037923969703</v>
      </c>
      <c r="G214" s="47" t="s">
        <v>598</v>
      </c>
      <c r="H214" s="47"/>
      <c r="I214" s="68"/>
      <c r="J214" s="68"/>
      <c r="K214" s="124"/>
      <c r="L214" s="124"/>
      <c r="M214" s="124"/>
      <c r="N214" s="124"/>
      <c r="O214" s="124"/>
      <c r="P214" s="18"/>
      <c r="Q214" s="18"/>
    </row>
    <row r="215" spans="2:17" ht="18">
      <c r="B215" s="103" t="s">
        <v>993</v>
      </c>
      <c r="C215" s="47" t="s">
        <v>1289</v>
      </c>
      <c r="D215" s="47" t="s">
        <v>93</v>
      </c>
      <c r="E215" s="261">
        <v>46.545688028844502</v>
      </c>
      <c r="F215" s="263">
        <v>-67.221260123049603</v>
      </c>
      <c r="G215" s="47" t="s">
        <v>598</v>
      </c>
      <c r="H215" s="47"/>
      <c r="I215" s="68"/>
      <c r="J215" s="68"/>
      <c r="K215" s="124"/>
      <c r="L215" s="124"/>
      <c r="M215" s="124"/>
      <c r="N215" s="124"/>
      <c r="O215" s="124"/>
      <c r="P215" s="18"/>
      <c r="Q215" s="18"/>
    </row>
    <row r="216" spans="2:17" ht="18">
      <c r="B216" s="103" t="s">
        <v>1036</v>
      </c>
      <c r="C216" s="47" t="s">
        <v>1290</v>
      </c>
      <c r="D216" s="47" t="s">
        <v>93</v>
      </c>
      <c r="E216" s="261">
        <v>47.653333416046301</v>
      </c>
      <c r="F216" s="263">
        <v>-67.342906292421901</v>
      </c>
      <c r="G216" s="47" t="s">
        <v>598</v>
      </c>
      <c r="H216" s="47"/>
      <c r="I216" s="68"/>
      <c r="J216" s="68"/>
      <c r="K216" s="124"/>
      <c r="L216" s="124"/>
      <c r="M216" s="124"/>
      <c r="N216" s="124"/>
      <c r="O216" s="124"/>
      <c r="P216" s="18"/>
      <c r="Q216" s="18"/>
    </row>
    <row r="217" spans="2:17" ht="18">
      <c r="B217" s="99" t="s">
        <v>370</v>
      </c>
      <c r="C217" s="47" t="s">
        <v>1382</v>
      </c>
      <c r="D217" s="47" t="s">
        <v>93</v>
      </c>
      <c r="E217" s="261">
        <v>45.8193591</v>
      </c>
      <c r="F217" s="263">
        <v>-64.889430899999994</v>
      </c>
      <c r="G217" s="47" t="s">
        <v>598</v>
      </c>
      <c r="H217" s="47"/>
      <c r="I217" s="68"/>
      <c r="J217" s="68"/>
      <c r="K217" s="124"/>
      <c r="L217" s="124"/>
      <c r="M217" s="124"/>
      <c r="N217" s="124"/>
      <c r="O217" s="124"/>
      <c r="P217" s="18"/>
      <c r="Q217" s="18"/>
    </row>
    <row r="218" spans="2:17" ht="18">
      <c r="B218" s="103" t="s">
        <v>1029</v>
      </c>
      <c r="C218" s="47" t="s">
        <v>1291</v>
      </c>
      <c r="D218" s="47" t="s">
        <v>93</v>
      </c>
      <c r="E218" s="261">
        <v>45.963227999580198</v>
      </c>
      <c r="F218" s="263">
        <v>-66.865309102909293</v>
      </c>
      <c r="G218" s="47" t="s">
        <v>598</v>
      </c>
      <c r="H218" s="47"/>
      <c r="I218" s="68"/>
      <c r="J218" s="68"/>
      <c r="K218" s="124"/>
      <c r="L218" s="124"/>
      <c r="M218" s="124"/>
      <c r="N218" s="124"/>
      <c r="O218" s="124"/>
      <c r="P218" s="18"/>
      <c r="Q218" s="18"/>
    </row>
    <row r="219" spans="2:17" ht="18">
      <c r="B219" s="103" t="s">
        <v>1126</v>
      </c>
      <c r="C219" s="47" t="s">
        <v>1415</v>
      </c>
      <c r="D219" s="47" t="s">
        <v>93</v>
      </c>
      <c r="E219" s="261">
        <v>46.057187728016402</v>
      </c>
      <c r="F219" s="261">
        <v>-66.849350330866997</v>
      </c>
      <c r="G219" s="47" t="s">
        <v>598</v>
      </c>
      <c r="H219" s="47"/>
      <c r="I219" s="68"/>
      <c r="J219" s="68"/>
      <c r="K219" s="124"/>
      <c r="L219" s="124"/>
      <c r="M219" s="124"/>
      <c r="N219" s="124"/>
      <c r="O219" s="124"/>
      <c r="P219" s="18"/>
      <c r="Q219" s="18"/>
    </row>
    <row r="220" spans="2:17" ht="18">
      <c r="B220" s="103" t="s">
        <v>1108</v>
      </c>
      <c r="C220" s="47" t="s">
        <v>1292</v>
      </c>
      <c r="D220" s="47" t="s">
        <v>93</v>
      </c>
      <c r="E220" s="261">
        <v>45.9368318461919</v>
      </c>
      <c r="F220" s="263">
        <v>-66.758155103017799</v>
      </c>
      <c r="G220" s="47" t="s">
        <v>598</v>
      </c>
      <c r="H220" s="47"/>
      <c r="I220" s="68"/>
      <c r="J220" s="68"/>
      <c r="K220" s="124"/>
      <c r="L220" s="124"/>
      <c r="M220" s="124"/>
      <c r="N220" s="124"/>
      <c r="O220" s="124"/>
      <c r="P220" s="18"/>
      <c r="Q220" s="18"/>
    </row>
    <row r="221" spans="2:17" ht="18">
      <c r="B221" s="103" t="s">
        <v>1083</v>
      </c>
      <c r="C221" s="47" t="s">
        <v>1293</v>
      </c>
      <c r="D221" s="47" t="s">
        <v>93</v>
      </c>
      <c r="E221" s="261">
        <v>45.848220162660198</v>
      </c>
      <c r="F221" s="263">
        <v>-67.034563083256799</v>
      </c>
      <c r="G221" s="47" t="s">
        <v>598</v>
      </c>
      <c r="H221" s="47"/>
      <c r="I221" s="68"/>
      <c r="J221" s="68"/>
      <c r="K221" s="124"/>
      <c r="L221" s="124"/>
      <c r="M221" s="124"/>
      <c r="N221" s="124"/>
      <c r="O221" s="124"/>
      <c r="P221" s="18"/>
      <c r="Q221" s="18"/>
    </row>
    <row r="222" spans="2:17" ht="18">
      <c r="B222" s="103" t="s">
        <v>1067</v>
      </c>
      <c r="C222" s="47" t="s">
        <v>1444</v>
      </c>
      <c r="D222" s="47" t="s">
        <v>93</v>
      </c>
      <c r="E222" s="261">
        <v>45.158033242679899</v>
      </c>
      <c r="F222" s="263">
        <v>-66.770441821836201</v>
      </c>
      <c r="G222" s="47" t="s">
        <v>598</v>
      </c>
      <c r="H222" s="47"/>
      <c r="I222" s="68"/>
      <c r="J222" s="68"/>
      <c r="K222" s="124"/>
      <c r="L222" s="124"/>
      <c r="M222" s="124"/>
      <c r="N222" s="124"/>
      <c r="O222" s="124"/>
      <c r="P222" s="18"/>
      <c r="Q222" s="18"/>
    </row>
    <row r="223" spans="2:17" ht="18">
      <c r="B223" s="103" t="s">
        <v>971</v>
      </c>
      <c r="C223" s="47" t="s">
        <v>1294</v>
      </c>
      <c r="D223" s="47" t="s">
        <v>93</v>
      </c>
      <c r="E223" s="261">
        <v>46.153860843266699</v>
      </c>
      <c r="F223" s="263">
        <v>-64.674816120327407</v>
      </c>
      <c r="G223" s="47" t="s">
        <v>598</v>
      </c>
      <c r="H223" s="47"/>
      <c r="I223" s="68"/>
      <c r="J223" s="68"/>
      <c r="K223" s="124"/>
      <c r="L223" s="124"/>
      <c r="M223" s="124"/>
      <c r="N223" s="124"/>
      <c r="O223" s="124"/>
      <c r="P223" s="18"/>
      <c r="Q223" s="18"/>
    </row>
    <row r="224" spans="2:17" ht="18">
      <c r="B224" s="103" t="s">
        <v>1020</v>
      </c>
      <c r="C224" s="47" t="s">
        <v>1295</v>
      </c>
      <c r="D224" s="47" t="s">
        <v>93</v>
      </c>
      <c r="E224" s="261">
        <v>45.300215205039699</v>
      </c>
      <c r="F224" s="263">
        <v>-65.991161094646102</v>
      </c>
      <c r="G224" s="47" t="s">
        <v>598</v>
      </c>
      <c r="H224" s="47"/>
      <c r="I224" s="68"/>
      <c r="J224" s="68"/>
      <c r="K224" s="124"/>
      <c r="L224" s="124"/>
      <c r="M224" s="124"/>
      <c r="N224" s="124"/>
      <c r="O224" s="124"/>
      <c r="P224" s="18"/>
      <c r="Q224" s="18"/>
    </row>
    <row r="225" spans="2:17" ht="18">
      <c r="B225" s="99" t="s">
        <v>371</v>
      </c>
      <c r="C225" s="47" t="s">
        <v>1383</v>
      </c>
      <c r="D225" s="47" t="s">
        <v>93</v>
      </c>
      <c r="E225" s="261">
        <v>47.849375700000003</v>
      </c>
      <c r="F225" s="263">
        <v>-64.618654399999997</v>
      </c>
      <c r="G225" s="47" t="s">
        <v>598</v>
      </c>
      <c r="H225" s="47"/>
      <c r="I225" s="68"/>
      <c r="J225" s="68"/>
      <c r="K225" s="124"/>
      <c r="L225" s="124"/>
      <c r="M225" s="124"/>
      <c r="N225" s="124"/>
      <c r="O225" s="124"/>
      <c r="P225" s="18"/>
      <c r="Q225" s="18"/>
    </row>
    <row r="226" spans="2:17" ht="18">
      <c r="B226" s="103" t="s">
        <v>952</v>
      </c>
      <c r="C226" s="47" t="s">
        <v>1296</v>
      </c>
      <c r="D226" s="47" t="s">
        <v>93</v>
      </c>
      <c r="E226" s="261">
        <v>47.835848109137402</v>
      </c>
      <c r="F226" s="263">
        <v>-64.613910101938302</v>
      </c>
      <c r="G226" s="47" t="s">
        <v>598</v>
      </c>
      <c r="H226" s="47"/>
      <c r="I226" s="68"/>
      <c r="J226" s="68"/>
      <c r="K226" s="124"/>
      <c r="L226" s="124"/>
      <c r="M226" s="124"/>
      <c r="N226" s="124"/>
      <c r="O226" s="124"/>
      <c r="P226" s="18"/>
      <c r="Q226" s="18"/>
    </row>
    <row r="227" spans="2:17" ht="18">
      <c r="B227" s="103" t="s">
        <v>1115</v>
      </c>
      <c r="C227" s="47" t="s">
        <v>1416</v>
      </c>
      <c r="D227" s="47" t="s">
        <v>93</v>
      </c>
      <c r="E227" s="261">
        <v>45.234761985218</v>
      </c>
      <c r="F227" s="261">
        <v>-66.136814176387503</v>
      </c>
      <c r="G227" s="47" t="s">
        <v>598</v>
      </c>
      <c r="H227" s="47"/>
      <c r="I227" s="68"/>
      <c r="J227" s="68"/>
      <c r="K227" s="124"/>
      <c r="L227" s="124"/>
      <c r="M227" s="124"/>
      <c r="N227" s="124"/>
      <c r="O227" s="124"/>
      <c r="P227" s="18"/>
      <c r="Q227" s="18"/>
    </row>
    <row r="228" spans="2:17" ht="18">
      <c r="B228" s="103" t="s">
        <v>1012</v>
      </c>
      <c r="C228" s="47" t="s">
        <v>1297</v>
      </c>
      <c r="D228" s="47" t="s">
        <v>93</v>
      </c>
      <c r="E228" s="261">
        <v>45.166002108090801</v>
      </c>
      <c r="F228" s="263">
        <v>-66.478917852801303</v>
      </c>
      <c r="G228" s="47" t="s">
        <v>598</v>
      </c>
      <c r="H228" s="47"/>
      <c r="I228" s="68"/>
      <c r="J228" s="68"/>
      <c r="K228" s="124"/>
      <c r="L228" s="124"/>
      <c r="M228" s="124"/>
      <c r="N228" s="124"/>
      <c r="O228" s="124"/>
      <c r="P228" s="18"/>
      <c r="Q228" s="18"/>
    </row>
    <row r="229" spans="2:17" ht="18">
      <c r="B229" s="103" t="s">
        <v>1107</v>
      </c>
      <c r="C229" s="47" t="s">
        <v>1298</v>
      </c>
      <c r="D229" s="47" t="s">
        <v>93</v>
      </c>
      <c r="E229" s="261">
        <v>45.339944268326697</v>
      </c>
      <c r="F229" s="263">
        <v>-65.875325220905395</v>
      </c>
      <c r="G229" s="47" t="s">
        <v>598</v>
      </c>
      <c r="H229" s="47"/>
      <c r="I229" s="68"/>
      <c r="J229" s="68"/>
      <c r="K229" s="124"/>
      <c r="L229" s="124"/>
      <c r="M229" s="124"/>
      <c r="N229" s="124"/>
      <c r="O229" s="124"/>
      <c r="P229" s="18"/>
      <c r="Q229" s="18"/>
    </row>
    <row r="230" spans="2:17" ht="18">
      <c r="B230" s="103" t="s">
        <v>1087</v>
      </c>
      <c r="C230" s="47" t="s">
        <v>1299</v>
      </c>
      <c r="D230" s="47" t="s">
        <v>93</v>
      </c>
      <c r="E230" s="261">
        <v>47.793637025672403</v>
      </c>
      <c r="F230" s="263">
        <v>-64.8266383857259</v>
      </c>
      <c r="G230" s="47" t="s">
        <v>598</v>
      </c>
      <c r="H230" s="47"/>
      <c r="I230" s="68"/>
      <c r="J230" s="68"/>
      <c r="K230" s="124"/>
      <c r="L230" s="124"/>
      <c r="M230" s="124"/>
      <c r="N230" s="124"/>
      <c r="O230" s="124"/>
      <c r="P230" s="18"/>
      <c r="Q230" s="18" t="s">
        <v>1157</v>
      </c>
    </row>
    <row r="231" spans="2:17" ht="18">
      <c r="B231" s="103" t="s">
        <v>949</v>
      </c>
      <c r="C231" s="47" t="s">
        <v>1300</v>
      </c>
      <c r="D231" s="47" t="s">
        <v>93</v>
      </c>
      <c r="E231" s="261">
        <v>46.1291079017832</v>
      </c>
      <c r="F231" s="263">
        <v>-64.886121289236897</v>
      </c>
      <c r="G231" s="47" t="s">
        <v>598</v>
      </c>
      <c r="H231" s="47"/>
      <c r="I231" s="68"/>
      <c r="J231" s="68"/>
      <c r="K231" s="124"/>
      <c r="L231" s="124"/>
      <c r="M231" s="124"/>
      <c r="N231" s="124"/>
      <c r="O231" s="124"/>
      <c r="P231" s="18"/>
      <c r="Q231" s="18"/>
    </row>
    <row r="232" spans="2:17" ht="18">
      <c r="B232" s="103" t="s">
        <v>297</v>
      </c>
      <c r="C232" s="47" t="s">
        <v>1384</v>
      </c>
      <c r="D232" s="47" t="s">
        <v>93</v>
      </c>
      <c r="E232" s="261">
        <v>45.955078700000001</v>
      </c>
      <c r="F232" s="263">
        <v>-66.866526300000004</v>
      </c>
      <c r="G232" s="47" t="s">
        <v>598</v>
      </c>
      <c r="H232" s="47"/>
      <c r="I232" s="68"/>
      <c r="J232" s="68"/>
      <c r="K232" s="124"/>
      <c r="L232" s="124"/>
      <c r="M232" s="124"/>
      <c r="N232" s="124"/>
      <c r="O232" s="124"/>
      <c r="P232" s="18"/>
      <c r="Q232" s="18"/>
    </row>
    <row r="233" spans="2:17" ht="18">
      <c r="B233" s="103" t="s">
        <v>985</v>
      </c>
      <c r="C233" s="47" t="s">
        <v>1301</v>
      </c>
      <c r="D233" s="47" t="s">
        <v>93</v>
      </c>
      <c r="E233" s="261">
        <v>45.235448700198702</v>
      </c>
      <c r="F233" s="261">
        <v>-66.137434574559094</v>
      </c>
      <c r="G233" s="47" t="s">
        <v>598</v>
      </c>
      <c r="H233" s="47"/>
      <c r="I233" s="68"/>
      <c r="J233" s="68"/>
      <c r="K233" s="124"/>
      <c r="L233" s="124"/>
      <c r="M233" s="124"/>
      <c r="N233" s="124"/>
      <c r="O233" s="124"/>
      <c r="P233" s="18"/>
      <c r="Q233" s="18"/>
    </row>
    <row r="234" spans="2:17" ht="18">
      <c r="B234" s="103" t="s">
        <v>1120</v>
      </c>
      <c r="C234" s="47" t="s">
        <v>1431</v>
      </c>
      <c r="D234" s="47" t="s">
        <v>93</v>
      </c>
      <c r="E234" s="261">
        <v>45.967046237652497</v>
      </c>
      <c r="F234" s="263">
        <v>-66.597047460388495</v>
      </c>
      <c r="G234" s="47" t="s">
        <v>598</v>
      </c>
      <c r="H234" s="47"/>
      <c r="I234" s="68"/>
      <c r="J234" s="68"/>
      <c r="K234" s="124"/>
      <c r="L234" s="124"/>
      <c r="M234" s="124"/>
      <c r="N234" s="124"/>
      <c r="O234" s="124"/>
      <c r="P234" s="18"/>
      <c r="Q234" s="18"/>
    </row>
    <row r="235" spans="2:17" ht="18">
      <c r="B235" s="103" t="s">
        <v>957</v>
      </c>
      <c r="C235" s="47" t="s">
        <v>1302</v>
      </c>
      <c r="D235" s="47" t="s">
        <v>93</v>
      </c>
      <c r="E235" s="261">
        <v>45.589502984255603</v>
      </c>
      <c r="F235" s="263">
        <v>-67.317855297703005</v>
      </c>
      <c r="G235" s="47" t="s">
        <v>598</v>
      </c>
      <c r="H235" s="47"/>
      <c r="I235" s="68"/>
      <c r="J235" s="68"/>
      <c r="K235" s="124"/>
      <c r="L235" s="124"/>
      <c r="M235" s="124"/>
      <c r="N235" s="124"/>
      <c r="O235" s="124"/>
      <c r="P235" s="18"/>
      <c r="Q235" s="18"/>
    </row>
    <row r="236" spans="2:17" ht="18">
      <c r="B236" s="103" t="s">
        <v>1004</v>
      </c>
      <c r="C236" s="47" t="s">
        <v>1303</v>
      </c>
      <c r="D236" s="47" t="s">
        <v>93</v>
      </c>
      <c r="E236" s="261">
        <v>47.064185355085002</v>
      </c>
      <c r="F236" s="263">
        <v>-67.777556515775004</v>
      </c>
      <c r="G236" s="47" t="s">
        <v>598</v>
      </c>
      <c r="H236" s="47"/>
      <c r="I236" s="68"/>
      <c r="J236" s="68"/>
      <c r="K236" s="124"/>
      <c r="L236" s="124"/>
      <c r="M236" s="124"/>
      <c r="N236" s="124"/>
      <c r="O236" s="124"/>
      <c r="P236" s="18"/>
      <c r="Q236" s="18"/>
    </row>
    <row r="237" spans="2:17" ht="18">
      <c r="B237" s="103" t="s">
        <v>1123</v>
      </c>
      <c r="C237" s="47" t="s">
        <v>1417</v>
      </c>
      <c r="D237" s="47" t="s">
        <v>93</v>
      </c>
      <c r="E237" s="261">
        <v>46.002114304585596</v>
      </c>
      <c r="F237" s="263">
        <v>-64.510648090256396</v>
      </c>
      <c r="G237" s="47" t="s">
        <v>598</v>
      </c>
      <c r="H237" s="47"/>
      <c r="I237" s="68"/>
      <c r="J237" s="68"/>
      <c r="K237" s="124"/>
      <c r="L237" s="124"/>
      <c r="M237" s="124"/>
      <c r="N237" s="124"/>
      <c r="O237" s="124"/>
      <c r="P237" s="18"/>
      <c r="Q237" s="18"/>
    </row>
    <row r="238" spans="2:17" ht="18">
      <c r="B238" s="103" t="s">
        <v>1047</v>
      </c>
      <c r="C238" s="47" t="s">
        <v>1304</v>
      </c>
      <c r="D238" s="47" t="s">
        <v>93</v>
      </c>
      <c r="E238" s="261">
        <v>45.588359945848303</v>
      </c>
      <c r="F238" s="263">
        <v>-67.315578930323497</v>
      </c>
      <c r="G238" s="47" t="s">
        <v>598</v>
      </c>
      <c r="H238" s="47"/>
      <c r="I238" s="68"/>
      <c r="J238" s="68"/>
      <c r="K238" s="124"/>
      <c r="L238" s="124"/>
      <c r="M238" s="124"/>
      <c r="N238" s="124"/>
      <c r="O238" s="124"/>
      <c r="P238" s="18"/>
      <c r="Q238" s="18"/>
    </row>
    <row r="239" spans="2:17" ht="18">
      <c r="B239" s="103" t="s">
        <v>229</v>
      </c>
      <c r="C239" s="47" t="s">
        <v>1385</v>
      </c>
      <c r="D239" s="47" t="s">
        <v>93</v>
      </c>
      <c r="E239" s="261">
        <v>47.071041000000001</v>
      </c>
      <c r="F239" s="263">
        <v>-65.454081000000002</v>
      </c>
      <c r="G239" s="47" t="s">
        <v>598</v>
      </c>
      <c r="H239" s="47"/>
      <c r="I239" s="68"/>
      <c r="J239" s="68"/>
      <c r="K239" s="124"/>
      <c r="L239" s="124"/>
      <c r="M239" s="124"/>
      <c r="N239" s="124"/>
      <c r="O239" s="124"/>
      <c r="P239" s="18"/>
      <c r="Q239" s="18"/>
    </row>
    <row r="240" spans="2:17" ht="18">
      <c r="B240" s="103" t="s">
        <v>987</v>
      </c>
      <c r="C240" s="47" t="s">
        <v>1305</v>
      </c>
      <c r="D240" s="47" t="s">
        <v>93</v>
      </c>
      <c r="E240" s="261">
        <v>45.289461509404198</v>
      </c>
      <c r="F240" s="263">
        <v>-66.095458644550703</v>
      </c>
      <c r="G240" s="47" t="s">
        <v>598</v>
      </c>
      <c r="H240" s="47"/>
      <c r="I240" s="68"/>
      <c r="J240" s="68"/>
      <c r="K240" s="124"/>
      <c r="L240" s="124"/>
      <c r="M240" s="124"/>
      <c r="N240" s="124"/>
      <c r="O240" s="124"/>
      <c r="P240" s="18"/>
      <c r="Q240" s="18"/>
    </row>
    <row r="241" spans="1:17" ht="18">
      <c r="B241" s="103" t="s">
        <v>368</v>
      </c>
      <c r="C241" s="47" t="s">
        <v>1386</v>
      </c>
      <c r="D241" s="47" t="s">
        <v>93</v>
      </c>
      <c r="E241" s="261">
        <v>45.1754848</v>
      </c>
      <c r="F241" s="263">
        <v>-67.292871399999996</v>
      </c>
      <c r="G241" s="47" t="s">
        <v>598</v>
      </c>
      <c r="H241" s="47"/>
      <c r="I241" s="68"/>
      <c r="J241" s="68"/>
      <c r="K241" s="124"/>
      <c r="L241" s="124"/>
      <c r="M241" s="124"/>
      <c r="N241" s="124"/>
      <c r="O241" s="124"/>
      <c r="P241" s="18"/>
      <c r="Q241" s="18" t="s">
        <v>1161</v>
      </c>
    </row>
    <row r="242" spans="1:17" ht="18">
      <c r="B242" s="103" t="s">
        <v>966</v>
      </c>
      <c r="C242" s="47" t="s">
        <v>1306</v>
      </c>
      <c r="D242" s="47" t="s">
        <v>93</v>
      </c>
      <c r="E242" s="261">
        <v>46.092537845877601</v>
      </c>
      <c r="F242" s="263">
        <v>-67.220440744482104</v>
      </c>
      <c r="G242" s="47" t="s">
        <v>598</v>
      </c>
      <c r="H242" s="47"/>
      <c r="I242" s="68"/>
      <c r="J242" s="68"/>
      <c r="K242" s="124"/>
      <c r="L242" s="124"/>
      <c r="M242" s="124"/>
      <c r="N242" s="124"/>
      <c r="O242" s="124"/>
      <c r="P242" s="18"/>
      <c r="Q242" s="18" t="s">
        <v>1161</v>
      </c>
    </row>
    <row r="243" spans="1:17" ht="18">
      <c r="B243" s="103" t="s">
        <v>1121</v>
      </c>
      <c r="C243" s="47" t="s">
        <v>1418</v>
      </c>
      <c r="D243" s="47" t="s">
        <v>93</v>
      </c>
      <c r="E243" s="261">
        <v>46.083551957588199</v>
      </c>
      <c r="F243" s="263">
        <v>-67.181898986878196</v>
      </c>
      <c r="G243" s="47" t="s">
        <v>598</v>
      </c>
      <c r="H243" s="47"/>
      <c r="I243" s="68"/>
      <c r="J243" s="68"/>
      <c r="K243" s="124"/>
      <c r="L243" s="124"/>
      <c r="M243" s="124"/>
      <c r="N243" s="124"/>
      <c r="O243" s="124"/>
      <c r="P243" s="18"/>
      <c r="Q243" s="18"/>
    </row>
    <row r="244" spans="1:17" ht="18">
      <c r="B244" s="103" t="s">
        <v>938</v>
      </c>
      <c r="C244" s="47" t="s">
        <v>1307</v>
      </c>
      <c r="D244" s="47" t="s">
        <v>93</v>
      </c>
      <c r="E244" s="261">
        <v>46.084436567425598</v>
      </c>
      <c r="F244" s="263">
        <v>-66.034140114876394</v>
      </c>
      <c r="G244" s="47" t="s">
        <v>598</v>
      </c>
      <c r="H244" s="47"/>
      <c r="I244" s="68"/>
      <c r="J244" s="68"/>
      <c r="K244" s="124"/>
      <c r="L244" s="124"/>
      <c r="M244" s="124"/>
      <c r="N244" s="124"/>
      <c r="O244" s="124"/>
      <c r="P244" s="18"/>
      <c r="Q244" s="18"/>
    </row>
    <row r="245" spans="1:17" ht="18">
      <c r="B245" s="103" t="s">
        <v>357</v>
      </c>
      <c r="C245" s="47" t="s">
        <v>1452</v>
      </c>
      <c r="D245" s="47" t="s">
        <v>93</v>
      </c>
      <c r="E245" s="261">
        <v>46.972231829927502</v>
      </c>
      <c r="F245" s="263">
        <v>-65.553862526170803</v>
      </c>
      <c r="G245" s="47" t="s">
        <v>598</v>
      </c>
      <c r="H245" s="47"/>
      <c r="I245" s="68"/>
      <c r="J245" s="68"/>
      <c r="K245" s="124"/>
      <c r="L245" s="124"/>
      <c r="M245" s="124"/>
      <c r="N245" s="124"/>
      <c r="O245" s="124"/>
      <c r="P245" s="18"/>
      <c r="Q245" s="18"/>
    </row>
    <row r="246" spans="1:17" ht="18">
      <c r="B246" s="103" t="s">
        <v>1118</v>
      </c>
      <c r="C246" s="47" t="s">
        <v>1419</v>
      </c>
      <c r="D246" s="47" t="s">
        <v>93</v>
      </c>
      <c r="E246" s="261">
        <v>46.094522141055101</v>
      </c>
      <c r="F246" s="263">
        <v>-64.845011223322103</v>
      </c>
      <c r="G246" s="47" t="s">
        <v>598</v>
      </c>
      <c r="H246" s="47"/>
      <c r="I246" s="68"/>
      <c r="J246" s="68"/>
      <c r="K246" s="124"/>
      <c r="L246" s="124"/>
      <c r="M246" s="124"/>
      <c r="N246" s="124"/>
      <c r="O246" s="124"/>
      <c r="P246" s="18"/>
      <c r="Q246" s="18"/>
    </row>
    <row r="247" spans="1:17" ht="18">
      <c r="B247" s="103" t="s">
        <v>1091</v>
      </c>
      <c r="C247" s="47" t="s">
        <v>1308</v>
      </c>
      <c r="D247" s="47" t="s">
        <v>93</v>
      </c>
      <c r="E247" s="261">
        <v>45.425517931462899</v>
      </c>
      <c r="F247" s="261">
        <v>-66.819540961310494</v>
      </c>
      <c r="G247" s="47" t="s">
        <v>598</v>
      </c>
      <c r="H247" s="47"/>
      <c r="I247" s="68"/>
      <c r="J247" s="68"/>
      <c r="K247" s="124"/>
      <c r="L247" s="124"/>
      <c r="M247" s="124"/>
      <c r="N247" s="124"/>
      <c r="O247" s="124"/>
      <c r="P247" s="18"/>
      <c r="Q247" s="18"/>
    </row>
    <row r="248" spans="1:17" ht="18">
      <c r="B248" s="103" t="s">
        <v>1127</v>
      </c>
      <c r="C248" s="47" t="s">
        <v>1420</v>
      </c>
      <c r="D248" s="47" t="s">
        <v>93</v>
      </c>
      <c r="E248" s="261">
        <v>46.166548786999797</v>
      </c>
      <c r="F248" s="263">
        <v>-63.956193514608898</v>
      </c>
      <c r="G248" s="47" t="s">
        <v>598</v>
      </c>
      <c r="H248" s="47"/>
      <c r="I248" s="68"/>
      <c r="J248" s="68"/>
      <c r="K248" s="124"/>
      <c r="L248" s="124"/>
      <c r="M248" s="124"/>
      <c r="N248" s="124"/>
      <c r="O248" s="124"/>
      <c r="P248" s="18"/>
      <c r="Q248" s="18"/>
    </row>
    <row r="249" spans="1:17" ht="18">
      <c r="B249" s="103" t="s">
        <v>1480</v>
      </c>
      <c r="C249" s="47" t="s">
        <v>1481</v>
      </c>
      <c r="D249" s="47" t="s">
        <v>93</v>
      </c>
      <c r="E249" s="261">
        <v>45.236881366012497</v>
      </c>
      <c r="F249" s="261">
        <v>-66.290587864811201</v>
      </c>
      <c r="G249" s="47" t="s">
        <v>598</v>
      </c>
      <c r="H249" s="47"/>
      <c r="I249" s="68"/>
      <c r="J249" s="68"/>
      <c r="K249" s="124"/>
      <c r="L249" s="124"/>
      <c r="M249" s="124"/>
      <c r="N249" s="124"/>
      <c r="O249" s="124"/>
      <c r="P249" s="18"/>
      <c r="Q249" s="18" t="s">
        <v>1161</v>
      </c>
    </row>
    <row r="250" spans="1:17" ht="18">
      <c r="B250" s="103" t="s">
        <v>959</v>
      </c>
      <c r="C250" s="47" t="s">
        <v>1309</v>
      </c>
      <c r="D250" s="47" t="s">
        <v>93</v>
      </c>
      <c r="E250" s="261">
        <v>45.996694336747403</v>
      </c>
      <c r="F250" s="263">
        <v>-67.248142715910205</v>
      </c>
      <c r="G250" s="47" t="s">
        <v>598</v>
      </c>
    </row>
    <row r="251" spans="1:17" ht="18">
      <c r="B251" s="103" t="s">
        <v>1015</v>
      </c>
      <c r="C251" s="47" t="s">
        <v>1310</v>
      </c>
      <c r="D251" s="47" t="s">
        <v>93</v>
      </c>
      <c r="E251" s="261">
        <v>45.994204496133797</v>
      </c>
      <c r="F251" s="263">
        <v>-66.649605820974799</v>
      </c>
      <c r="G251" s="47" t="s">
        <v>598</v>
      </c>
    </row>
    <row r="252" spans="1:17" ht="18">
      <c r="A252" s="69" t="s">
        <v>842</v>
      </c>
      <c r="B252" s="103" t="s">
        <v>1069</v>
      </c>
      <c r="C252" s="47" t="s">
        <v>1311</v>
      </c>
      <c r="D252" s="47" t="s">
        <v>93</v>
      </c>
      <c r="E252" s="261">
        <v>47.249010600052003</v>
      </c>
      <c r="F252" s="263">
        <v>-65.103983317829503</v>
      </c>
      <c r="G252" s="47" t="s">
        <v>598</v>
      </c>
      <c r="H252" s="230"/>
      <c r="I252" s="230"/>
      <c r="J252" s="229"/>
      <c r="M252" s="158"/>
      <c r="O252" s="229"/>
    </row>
    <row r="253" spans="1:17" ht="18">
      <c r="A253" s="2" t="s">
        <v>843</v>
      </c>
      <c r="B253" s="103" t="s">
        <v>942</v>
      </c>
      <c r="C253" s="47" t="s">
        <v>1312</v>
      </c>
      <c r="D253" s="47" t="s">
        <v>93</v>
      </c>
      <c r="E253" s="261">
        <v>46.996622049320898</v>
      </c>
      <c r="F253" s="263">
        <v>-65.547562615194806</v>
      </c>
      <c r="G253" s="47" t="s">
        <v>598</v>
      </c>
      <c r="H253" s="230"/>
      <c r="I253" s="230"/>
      <c r="J253" s="229"/>
      <c r="M253" s="158"/>
      <c r="O253" s="229"/>
    </row>
    <row r="254" spans="1:17" ht="18">
      <c r="A254" s="2" t="s">
        <v>844</v>
      </c>
      <c r="B254" s="103" t="s">
        <v>981</v>
      </c>
      <c r="C254" s="47" t="s">
        <v>1313</v>
      </c>
      <c r="D254" s="47" t="s">
        <v>93</v>
      </c>
      <c r="E254" s="261">
        <v>47.4055271</v>
      </c>
      <c r="F254" s="263">
        <v>-65.791821999999996</v>
      </c>
      <c r="G254" s="47" t="s">
        <v>598</v>
      </c>
      <c r="H254" s="230"/>
      <c r="I254" s="230"/>
      <c r="J254" s="229"/>
      <c r="M254" s="158"/>
      <c r="O254" s="229"/>
    </row>
    <row r="255" spans="1:17" ht="18">
      <c r="A255" s="2" t="s">
        <v>889</v>
      </c>
      <c r="B255" s="103" t="s">
        <v>976</v>
      </c>
      <c r="C255" s="47" t="s">
        <v>1314</v>
      </c>
      <c r="D255" s="47" t="s">
        <v>93</v>
      </c>
      <c r="E255" s="261">
        <v>47.000092419042197</v>
      </c>
      <c r="F255" s="263">
        <v>-67.611430588309105</v>
      </c>
      <c r="G255" s="47" t="s">
        <v>598</v>
      </c>
      <c r="H255" s="230"/>
      <c r="I255" s="230"/>
      <c r="J255" s="229"/>
      <c r="M255" s="158"/>
      <c r="O255" s="229"/>
    </row>
    <row r="256" spans="1:17" ht="18">
      <c r="A256" s="2" t="s">
        <v>890</v>
      </c>
      <c r="B256" s="103" t="s">
        <v>1111</v>
      </c>
      <c r="C256" s="47" t="s">
        <v>1315</v>
      </c>
      <c r="D256" s="47" t="s">
        <v>93</v>
      </c>
      <c r="E256" s="261">
        <v>45.885171750768201</v>
      </c>
      <c r="F256" s="263">
        <v>-66.686145131667899</v>
      </c>
      <c r="G256" s="47" t="s">
        <v>598</v>
      </c>
      <c r="H256" s="230"/>
      <c r="I256" s="230"/>
      <c r="J256" s="229"/>
      <c r="M256" s="158"/>
      <c r="O256" s="229"/>
    </row>
    <row r="257" spans="1:15" ht="18">
      <c r="A257" s="2" t="s">
        <v>846</v>
      </c>
      <c r="B257" s="103" t="s">
        <v>943</v>
      </c>
      <c r="C257" s="47" t="s">
        <v>1316</v>
      </c>
      <c r="D257" s="47" t="s">
        <v>93</v>
      </c>
      <c r="E257" s="261">
        <v>46.993479268319398</v>
      </c>
      <c r="F257" s="263">
        <v>-65.571957021753406</v>
      </c>
      <c r="G257" s="47" t="s">
        <v>598</v>
      </c>
      <c r="H257" s="230"/>
      <c r="I257" s="230"/>
      <c r="J257" s="229"/>
      <c r="M257" s="158"/>
      <c r="O257" s="229"/>
    </row>
    <row r="258" spans="1:15" ht="18">
      <c r="A258" s="2" t="s">
        <v>847</v>
      </c>
      <c r="B258" s="103" t="s">
        <v>1117</v>
      </c>
      <c r="C258" s="47" t="s">
        <v>1421</v>
      </c>
      <c r="D258" s="47" t="s">
        <v>93</v>
      </c>
      <c r="E258" s="261">
        <v>47.021262304556402</v>
      </c>
      <c r="F258" s="263">
        <v>-65.596270672833896</v>
      </c>
      <c r="G258" s="47" t="s">
        <v>598</v>
      </c>
      <c r="H258" s="230"/>
      <c r="I258" s="230"/>
      <c r="J258" s="229"/>
      <c r="M258" s="158"/>
      <c r="O258" s="229"/>
    </row>
    <row r="259" spans="1:15" ht="18">
      <c r="A259" s="2" t="s">
        <v>848</v>
      </c>
      <c r="B259" s="103" t="s">
        <v>1131</v>
      </c>
      <c r="C259" s="47" t="s">
        <v>1422</v>
      </c>
      <c r="D259" s="47" t="s">
        <v>93</v>
      </c>
      <c r="E259" s="261">
        <v>45.663981768364401</v>
      </c>
      <c r="F259" s="261">
        <v>-65.651189016601705</v>
      </c>
      <c r="G259" s="47" t="s">
        <v>598</v>
      </c>
      <c r="H259" s="230"/>
      <c r="I259" s="230"/>
      <c r="J259" s="229"/>
      <c r="M259" s="158"/>
      <c r="O259" s="229"/>
    </row>
    <row r="260" spans="1:15" ht="18">
      <c r="A260" s="2" t="s">
        <v>849</v>
      </c>
      <c r="B260" s="103" t="s">
        <v>1119</v>
      </c>
      <c r="C260" s="47" t="s">
        <v>1423</v>
      </c>
      <c r="D260" s="47" t="s">
        <v>93</v>
      </c>
      <c r="E260" s="261">
        <v>45.243326989410001</v>
      </c>
      <c r="F260" s="261">
        <v>-67.195670369945205</v>
      </c>
      <c r="G260" s="47" t="s">
        <v>598</v>
      </c>
      <c r="H260" s="230"/>
      <c r="I260" s="230"/>
      <c r="J260" s="229"/>
      <c r="M260" s="158"/>
      <c r="O260" s="229"/>
    </row>
    <row r="261" spans="1:15" ht="18">
      <c r="A261" s="2" t="s">
        <v>891</v>
      </c>
      <c r="B261" s="103" t="s">
        <v>1100</v>
      </c>
      <c r="C261" s="47" t="s">
        <v>1317</v>
      </c>
      <c r="D261" s="47" t="s">
        <v>93</v>
      </c>
      <c r="E261" s="261">
        <v>45.838485591484201</v>
      </c>
      <c r="F261" s="263">
        <v>-66.503656232012005</v>
      </c>
      <c r="G261" s="47" t="s">
        <v>598</v>
      </c>
      <c r="H261" s="230"/>
      <c r="I261" s="230"/>
      <c r="J261" s="229"/>
      <c r="M261" s="158"/>
      <c r="O261" s="229"/>
    </row>
    <row r="262" spans="1:15" ht="18">
      <c r="A262" s="2" t="s">
        <v>850</v>
      </c>
      <c r="B262" s="103" t="s">
        <v>1139</v>
      </c>
      <c r="C262" s="47" t="s">
        <v>1424</v>
      </c>
      <c r="D262" s="47" t="s">
        <v>93</v>
      </c>
      <c r="E262" s="261">
        <v>46.950685196394403</v>
      </c>
      <c r="F262" s="263">
        <v>-67.709286586966201</v>
      </c>
      <c r="G262" s="47" t="s">
        <v>598</v>
      </c>
      <c r="H262" s="230"/>
      <c r="I262" s="230"/>
      <c r="J262" s="229"/>
      <c r="M262" s="158"/>
      <c r="O262" s="229"/>
    </row>
    <row r="263" spans="1:15" ht="18">
      <c r="A263" s="2" t="s">
        <v>892</v>
      </c>
      <c r="B263" s="103" t="s">
        <v>1013</v>
      </c>
      <c r="C263" s="47" t="s">
        <v>1318</v>
      </c>
      <c r="D263" s="47" t="s">
        <v>93</v>
      </c>
      <c r="E263" s="261">
        <v>45.107912367587097</v>
      </c>
      <c r="F263" s="263">
        <v>-66.740608733167704</v>
      </c>
      <c r="G263" s="47" t="s">
        <v>598</v>
      </c>
      <c r="H263" s="230"/>
      <c r="I263" s="230"/>
      <c r="J263" s="229"/>
      <c r="M263" s="158"/>
      <c r="O263" s="229"/>
    </row>
    <row r="264" spans="1:15" ht="18">
      <c r="A264" s="2" t="s">
        <v>851</v>
      </c>
      <c r="B264" s="103" t="s">
        <v>1124</v>
      </c>
      <c r="C264" s="47" t="s">
        <v>1425</v>
      </c>
      <c r="D264" s="47" t="s">
        <v>93</v>
      </c>
      <c r="E264" s="261">
        <v>45.109539772491097</v>
      </c>
      <c r="F264" s="263">
        <v>-66.743306212349395</v>
      </c>
      <c r="G264" s="47" t="s">
        <v>598</v>
      </c>
      <c r="H264" s="230"/>
      <c r="I264" s="230"/>
      <c r="J264" s="229"/>
      <c r="M264" s="158"/>
      <c r="O264" s="229"/>
    </row>
    <row r="265" spans="1:15" ht="18">
      <c r="A265" s="2" t="s">
        <v>852</v>
      </c>
      <c r="B265" s="103" t="s">
        <v>974</v>
      </c>
      <c r="C265" s="47" t="s">
        <v>1319</v>
      </c>
      <c r="D265" s="47" t="s">
        <v>93</v>
      </c>
      <c r="E265" s="261">
        <v>47.808294729375298</v>
      </c>
      <c r="F265" s="263">
        <v>-65.806284039292095</v>
      </c>
      <c r="G265" s="47" t="s">
        <v>598</v>
      </c>
      <c r="H265" s="230"/>
      <c r="I265" s="230"/>
      <c r="J265" s="229"/>
      <c r="M265" s="158"/>
      <c r="O265" s="229"/>
    </row>
    <row r="266" spans="1:15" ht="18">
      <c r="A266" s="2" t="s">
        <v>853</v>
      </c>
      <c r="B266" s="103" t="s">
        <v>931</v>
      </c>
      <c r="C266" s="47" t="s">
        <v>1320</v>
      </c>
      <c r="D266" s="47" t="s">
        <v>93</v>
      </c>
      <c r="E266" s="261">
        <v>45.925196311550302</v>
      </c>
      <c r="F266" s="263">
        <v>-65.150334735362406</v>
      </c>
      <c r="G266" s="47" t="s">
        <v>598</v>
      </c>
      <c r="H266" s="230"/>
      <c r="I266" s="230"/>
      <c r="J266" s="229"/>
      <c r="M266" s="158"/>
      <c r="O266" s="229"/>
    </row>
    <row r="267" spans="1:15" ht="18">
      <c r="B267" s="103" t="s">
        <v>977</v>
      </c>
      <c r="C267" s="47" t="s">
        <v>1321</v>
      </c>
      <c r="D267" s="47" t="s">
        <v>93</v>
      </c>
      <c r="E267" s="261">
        <v>46.921305397684499</v>
      </c>
      <c r="F267" s="263">
        <v>-67.398940401375199</v>
      </c>
      <c r="G267" s="47" t="s">
        <v>598</v>
      </c>
      <c r="H267" s="230"/>
      <c r="I267" s="230"/>
      <c r="J267" s="229"/>
      <c r="M267" s="158"/>
      <c r="O267" s="229"/>
    </row>
    <row r="268" spans="1:15" ht="18">
      <c r="A268" s="69" t="s">
        <v>550</v>
      </c>
      <c r="B268" s="103" t="s">
        <v>300</v>
      </c>
      <c r="C268" s="47" t="s">
        <v>1387</v>
      </c>
      <c r="D268" s="47" t="s">
        <v>93</v>
      </c>
      <c r="E268" s="261">
        <v>45.068688999999999</v>
      </c>
      <c r="F268" s="263">
        <v>-66.454336999999995</v>
      </c>
      <c r="G268" s="47" t="s">
        <v>598</v>
      </c>
      <c r="H268" s="230"/>
      <c r="I268" s="230"/>
      <c r="J268" s="229"/>
      <c r="M268" s="158"/>
      <c r="O268" s="229"/>
    </row>
    <row r="269" spans="1:15" ht="18">
      <c r="A269" s="2"/>
      <c r="B269" s="103" t="s">
        <v>1105</v>
      </c>
      <c r="C269" s="47" t="s">
        <v>1445</v>
      </c>
      <c r="D269" s="47" t="s">
        <v>93</v>
      </c>
      <c r="E269" s="261">
        <v>45.7523981994159</v>
      </c>
      <c r="F269" s="261">
        <v>-65.428258039654295</v>
      </c>
      <c r="G269" s="47" t="s">
        <v>598</v>
      </c>
      <c r="H269" s="230"/>
      <c r="I269" s="230"/>
      <c r="J269" s="229"/>
      <c r="M269" s="158"/>
      <c r="O269" s="229"/>
    </row>
    <row r="270" spans="1:15" ht="18">
      <c r="A270" s="2"/>
      <c r="B270" s="103" t="s">
        <v>1106</v>
      </c>
      <c r="C270" s="47" t="s">
        <v>1322</v>
      </c>
      <c r="D270" s="47" t="s">
        <v>93</v>
      </c>
      <c r="E270" s="261">
        <v>45.9378664401805</v>
      </c>
      <c r="F270" s="263">
        <v>-66.649803850743794</v>
      </c>
      <c r="G270" s="47" t="s">
        <v>598</v>
      </c>
      <c r="H270" s="230"/>
      <c r="I270" s="230"/>
      <c r="J270" s="229"/>
      <c r="M270" s="158"/>
      <c r="O270" s="229"/>
    </row>
    <row r="271" spans="1:15" ht="18">
      <c r="B271" s="103" t="s">
        <v>1028</v>
      </c>
      <c r="C271" s="47" t="s">
        <v>1323</v>
      </c>
      <c r="D271" s="47" t="s">
        <v>93</v>
      </c>
      <c r="E271" s="261">
        <v>45.945301491809303</v>
      </c>
      <c r="F271" s="263">
        <v>-66.700161534218694</v>
      </c>
      <c r="G271" s="47" t="s">
        <v>598</v>
      </c>
      <c r="H271" s="230"/>
      <c r="I271" s="230"/>
      <c r="J271" s="229"/>
      <c r="M271" s="158"/>
      <c r="O271" s="229"/>
    </row>
    <row r="272" spans="1:15" ht="18">
      <c r="A272" s="69" t="s">
        <v>545</v>
      </c>
      <c r="B272" s="103" t="s">
        <v>1001</v>
      </c>
      <c r="C272" s="47" t="s">
        <v>1324</v>
      </c>
      <c r="D272" s="47" t="s">
        <v>93</v>
      </c>
      <c r="E272" s="261">
        <v>45.255182718798103</v>
      </c>
      <c r="F272" s="261">
        <v>-66.092051426956999</v>
      </c>
      <c r="G272" s="47" t="s">
        <v>598</v>
      </c>
      <c r="L272" s="158"/>
      <c r="M272" s="158"/>
      <c r="N272" s="58"/>
    </row>
    <row r="273" spans="1:27" ht="18">
      <c r="A273" s="2" t="s">
        <v>811</v>
      </c>
      <c r="B273" s="103" t="s">
        <v>1077</v>
      </c>
      <c r="C273" s="47" t="s">
        <v>1325</v>
      </c>
      <c r="D273" s="47" t="s">
        <v>93</v>
      </c>
      <c r="E273" s="261">
        <v>46.9639499781212</v>
      </c>
      <c r="F273" s="263">
        <v>-65.745757143762702</v>
      </c>
      <c r="G273" s="47" t="s">
        <v>598</v>
      </c>
      <c r="H273" s="44"/>
      <c r="I273" s="29"/>
      <c r="J273" s="28"/>
      <c r="K273" s="28"/>
      <c r="L273" s="28"/>
      <c r="M273" s="28"/>
      <c r="N273" s="44"/>
      <c r="O273" s="28"/>
      <c r="P273" s="28"/>
      <c r="Q273" s="33"/>
      <c r="R273" s="33"/>
      <c r="T273" s="33"/>
      <c r="U273" s="28"/>
      <c r="V273" s="28"/>
      <c r="W273" s="33"/>
      <c r="X273" s="28"/>
      <c r="Y273" s="33"/>
      <c r="Z273" s="33"/>
      <c r="AA273" s="2"/>
    </row>
    <row r="274" spans="1:27" ht="18">
      <c r="A274" s="2" t="s">
        <v>887</v>
      </c>
      <c r="B274" s="103" t="s">
        <v>1021</v>
      </c>
      <c r="C274" s="47" t="s">
        <v>1326</v>
      </c>
      <c r="D274" s="47" t="s">
        <v>93</v>
      </c>
      <c r="E274" s="261">
        <v>46.633738359462498</v>
      </c>
      <c r="F274" s="263">
        <v>-64.874833885568506</v>
      </c>
      <c r="G274" s="47" t="s">
        <v>598</v>
      </c>
      <c r="H274" s="44"/>
      <c r="I274" s="29"/>
      <c r="J274" s="28"/>
      <c r="K274" s="28"/>
      <c r="L274" s="28"/>
      <c r="M274" s="28"/>
      <c r="N274" s="44"/>
      <c r="O274" s="28"/>
      <c r="P274" s="28"/>
      <c r="Q274" s="33"/>
      <c r="R274" s="33"/>
      <c r="T274" s="33"/>
      <c r="U274" s="28"/>
      <c r="V274" s="28"/>
      <c r="W274" s="33"/>
      <c r="X274" s="28"/>
      <c r="Y274" s="33"/>
      <c r="Z274" s="33"/>
      <c r="AA274" s="2"/>
    </row>
    <row r="275" spans="1:27" ht="18">
      <c r="B275" s="103" t="s">
        <v>1018</v>
      </c>
      <c r="C275" s="47" t="s">
        <v>1327</v>
      </c>
      <c r="D275" s="47" t="s">
        <v>93</v>
      </c>
      <c r="E275" s="261">
        <v>46.679057430808903</v>
      </c>
      <c r="F275" s="263">
        <v>-64.882722003503901</v>
      </c>
      <c r="G275" s="47" t="s">
        <v>598</v>
      </c>
    </row>
    <row r="276" spans="1:27" ht="18">
      <c r="B276" s="103" t="s">
        <v>961</v>
      </c>
      <c r="C276" s="47" t="s">
        <v>1328</v>
      </c>
      <c r="D276" s="47" t="s">
        <v>93</v>
      </c>
      <c r="E276" s="261">
        <v>46.0132336262525</v>
      </c>
      <c r="F276" s="263">
        <v>-66.232873912758393</v>
      </c>
      <c r="G276" s="47" t="s">
        <v>598</v>
      </c>
    </row>
    <row r="277" spans="1:27" ht="18">
      <c r="B277" s="103" t="s">
        <v>1062</v>
      </c>
      <c r="C277" s="47" t="s">
        <v>1329</v>
      </c>
      <c r="D277" s="47" t="s">
        <v>93</v>
      </c>
      <c r="E277" s="261">
        <v>46.048996344886497</v>
      </c>
      <c r="F277" s="263">
        <v>-64.813058412135106</v>
      </c>
      <c r="G277" s="47" t="s">
        <v>598</v>
      </c>
    </row>
    <row r="278" spans="1:27" ht="18">
      <c r="B278" s="103" t="s">
        <v>946</v>
      </c>
      <c r="C278" s="47" t="s">
        <v>1330</v>
      </c>
      <c r="D278" s="47" t="s">
        <v>93</v>
      </c>
      <c r="E278" s="261">
        <v>46.743391237331899</v>
      </c>
      <c r="F278" s="263">
        <v>-65.410818483607898</v>
      </c>
      <c r="G278" s="47" t="s">
        <v>598</v>
      </c>
    </row>
    <row r="279" spans="1:27" ht="18">
      <c r="B279" s="103" t="s">
        <v>1090</v>
      </c>
      <c r="C279" s="47" t="s">
        <v>1446</v>
      </c>
      <c r="D279" s="47" t="s">
        <v>93</v>
      </c>
      <c r="E279" s="261">
        <v>45.2799199515864</v>
      </c>
      <c r="F279" s="261">
        <v>-66.023856623884498</v>
      </c>
      <c r="G279" s="47" t="s">
        <v>598</v>
      </c>
    </row>
    <row r="280" spans="1:27" ht="18">
      <c r="B280" s="103" t="s">
        <v>935</v>
      </c>
      <c r="C280" s="47" t="s">
        <v>1331</v>
      </c>
      <c r="D280" s="47" t="s">
        <v>93</v>
      </c>
      <c r="E280" s="261">
        <v>45.393561635327103</v>
      </c>
      <c r="F280" s="261">
        <v>-65.973103919117904</v>
      </c>
      <c r="G280" s="47" t="s">
        <v>598</v>
      </c>
    </row>
    <row r="281" spans="1:27" ht="18">
      <c r="B281" s="103" t="s">
        <v>1005</v>
      </c>
      <c r="C281" s="47" t="s">
        <v>1332</v>
      </c>
      <c r="D281" s="47" t="s">
        <v>93</v>
      </c>
      <c r="E281" s="261">
        <v>45.804998848631101</v>
      </c>
      <c r="F281" s="263">
        <v>-66.632669310368598</v>
      </c>
      <c r="G281" s="47" t="s">
        <v>598</v>
      </c>
    </row>
    <row r="282" spans="1:27" ht="18">
      <c r="B282" s="103" t="s">
        <v>1026</v>
      </c>
      <c r="C282" s="47" t="s">
        <v>1333</v>
      </c>
      <c r="D282" s="47" t="s">
        <v>93</v>
      </c>
      <c r="E282" s="261">
        <v>46.110243265940099</v>
      </c>
      <c r="F282" s="263">
        <v>-64.848708388038204</v>
      </c>
      <c r="G282" s="47" t="s">
        <v>598</v>
      </c>
    </row>
    <row r="283" spans="1:27" ht="18">
      <c r="B283" s="103" t="s">
        <v>1009</v>
      </c>
      <c r="C283" s="47" t="s">
        <v>1334</v>
      </c>
      <c r="D283" s="47" t="s">
        <v>93</v>
      </c>
      <c r="E283" s="261">
        <v>45.904112494335997</v>
      </c>
      <c r="F283" s="263">
        <v>-64.381596833471804</v>
      </c>
      <c r="G283" s="47" t="s">
        <v>598</v>
      </c>
    </row>
    <row r="284" spans="1:27" ht="18">
      <c r="B284" s="103" t="s">
        <v>930</v>
      </c>
      <c r="C284" s="47" t="s">
        <v>1335</v>
      </c>
      <c r="D284" s="47" t="s">
        <v>93</v>
      </c>
      <c r="E284" s="261">
        <v>46.007771488083797</v>
      </c>
      <c r="F284" s="263">
        <v>-65.028890767259298</v>
      </c>
      <c r="G284" s="47" t="s">
        <v>598</v>
      </c>
    </row>
    <row r="285" spans="1:27" ht="18">
      <c r="B285" s="103" t="s">
        <v>1134</v>
      </c>
      <c r="C285" s="47" t="s">
        <v>1426</v>
      </c>
      <c r="D285" s="47" t="s">
        <v>93</v>
      </c>
      <c r="E285" s="261">
        <v>46.020953645234599</v>
      </c>
      <c r="F285" s="263">
        <v>-64.996337060230104</v>
      </c>
      <c r="G285" s="47" t="s">
        <v>598</v>
      </c>
    </row>
    <row r="286" spans="1:27" ht="18">
      <c r="B286" s="103" t="s">
        <v>1024</v>
      </c>
      <c r="C286" s="47" t="s">
        <v>1447</v>
      </c>
      <c r="D286" s="47" t="s">
        <v>93</v>
      </c>
      <c r="E286" s="261">
        <v>46.1764443916516</v>
      </c>
      <c r="F286" s="263">
        <v>-64.588182161198603</v>
      </c>
      <c r="G286" s="47" t="s">
        <v>598</v>
      </c>
    </row>
    <row r="287" spans="1:27" ht="18">
      <c r="B287" s="103" t="s">
        <v>972</v>
      </c>
      <c r="C287" s="47" t="s">
        <v>1336</v>
      </c>
      <c r="D287" s="47" t="s">
        <v>93</v>
      </c>
      <c r="E287" s="261">
        <v>46.157644823437202</v>
      </c>
      <c r="F287" s="263">
        <v>-64.563288733254097</v>
      </c>
      <c r="G287" s="47" t="s">
        <v>598</v>
      </c>
    </row>
    <row r="288" spans="1:27" ht="18">
      <c r="B288" s="103" t="s">
        <v>1043</v>
      </c>
      <c r="C288" s="47" t="s">
        <v>1337</v>
      </c>
      <c r="D288" s="47" t="s">
        <v>93</v>
      </c>
      <c r="E288" s="261">
        <v>46.223465377756803</v>
      </c>
      <c r="F288" s="261">
        <v>-64.482880620684497</v>
      </c>
      <c r="G288" s="47" t="s">
        <v>598</v>
      </c>
    </row>
    <row r="289" spans="2:7" ht="18">
      <c r="B289" s="103" t="s">
        <v>1099</v>
      </c>
      <c r="C289" s="47" t="s">
        <v>1338</v>
      </c>
      <c r="D289" s="47" t="s">
        <v>93</v>
      </c>
      <c r="E289" s="261">
        <v>46.210007411744698</v>
      </c>
      <c r="F289" s="261">
        <v>-64.532467514738499</v>
      </c>
      <c r="G289" s="47" t="s">
        <v>598</v>
      </c>
    </row>
    <row r="290" spans="2:7" ht="18">
      <c r="B290" s="103" t="s">
        <v>1095</v>
      </c>
      <c r="C290" s="47" t="s">
        <v>1339</v>
      </c>
      <c r="D290" s="47" t="s">
        <v>93</v>
      </c>
      <c r="E290" s="261">
        <v>47.488412569829897</v>
      </c>
      <c r="F290" s="263">
        <v>-64.923265376807805</v>
      </c>
      <c r="G290" s="47" t="s">
        <v>598</v>
      </c>
    </row>
    <row r="291" spans="2:7" ht="18">
      <c r="B291" s="103" t="s">
        <v>1084</v>
      </c>
      <c r="C291" s="47" t="s">
        <v>1340</v>
      </c>
      <c r="D291" s="47" t="s">
        <v>93</v>
      </c>
      <c r="E291" s="261">
        <v>47.742831443830397</v>
      </c>
      <c r="F291" s="263">
        <v>-64.716952970812301</v>
      </c>
      <c r="G291" s="47" t="s">
        <v>598</v>
      </c>
    </row>
    <row r="292" spans="2:7" ht="18">
      <c r="B292" s="103" t="s">
        <v>190</v>
      </c>
      <c r="C292" s="47" t="s">
        <v>1388</v>
      </c>
      <c r="D292" s="47" t="s">
        <v>93</v>
      </c>
      <c r="E292" s="261">
        <v>47.265986900000001</v>
      </c>
      <c r="F292" s="263">
        <v>-67.243427100000005</v>
      </c>
      <c r="G292" s="47" t="s">
        <v>598</v>
      </c>
    </row>
    <row r="293" spans="2:7" ht="18">
      <c r="B293" s="103" t="s">
        <v>951</v>
      </c>
      <c r="C293" s="47" t="s">
        <v>1341</v>
      </c>
      <c r="D293" s="47" t="s">
        <v>93</v>
      </c>
      <c r="E293" s="261">
        <v>47.613920686980698</v>
      </c>
      <c r="F293" s="263">
        <v>-64.892104671841807</v>
      </c>
      <c r="G293" s="47" t="s">
        <v>598</v>
      </c>
    </row>
    <row r="294" spans="2:7" ht="18">
      <c r="B294" s="103" t="s">
        <v>975</v>
      </c>
      <c r="C294" s="47" t="s">
        <v>1342</v>
      </c>
      <c r="D294" s="47" t="s">
        <v>93</v>
      </c>
      <c r="E294" s="261">
        <v>47.604900566122197</v>
      </c>
      <c r="F294" s="263">
        <v>-65.645750842645498</v>
      </c>
      <c r="G294" s="47" t="s">
        <v>598</v>
      </c>
    </row>
    <row r="295" spans="2:7" ht="18">
      <c r="B295" s="103" t="s">
        <v>940</v>
      </c>
      <c r="C295" s="47" t="s">
        <v>1343</v>
      </c>
      <c r="D295" s="47" t="s">
        <v>93</v>
      </c>
      <c r="E295" s="261">
        <v>45.661762893905497</v>
      </c>
      <c r="F295" s="261">
        <v>-65.787743632249502</v>
      </c>
      <c r="G295" s="47" t="s">
        <v>598</v>
      </c>
    </row>
    <row r="296" spans="2:7" ht="18">
      <c r="B296" s="103" t="s">
        <v>1129</v>
      </c>
      <c r="C296" s="47" t="s">
        <v>1427</v>
      </c>
      <c r="D296" s="47" t="s">
        <v>93</v>
      </c>
      <c r="E296" s="261">
        <v>47.166478083007</v>
      </c>
      <c r="F296" s="263">
        <v>-67.730450066565496</v>
      </c>
      <c r="G296" s="47" t="s">
        <v>598</v>
      </c>
    </row>
    <row r="297" spans="2:7" ht="18">
      <c r="B297" s="103" t="s">
        <v>1057</v>
      </c>
      <c r="C297" s="47" t="s">
        <v>1344</v>
      </c>
      <c r="D297" s="47" t="s">
        <v>93</v>
      </c>
      <c r="E297" s="261">
        <v>45.086129609760697</v>
      </c>
      <c r="F297" s="263">
        <v>-67.0660649930213</v>
      </c>
      <c r="G297" s="47" t="s">
        <v>598</v>
      </c>
    </row>
    <row r="298" spans="2:7" ht="18">
      <c r="B298" s="103" t="s">
        <v>1102</v>
      </c>
      <c r="C298" s="47" t="s">
        <v>1345</v>
      </c>
      <c r="D298" s="47" t="s">
        <v>93</v>
      </c>
      <c r="E298" s="261">
        <v>46.0129023609665</v>
      </c>
      <c r="F298" s="263">
        <v>-67.222988421276696</v>
      </c>
      <c r="G298" s="47" t="s">
        <v>598</v>
      </c>
    </row>
    <row r="299" spans="2:7" ht="18">
      <c r="B299" s="103" t="s">
        <v>968</v>
      </c>
      <c r="C299" s="47" t="s">
        <v>1346</v>
      </c>
      <c r="D299" s="47" t="s">
        <v>93</v>
      </c>
      <c r="E299" s="261">
        <v>47.359180480040301</v>
      </c>
      <c r="F299" s="263">
        <v>-68.220728121209902</v>
      </c>
      <c r="G299" s="47" t="s">
        <v>598</v>
      </c>
    </row>
    <row r="300" spans="2:7" ht="18">
      <c r="B300" s="19" t="s">
        <v>374</v>
      </c>
      <c r="C300" s="47" t="s">
        <v>1389</v>
      </c>
      <c r="D300" s="47" t="s">
        <v>93</v>
      </c>
      <c r="E300" s="261">
        <v>45.128286500000002</v>
      </c>
      <c r="F300" s="263">
        <v>-66.827915099999998</v>
      </c>
      <c r="G300" s="47" t="s">
        <v>598</v>
      </c>
    </row>
    <row r="301" spans="2:7" ht="18">
      <c r="B301" s="103" t="s">
        <v>955</v>
      </c>
      <c r="C301" s="47" t="s">
        <v>1347</v>
      </c>
      <c r="D301" s="47" t="s">
        <v>93</v>
      </c>
      <c r="E301" s="261">
        <v>45.121330429328097</v>
      </c>
      <c r="F301" s="263">
        <v>-66.824378375036403</v>
      </c>
      <c r="G301" s="47" t="s">
        <v>598</v>
      </c>
    </row>
    <row r="302" spans="2:7" ht="18">
      <c r="B302" s="103" t="s">
        <v>1460</v>
      </c>
      <c r="C302" s="47" t="s">
        <v>1461</v>
      </c>
      <c r="D302" s="47" t="s">
        <v>93</v>
      </c>
      <c r="E302" s="261">
        <v>46.0882578293579</v>
      </c>
      <c r="F302" s="263">
        <v>-64.796649828309398</v>
      </c>
      <c r="G302" s="47" t="s">
        <v>598</v>
      </c>
    </row>
    <row r="303" spans="2:7" ht="18">
      <c r="B303" s="103" t="s">
        <v>998</v>
      </c>
      <c r="C303" s="47" t="s">
        <v>1349</v>
      </c>
      <c r="D303" s="47" t="s">
        <v>93</v>
      </c>
      <c r="E303" s="261">
        <v>47.763144594846601</v>
      </c>
      <c r="F303" s="263">
        <v>-65.197397700564807</v>
      </c>
      <c r="G303" s="47" t="s">
        <v>598</v>
      </c>
    </row>
    <row r="304" spans="2:7" ht="18">
      <c r="B304" s="103" t="s">
        <v>1076</v>
      </c>
      <c r="C304" s="47" t="s">
        <v>1448</v>
      </c>
      <c r="D304" s="47" t="s">
        <v>93</v>
      </c>
      <c r="E304" s="261">
        <v>47.192709342749403</v>
      </c>
      <c r="F304" s="263">
        <v>-67.930548746651397</v>
      </c>
      <c r="G304" s="47" t="s">
        <v>598</v>
      </c>
    </row>
    <row r="305" spans="2:7" ht="18">
      <c r="B305" s="103" t="s">
        <v>1140</v>
      </c>
      <c r="C305" s="47" t="s">
        <v>1428</v>
      </c>
      <c r="D305" s="47" t="s">
        <v>93</v>
      </c>
      <c r="E305" s="261">
        <v>47.173246922242001</v>
      </c>
      <c r="F305" s="263">
        <v>-67.909448422931604</v>
      </c>
      <c r="G305" s="47" t="s">
        <v>598</v>
      </c>
    </row>
    <row r="306" spans="2:7" ht="18">
      <c r="B306" s="103" t="s">
        <v>1017</v>
      </c>
      <c r="C306" s="47" t="s">
        <v>1350</v>
      </c>
      <c r="D306" s="47" t="s">
        <v>93</v>
      </c>
      <c r="E306" s="261">
        <v>46.729839354268499</v>
      </c>
      <c r="F306" s="263">
        <v>-64.979407584364196</v>
      </c>
      <c r="G306" s="47" t="s">
        <v>598</v>
      </c>
    </row>
    <row r="307" spans="2:7" ht="18">
      <c r="B307" s="103" t="s">
        <v>1033</v>
      </c>
      <c r="C307" s="47" t="s">
        <v>1351</v>
      </c>
      <c r="D307" s="47" t="s">
        <v>93</v>
      </c>
      <c r="E307" s="261">
        <v>46.4119754018514</v>
      </c>
      <c r="F307" s="263">
        <v>-64.856755652424397</v>
      </c>
      <c r="G307" s="47" t="s">
        <v>598</v>
      </c>
    </row>
    <row r="308" spans="2:7" ht="18">
      <c r="B308" s="103" t="s">
        <v>978</v>
      </c>
      <c r="C308" s="47" t="s">
        <v>1352</v>
      </c>
      <c r="D308" s="47" t="s">
        <v>93</v>
      </c>
      <c r="E308" s="261">
        <v>47.513497580363598</v>
      </c>
      <c r="F308" s="263">
        <v>-67.401212265311798</v>
      </c>
      <c r="G308" s="47" t="s">
        <v>598</v>
      </c>
    </row>
    <row r="309" spans="2:7" ht="18">
      <c r="B309" s="103" t="s">
        <v>997</v>
      </c>
      <c r="C309" s="47" t="s">
        <v>1353</v>
      </c>
      <c r="D309" s="47" t="s">
        <v>93</v>
      </c>
      <c r="E309" s="261">
        <v>45.199278606692403</v>
      </c>
      <c r="F309" s="263">
        <v>-67.283912049727704</v>
      </c>
      <c r="G309" s="47" t="s">
        <v>598</v>
      </c>
    </row>
    <row r="310" spans="2:7" ht="18">
      <c r="B310" s="103" t="s">
        <v>224</v>
      </c>
      <c r="C310" s="47" t="s">
        <v>1390</v>
      </c>
      <c r="D310" s="47" t="s">
        <v>93</v>
      </c>
      <c r="E310" s="261">
        <v>47.626322000000002</v>
      </c>
      <c r="F310" s="263">
        <v>-64.953989000000007</v>
      </c>
      <c r="G310" s="47" t="s">
        <v>598</v>
      </c>
    </row>
    <row r="311" spans="2:7" ht="18">
      <c r="B311" s="103" t="s">
        <v>1074</v>
      </c>
      <c r="C311" s="47" t="s">
        <v>1449</v>
      </c>
      <c r="D311" s="47" t="s">
        <v>93</v>
      </c>
      <c r="E311" s="261">
        <v>47.4740125536552</v>
      </c>
      <c r="F311" s="263">
        <v>-65.761563115702003</v>
      </c>
      <c r="G311" s="47" t="s">
        <v>598</v>
      </c>
    </row>
    <row r="312" spans="2:7" ht="18">
      <c r="B312" s="103" t="s">
        <v>1061</v>
      </c>
      <c r="C312" s="47" t="s">
        <v>1354</v>
      </c>
      <c r="D312" s="47" t="s">
        <v>93</v>
      </c>
      <c r="E312" s="261">
        <v>47.9921021016456</v>
      </c>
      <c r="F312" s="263">
        <v>-66.666290173752898</v>
      </c>
      <c r="G312" s="47" t="s">
        <v>598</v>
      </c>
    </row>
    <row r="313" spans="2:7" ht="18">
      <c r="B313" s="103" t="s">
        <v>1104</v>
      </c>
      <c r="C313" s="47" t="s">
        <v>1355</v>
      </c>
      <c r="D313" s="47" t="s">
        <v>93</v>
      </c>
      <c r="E313" s="261">
        <v>45.713708004874697</v>
      </c>
      <c r="F313" s="261">
        <v>-65.470294976197096</v>
      </c>
      <c r="G313" s="47" t="s">
        <v>598</v>
      </c>
    </row>
    <row r="314" spans="2:7" ht="18">
      <c r="B314" s="103" t="s">
        <v>932</v>
      </c>
      <c r="C314" s="47" t="s">
        <v>1356</v>
      </c>
      <c r="D314" s="47" t="s">
        <v>93</v>
      </c>
      <c r="E314" s="261">
        <v>45.7334237646348</v>
      </c>
      <c r="F314" s="261">
        <v>-65.502685564176005</v>
      </c>
      <c r="G314" s="47" t="s">
        <v>598</v>
      </c>
    </row>
    <row r="315" spans="2:7" ht="18">
      <c r="B315" s="103" t="s">
        <v>933</v>
      </c>
      <c r="C315" s="47" t="s">
        <v>1357</v>
      </c>
      <c r="D315" s="47" t="s">
        <v>93</v>
      </c>
      <c r="E315" s="261">
        <v>45.724024192648301</v>
      </c>
      <c r="F315" s="261">
        <v>-65.524746139836694</v>
      </c>
      <c r="G315" s="47" t="s">
        <v>598</v>
      </c>
    </row>
    <row r="316" spans="2:7" ht="18">
      <c r="B316" s="103" t="s">
        <v>944</v>
      </c>
      <c r="C316" s="47" t="s">
        <v>1358</v>
      </c>
      <c r="D316" s="47" t="s">
        <v>93</v>
      </c>
      <c r="E316" s="261">
        <v>46.994950097062301</v>
      </c>
      <c r="F316" s="263">
        <v>-65.579027001087297</v>
      </c>
      <c r="G316" s="47" t="s">
        <v>598</v>
      </c>
    </row>
    <row r="317" spans="2:7" ht="18">
      <c r="B317" s="103" t="s">
        <v>984</v>
      </c>
      <c r="C317" s="47" t="s">
        <v>1359</v>
      </c>
      <c r="D317" s="47" t="s">
        <v>93</v>
      </c>
      <c r="E317" s="261">
        <v>46.183212169762498</v>
      </c>
      <c r="F317" s="263">
        <v>-66.620554737342999</v>
      </c>
      <c r="G317" s="47" t="s">
        <v>598</v>
      </c>
    </row>
    <row r="318" spans="2:7" ht="18">
      <c r="B318" s="103" t="s">
        <v>1016</v>
      </c>
      <c r="C318" s="47" t="s">
        <v>1360</v>
      </c>
      <c r="D318" s="47" t="s">
        <v>93</v>
      </c>
      <c r="E318" s="261">
        <v>47.648844260462198</v>
      </c>
      <c r="F318" s="263">
        <v>-65.728943109901905</v>
      </c>
      <c r="G318" s="47" t="s">
        <v>598</v>
      </c>
    </row>
    <row r="319" spans="2:7" ht="18">
      <c r="B319" s="103" t="s">
        <v>958</v>
      </c>
      <c r="C319" s="47" t="s">
        <v>1361</v>
      </c>
      <c r="D319" s="47" t="s">
        <v>93</v>
      </c>
      <c r="E319" s="261">
        <v>45.6566612424228</v>
      </c>
      <c r="F319" s="263">
        <v>-67.1315091086866</v>
      </c>
      <c r="G319" s="47" t="s">
        <v>598</v>
      </c>
    </row>
    <row r="320" spans="2:7" ht="18">
      <c r="B320" s="103" t="s">
        <v>1467</v>
      </c>
      <c r="C320" s="47" t="s">
        <v>1468</v>
      </c>
      <c r="D320" s="47" t="s">
        <v>93</v>
      </c>
      <c r="E320" s="261">
        <v>46.809749799999999</v>
      </c>
      <c r="F320" s="263">
        <v>-67.766485299999999</v>
      </c>
      <c r="G320" s="47" t="s">
        <v>598</v>
      </c>
    </row>
    <row r="321" spans="2:7" ht="18">
      <c r="B321" s="103" t="s">
        <v>181</v>
      </c>
      <c r="C321" s="47" t="s">
        <v>1391</v>
      </c>
      <c r="D321" s="47" t="s">
        <v>93</v>
      </c>
      <c r="E321" s="261">
        <v>46.780139200000001</v>
      </c>
      <c r="F321" s="263">
        <v>-67.695258100000004</v>
      </c>
      <c r="G321" s="47" t="s">
        <v>598</v>
      </c>
    </row>
    <row r="322" spans="2:7" ht="18">
      <c r="B322" s="103" t="s">
        <v>982</v>
      </c>
      <c r="C322" s="47" t="s">
        <v>1362</v>
      </c>
      <c r="D322" s="47" t="s">
        <v>93</v>
      </c>
      <c r="E322" s="261">
        <v>46.778831275960897</v>
      </c>
      <c r="F322" s="263">
        <v>-67.6935838965058</v>
      </c>
      <c r="G322" s="47" t="s">
        <v>598</v>
      </c>
    </row>
    <row r="323" spans="2:7" ht="18">
      <c r="B323" s="103" t="s">
        <v>1151</v>
      </c>
      <c r="C323" s="98" t="s">
        <v>1363</v>
      </c>
      <c r="D323" s="47" t="s">
        <v>93</v>
      </c>
      <c r="E323" s="261">
        <v>47.513559322423397</v>
      </c>
      <c r="F323" s="263">
        <v>-64.934248425452395</v>
      </c>
      <c r="G323" s="47" t="s">
        <v>598</v>
      </c>
    </row>
    <row r="324" spans="2:7" ht="18">
      <c r="B324" s="103" t="s">
        <v>953</v>
      </c>
      <c r="C324" s="47" t="s">
        <v>1364</v>
      </c>
      <c r="D324" s="47" t="s">
        <v>93</v>
      </c>
      <c r="E324" s="261">
        <v>46.023373535711698</v>
      </c>
      <c r="F324" s="263">
        <v>-64.8681747755017</v>
      </c>
      <c r="G324" s="47" t="s">
        <v>598</v>
      </c>
    </row>
    <row r="325" spans="2:7" ht="18">
      <c r="B325" s="103" t="s">
        <v>995</v>
      </c>
      <c r="C325" s="47" t="s">
        <v>1365</v>
      </c>
      <c r="D325" s="47" t="s">
        <v>93</v>
      </c>
      <c r="E325" s="261">
        <v>45.274048431168502</v>
      </c>
      <c r="F325" s="261">
        <v>-66.066512131309196</v>
      </c>
      <c r="G325" s="47" t="s">
        <v>598</v>
      </c>
    </row>
    <row r="326" spans="2:7" ht="18">
      <c r="B326" s="103" t="s">
        <v>1027</v>
      </c>
      <c r="C326" s="47" t="s">
        <v>1366</v>
      </c>
      <c r="D326" s="47" t="s">
        <v>93</v>
      </c>
      <c r="E326" s="261">
        <v>45.908293529557803</v>
      </c>
      <c r="F326" s="263">
        <v>-66.612595016598206</v>
      </c>
      <c r="G326" s="47" t="s">
        <v>598</v>
      </c>
    </row>
    <row r="327" spans="2:7" ht="18">
      <c r="B327" s="103" t="s">
        <v>1064</v>
      </c>
      <c r="C327" s="47" t="s">
        <v>1367</v>
      </c>
      <c r="D327" s="47" t="s">
        <v>93</v>
      </c>
      <c r="E327" s="261">
        <v>47.314155221517296</v>
      </c>
      <c r="F327" s="263">
        <v>-67.707808590345806</v>
      </c>
      <c r="G327" s="47" t="s">
        <v>598</v>
      </c>
    </row>
    <row r="328" spans="2:7" ht="18">
      <c r="B328" s="103" t="s">
        <v>1141</v>
      </c>
      <c r="C328" s="47" t="s">
        <v>1368</v>
      </c>
      <c r="D328" s="47" t="s">
        <v>93</v>
      </c>
      <c r="E328" s="261">
        <v>45.815874805578098</v>
      </c>
      <c r="F328" s="263">
        <v>-66.632385357535199</v>
      </c>
      <c r="G328" s="47" t="s">
        <v>598</v>
      </c>
    </row>
    <row r="329" spans="2:7" ht="18">
      <c r="B329" s="103" t="s">
        <v>954</v>
      </c>
      <c r="C329" s="47" t="s">
        <v>1369</v>
      </c>
      <c r="D329" s="47" t="s">
        <v>93</v>
      </c>
      <c r="E329" s="261">
        <v>45.944396579040301</v>
      </c>
      <c r="F329" s="263">
        <v>-64.714010445251603</v>
      </c>
      <c r="G329" s="47" t="s">
        <v>598</v>
      </c>
    </row>
    <row r="330" spans="2:7" ht="18">
      <c r="B330" s="103" t="s">
        <v>1063</v>
      </c>
      <c r="C330" s="47" t="s">
        <v>1370</v>
      </c>
      <c r="D330" s="47" t="s">
        <v>93</v>
      </c>
      <c r="E330" s="261">
        <v>47.628458875424798</v>
      </c>
      <c r="F330" s="263">
        <v>-65.676837137598596</v>
      </c>
      <c r="G330" s="47" t="s">
        <v>598</v>
      </c>
    </row>
    <row r="331" spans="2:7" ht="18">
      <c r="B331" s="103" t="s">
        <v>1022</v>
      </c>
      <c r="C331" s="47" t="s">
        <v>1371</v>
      </c>
      <c r="D331" s="47" t="s">
        <v>93</v>
      </c>
      <c r="E331" s="261">
        <v>46.468537930929699</v>
      </c>
      <c r="F331" s="263">
        <v>-64.7370043237906</v>
      </c>
      <c r="G331" s="47" t="s">
        <v>598</v>
      </c>
    </row>
    <row r="332" spans="2:7" ht="18">
      <c r="B332" s="103" t="s">
        <v>1041</v>
      </c>
      <c r="C332" s="47" t="s">
        <v>1372</v>
      </c>
      <c r="D332" s="47" t="s">
        <v>93</v>
      </c>
      <c r="E332" s="261">
        <v>45.359048354062899</v>
      </c>
      <c r="F332" s="261">
        <v>-66.240879221997503</v>
      </c>
      <c r="G332" s="47" t="s">
        <v>598</v>
      </c>
    </row>
    <row r="333" spans="2:7" ht="18">
      <c r="B333" s="103" t="s">
        <v>963</v>
      </c>
      <c r="C333" s="251" t="s">
        <v>1348</v>
      </c>
      <c r="D333" s="47" t="s">
        <v>93</v>
      </c>
      <c r="E333" s="261">
        <v>46.09767800905</v>
      </c>
      <c r="F333" s="263">
        <v>-64.804755451400794</v>
      </c>
      <c r="G333" s="47" t="s">
        <v>598</v>
      </c>
    </row>
    <row r="334" spans="2:7" ht="18">
      <c r="B334" s="103" t="s">
        <v>1038</v>
      </c>
      <c r="C334" s="47" t="s">
        <v>1373</v>
      </c>
      <c r="D334" s="47" t="s">
        <v>93</v>
      </c>
      <c r="E334" s="261">
        <v>46.1418702039403</v>
      </c>
      <c r="F334" s="263">
        <v>-67.581146094315699</v>
      </c>
      <c r="G334" s="47" t="s">
        <v>598</v>
      </c>
    </row>
    <row r="335" spans="2:7" ht="18">
      <c r="B335" s="103" t="s">
        <v>1122</v>
      </c>
      <c r="C335" s="47" t="s">
        <v>1429</v>
      </c>
      <c r="D335" s="47" t="s">
        <v>93</v>
      </c>
      <c r="E335" s="261">
        <v>46.249059681065098</v>
      </c>
      <c r="F335" s="261">
        <v>-67.607222106780995</v>
      </c>
      <c r="G335" s="47" t="s">
        <v>598</v>
      </c>
    </row>
    <row r="336" spans="2:7">
      <c r="B336" s="158"/>
      <c r="C336" s="158"/>
      <c r="D336" s="158"/>
      <c r="E336" s="158"/>
      <c r="F336" s="158"/>
    </row>
    <row r="337" spans="2:6">
      <c r="B337" s="158"/>
      <c r="C337" s="158"/>
      <c r="D337" s="158"/>
    </row>
    <row r="338" spans="2:6">
      <c r="B338" s="158"/>
      <c r="C338" s="158"/>
      <c r="D338" s="158"/>
      <c r="E338" s="158"/>
      <c r="F338" s="158"/>
    </row>
    <row r="339" spans="2:6">
      <c r="B339" s="158"/>
      <c r="C339" s="158"/>
      <c r="D339" s="158"/>
      <c r="E339" s="158"/>
      <c r="F339" s="158"/>
    </row>
    <row r="340" spans="2:6">
      <c r="B340" s="158"/>
      <c r="C340" s="158"/>
      <c r="D340" s="158"/>
      <c r="E340" s="158"/>
      <c r="F340" s="158"/>
    </row>
    <row r="341" spans="2:6">
      <c r="B341" s="158"/>
      <c r="C341" s="158"/>
      <c r="D341" s="158"/>
      <c r="E341" s="158"/>
      <c r="F341" s="158"/>
    </row>
    <row r="342" spans="2:6">
      <c r="B342" s="158"/>
      <c r="C342" s="158"/>
      <c r="D342" s="158"/>
      <c r="E342" s="158"/>
      <c r="F342" s="158"/>
    </row>
    <row r="343" spans="2:6">
      <c r="B343" s="158"/>
      <c r="C343" s="158"/>
      <c r="D343" s="158"/>
      <c r="E343" s="158"/>
      <c r="F343" s="158"/>
    </row>
    <row r="344" spans="2:6">
      <c r="B344" s="158"/>
      <c r="C344" s="158"/>
      <c r="D344" s="158"/>
      <c r="E344" s="158"/>
      <c r="F344" s="158"/>
    </row>
    <row r="345" spans="2:6">
      <c r="B345" s="158"/>
      <c r="C345" s="158"/>
      <c r="D345" s="158"/>
      <c r="E345" s="158"/>
      <c r="F345" s="158"/>
    </row>
    <row r="346" spans="2:6">
      <c r="B346" s="158"/>
      <c r="C346" s="158"/>
      <c r="D346" s="158"/>
      <c r="E346" s="158"/>
      <c r="F346" s="158"/>
    </row>
    <row r="347" spans="2:6">
      <c r="B347" s="158"/>
      <c r="C347" s="158"/>
      <c r="D347" s="158"/>
      <c r="E347" s="158"/>
      <c r="F347" s="158"/>
    </row>
    <row r="348" spans="2:6">
      <c r="B348" s="158"/>
      <c r="C348" s="158"/>
      <c r="D348" s="158"/>
      <c r="E348" s="158"/>
      <c r="F348" s="158"/>
    </row>
    <row r="349" spans="2:6">
      <c r="B349" s="158"/>
      <c r="C349" s="158"/>
      <c r="D349" s="158"/>
      <c r="E349" s="158"/>
      <c r="F349" s="158"/>
    </row>
    <row r="350" spans="2:6">
      <c r="B350" s="158"/>
      <c r="C350" s="158"/>
      <c r="D350" s="158"/>
      <c r="E350" s="158"/>
      <c r="F350" s="158"/>
    </row>
    <row r="351" spans="2:6">
      <c r="B351" s="158"/>
      <c r="C351" s="158"/>
      <c r="D351" s="158"/>
      <c r="E351" s="158"/>
      <c r="F351" s="158"/>
    </row>
    <row r="352" spans="2:6">
      <c r="B352" s="158"/>
      <c r="C352" s="158"/>
      <c r="D352" s="158"/>
      <c r="E352" s="158"/>
      <c r="F352" s="158"/>
    </row>
    <row r="353" spans="2:6">
      <c r="B353" s="158"/>
      <c r="C353" s="158"/>
      <c r="D353" s="158"/>
      <c r="E353" s="158"/>
      <c r="F353" s="158"/>
    </row>
    <row r="354" spans="2:6">
      <c r="B354" s="158"/>
      <c r="C354" s="158"/>
      <c r="D354" s="158"/>
      <c r="E354" s="158"/>
      <c r="F354" s="158"/>
    </row>
    <row r="355" spans="2:6">
      <c r="B355" s="158"/>
      <c r="C355" s="158"/>
      <c r="D355" s="158"/>
      <c r="E355" s="158"/>
      <c r="F355" s="158"/>
    </row>
    <row r="356" spans="2:6">
      <c r="B356" s="158"/>
      <c r="C356" s="158"/>
      <c r="D356" s="158"/>
      <c r="E356" s="158"/>
      <c r="F356" s="158"/>
    </row>
    <row r="357" spans="2:6">
      <c r="B357" s="158"/>
      <c r="C357" s="158"/>
      <c r="D357" s="158"/>
      <c r="E357" s="158"/>
      <c r="F357" s="158"/>
    </row>
    <row r="358" spans="2:6">
      <c r="B358" s="158"/>
      <c r="C358" s="158"/>
      <c r="D358" s="158"/>
      <c r="E358" s="158"/>
      <c r="F358" s="158"/>
    </row>
    <row r="359" spans="2:6">
      <c r="B359" s="158"/>
      <c r="C359" s="158"/>
      <c r="D359" s="158"/>
      <c r="E359" s="158"/>
      <c r="F359" s="158"/>
    </row>
    <row r="360" spans="2:6">
      <c r="B360" s="158"/>
      <c r="C360" s="158"/>
      <c r="D360" s="158"/>
      <c r="E360" s="158"/>
      <c r="F360" s="158"/>
    </row>
    <row r="361" spans="2:6">
      <c r="B361" s="158"/>
      <c r="C361" s="158"/>
      <c r="D361" s="158"/>
      <c r="E361" s="158"/>
      <c r="F361" s="158"/>
    </row>
    <row r="362" spans="2:6">
      <c r="B362" s="158"/>
      <c r="C362" s="158"/>
      <c r="D362" s="158"/>
      <c r="E362" s="158"/>
      <c r="F362" s="158"/>
    </row>
    <row r="363" spans="2:6">
      <c r="B363" s="158"/>
      <c r="C363" s="158"/>
      <c r="D363" s="158"/>
      <c r="E363" s="158"/>
      <c r="F363" s="158"/>
    </row>
    <row r="364" spans="2:6">
      <c r="B364" s="158"/>
      <c r="C364" s="158"/>
      <c r="D364" s="158"/>
      <c r="E364" s="158"/>
      <c r="F364" s="158"/>
    </row>
    <row r="365" spans="2:6">
      <c r="B365" s="158"/>
      <c r="C365" s="158"/>
      <c r="D365" s="158"/>
      <c r="E365" s="158"/>
      <c r="F365" s="158"/>
    </row>
    <row r="366" spans="2:6">
      <c r="B366" s="158"/>
      <c r="C366" s="158"/>
      <c r="D366" s="158"/>
      <c r="E366" s="158"/>
      <c r="F366" s="158"/>
    </row>
    <row r="367" spans="2:6">
      <c r="B367" s="158"/>
      <c r="C367" s="158"/>
      <c r="D367" s="158"/>
      <c r="E367" s="158"/>
      <c r="F367" s="158"/>
    </row>
    <row r="368" spans="2:6">
      <c r="B368" s="158"/>
      <c r="C368" s="158"/>
      <c r="D368" s="158"/>
      <c r="E368" s="158"/>
      <c r="F368" s="158"/>
    </row>
    <row r="369" spans="2:6">
      <c r="B369" s="158"/>
      <c r="C369" s="158"/>
      <c r="D369" s="158"/>
      <c r="E369" s="158"/>
      <c r="F369" s="158"/>
    </row>
    <row r="370" spans="2:6">
      <c r="B370" s="158"/>
      <c r="C370" s="158"/>
      <c r="D370" s="158"/>
      <c r="E370" s="158"/>
      <c r="F370" s="158"/>
    </row>
    <row r="371" spans="2:6">
      <c r="B371" s="158"/>
      <c r="C371" s="158"/>
      <c r="D371" s="158"/>
      <c r="E371" s="158"/>
      <c r="F371" s="158"/>
    </row>
    <row r="372" spans="2:6">
      <c r="B372" s="158"/>
      <c r="C372" s="158"/>
      <c r="D372" s="158"/>
      <c r="E372" s="158"/>
      <c r="F372" s="158"/>
    </row>
    <row r="373" spans="2:6">
      <c r="B373" s="158"/>
      <c r="C373" s="158"/>
      <c r="D373" s="158"/>
      <c r="E373" s="158"/>
      <c r="F373" s="158"/>
    </row>
    <row r="374" spans="2:6">
      <c r="B374" s="158"/>
      <c r="C374" s="158"/>
      <c r="D374" s="158"/>
      <c r="E374" s="158"/>
      <c r="F374" s="158"/>
    </row>
    <row r="375" spans="2:6">
      <c r="B375" s="158"/>
      <c r="C375" s="158"/>
      <c r="D375" s="158"/>
      <c r="E375" s="158"/>
      <c r="F375" s="158"/>
    </row>
    <row r="376" spans="2:6">
      <c r="B376" s="158"/>
      <c r="C376" s="158"/>
      <c r="D376" s="158"/>
      <c r="E376" s="158"/>
      <c r="F376" s="158"/>
    </row>
    <row r="377" spans="2:6">
      <c r="B377" s="158"/>
      <c r="C377" s="158"/>
      <c r="D377" s="158"/>
      <c r="E377" s="158"/>
      <c r="F377" s="158"/>
    </row>
    <row r="378" spans="2:6">
      <c r="B378" s="158"/>
      <c r="C378" s="158"/>
      <c r="D378" s="158"/>
      <c r="E378" s="158"/>
      <c r="F378" s="158"/>
    </row>
    <row r="379" spans="2:6">
      <c r="B379" s="158"/>
      <c r="C379" s="158"/>
      <c r="D379" s="158"/>
      <c r="E379" s="158"/>
      <c r="F379" s="158"/>
    </row>
    <row r="380" spans="2:6">
      <c r="B380" s="158"/>
      <c r="C380" s="158"/>
      <c r="D380" s="158"/>
      <c r="E380" s="158"/>
      <c r="F380" s="158"/>
    </row>
    <row r="381" spans="2:6">
      <c r="B381" s="158"/>
      <c r="C381" s="158"/>
      <c r="D381" s="158"/>
      <c r="E381" s="158"/>
      <c r="F381" s="158"/>
    </row>
    <row r="382" spans="2:6">
      <c r="B382" s="158"/>
      <c r="C382" s="158"/>
      <c r="D382" s="158"/>
      <c r="E382" s="158"/>
      <c r="F382" s="158"/>
    </row>
    <row r="383" spans="2:6">
      <c r="B383" s="158"/>
      <c r="C383" s="158"/>
      <c r="D383" s="158"/>
      <c r="E383" s="158"/>
      <c r="F383" s="158"/>
    </row>
    <row r="384" spans="2:6">
      <c r="B384" s="158"/>
      <c r="C384" s="158"/>
      <c r="D384" s="158"/>
      <c r="E384" s="158"/>
      <c r="F384" s="158"/>
    </row>
    <row r="385" spans="2:6">
      <c r="B385" s="158"/>
      <c r="C385" s="158"/>
      <c r="D385" s="158"/>
      <c r="E385" s="158"/>
      <c r="F385" s="158"/>
    </row>
    <row r="386" spans="2:6">
      <c r="B386" s="158"/>
      <c r="C386" s="158"/>
      <c r="D386" s="158"/>
      <c r="E386" s="158"/>
      <c r="F386" s="158"/>
    </row>
    <row r="387" spans="2:6">
      <c r="B387" s="158"/>
      <c r="C387" s="158"/>
      <c r="D387" s="158"/>
      <c r="E387" s="158"/>
      <c r="F387" s="158"/>
    </row>
    <row r="388" spans="2:6">
      <c r="B388" s="158"/>
      <c r="C388" s="158"/>
      <c r="D388" s="158"/>
      <c r="E388" s="158"/>
      <c r="F388" s="158"/>
    </row>
    <row r="389" spans="2:6">
      <c r="B389" s="158"/>
      <c r="C389" s="158"/>
      <c r="D389" s="158"/>
      <c r="E389" s="158"/>
      <c r="F389" s="158"/>
    </row>
    <row r="390" spans="2:6">
      <c r="B390" s="158"/>
      <c r="C390" s="158"/>
      <c r="D390" s="158"/>
      <c r="E390" s="158"/>
      <c r="F390" s="158"/>
    </row>
    <row r="391" spans="2:6">
      <c r="B391" s="158"/>
      <c r="C391" s="158"/>
      <c r="D391" s="158"/>
      <c r="E391" s="158"/>
      <c r="F391" s="158"/>
    </row>
    <row r="392" spans="2:6">
      <c r="B392" s="158"/>
      <c r="C392" s="158"/>
      <c r="D392" s="158"/>
      <c r="E392" s="158"/>
      <c r="F392" s="158"/>
    </row>
    <row r="393" spans="2:6">
      <c r="B393" s="158"/>
      <c r="C393" s="158"/>
      <c r="D393" s="158"/>
      <c r="E393" s="158"/>
      <c r="F393" s="158"/>
    </row>
    <row r="394" spans="2:6">
      <c r="B394" s="158"/>
      <c r="C394" s="158"/>
      <c r="D394" s="158"/>
      <c r="E394" s="158"/>
      <c r="F394" s="158"/>
    </row>
    <row r="395" spans="2:6">
      <c r="B395" s="158"/>
      <c r="C395" s="158"/>
      <c r="D395" s="158"/>
      <c r="E395" s="158"/>
      <c r="F395" s="158"/>
    </row>
    <row r="396" spans="2:6">
      <c r="B396" s="158"/>
      <c r="C396" s="158"/>
      <c r="D396" s="158"/>
      <c r="E396" s="158"/>
      <c r="F396" s="158"/>
    </row>
    <row r="397" spans="2:6">
      <c r="B397" s="158"/>
      <c r="C397" s="158"/>
      <c r="D397" s="158"/>
      <c r="E397" s="158"/>
      <c r="F397" s="158"/>
    </row>
    <row r="398" spans="2:6">
      <c r="B398" s="158"/>
      <c r="C398" s="158"/>
      <c r="D398" s="158"/>
      <c r="E398" s="158"/>
      <c r="F398" s="158"/>
    </row>
    <row r="399" spans="2:6">
      <c r="B399" s="158"/>
      <c r="C399" s="158"/>
      <c r="D399" s="158"/>
      <c r="E399" s="158"/>
      <c r="F399" s="158"/>
    </row>
    <row r="400" spans="2:6">
      <c r="B400" s="158"/>
      <c r="C400" s="158"/>
      <c r="D400" s="158"/>
      <c r="E400" s="158"/>
      <c r="F400" s="158"/>
    </row>
    <row r="401" spans="2:6">
      <c r="B401" s="158"/>
      <c r="C401" s="158"/>
      <c r="D401" s="158"/>
      <c r="E401" s="158"/>
      <c r="F401" s="158"/>
    </row>
    <row r="402" spans="2:6">
      <c r="B402" s="158"/>
      <c r="C402" s="158"/>
      <c r="D402" s="158"/>
      <c r="E402" s="158"/>
      <c r="F402" s="158"/>
    </row>
    <row r="403" spans="2:6">
      <c r="B403" s="158"/>
      <c r="C403" s="158"/>
      <c r="D403" s="158"/>
      <c r="E403" s="158"/>
      <c r="F403" s="158"/>
    </row>
    <row r="404" spans="2:6">
      <c r="B404" s="158"/>
      <c r="C404" s="158"/>
      <c r="D404" s="158"/>
      <c r="E404" s="158"/>
      <c r="F404" s="158"/>
    </row>
    <row r="405" spans="2:6">
      <c r="B405" s="158"/>
      <c r="C405" s="158"/>
      <c r="D405" s="158"/>
      <c r="E405" s="158"/>
      <c r="F405" s="158"/>
    </row>
    <row r="406" spans="2:6">
      <c r="B406" s="158"/>
      <c r="C406" s="158"/>
      <c r="D406" s="158"/>
      <c r="E406" s="158"/>
      <c r="F406" s="158"/>
    </row>
    <row r="407" spans="2:6">
      <c r="B407" s="158"/>
      <c r="C407" s="158"/>
      <c r="D407" s="158"/>
      <c r="E407" s="158"/>
      <c r="F407" s="158"/>
    </row>
    <row r="408" spans="2:6">
      <c r="B408" s="158"/>
      <c r="C408" s="158"/>
      <c r="D408" s="158"/>
      <c r="E408" s="158"/>
      <c r="F408" s="158"/>
    </row>
    <row r="409" spans="2:6">
      <c r="B409" s="158"/>
      <c r="C409" s="158"/>
      <c r="D409" s="158"/>
      <c r="E409" s="158"/>
      <c r="F409" s="158"/>
    </row>
    <row r="410" spans="2:6">
      <c r="B410" s="158"/>
      <c r="C410" s="158"/>
      <c r="D410" s="158"/>
      <c r="E410" s="158"/>
      <c r="F410" s="158"/>
    </row>
    <row r="411" spans="2:6">
      <c r="B411" s="158"/>
      <c r="C411" s="158"/>
      <c r="D411" s="158"/>
      <c r="E411" s="158"/>
      <c r="F411" s="158"/>
    </row>
    <row r="412" spans="2:6">
      <c r="B412" s="158"/>
      <c r="C412" s="158"/>
      <c r="D412" s="158"/>
      <c r="E412" s="158"/>
      <c r="F412" s="158"/>
    </row>
    <row r="413" spans="2:6">
      <c r="B413" s="158"/>
      <c r="C413" s="158"/>
      <c r="D413" s="158"/>
      <c r="E413" s="158"/>
      <c r="F413" s="158"/>
    </row>
    <row r="414" spans="2:6">
      <c r="B414" s="158"/>
      <c r="C414" s="158"/>
      <c r="D414" s="158"/>
      <c r="E414" s="158"/>
      <c r="F414" s="158"/>
    </row>
    <row r="415" spans="2:6">
      <c r="B415" s="158"/>
      <c r="C415" s="158"/>
      <c r="D415" s="158"/>
      <c r="E415" s="158"/>
      <c r="F415" s="158"/>
    </row>
    <row r="416" spans="2:6">
      <c r="B416" s="158"/>
      <c r="C416" s="158"/>
      <c r="D416" s="158"/>
      <c r="E416" s="158"/>
      <c r="F416" s="158"/>
    </row>
    <row r="417" spans="2:6">
      <c r="B417" s="158"/>
      <c r="C417" s="158"/>
      <c r="D417" s="158"/>
      <c r="E417" s="158"/>
      <c r="F417" s="158"/>
    </row>
    <row r="418" spans="2:6">
      <c r="B418" s="158"/>
      <c r="C418" s="158"/>
      <c r="D418" s="158"/>
      <c r="E418" s="158"/>
      <c r="F418" s="158"/>
    </row>
    <row r="419" spans="2:6">
      <c r="B419" s="158"/>
      <c r="C419" s="158"/>
      <c r="D419" s="158"/>
      <c r="E419" s="158"/>
      <c r="F419" s="158"/>
    </row>
    <row r="420" spans="2:6">
      <c r="B420" s="158"/>
      <c r="C420" s="158"/>
      <c r="D420" s="158"/>
      <c r="E420" s="158"/>
      <c r="F420" s="158"/>
    </row>
    <row r="421" spans="2:6">
      <c r="B421" s="158"/>
      <c r="C421" s="158"/>
      <c r="D421" s="158"/>
      <c r="E421" s="158"/>
      <c r="F421" s="158"/>
    </row>
    <row r="422" spans="2:6">
      <c r="B422" s="158"/>
      <c r="C422" s="158"/>
      <c r="D422" s="158"/>
      <c r="E422" s="158"/>
      <c r="F422" s="158"/>
    </row>
    <row r="423" spans="2:6">
      <c r="B423" s="158"/>
      <c r="C423" s="158"/>
      <c r="D423" s="158"/>
      <c r="E423" s="158"/>
      <c r="F423" s="158"/>
    </row>
    <row r="424" spans="2:6">
      <c r="B424" s="158"/>
      <c r="C424" s="158"/>
      <c r="D424" s="158"/>
      <c r="E424" s="158"/>
      <c r="F424" s="158"/>
    </row>
    <row r="425" spans="2:6">
      <c r="B425" s="158"/>
      <c r="C425" s="158"/>
      <c r="D425" s="158"/>
      <c r="E425" s="158"/>
      <c r="F425" s="158"/>
    </row>
    <row r="426" spans="2:6">
      <c r="B426" s="158"/>
      <c r="C426" s="158"/>
      <c r="D426" s="158"/>
      <c r="E426" s="158"/>
      <c r="F426" s="158"/>
    </row>
    <row r="427" spans="2:6">
      <c r="B427" s="158"/>
      <c r="C427" s="158"/>
      <c r="D427" s="158"/>
      <c r="E427" s="158"/>
      <c r="F427" s="158"/>
    </row>
    <row r="428" spans="2:6">
      <c r="B428" s="158"/>
      <c r="C428" s="158"/>
      <c r="D428" s="158"/>
      <c r="E428" s="158"/>
      <c r="F428" s="158"/>
    </row>
    <row r="429" spans="2:6">
      <c r="B429" s="158"/>
      <c r="C429" s="158"/>
      <c r="D429" s="158"/>
      <c r="E429" s="158"/>
      <c r="F429" s="158"/>
    </row>
    <row r="430" spans="2:6">
      <c r="B430" s="158"/>
      <c r="C430" s="158"/>
      <c r="D430" s="158"/>
      <c r="E430" s="158"/>
      <c r="F430" s="158"/>
    </row>
    <row r="431" spans="2:6">
      <c r="B431" s="158"/>
      <c r="C431" s="158"/>
      <c r="D431" s="158"/>
      <c r="E431" s="158"/>
      <c r="F431" s="158"/>
    </row>
    <row r="432" spans="2:6">
      <c r="B432" s="158"/>
      <c r="C432" s="158"/>
      <c r="D432" s="158"/>
      <c r="E432" s="158"/>
      <c r="F432" s="158"/>
    </row>
    <row r="433" spans="2:6">
      <c r="B433" s="158"/>
      <c r="C433" s="158"/>
      <c r="D433" s="158"/>
      <c r="E433" s="158"/>
      <c r="F433" s="158"/>
    </row>
    <row r="434" spans="2:6">
      <c r="B434" s="158"/>
      <c r="C434" s="158"/>
      <c r="D434" s="158"/>
      <c r="E434" s="158"/>
      <c r="F434" s="158"/>
    </row>
    <row r="435" spans="2:6">
      <c r="B435" s="158"/>
      <c r="C435" s="158"/>
      <c r="D435" s="158"/>
      <c r="E435" s="158"/>
      <c r="F435" s="158"/>
    </row>
    <row r="436" spans="2:6">
      <c r="B436" s="158"/>
      <c r="C436" s="158"/>
      <c r="D436" s="158"/>
      <c r="E436" s="158"/>
      <c r="F436" s="158"/>
    </row>
    <row r="437" spans="2:6">
      <c r="B437" s="158"/>
      <c r="C437" s="158"/>
      <c r="D437" s="158"/>
      <c r="E437" s="158"/>
      <c r="F437" s="158"/>
    </row>
    <row r="438" spans="2:6">
      <c r="B438" s="158"/>
      <c r="C438" s="158"/>
      <c r="D438" s="158"/>
      <c r="E438" s="158"/>
      <c r="F438" s="158"/>
    </row>
    <row r="439" spans="2:6">
      <c r="B439" s="158"/>
      <c r="C439" s="158"/>
      <c r="D439" s="158"/>
      <c r="E439" s="158"/>
      <c r="F439" s="158"/>
    </row>
    <row r="440" spans="2:6">
      <c r="B440" s="158"/>
      <c r="C440" s="158"/>
      <c r="D440" s="158"/>
      <c r="E440" s="158"/>
      <c r="F440" s="158"/>
    </row>
    <row r="441" spans="2:6">
      <c r="B441" s="158"/>
      <c r="C441" s="158"/>
      <c r="D441" s="158"/>
      <c r="E441" s="158"/>
      <c r="F441" s="158"/>
    </row>
    <row r="442" spans="2:6">
      <c r="B442" s="158"/>
      <c r="C442" s="158"/>
      <c r="D442" s="158"/>
      <c r="E442" s="158"/>
      <c r="F442" s="158"/>
    </row>
    <row r="443" spans="2:6">
      <c r="B443" s="158"/>
      <c r="C443" s="158"/>
      <c r="D443" s="158"/>
      <c r="E443" s="158"/>
      <c r="F443" s="158"/>
    </row>
    <row r="444" spans="2:6">
      <c r="B444" s="158"/>
      <c r="C444" s="158"/>
      <c r="D444" s="158"/>
      <c r="E444" s="158"/>
      <c r="F444" s="158"/>
    </row>
    <row r="445" spans="2:6">
      <c r="B445" s="158"/>
      <c r="C445" s="158"/>
      <c r="D445" s="158"/>
      <c r="E445" s="158"/>
      <c r="F445" s="158"/>
    </row>
    <row r="446" spans="2:6">
      <c r="B446" s="158"/>
      <c r="C446" s="158"/>
      <c r="D446" s="158"/>
      <c r="E446" s="158"/>
      <c r="F446" s="158"/>
    </row>
    <row r="447" spans="2:6">
      <c r="B447" s="158"/>
      <c r="C447" s="158"/>
      <c r="D447" s="158"/>
      <c r="E447" s="158"/>
      <c r="F447" s="158"/>
    </row>
    <row r="448" spans="2:6">
      <c r="B448" s="158"/>
      <c r="C448" s="158"/>
      <c r="D448" s="158"/>
      <c r="E448" s="158"/>
      <c r="F448" s="158"/>
    </row>
    <row r="449" spans="2:6">
      <c r="B449" s="158"/>
      <c r="C449" s="158"/>
      <c r="D449" s="158"/>
      <c r="E449" s="158"/>
      <c r="F449" s="158"/>
    </row>
    <row r="450" spans="2:6">
      <c r="B450" s="158"/>
      <c r="C450" s="158"/>
      <c r="D450" s="158"/>
      <c r="E450" s="158"/>
      <c r="F450" s="158"/>
    </row>
    <row r="451" spans="2:6">
      <c r="B451" s="158"/>
      <c r="C451" s="158"/>
      <c r="D451" s="158"/>
      <c r="E451" s="158"/>
      <c r="F451" s="158"/>
    </row>
    <row r="452" spans="2:6">
      <c r="B452" s="158"/>
      <c r="C452" s="158"/>
      <c r="D452" s="158"/>
      <c r="E452" s="158"/>
      <c r="F452" s="158"/>
    </row>
    <row r="453" spans="2:6">
      <c r="B453" s="158"/>
      <c r="C453" s="158"/>
      <c r="D453" s="158"/>
      <c r="E453" s="158"/>
      <c r="F453" s="158"/>
    </row>
    <row r="454" spans="2:6">
      <c r="B454" s="158"/>
      <c r="C454" s="158"/>
      <c r="D454" s="158"/>
      <c r="E454" s="158"/>
      <c r="F454" s="158"/>
    </row>
    <row r="455" spans="2:6">
      <c r="B455" s="158"/>
      <c r="C455" s="158"/>
      <c r="D455" s="158"/>
      <c r="E455" s="158"/>
      <c r="F455" s="158"/>
    </row>
    <row r="456" spans="2:6">
      <c r="B456" s="158"/>
      <c r="C456" s="158"/>
      <c r="D456" s="158"/>
      <c r="E456" s="158"/>
      <c r="F456" s="158"/>
    </row>
    <row r="457" spans="2:6">
      <c r="B457" s="158"/>
      <c r="C457" s="158"/>
      <c r="D457" s="158"/>
      <c r="E457" s="158"/>
      <c r="F457" s="158"/>
    </row>
    <row r="458" spans="2:6">
      <c r="B458" s="158"/>
      <c r="C458" s="158"/>
      <c r="D458" s="158"/>
      <c r="E458" s="158"/>
      <c r="F458" s="158"/>
    </row>
    <row r="459" spans="2:6">
      <c r="B459" s="158"/>
      <c r="C459" s="158"/>
      <c r="D459" s="158"/>
      <c r="E459" s="158"/>
      <c r="F459" s="158"/>
    </row>
    <row r="460" spans="2:6">
      <c r="B460" s="158"/>
      <c r="C460" s="158"/>
      <c r="D460" s="158"/>
      <c r="E460" s="158"/>
      <c r="F460" s="158"/>
    </row>
    <row r="461" spans="2:6">
      <c r="B461" s="158"/>
      <c r="C461" s="158"/>
      <c r="D461" s="158"/>
      <c r="E461" s="158"/>
      <c r="F461" s="158"/>
    </row>
    <row r="462" spans="2:6">
      <c r="B462" s="158"/>
      <c r="C462" s="158"/>
      <c r="D462" s="158"/>
      <c r="E462" s="158"/>
      <c r="F462" s="158"/>
    </row>
    <row r="463" spans="2:6">
      <c r="B463" s="158"/>
      <c r="C463" s="158"/>
      <c r="D463" s="158"/>
      <c r="E463" s="158"/>
      <c r="F463" s="158"/>
    </row>
    <row r="464" spans="2:6">
      <c r="B464" s="158"/>
      <c r="C464" s="158"/>
      <c r="D464" s="158"/>
      <c r="E464" s="158"/>
      <c r="F464" s="158"/>
    </row>
    <row r="465" spans="2:6">
      <c r="B465" s="158"/>
      <c r="C465" s="158"/>
      <c r="D465" s="158"/>
      <c r="E465" s="158"/>
      <c r="F465" s="158"/>
    </row>
    <row r="466" spans="2:6">
      <c r="B466" s="158"/>
      <c r="C466" s="158"/>
      <c r="D466" s="158"/>
      <c r="E466" s="158"/>
      <c r="F466" s="158"/>
    </row>
    <row r="467" spans="2:6">
      <c r="B467" s="158"/>
      <c r="C467" s="158"/>
      <c r="D467" s="158"/>
      <c r="E467" s="158"/>
      <c r="F467" s="158"/>
    </row>
    <row r="468" spans="2:6">
      <c r="B468" s="158"/>
      <c r="C468" s="158"/>
      <c r="D468" s="158"/>
      <c r="E468" s="158"/>
      <c r="F468" s="158"/>
    </row>
    <row r="469" spans="2:6">
      <c r="B469" s="158"/>
      <c r="C469" s="158"/>
      <c r="D469" s="158"/>
      <c r="E469" s="158"/>
      <c r="F469" s="158"/>
    </row>
    <row r="470" spans="2:6">
      <c r="B470" s="158"/>
      <c r="C470" s="158"/>
      <c r="D470" s="158"/>
      <c r="E470" s="158"/>
      <c r="F470" s="158"/>
    </row>
    <row r="471" spans="2:6">
      <c r="B471" s="158"/>
      <c r="C471" s="158"/>
      <c r="D471" s="158"/>
      <c r="E471" s="158"/>
      <c r="F471" s="158"/>
    </row>
    <row r="472" spans="2:6">
      <c r="B472" s="158"/>
      <c r="C472" s="158"/>
      <c r="D472" s="158"/>
      <c r="E472" s="158"/>
      <c r="F472" s="158"/>
    </row>
    <row r="473" spans="2:6">
      <c r="B473" s="158"/>
      <c r="C473" s="158"/>
      <c r="D473" s="158"/>
      <c r="E473" s="158"/>
      <c r="F473" s="158"/>
    </row>
    <row r="474" spans="2:6">
      <c r="B474" s="158"/>
      <c r="C474" s="158"/>
      <c r="D474" s="158"/>
      <c r="E474" s="158"/>
      <c r="F474" s="158"/>
    </row>
    <row r="475" spans="2:6">
      <c r="B475" s="158"/>
      <c r="C475" s="158"/>
      <c r="D475" s="158"/>
      <c r="E475" s="158"/>
      <c r="F475" s="158"/>
    </row>
    <row r="476" spans="2:6">
      <c r="B476" s="158"/>
      <c r="C476" s="158"/>
      <c r="D476" s="158"/>
      <c r="E476" s="158"/>
      <c r="F476" s="158"/>
    </row>
    <row r="477" spans="2:6">
      <c r="B477" s="158"/>
      <c r="C477" s="158"/>
      <c r="D477" s="158"/>
      <c r="E477" s="158"/>
      <c r="F477" s="158"/>
    </row>
    <row r="478" spans="2:6">
      <c r="B478" s="158"/>
      <c r="C478" s="158"/>
      <c r="D478" s="158"/>
      <c r="E478" s="158"/>
      <c r="F478" s="158"/>
    </row>
    <row r="479" spans="2:6">
      <c r="B479" s="158"/>
      <c r="C479" s="158"/>
      <c r="D479" s="158"/>
      <c r="E479" s="158"/>
      <c r="F479" s="158"/>
    </row>
    <row r="480" spans="2:6">
      <c r="B480" s="158"/>
      <c r="C480" s="158"/>
      <c r="D480" s="158"/>
      <c r="E480" s="158"/>
      <c r="F480" s="158"/>
    </row>
    <row r="481" spans="2:6">
      <c r="B481" s="158"/>
      <c r="C481" s="158"/>
      <c r="D481" s="158"/>
      <c r="E481" s="158"/>
      <c r="F481" s="158"/>
    </row>
    <row r="482" spans="2:6">
      <c r="B482" s="158"/>
      <c r="C482" s="158"/>
      <c r="D482" s="158"/>
      <c r="E482" s="158"/>
      <c r="F482" s="158"/>
    </row>
    <row r="483" spans="2:6">
      <c r="B483" s="158"/>
      <c r="C483" s="158"/>
      <c r="D483" s="158"/>
      <c r="E483" s="158"/>
      <c r="F483" s="158"/>
    </row>
    <row r="484" spans="2:6">
      <c r="B484" s="158"/>
      <c r="C484" s="158"/>
      <c r="D484" s="158"/>
      <c r="E484" s="158"/>
      <c r="F484" s="158"/>
    </row>
    <row r="485" spans="2:6">
      <c r="B485" s="158"/>
      <c r="C485" s="158"/>
      <c r="D485" s="158"/>
      <c r="E485" s="158"/>
      <c r="F485" s="158"/>
    </row>
    <row r="486" spans="2:6">
      <c r="B486" s="158"/>
      <c r="C486" s="158"/>
      <c r="D486" s="158"/>
      <c r="E486" s="158"/>
      <c r="F486" s="158"/>
    </row>
    <row r="487" spans="2:6">
      <c r="B487" s="158"/>
      <c r="C487" s="158"/>
      <c r="D487" s="158"/>
      <c r="E487" s="158"/>
      <c r="F487" s="158"/>
    </row>
    <row r="488" spans="2:6">
      <c r="B488" s="158"/>
      <c r="C488" s="158"/>
      <c r="D488" s="158"/>
      <c r="E488" s="158"/>
      <c r="F488" s="158"/>
    </row>
    <row r="489" spans="2:6">
      <c r="B489" s="158"/>
      <c r="C489" s="158"/>
      <c r="D489" s="158"/>
      <c r="E489" s="158"/>
      <c r="F489" s="158"/>
    </row>
    <row r="490" spans="2:6">
      <c r="B490" s="158"/>
      <c r="C490" s="158"/>
      <c r="D490" s="158"/>
      <c r="E490" s="158"/>
      <c r="F490" s="158"/>
    </row>
    <row r="491" spans="2:6">
      <c r="B491" s="158"/>
      <c r="C491" s="158"/>
      <c r="D491" s="158"/>
      <c r="E491" s="158"/>
      <c r="F491" s="158"/>
    </row>
    <row r="492" spans="2:6">
      <c r="B492" s="158"/>
      <c r="C492" s="158"/>
      <c r="D492" s="158"/>
      <c r="E492" s="158"/>
      <c r="F492" s="158"/>
    </row>
    <row r="493" spans="2:6">
      <c r="B493" s="158"/>
      <c r="C493" s="158"/>
      <c r="D493" s="158"/>
      <c r="E493" s="158"/>
      <c r="F493" s="158"/>
    </row>
    <row r="494" spans="2:6">
      <c r="B494" s="158"/>
      <c r="C494" s="158"/>
      <c r="D494" s="158"/>
      <c r="E494" s="158"/>
      <c r="F494" s="158"/>
    </row>
    <row r="495" spans="2:6">
      <c r="B495" s="158"/>
      <c r="C495" s="158"/>
      <c r="D495" s="158"/>
      <c r="E495" s="158"/>
      <c r="F495" s="158"/>
    </row>
    <row r="496" spans="2:6">
      <c r="B496" s="158"/>
      <c r="C496" s="158"/>
      <c r="D496" s="158"/>
      <c r="E496" s="158"/>
      <c r="F496" s="158"/>
    </row>
    <row r="497" spans="2:6">
      <c r="B497" s="158"/>
      <c r="C497" s="158"/>
      <c r="D497" s="158"/>
      <c r="E497" s="158"/>
      <c r="F497" s="158"/>
    </row>
    <row r="498" spans="2:6">
      <c r="B498" s="158"/>
      <c r="C498" s="158"/>
      <c r="D498" s="158"/>
      <c r="E498" s="158"/>
      <c r="F498" s="158"/>
    </row>
    <row r="499" spans="2:6">
      <c r="B499" s="158"/>
      <c r="C499" s="158"/>
      <c r="D499" s="158"/>
      <c r="E499" s="158"/>
      <c r="F499" s="158"/>
    </row>
    <row r="500" spans="2:6">
      <c r="B500" s="158"/>
      <c r="C500" s="158"/>
      <c r="D500" s="158"/>
      <c r="E500" s="158"/>
      <c r="F500" s="158"/>
    </row>
    <row r="501" spans="2:6">
      <c r="B501" s="158"/>
      <c r="C501" s="158"/>
      <c r="D501" s="158"/>
      <c r="E501" s="158"/>
      <c r="F501" s="158"/>
    </row>
    <row r="502" spans="2:6">
      <c r="B502" s="158"/>
      <c r="C502" s="158"/>
      <c r="D502" s="158"/>
      <c r="E502" s="158"/>
      <c r="F502" s="158"/>
    </row>
    <row r="503" spans="2:6">
      <c r="B503" s="158"/>
      <c r="C503" s="158"/>
      <c r="D503" s="158"/>
      <c r="E503" s="158"/>
      <c r="F503" s="158"/>
    </row>
    <row r="504" spans="2:6">
      <c r="B504" s="158"/>
      <c r="C504" s="158"/>
      <c r="D504" s="158"/>
      <c r="E504" s="158"/>
      <c r="F504" s="158"/>
    </row>
    <row r="505" spans="2:6">
      <c r="B505" s="158"/>
      <c r="C505" s="158"/>
      <c r="D505" s="158"/>
      <c r="E505" s="158"/>
      <c r="F505" s="158"/>
    </row>
    <row r="506" spans="2:6">
      <c r="B506" s="158"/>
      <c r="C506" s="158"/>
      <c r="D506" s="158"/>
      <c r="E506" s="158"/>
      <c r="F506" s="158"/>
    </row>
    <row r="507" spans="2:6">
      <c r="B507" s="158"/>
      <c r="C507" s="158"/>
      <c r="D507" s="158"/>
      <c r="E507" s="158"/>
      <c r="F507" s="158"/>
    </row>
    <row r="508" spans="2:6">
      <c r="B508" s="158"/>
      <c r="C508" s="158"/>
      <c r="D508" s="158"/>
      <c r="E508" s="158"/>
      <c r="F508" s="158"/>
    </row>
    <row r="509" spans="2:6">
      <c r="B509" s="158"/>
      <c r="C509" s="158"/>
      <c r="D509" s="158"/>
      <c r="E509" s="158"/>
      <c r="F509" s="158"/>
    </row>
    <row r="510" spans="2:6">
      <c r="B510" s="158"/>
      <c r="C510" s="158"/>
      <c r="D510" s="158"/>
      <c r="E510" s="158"/>
      <c r="F510" s="158"/>
    </row>
    <row r="511" spans="2:6">
      <c r="B511" s="158"/>
      <c r="C511" s="158"/>
      <c r="D511" s="158"/>
      <c r="E511" s="158"/>
      <c r="F511" s="158"/>
    </row>
    <row r="512" spans="2:6">
      <c r="B512" s="158"/>
      <c r="C512" s="158"/>
      <c r="D512" s="158"/>
      <c r="E512" s="158"/>
      <c r="F512" s="158"/>
    </row>
    <row r="513" spans="2:6">
      <c r="B513" s="158"/>
      <c r="C513" s="158"/>
      <c r="D513" s="158"/>
      <c r="E513" s="158"/>
      <c r="F513" s="158"/>
    </row>
    <row r="514" spans="2:6">
      <c r="B514" s="158"/>
      <c r="C514" s="158"/>
      <c r="D514" s="158"/>
      <c r="E514" s="158"/>
      <c r="F514" s="158"/>
    </row>
    <row r="515" spans="2:6">
      <c r="B515" s="158"/>
      <c r="C515" s="158"/>
      <c r="D515" s="158"/>
      <c r="E515" s="158"/>
      <c r="F515" s="158"/>
    </row>
    <row r="516" spans="2:6">
      <c r="B516" s="158"/>
      <c r="C516" s="158"/>
      <c r="D516" s="158"/>
      <c r="E516" s="158"/>
      <c r="F516" s="158"/>
    </row>
    <row r="517" spans="2:6">
      <c r="B517" s="158"/>
      <c r="C517" s="158"/>
      <c r="D517" s="158"/>
      <c r="E517" s="158"/>
      <c r="F517" s="158"/>
    </row>
    <row r="518" spans="2:6">
      <c r="B518" s="158"/>
      <c r="C518" s="158"/>
      <c r="D518" s="158"/>
      <c r="E518" s="158"/>
      <c r="F518" s="158"/>
    </row>
    <row r="519" spans="2:6">
      <c r="B519" s="158"/>
      <c r="C519" s="158"/>
      <c r="D519" s="158"/>
      <c r="E519" s="158"/>
      <c r="F519" s="158"/>
    </row>
    <row r="520" spans="2:6">
      <c r="B520" s="158"/>
      <c r="C520" s="158"/>
      <c r="D520" s="158"/>
      <c r="E520" s="158"/>
      <c r="F520" s="158"/>
    </row>
    <row r="521" spans="2:6">
      <c r="B521" s="158"/>
      <c r="C521" s="158"/>
      <c r="D521" s="158"/>
      <c r="E521" s="158"/>
      <c r="F521" s="158"/>
    </row>
    <row r="522" spans="2:6">
      <c r="B522" s="158"/>
      <c r="C522" s="158"/>
      <c r="D522" s="158"/>
      <c r="E522" s="158"/>
      <c r="F522" s="158"/>
    </row>
    <row r="523" spans="2:6">
      <c r="B523" s="158"/>
      <c r="C523" s="158"/>
      <c r="D523" s="158"/>
      <c r="E523" s="158"/>
      <c r="F523" s="158"/>
    </row>
    <row r="524" spans="2:6">
      <c r="B524" s="158"/>
      <c r="C524" s="158"/>
      <c r="D524" s="158"/>
      <c r="E524" s="158"/>
      <c r="F524" s="158"/>
    </row>
    <row r="525" spans="2:6">
      <c r="B525" s="158"/>
      <c r="C525" s="158"/>
      <c r="D525" s="158"/>
      <c r="E525" s="158"/>
      <c r="F525" s="158"/>
    </row>
    <row r="526" spans="2:6">
      <c r="B526" s="158"/>
      <c r="C526" s="158"/>
      <c r="D526" s="158"/>
      <c r="E526" s="158"/>
      <c r="F526" s="158"/>
    </row>
    <row r="527" spans="2:6">
      <c r="B527" s="158"/>
      <c r="C527" s="158"/>
      <c r="D527" s="158"/>
      <c r="E527" s="158"/>
      <c r="F527" s="158"/>
    </row>
    <row r="528" spans="2:6">
      <c r="B528" s="158"/>
      <c r="C528" s="158"/>
      <c r="D528" s="158"/>
      <c r="E528" s="158"/>
      <c r="F528" s="158"/>
    </row>
    <row r="529" spans="2:6">
      <c r="B529" s="158"/>
      <c r="C529" s="158"/>
      <c r="D529" s="158"/>
      <c r="E529" s="158"/>
      <c r="F529" s="158"/>
    </row>
    <row r="530" spans="2:6">
      <c r="B530" s="158"/>
      <c r="C530" s="158"/>
      <c r="D530" s="158"/>
      <c r="E530" s="158"/>
      <c r="F530" s="158"/>
    </row>
    <row r="531" spans="2:6">
      <c r="B531" s="158"/>
      <c r="C531" s="158"/>
      <c r="D531" s="158"/>
      <c r="E531" s="158"/>
      <c r="F531" s="158"/>
    </row>
    <row r="532" spans="2:6">
      <c r="B532" s="158"/>
      <c r="C532" s="158"/>
      <c r="D532" s="158"/>
      <c r="E532" s="158"/>
      <c r="F532" s="158"/>
    </row>
    <row r="533" spans="2:6">
      <c r="B533" s="158"/>
      <c r="C533" s="158"/>
      <c r="D533" s="158"/>
      <c r="E533" s="158"/>
      <c r="F533" s="158"/>
    </row>
    <row r="534" spans="2:6">
      <c r="B534" s="158"/>
      <c r="C534" s="158"/>
      <c r="D534" s="158"/>
      <c r="E534" s="158"/>
      <c r="F534" s="158"/>
    </row>
    <row r="535" spans="2:6">
      <c r="B535" s="158"/>
      <c r="C535" s="158"/>
      <c r="D535" s="158"/>
      <c r="E535" s="158"/>
      <c r="F535" s="158"/>
    </row>
    <row r="536" spans="2:6">
      <c r="B536" s="158"/>
      <c r="C536" s="158"/>
      <c r="D536" s="158"/>
      <c r="E536" s="158"/>
      <c r="F536" s="158"/>
    </row>
    <row r="537" spans="2:6">
      <c r="B537" s="158"/>
      <c r="C537" s="158"/>
      <c r="D537" s="158"/>
      <c r="E537" s="158"/>
      <c r="F537" s="158"/>
    </row>
    <row r="538" spans="2:6">
      <c r="B538" s="158"/>
      <c r="C538" s="158"/>
      <c r="D538" s="158"/>
      <c r="E538" s="158"/>
      <c r="F538" s="158"/>
    </row>
    <row r="539" spans="2:6">
      <c r="B539" s="158"/>
      <c r="C539" s="158"/>
      <c r="D539" s="158"/>
      <c r="E539" s="158"/>
      <c r="F539" s="158"/>
    </row>
    <row r="540" spans="2:6">
      <c r="B540" s="158"/>
      <c r="C540" s="158"/>
      <c r="D540" s="158"/>
      <c r="E540" s="158"/>
      <c r="F540" s="158"/>
    </row>
    <row r="541" spans="2:6">
      <c r="B541" s="158"/>
      <c r="C541" s="158"/>
      <c r="D541" s="158"/>
      <c r="E541" s="158"/>
      <c r="F541" s="158"/>
    </row>
    <row r="542" spans="2:6">
      <c r="B542" s="158"/>
      <c r="C542" s="158"/>
      <c r="D542" s="158"/>
      <c r="E542" s="158"/>
      <c r="F542" s="158"/>
    </row>
    <row r="543" spans="2:6">
      <c r="B543" s="158"/>
      <c r="C543" s="158"/>
      <c r="D543" s="158"/>
      <c r="E543" s="158"/>
      <c r="F543" s="158"/>
    </row>
    <row r="544" spans="2:6">
      <c r="B544" s="158"/>
      <c r="C544" s="158"/>
      <c r="D544" s="158"/>
      <c r="E544" s="158"/>
      <c r="F544" s="158"/>
    </row>
    <row r="545" spans="2:6">
      <c r="B545" s="158"/>
      <c r="C545" s="158"/>
      <c r="D545" s="158"/>
      <c r="E545" s="158"/>
      <c r="F545" s="158"/>
    </row>
    <row r="546" spans="2:6">
      <c r="B546" s="158"/>
      <c r="C546" s="158"/>
      <c r="D546" s="158"/>
      <c r="E546" s="158"/>
      <c r="F546" s="158"/>
    </row>
    <row r="547" spans="2:6">
      <c r="B547" s="158"/>
      <c r="C547" s="158"/>
      <c r="D547" s="158"/>
      <c r="E547" s="158"/>
      <c r="F547" s="158"/>
    </row>
    <row r="548" spans="2:6">
      <c r="B548" s="158"/>
      <c r="C548" s="158"/>
      <c r="D548" s="158"/>
      <c r="E548" s="158"/>
      <c r="F548" s="158"/>
    </row>
    <row r="549" spans="2:6">
      <c r="B549" s="158"/>
      <c r="C549" s="158"/>
      <c r="D549" s="158"/>
      <c r="E549" s="158"/>
      <c r="F549" s="158"/>
    </row>
    <row r="550" spans="2:6">
      <c r="B550" s="158"/>
      <c r="C550" s="158"/>
      <c r="D550" s="158"/>
      <c r="E550" s="158"/>
      <c r="F550" s="158"/>
    </row>
    <row r="551" spans="2:6">
      <c r="B551" s="158"/>
      <c r="C551" s="158"/>
      <c r="D551" s="158"/>
      <c r="E551" s="158"/>
      <c r="F551" s="158"/>
    </row>
    <row r="552" spans="2:6">
      <c r="B552" s="158"/>
      <c r="C552" s="158"/>
      <c r="D552" s="158"/>
      <c r="E552" s="158"/>
      <c r="F552" s="158"/>
    </row>
    <row r="553" spans="2:6">
      <c r="B553" s="158"/>
      <c r="C553" s="158"/>
      <c r="D553" s="158"/>
      <c r="E553" s="158"/>
      <c r="F553" s="158"/>
    </row>
    <row r="554" spans="2:6">
      <c r="B554" s="158"/>
      <c r="C554" s="158"/>
      <c r="D554" s="158"/>
      <c r="E554" s="158"/>
      <c r="F554" s="158"/>
    </row>
    <row r="555" spans="2:6">
      <c r="B555" s="158"/>
      <c r="C555" s="158"/>
      <c r="D555" s="158"/>
      <c r="E555" s="158"/>
      <c r="F555" s="158"/>
    </row>
    <row r="556" spans="2:6">
      <c r="B556" s="158"/>
      <c r="C556" s="158"/>
      <c r="D556" s="158"/>
      <c r="E556" s="158"/>
      <c r="F556" s="158"/>
    </row>
    <row r="557" spans="2:6">
      <c r="B557" s="158"/>
      <c r="C557" s="158"/>
      <c r="D557" s="158"/>
      <c r="E557" s="158"/>
      <c r="F557" s="158"/>
    </row>
    <row r="558" spans="2:6">
      <c r="B558" s="158"/>
      <c r="C558" s="158"/>
      <c r="D558" s="158"/>
      <c r="E558" s="158"/>
      <c r="F558" s="158"/>
    </row>
    <row r="559" spans="2:6">
      <c r="B559" s="158"/>
      <c r="C559" s="158"/>
      <c r="D559" s="158"/>
      <c r="E559" s="158"/>
      <c r="F559" s="158"/>
    </row>
    <row r="560" spans="2:6">
      <c r="B560" s="158"/>
      <c r="C560" s="158"/>
      <c r="D560" s="158"/>
      <c r="E560" s="158"/>
      <c r="F560" s="158"/>
    </row>
    <row r="561" spans="2:6">
      <c r="B561" s="158"/>
      <c r="C561" s="158"/>
      <c r="D561" s="158"/>
      <c r="E561" s="158"/>
      <c r="F561" s="158"/>
    </row>
    <row r="562" spans="2:6">
      <c r="B562" s="158"/>
      <c r="C562" s="158"/>
      <c r="D562" s="158"/>
      <c r="E562" s="158"/>
      <c r="F562" s="158"/>
    </row>
    <row r="563" spans="2:6">
      <c r="B563" s="158"/>
      <c r="C563" s="158"/>
      <c r="D563" s="158"/>
      <c r="E563" s="158"/>
      <c r="F563" s="158"/>
    </row>
    <row r="564" spans="2:6">
      <c r="B564" s="158"/>
      <c r="C564" s="158"/>
      <c r="D564" s="158"/>
      <c r="E564" s="158"/>
      <c r="F564" s="158"/>
    </row>
    <row r="565" spans="2:6">
      <c r="B565" s="158"/>
      <c r="C565" s="158"/>
      <c r="D565" s="158"/>
      <c r="E565" s="158"/>
      <c r="F565" s="158"/>
    </row>
    <row r="566" spans="2:6">
      <c r="B566" s="158"/>
      <c r="C566" s="158"/>
      <c r="D566" s="158"/>
      <c r="E566" s="158"/>
      <c r="F566" s="158"/>
    </row>
    <row r="567" spans="2:6">
      <c r="B567" s="158"/>
      <c r="C567" s="158"/>
      <c r="D567" s="158"/>
      <c r="E567" s="158"/>
      <c r="F567" s="158"/>
    </row>
    <row r="568" spans="2:6">
      <c r="B568" s="158"/>
      <c r="C568" s="158"/>
      <c r="D568" s="158"/>
      <c r="E568" s="158"/>
      <c r="F568" s="158"/>
    </row>
    <row r="569" spans="2:6">
      <c r="B569" s="158"/>
      <c r="C569" s="158"/>
      <c r="D569" s="158"/>
      <c r="E569" s="158"/>
      <c r="F569" s="158"/>
    </row>
    <row r="570" spans="2:6">
      <c r="B570" s="158"/>
      <c r="C570" s="158"/>
      <c r="D570" s="158"/>
      <c r="E570" s="158"/>
      <c r="F570" s="158"/>
    </row>
    <row r="571" spans="2:6">
      <c r="B571" s="158"/>
      <c r="C571" s="158"/>
      <c r="D571" s="158"/>
      <c r="E571" s="158"/>
      <c r="F571" s="158"/>
    </row>
    <row r="572" spans="2:6">
      <c r="B572" s="158"/>
      <c r="C572" s="158"/>
      <c r="D572" s="158"/>
      <c r="E572" s="158"/>
      <c r="F572" s="158"/>
    </row>
    <row r="573" spans="2:6">
      <c r="B573" s="158"/>
      <c r="C573" s="158"/>
      <c r="D573" s="158"/>
      <c r="E573" s="158"/>
      <c r="F573" s="158"/>
    </row>
    <row r="574" spans="2:6">
      <c r="B574" s="158"/>
      <c r="C574" s="158"/>
      <c r="D574" s="158"/>
      <c r="E574" s="158"/>
      <c r="F574" s="158"/>
    </row>
    <row r="575" spans="2:6">
      <c r="B575" s="158"/>
      <c r="C575" s="158"/>
      <c r="D575" s="158"/>
      <c r="E575" s="158"/>
      <c r="F575" s="158"/>
    </row>
    <row r="576" spans="2:6">
      <c r="B576" s="158"/>
      <c r="C576" s="158"/>
      <c r="D576" s="158"/>
      <c r="E576" s="158"/>
      <c r="F576" s="158"/>
    </row>
    <row r="577" spans="2:6">
      <c r="B577" s="158"/>
      <c r="C577" s="158"/>
      <c r="D577" s="158"/>
      <c r="E577" s="158"/>
      <c r="F577" s="158"/>
    </row>
    <row r="578" spans="2:6">
      <c r="B578" s="158"/>
      <c r="C578" s="158"/>
      <c r="D578" s="158"/>
      <c r="E578" s="158"/>
      <c r="F578" s="158"/>
    </row>
    <row r="579" spans="2:6">
      <c r="B579" s="158"/>
      <c r="C579" s="158"/>
      <c r="D579" s="158"/>
      <c r="E579" s="158"/>
      <c r="F579" s="158"/>
    </row>
    <row r="580" spans="2:6">
      <c r="B580" s="158"/>
      <c r="C580" s="158"/>
      <c r="D580" s="158"/>
      <c r="E580" s="158"/>
      <c r="F580" s="158"/>
    </row>
    <row r="581" spans="2:6">
      <c r="B581" s="158"/>
      <c r="C581" s="158"/>
      <c r="D581" s="158"/>
      <c r="E581" s="158"/>
      <c r="F581" s="158"/>
    </row>
    <row r="582" spans="2:6">
      <c r="B582" s="158"/>
      <c r="C582" s="158"/>
      <c r="D582" s="158"/>
      <c r="E582" s="158"/>
      <c r="F582" s="158"/>
    </row>
    <row r="583" spans="2:6">
      <c r="B583" s="158"/>
      <c r="C583" s="158"/>
      <c r="D583" s="158"/>
      <c r="E583" s="158"/>
      <c r="F583" s="158"/>
    </row>
    <row r="584" spans="2:6">
      <c r="B584" s="158"/>
      <c r="C584" s="158"/>
      <c r="D584" s="158"/>
      <c r="E584" s="158"/>
      <c r="F584" s="158"/>
    </row>
    <row r="585" spans="2:6">
      <c r="B585" s="158"/>
      <c r="C585" s="158"/>
      <c r="D585" s="158"/>
      <c r="E585" s="158"/>
      <c r="F585" s="158"/>
    </row>
    <row r="586" spans="2:6">
      <c r="B586" s="158"/>
      <c r="C586" s="158"/>
      <c r="D586" s="158"/>
      <c r="E586" s="158"/>
      <c r="F586" s="158"/>
    </row>
    <row r="587" spans="2:6">
      <c r="B587" s="158"/>
      <c r="C587" s="158"/>
      <c r="D587" s="158"/>
      <c r="E587" s="158"/>
      <c r="F587" s="158"/>
    </row>
    <row r="588" spans="2:6">
      <c r="B588" s="158"/>
      <c r="C588" s="158"/>
      <c r="D588" s="158"/>
      <c r="E588" s="158"/>
      <c r="F588" s="158"/>
    </row>
    <row r="589" spans="2:6">
      <c r="B589" s="158"/>
      <c r="C589" s="158"/>
      <c r="D589" s="158"/>
      <c r="E589" s="158"/>
      <c r="F589" s="158"/>
    </row>
    <row r="590" spans="2:6">
      <c r="B590" s="158"/>
      <c r="C590" s="158"/>
      <c r="D590" s="158"/>
      <c r="E590" s="158"/>
      <c r="F590" s="158"/>
    </row>
    <row r="591" spans="2:6">
      <c r="B591" s="158"/>
      <c r="C591" s="158"/>
      <c r="D591" s="158"/>
      <c r="E591" s="158"/>
      <c r="F591" s="158"/>
    </row>
    <row r="592" spans="2:6">
      <c r="B592" s="158"/>
      <c r="C592" s="158"/>
      <c r="D592" s="158"/>
      <c r="E592" s="158"/>
      <c r="F592" s="158"/>
    </row>
    <row r="593" spans="2:6">
      <c r="B593" s="158"/>
      <c r="C593" s="158"/>
      <c r="D593" s="158"/>
      <c r="E593" s="158"/>
      <c r="F593" s="158"/>
    </row>
    <row r="594" spans="2:6">
      <c r="B594" s="158"/>
      <c r="C594" s="158"/>
      <c r="D594" s="158"/>
      <c r="E594" s="158"/>
      <c r="F594" s="158"/>
    </row>
    <row r="595" spans="2:6">
      <c r="B595" s="158"/>
      <c r="C595" s="158"/>
      <c r="D595" s="158"/>
      <c r="E595" s="158"/>
      <c r="F595" s="158"/>
    </row>
    <row r="596" spans="2:6">
      <c r="B596" s="158"/>
      <c r="C596" s="158"/>
      <c r="D596" s="158"/>
      <c r="E596" s="158"/>
      <c r="F596" s="158"/>
    </row>
    <row r="597" spans="2:6">
      <c r="B597" s="158"/>
      <c r="C597" s="158"/>
      <c r="D597" s="158"/>
      <c r="E597" s="158"/>
      <c r="F597" s="158"/>
    </row>
    <row r="598" spans="2:6">
      <c r="B598" s="158"/>
      <c r="C598" s="158"/>
      <c r="D598" s="158"/>
      <c r="E598" s="158"/>
      <c r="F598" s="158"/>
    </row>
    <row r="599" spans="2:6">
      <c r="B599" s="158"/>
      <c r="C599" s="158"/>
      <c r="D599" s="158"/>
      <c r="E599" s="158"/>
      <c r="F599" s="158"/>
    </row>
    <row r="600" spans="2:6">
      <c r="B600" s="158"/>
      <c r="C600" s="158"/>
      <c r="D600" s="158"/>
      <c r="E600" s="158"/>
      <c r="F600" s="158"/>
    </row>
    <row r="601" spans="2:6">
      <c r="B601" s="158"/>
      <c r="C601" s="158"/>
      <c r="D601" s="158"/>
      <c r="E601" s="158"/>
      <c r="F601" s="158"/>
    </row>
    <row r="602" spans="2:6">
      <c r="B602" s="158"/>
      <c r="C602" s="158"/>
      <c r="D602" s="158"/>
      <c r="E602" s="158"/>
      <c r="F602" s="158"/>
    </row>
    <row r="603" spans="2:6">
      <c r="B603" s="158"/>
      <c r="C603" s="158"/>
      <c r="D603" s="158"/>
      <c r="E603" s="158"/>
      <c r="F603" s="158"/>
    </row>
    <row r="604" spans="2:6">
      <c r="B604" s="158"/>
      <c r="C604" s="158"/>
      <c r="D604" s="158"/>
      <c r="E604" s="158"/>
      <c r="F604" s="158"/>
    </row>
    <row r="605" spans="2:6">
      <c r="B605" s="158"/>
      <c r="C605" s="158"/>
      <c r="D605" s="158"/>
      <c r="E605" s="158"/>
      <c r="F605" s="158"/>
    </row>
    <row r="606" spans="2:6">
      <c r="B606" s="158"/>
      <c r="C606" s="158"/>
      <c r="D606" s="158"/>
      <c r="E606" s="158"/>
      <c r="F606" s="158"/>
    </row>
    <row r="607" spans="2:6">
      <c r="B607" s="158"/>
      <c r="C607" s="158"/>
      <c r="D607" s="158"/>
      <c r="E607" s="158"/>
      <c r="F607" s="158"/>
    </row>
    <row r="608" spans="2:6">
      <c r="B608" s="158"/>
      <c r="C608" s="158"/>
      <c r="D608" s="158"/>
      <c r="E608" s="158"/>
      <c r="F608" s="158"/>
    </row>
    <row r="609" spans="2:6">
      <c r="B609" s="158"/>
      <c r="C609" s="158"/>
      <c r="D609" s="158"/>
      <c r="E609" s="158"/>
      <c r="F609" s="158"/>
    </row>
    <row r="610" spans="2:6">
      <c r="B610" s="158"/>
      <c r="C610" s="158"/>
      <c r="D610" s="158"/>
      <c r="E610" s="158"/>
      <c r="F610" s="158"/>
    </row>
    <row r="611" spans="2:6">
      <c r="B611" s="158"/>
      <c r="C611" s="158"/>
      <c r="D611" s="158"/>
      <c r="E611" s="158"/>
      <c r="F611" s="158"/>
    </row>
    <row r="612" spans="2:6">
      <c r="B612" s="158"/>
      <c r="C612" s="158"/>
      <c r="D612" s="158"/>
      <c r="E612" s="158"/>
      <c r="F612" s="158"/>
    </row>
    <row r="613" spans="2:6">
      <c r="B613" s="158"/>
      <c r="C613" s="158"/>
      <c r="D613" s="158"/>
      <c r="E613" s="158"/>
      <c r="F613" s="158"/>
    </row>
    <row r="614" spans="2:6">
      <c r="B614" s="158"/>
      <c r="C614" s="158"/>
      <c r="D614" s="158"/>
      <c r="E614" s="158"/>
      <c r="F614" s="158"/>
    </row>
    <row r="615" spans="2:6">
      <c r="B615" s="158"/>
      <c r="C615" s="158"/>
      <c r="D615" s="158"/>
      <c r="E615" s="158"/>
      <c r="F615" s="158"/>
    </row>
    <row r="616" spans="2:6">
      <c r="B616" s="158"/>
      <c r="C616" s="158"/>
      <c r="D616" s="158"/>
      <c r="E616" s="158"/>
      <c r="F616" s="158"/>
    </row>
    <row r="617" spans="2:6">
      <c r="B617" s="158"/>
      <c r="C617" s="158"/>
      <c r="D617" s="158"/>
      <c r="E617" s="158"/>
      <c r="F617" s="158"/>
    </row>
    <row r="618" spans="2:6">
      <c r="B618" s="158"/>
      <c r="C618" s="158"/>
      <c r="D618" s="158"/>
      <c r="E618" s="158"/>
      <c r="F618" s="158"/>
    </row>
    <row r="619" spans="2:6">
      <c r="B619" s="158"/>
      <c r="C619" s="158"/>
      <c r="D619" s="158"/>
      <c r="E619" s="158"/>
      <c r="F619" s="158"/>
    </row>
    <row r="620" spans="2:6">
      <c r="B620" s="158"/>
      <c r="C620" s="158"/>
      <c r="D620" s="158"/>
      <c r="E620" s="158"/>
      <c r="F620" s="158"/>
    </row>
    <row r="621" spans="2:6">
      <c r="B621" s="158"/>
      <c r="C621" s="158"/>
      <c r="D621" s="158"/>
      <c r="E621" s="158"/>
      <c r="F621" s="158"/>
    </row>
    <row r="622" spans="2:6">
      <c r="B622" s="158"/>
      <c r="C622" s="158"/>
      <c r="D622" s="158"/>
      <c r="E622" s="158"/>
      <c r="F622" s="158"/>
    </row>
    <row r="623" spans="2:6">
      <c r="B623" s="158"/>
      <c r="C623" s="158"/>
      <c r="D623" s="158"/>
      <c r="E623" s="158"/>
      <c r="F623" s="158"/>
    </row>
    <row r="624" spans="2:6">
      <c r="B624" s="158"/>
      <c r="C624" s="158"/>
      <c r="D624" s="158"/>
      <c r="E624" s="158"/>
      <c r="F624" s="158"/>
    </row>
    <row r="625" spans="2:6">
      <c r="B625" s="158"/>
      <c r="C625" s="158"/>
      <c r="D625" s="158"/>
      <c r="E625" s="158"/>
      <c r="F625" s="158"/>
    </row>
    <row r="626" spans="2:6">
      <c r="B626" s="158"/>
      <c r="C626" s="158"/>
      <c r="D626" s="158"/>
      <c r="E626" s="158"/>
      <c r="F626" s="158"/>
    </row>
    <row r="627" spans="2:6">
      <c r="B627" s="158"/>
      <c r="C627" s="158"/>
      <c r="D627" s="158"/>
      <c r="E627" s="158"/>
      <c r="F627" s="158"/>
    </row>
    <row r="628" spans="2:6">
      <c r="B628" s="158"/>
      <c r="C628" s="158"/>
      <c r="D628" s="158"/>
      <c r="E628" s="158"/>
      <c r="F628" s="158"/>
    </row>
    <row r="629" spans="2:6">
      <c r="B629" s="158"/>
      <c r="C629" s="158"/>
      <c r="D629" s="158"/>
      <c r="E629" s="158"/>
      <c r="F629" s="158"/>
    </row>
    <row r="630" spans="2:6">
      <c r="B630" s="158"/>
      <c r="C630" s="158"/>
      <c r="D630" s="158"/>
      <c r="E630" s="158"/>
      <c r="F630" s="158"/>
    </row>
    <row r="631" spans="2:6">
      <c r="B631" s="158"/>
      <c r="C631" s="158"/>
      <c r="D631" s="158"/>
      <c r="E631" s="158"/>
      <c r="F631" s="158"/>
    </row>
    <row r="632" spans="2:6">
      <c r="B632" s="158"/>
      <c r="C632" s="158"/>
      <c r="D632" s="158"/>
      <c r="E632" s="158"/>
      <c r="F632" s="158"/>
    </row>
    <row r="633" spans="2:6">
      <c r="B633" s="158"/>
      <c r="C633" s="158"/>
      <c r="D633" s="158"/>
      <c r="E633" s="158"/>
      <c r="F633" s="158"/>
    </row>
    <row r="634" spans="2:6">
      <c r="B634" s="158"/>
      <c r="C634" s="158"/>
      <c r="D634" s="158"/>
      <c r="E634" s="158"/>
      <c r="F634" s="158"/>
    </row>
    <row r="635" spans="2:6">
      <c r="B635" s="158"/>
      <c r="C635" s="158"/>
      <c r="D635" s="158"/>
      <c r="E635" s="158"/>
      <c r="F635" s="158"/>
    </row>
    <row r="636" spans="2:6">
      <c r="B636" s="158"/>
      <c r="C636" s="158"/>
      <c r="D636" s="158"/>
      <c r="E636" s="158"/>
      <c r="F636" s="158"/>
    </row>
    <row r="637" spans="2:6">
      <c r="B637" s="158"/>
      <c r="C637" s="158"/>
      <c r="D637" s="158"/>
      <c r="E637" s="158"/>
      <c r="F637" s="158"/>
    </row>
    <row r="638" spans="2:6">
      <c r="B638" s="158"/>
      <c r="C638" s="158"/>
      <c r="D638" s="158"/>
      <c r="E638" s="158"/>
      <c r="F638" s="158"/>
    </row>
    <row r="639" spans="2:6">
      <c r="B639" s="158"/>
      <c r="C639" s="158"/>
      <c r="D639" s="158"/>
      <c r="E639" s="158"/>
      <c r="F639" s="158"/>
    </row>
    <row r="640" spans="2:6">
      <c r="B640" s="158"/>
      <c r="C640" s="158"/>
      <c r="D640" s="158"/>
      <c r="E640" s="158"/>
      <c r="F640" s="158"/>
    </row>
    <row r="641" spans="2:6">
      <c r="B641" s="158"/>
      <c r="C641" s="158"/>
      <c r="D641" s="158"/>
      <c r="E641" s="158"/>
      <c r="F641" s="158"/>
    </row>
    <row r="642" spans="2:6">
      <c r="B642" s="158"/>
      <c r="C642" s="158"/>
      <c r="D642" s="158"/>
      <c r="E642" s="158"/>
      <c r="F642" s="158"/>
    </row>
    <row r="643" spans="2:6">
      <c r="B643" s="158"/>
      <c r="C643" s="158"/>
      <c r="D643" s="158"/>
      <c r="E643" s="158"/>
      <c r="F643" s="158"/>
    </row>
    <row r="644" spans="2:6">
      <c r="B644" s="158"/>
      <c r="C644" s="158"/>
      <c r="D644" s="158"/>
      <c r="E644" s="158"/>
      <c r="F644" s="158"/>
    </row>
    <row r="645" spans="2:6">
      <c r="B645" s="158"/>
      <c r="C645" s="158"/>
      <c r="D645" s="158"/>
      <c r="E645" s="158"/>
      <c r="F645" s="158"/>
    </row>
    <row r="646" spans="2:6">
      <c r="B646" s="158"/>
      <c r="C646" s="158"/>
      <c r="D646" s="158"/>
      <c r="E646" s="158"/>
      <c r="F646" s="158"/>
    </row>
    <row r="647" spans="2:6">
      <c r="B647" s="158"/>
      <c r="C647" s="158"/>
      <c r="D647" s="158"/>
      <c r="E647" s="158"/>
      <c r="F647" s="158"/>
    </row>
    <row r="648" spans="2:6">
      <c r="B648" s="158"/>
      <c r="C648" s="158"/>
      <c r="D648" s="158"/>
      <c r="E648" s="158"/>
      <c r="F648" s="158"/>
    </row>
    <row r="649" spans="2:6">
      <c r="B649" s="158"/>
      <c r="C649" s="158"/>
      <c r="D649" s="158"/>
      <c r="E649" s="158"/>
      <c r="F649" s="158"/>
    </row>
    <row r="650" spans="2:6">
      <c r="B650" s="158"/>
      <c r="C650" s="158"/>
      <c r="D650" s="158"/>
      <c r="E650" s="158"/>
      <c r="F650" s="158"/>
    </row>
    <row r="651" spans="2:6">
      <c r="B651" s="158"/>
      <c r="C651" s="158"/>
      <c r="D651" s="158"/>
      <c r="E651" s="158"/>
      <c r="F651" s="158"/>
    </row>
    <row r="652" spans="2:6">
      <c r="B652" s="158"/>
      <c r="C652" s="158"/>
      <c r="D652" s="158"/>
      <c r="E652" s="158"/>
      <c r="F652" s="158"/>
    </row>
    <row r="653" spans="2:6">
      <c r="B653" s="158"/>
      <c r="C653" s="158"/>
      <c r="D653" s="158"/>
      <c r="E653" s="158"/>
      <c r="F653" s="158"/>
    </row>
    <row r="654" spans="2:6">
      <c r="B654" s="158"/>
      <c r="C654" s="158"/>
      <c r="D654" s="158"/>
      <c r="E654" s="158"/>
      <c r="F654" s="158"/>
    </row>
    <row r="655" spans="2:6">
      <c r="B655" s="158"/>
      <c r="C655" s="158"/>
      <c r="D655" s="158"/>
      <c r="E655" s="158"/>
      <c r="F655" s="158"/>
    </row>
    <row r="656" spans="2:6">
      <c r="B656" s="158"/>
      <c r="C656" s="158"/>
      <c r="D656" s="158"/>
      <c r="E656" s="158"/>
      <c r="F656" s="158"/>
    </row>
    <row r="657" spans="2:6">
      <c r="B657" s="158"/>
      <c r="C657" s="158"/>
      <c r="D657" s="158"/>
      <c r="E657" s="158"/>
      <c r="F657" s="158"/>
    </row>
    <row r="658" spans="2:6">
      <c r="B658" s="158"/>
      <c r="C658" s="158"/>
      <c r="D658" s="158"/>
      <c r="E658" s="158"/>
      <c r="F658" s="158"/>
    </row>
    <row r="659" spans="2:6">
      <c r="B659" s="158"/>
      <c r="C659" s="158"/>
      <c r="D659" s="158"/>
      <c r="E659" s="158"/>
      <c r="F659" s="158"/>
    </row>
    <row r="660" spans="2:6">
      <c r="B660" s="158"/>
      <c r="C660" s="158"/>
      <c r="D660" s="158"/>
      <c r="E660" s="158"/>
      <c r="F660" s="158"/>
    </row>
    <row r="661" spans="2:6">
      <c r="B661" s="158"/>
      <c r="C661" s="158"/>
      <c r="D661" s="158"/>
      <c r="E661" s="158"/>
      <c r="F661" s="158"/>
    </row>
    <row r="662" spans="2:6">
      <c r="B662" s="158"/>
      <c r="C662" s="158"/>
      <c r="D662" s="158"/>
      <c r="E662" s="158"/>
      <c r="F662" s="158"/>
    </row>
    <row r="663" spans="2:6">
      <c r="B663" s="158"/>
      <c r="C663" s="158"/>
      <c r="D663" s="158"/>
      <c r="E663" s="158"/>
      <c r="F663" s="158"/>
    </row>
    <row r="664" spans="2:6">
      <c r="B664" s="158"/>
      <c r="C664" s="158"/>
      <c r="D664" s="158"/>
      <c r="E664" s="158"/>
      <c r="F664" s="158"/>
    </row>
    <row r="665" spans="2:6">
      <c r="B665" s="158"/>
      <c r="C665" s="158"/>
      <c r="D665" s="158"/>
      <c r="E665" s="158"/>
      <c r="F665" s="158"/>
    </row>
    <row r="666" spans="2:6">
      <c r="B666" s="158"/>
      <c r="C666" s="158"/>
      <c r="D666" s="158"/>
      <c r="E666" s="158"/>
      <c r="F666" s="158"/>
    </row>
    <row r="667" spans="2:6">
      <c r="B667" s="158"/>
      <c r="C667" s="158"/>
      <c r="D667" s="158"/>
      <c r="E667" s="158"/>
      <c r="F667" s="158"/>
    </row>
    <row r="668" spans="2:6">
      <c r="B668" s="158"/>
      <c r="C668" s="158"/>
      <c r="D668" s="158"/>
      <c r="E668" s="158"/>
      <c r="F668" s="158"/>
    </row>
    <row r="669" spans="2:6">
      <c r="B669" s="158"/>
      <c r="C669" s="158"/>
      <c r="D669" s="158"/>
      <c r="E669" s="158"/>
      <c r="F669" s="158"/>
    </row>
    <row r="670" spans="2:6">
      <c r="B670" s="158"/>
      <c r="C670" s="158"/>
      <c r="D670" s="158"/>
      <c r="E670" s="158"/>
      <c r="F670" s="158"/>
    </row>
    <row r="671" spans="2:6">
      <c r="B671" s="158"/>
      <c r="C671" s="158"/>
      <c r="D671" s="158"/>
      <c r="E671" s="158"/>
      <c r="F671" s="158"/>
    </row>
    <row r="672" spans="2:6">
      <c r="B672" s="158"/>
      <c r="C672" s="158"/>
      <c r="D672" s="158"/>
      <c r="E672" s="158"/>
      <c r="F672" s="158"/>
    </row>
    <row r="673" spans="2:6">
      <c r="B673" s="158"/>
      <c r="C673" s="158"/>
      <c r="D673" s="158"/>
      <c r="E673" s="158"/>
      <c r="F673" s="158"/>
    </row>
    <row r="674" spans="2:6">
      <c r="B674" s="158"/>
      <c r="C674" s="158"/>
      <c r="D674" s="158"/>
      <c r="E674" s="158"/>
      <c r="F674" s="158"/>
    </row>
    <row r="675" spans="2:6">
      <c r="B675" s="158"/>
      <c r="C675" s="158"/>
      <c r="D675" s="158"/>
      <c r="E675" s="158"/>
      <c r="F675" s="158"/>
    </row>
    <row r="676" spans="2:6">
      <c r="B676" s="158"/>
      <c r="C676" s="158"/>
      <c r="D676" s="158"/>
      <c r="E676" s="158"/>
      <c r="F676" s="158"/>
    </row>
    <row r="677" spans="2:6">
      <c r="B677" s="158"/>
      <c r="C677" s="158"/>
      <c r="D677" s="158"/>
      <c r="E677" s="158"/>
      <c r="F677" s="158"/>
    </row>
    <row r="678" spans="2:6">
      <c r="B678" s="158"/>
      <c r="C678" s="158"/>
      <c r="D678" s="158"/>
      <c r="E678" s="158"/>
      <c r="F678" s="158"/>
    </row>
    <row r="679" spans="2:6">
      <c r="B679" s="158"/>
      <c r="C679" s="158"/>
      <c r="D679" s="158"/>
      <c r="E679" s="158"/>
      <c r="F679" s="158"/>
    </row>
    <row r="680" spans="2:6">
      <c r="B680" s="158"/>
      <c r="C680" s="158"/>
      <c r="D680" s="158"/>
      <c r="E680" s="158"/>
      <c r="F680" s="158"/>
    </row>
    <row r="681" spans="2:6">
      <c r="B681" s="158"/>
      <c r="C681" s="158"/>
      <c r="D681" s="158"/>
      <c r="E681" s="158"/>
      <c r="F681" s="158"/>
    </row>
    <row r="682" spans="2:6">
      <c r="B682" s="158"/>
      <c r="C682" s="158"/>
      <c r="D682" s="158"/>
      <c r="E682" s="158"/>
      <c r="F682" s="158"/>
    </row>
    <row r="683" spans="2:6">
      <c r="B683" s="158"/>
      <c r="C683" s="158"/>
      <c r="D683" s="158"/>
      <c r="E683" s="158"/>
      <c r="F683" s="158"/>
    </row>
    <row r="684" spans="2:6">
      <c r="B684" s="158"/>
      <c r="C684" s="158"/>
      <c r="D684" s="158"/>
      <c r="E684" s="158"/>
      <c r="F684" s="158"/>
    </row>
    <row r="685" spans="2:6">
      <c r="B685" s="158"/>
      <c r="C685" s="158"/>
      <c r="D685" s="158"/>
      <c r="E685" s="158"/>
      <c r="F685" s="158"/>
    </row>
    <row r="686" spans="2:6">
      <c r="B686" s="158"/>
      <c r="C686" s="158"/>
      <c r="D686" s="158"/>
      <c r="E686" s="158"/>
      <c r="F686" s="158"/>
    </row>
    <row r="687" spans="2:6">
      <c r="B687" s="158"/>
      <c r="C687" s="158"/>
      <c r="D687" s="158"/>
      <c r="E687" s="158"/>
      <c r="F687" s="158"/>
    </row>
    <row r="688" spans="2:6">
      <c r="B688" s="158"/>
      <c r="C688" s="158"/>
      <c r="D688" s="158"/>
      <c r="E688" s="158"/>
      <c r="F688" s="158"/>
    </row>
    <row r="689" spans="2:6">
      <c r="B689" s="158"/>
      <c r="C689" s="158"/>
      <c r="D689" s="158"/>
      <c r="E689" s="158"/>
      <c r="F689" s="158"/>
    </row>
    <row r="690" spans="2:6">
      <c r="B690" s="158"/>
      <c r="C690" s="158"/>
      <c r="D690" s="158"/>
      <c r="E690" s="158"/>
      <c r="F690" s="158"/>
    </row>
    <row r="691" spans="2:6">
      <c r="B691" s="158"/>
      <c r="C691" s="158"/>
      <c r="D691" s="158"/>
      <c r="E691" s="158"/>
      <c r="F691" s="158"/>
    </row>
    <row r="692" spans="2:6">
      <c r="B692" s="158"/>
      <c r="C692" s="158"/>
      <c r="D692" s="158"/>
      <c r="E692" s="158"/>
      <c r="F692" s="158"/>
    </row>
    <row r="693" spans="2:6">
      <c r="B693" s="158"/>
      <c r="C693" s="158"/>
      <c r="D693" s="158"/>
      <c r="E693" s="158"/>
      <c r="F693" s="158"/>
    </row>
    <row r="694" spans="2:6">
      <c r="B694" s="158"/>
      <c r="C694" s="158"/>
      <c r="D694" s="158"/>
      <c r="E694" s="158"/>
      <c r="F694" s="158"/>
    </row>
    <row r="695" spans="2:6">
      <c r="B695" s="158"/>
      <c r="C695" s="158"/>
      <c r="D695" s="158"/>
      <c r="E695" s="158"/>
      <c r="F695" s="158"/>
    </row>
    <row r="696" spans="2:6">
      <c r="B696" s="158"/>
      <c r="C696" s="158"/>
      <c r="D696" s="158"/>
      <c r="E696" s="158"/>
      <c r="F696" s="158"/>
    </row>
    <row r="697" spans="2:6">
      <c r="B697" s="158"/>
      <c r="C697" s="158"/>
      <c r="D697" s="158"/>
      <c r="E697" s="158"/>
      <c r="F697" s="158"/>
    </row>
    <row r="698" spans="2:6">
      <c r="B698" s="158"/>
      <c r="C698" s="158"/>
      <c r="D698" s="158"/>
      <c r="E698" s="158"/>
      <c r="F698" s="158"/>
    </row>
    <row r="699" spans="2:6">
      <c r="B699" s="158"/>
      <c r="C699" s="158"/>
      <c r="D699" s="158"/>
      <c r="E699" s="158"/>
      <c r="F699" s="158"/>
    </row>
    <row r="700" spans="2:6">
      <c r="B700" s="158"/>
      <c r="C700" s="158"/>
      <c r="D700" s="158"/>
      <c r="E700" s="158"/>
      <c r="F700" s="158"/>
    </row>
    <row r="701" spans="2:6">
      <c r="B701" s="158"/>
      <c r="C701" s="158"/>
      <c r="D701" s="158"/>
      <c r="E701" s="158"/>
      <c r="F701" s="158"/>
    </row>
    <row r="702" spans="2:6">
      <c r="B702" s="158"/>
      <c r="C702" s="158"/>
      <c r="D702" s="158"/>
      <c r="E702" s="158"/>
      <c r="F702" s="158"/>
    </row>
    <row r="703" spans="2:6">
      <c r="B703" s="158"/>
      <c r="C703" s="158"/>
      <c r="D703" s="158"/>
      <c r="E703" s="158"/>
      <c r="F703" s="158"/>
    </row>
    <row r="704" spans="2:6">
      <c r="B704" s="158"/>
      <c r="C704" s="158"/>
      <c r="D704" s="158"/>
      <c r="E704" s="158"/>
      <c r="F704" s="158"/>
    </row>
    <row r="705" spans="2:6">
      <c r="B705" s="158"/>
      <c r="C705" s="158"/>
      <c r="D705" s="158"/>
      <c r="E705" s="158"/>
      <c r="F705" s="158"/>
    </row>
    <row r="706" spans="2:6">
      <c r="B706" s="158"/>
      <c r="C706" s="158"/>
      <c r="D706" s="158"/>
      <c r="E706" s="158"/>
      <c r="F706" s="158"/>
    </row>
    <row r="707" spans="2:6">
      <c r="B707" s="158"/>
      <c r="C707" s="158"/>
      <c r="D707" s="158"/>
      <c r="E707" s="158"/>
      <c r="F707" s="158"/>
    </row>
    <row r="708" spans="2:6">
      <c r="B708" s="158"/>
      <c r="C708" s="158"/>
      <c r="D708" s="158"/>
      <c r="E708" s="158"/>
      <c r="F708" s="158"/>
    </row>
    <row r="709" spans="2:6">
      <c r="B709" s="158"/>
      <c r="C709" s="158"/>
      <c r="D709" s="158"/>
      <c r="E709" s="158"/>
      <c r="F709" s="158"/>
    </row>
    <row r="710" spans="2:6">
      <c r="B710" s="158"/>
      <c r="C710" s="158"/>
      <c r="D710" s="158"/>
      <c r="E710" s="158"/>
      <c r="F710" s="158"/>
    </row>
    <row r="711" spans="2:6">
      <c r="B711" s="158"/>
      <c r="C711" s="158"/>
      <c r="D711" s="158"/>
      <c r="E711" s="158"/>
      <c r="F711" s="158"/>
    </row>
    <row r="712" spans="2:6">
      <c r="B712" s="158"/>
      <c r="C712" s="158"/>
      <c r="D712" s="158"/>
      <c r="E712" s="158"/>
      <c r="F712" s="158"/>
    </row>
    <row r="713" spans="2:6">
      <c r="B713" s="158"/>
      <c r="C713" s="158"/>
      <c r="D713" s="158"/>
      <c r="E713" s="158"/>
      <c r="F713" s="158"/>
    </row>
    <row r="714" spans="2:6">
      <c r="B714" s="158"/>
      <c r="C714" s="158"/>
      <c r="D714" s="158"/>
      <c r="E714" s="158"/>
      <c r="F714" s="158"/>
    </row>
    <row r="715" spans="2:6">
      <c r="B715" s="158"/>
      <c r="C715" s="158"/>
      <c r="D715" s="158"/>
      <c r="E715" s="158"/>
      <c r="F715" s="158"/>
    </row>
    <row r="716" spans="2:6">
      <c r="B716" s="158"/>
      <c r="C716" s="158"/>
      <c r="D716" s="158"/>
      <c r="E716" s="158"/>
      <c r="F716" s="158"/>
    </row>
    <row r="717" spans="2:6">
      <c r="B717" s="158"/>
      <c r="C717" s="158"/>
      <c r="D717" s="158"/>
      <c r="E717" s="158"/>
      <c r="F717" s="158"/>
    </row>
    <row r="718" spans="2:6">
      <c r="B718" s="158"/>
      <c r="C718" s="158"/>
      <c r="D718" s="158"/>
      <c r="E718" s="158"/>
      <c r="F718" s="158"/>
    </row>
    <row r="719" spans="2:6">
      <c r="B719" s="158"/>
      <c r="C719" s="158"/>
      <c r="D719" s="158"/>
      <c r="E719" s="158"/>
      <c r="F719" s="158"/>
    </row>
    <row r="720" spans="2:6">
      <c r="B720" s="158"/>
      <c r="C720" s="158"/>
      <c r="D720" s="158"/>
      <c r="E720" s="158"/>
      <c r="F720" s="158"/>
    </row>
    <row r="721" spans="2:6">
      <c r="B721" s="158"/>
      <c r="C721" s="158"/>
      <c r="D721" s="158"/>
      <c r="E721" s="158"/>
      <c r="F721" s="158"/>
    </row>
    <row r="722" spans="2:6">
      <c r="B722" s="158"/>
      <c r="C722" s="158"/>
      <c r="D722" s="158"/>
      <c r="E722" s="158"/>
      <c r="F722" s="158"/>
    </row>
    <row r="723" spans="2:6">
      <c r="B723" s="158"/>
      <c r="C723" s="158"/>
      <c r="D723" s="158"/>
      <c r="E723" s="158"/>
      <c r="F723" s="158"/>
    </row>
    <row r="724" spans="2:6">
      <c r="B724" s="158"/>
      <c r="C724" s="158"/>
      <c r="D724" s="158"/>
      <c r="E724" s="158"/>
      <c r="F724" s="158"/>
    </row>
    <row r="725" spans="2:6">
      <c r="B725" s="158"/>
      <c r="C725" s="158"/>
      <c r="D725" s="158"/>
      <c r="E725" s="158"/>
      <c r="F725" s="158"/>
    </row>
    <row r="726" spans="2:6">
      <c r="B726" s="158"/>
      <c r="C726" s="158"/>
      <c r="D726" s="158"/>
      <c r="E726" s="158"/>
      <c r="F726" s="158"/>
    </row>
    <row r="727" spans="2:6">
      <c r="B727" s="158"/>
      <c r="C727" s="158"/>
      <c r="D727" s="158"/>
      <c r="E727" s="158"/>
      <c r="F727" s="158"/>
    </row>
    <row r="728" spans="2:6">
      <c r="B728" s="158"/>
      <c r="C728" s="158"/>
      <c r="D728" s="158"/>
      <c r="E728" s="158"/>
      <c r="F728" s="158"/>
    </row>
    <row r="729" spans="2:6">
      <c r="B729" s="158"/>
      <c r="C729" s="158"/>
      <c r="D729" s="158"/>
      <c r="E729" s="158"/>
      <c r="F729" s="158"/>
    </row>
    <row r="730" spans="2:6">
      <c r="B730" s="158"/>
      <c r="C730" s="158"/>
      <c r="D730" s="158"/>
      <c r="E730" s="158"/>
      <c r="F730" s="158"/>
    </row>
    <row r="731" spans="2:6">
      <c r="B731" s="158"/>
      <c r="C731" s="158"/>
      <c r="D731" s="158"/>
      <c r="E731" s="158"/>
      <c r="F731" s="158"/>
    </row>
    <row r="732" spans="2:6">
      <c r="B732" s="158"/>
      <c r="C732" s="158"/>
      <c r="D732" s="158"/>
      <c r="E732" s="158"/>
      <c r="F732" s="158"/>
    </row>
    <row r="733" spans="2:6">
      <c r="B733" s="158"/>
      <c r="C733" s="158"/>
      <c r="D733" s="158"/>
      <c r="E733" s="158"/>
      <c r="F733" s="158"/>
    </row>
    <row r="734" spans="2:6">
      <c r="B734" s="158"/>
      <c r="C734" s="158"/>
      <c r="D734" s="158"/>
      <c r="E734" s="158"/>
      <c r="F734" s="158"/>
    </row>
    <row r="735" spans="2:6">
      <c r="B735" s="158"/>
      <c r="C735" s="158"/>
      <c r="D735" s="158"/>
      <c r="E735" s="158"/>
      <c r="F735" s="158"/>
    </row>
    <row r="736" spans="2:6">
      <c r="B736" s="158"/>
      <c r="C736" s="158"/>
      <c r="D736" s="158"/>
      <c r="E736" s="158"/>
      <c r="F736" s="158"/>
    </row>
    <row r="737" spans="2:6">
      <c r="B737" s="158"/>
      <c r="C737" s="158"/>
      <c r="D737" s="158"/>
      <c r="E737" s="158"/>
      <c r="F737" s="158"/>
    </row>
    <row r="738" spans="2:6">
      <c r="B738" s="158"/>
      <c r="C738" s="158"/>
      <c r="D738" s="158"/>
      <c r="E738" s="158"/>
      <c r="F738" s="158"/>
    </row>
    <row r="739" spans="2:6">
      <c r="B739" s="158"/>
      <c r="C739" s="158"/>
      <c r="D739" s="158"/>
      <c r="E739" s="158"/>
      <c r="F739" s="158"/>
    </row>
    <row r="740" spans="2:6">
      <c r="B740" s="158"/>
      <c r="C740" s="158"/>
      <c r="D740" s="158"/>
      <c r="E740" s="158"/>
      <c r="F740" s="158"/>
    </row>
    <row r="741" spans="2:6">
      <c r="B741" s="158"/>
      <c r="C741" s="158"/>
      <c r="D741" s="158"/>
      <c r="E741" s="158"/>
      <c r="F741" s="158"/>
    </row>
    <row r="742" spans="2:6">
      <c r="B742" s="158"/>
      <c r="C742" s="158"/>
      <c r="D742" s="158"/>
      <c r="E742" s="158"/>
      <c r="F742" s="158"/>
    </row>
    <row r="743" spans="2:6">
      <c r="B743" s="158"/>
      <c r="C743" s="158"/>
      <c r="D743" s="158"/>
      <c r="E743" s="158"/>
      <c r="F743" s="158"/>
    </row>
    <row r="744" spans="2:6">
      <c r="B744" s="158"/>
      <c r="C744" s="158"/>
      <c r="D744" s="158"/>
      <c r="E744" s="158"/>
      <c r="F744" s="158"/>
    </row>
    <row r="745" spans="2:6">
      <c r="B745" s="158"/>
      <c r="C745" s="158"/>
      <c r="D745" s="158"/>
      <c r="E745" s="158"/>
      <c r="F745" s="158"/>
    </row>
    <row r="746" spans="2:6">
      <c r="B746" s="158"/>
      <c r="C746" s="158"/>
      <c r="D746" s="158"/>
      <c r="E746" s="158"/>
      <c r="F746" s="158"/>
    </row>
    <row r="747" spans="2:6">
      <c r="B747" s="158"/>
      <c r="C747" s="158"/>
      <c r="D747" s="158"/>
      <c r="E747" s="158"/>
      <c r="F747" s="158"/>
    </row>
    <row r="748" spans="2:6">
      <c r="B748" s="158"/>
      <c r="C748" s="158"/>
      <c r="D748" s="158"/>
      <c r="E748" s="158"/>
      <c r="F748" s="158"/>
    </row>
    <row r="749" spans="2:6">
      <c r="B749" s="158"/>
      <c r="C749" s="158"/>
      <c r="D749" s="158"/>
      <c r="E749" s="158"/>
      <c r="F749" s="158"/>
    </row>
    <row r="750" spans="2:6">
      <c r="B750" s="158"/>
      <c r="C750" s="158"/>
      <c r="D750" s="158"/>
      <c r="E750" s="158"/>
      <c r="F750" s="158"/>
    </row>
    <row r="751" spans="2:6">
      <c r="B751" s="158"/>
      <c r="C751" s="158"/>
      <c r="D751" s="158"/>
      <c r="E751" s="158"/>
      <c r="F751" s="158"/>
    </row>
    <row r="752" spans="2:6">
      <c r="B752" s="158"/>
      <c r="C752" s="158"/>
      <c r="D752" s="158"/>
      <c r="E752" s="158"/>
      <c r="F752" s="158"/>
    </row>
    <row r="753" spans="2:6">
      <c r="B753" s="158"/>
      <c r="C753" s="158"/>
      <c r="D753" s="158"/>
      <c r="E753" s="158"/>
      <c r="F753" s="158"/>
    </row>
    <row r="754" spans="2:6">
      <c r="B754" s="158"/>
      <c r="C754" s="158"/>
      <c r="D754" s="158"/>
      <c r="E754" s="158"/>
      <c r="F754" s="158"/>
    </row>
    <row r="755" spans="2:6">
      <c r="B755" s="158"/>
      <c r="C755" s="158"/>
      <c r="D755" s="158"/>
      <c r="E755" s="158"/>
      <c r="F755" s="158"/>
    </row>
    <row r="756" spans="2:6">
      <c r="B756" s="158"/>
      <c r="C756" s="158"/>
      <c r="D756" s="158"/>
      <c r="E756" s="158"/>
      <c r="F756" s="158"/>
    </row>
    <row r="757" spans="2:6">
      <c r="B757" s="158"/>
      <c r="C757" s="158"/>
      <c r="D757" s="158"/>
      <c r="E757" s="158"/>
      <c r="F757" s="158"/>
    </row>
    <row r="758" spans="2:6">
      <c r="B758" s="158"/>
      <c r="C758" s="158"/>
      <c r="D758" s="158"/>
      <c r="E758" s="158"/>
      <c r="F758" s="158"/>
    </row>
    <row r="759" spans="2:6">
      <c r="B759" s="158"/>
      <c r="C759" s="158"/>
      <c r="D759" s="158"/>
      <c r="E759" s="158"/>
      <c r="F759" s="158"/>
    </row>
    <row r="760" spans="2:6">
      <c r="B760" s="158"/>
      <c r="C760" s="158"/>
      <c r="D760" s="158"/>
      <c r="E760" s="158"/>
      <c r="F760" s="158"/>
    </row>
    <row r="761" spans="2:6">
      <c r="B761" s="158"/>
      <c r="C761" s="158"/>
      <c r="D761" s="158"/>
      <c r="E761" s="158"/>
      <c r="F761" s="158"/>
    </row>
    <row r="762" spans="2:6">
      <c r="B762" s="158"/>
      <c r="C762" s="158"/>
      <c r="D762" s="158"/>
      <c r="E762" s="158"/>
      <c r="F762" s="158"/>
    </row>
    <row r="763" spans="2:6">
      <c r="B763" s="158"/>
      <c r="C763" s="158"/>
      <c r="D763" s="158"/>
      <c r="E763" s="158"/>
      <c r="F763" s="158"/>
    </row>
    <row r="764" spans="2:6">
      <c r="B764" s="158"/>
      <c r="C764" s="158"/>
      <c r="D764" s="158"/>
      <c r="E764" s="158"/>
      <c r="F764" s="158"/>
    </row>
    <row r="765" spans="2:6">
      <c r="B765" s="158"/>
      <c r="C765" s="158"/>
      <c r="D765" s="158"/>
      <c r="E765" s="158"/>
      <c r="F765" s="158"/>
    </row>
    <row r="766" spans="2:6">
      <c r="B766" s="158"/>
      <c r="C766" s="158"/>
      <c r="D766" s="158"/>
      <c r="E766" s="158"/>
      <c r="F766" s="158"/>
    </row>
    <row r="767" spans="2:6">
      <c r="B767" s="158"/>
      <c r="C767" s="158"/>
      <c r="D767" s="158"/>
      <c r="E767" s="158"/>
      <c r="F767" s="158"/>
    </row>
    <row r="768" spans="2:6">
      <c r="B768" s="158"/>
      <c r="C768" s="158"/>
      <c r="D768" s="158"/>
      <c r="E768" s="158"/>
      <c r="F768" s="158"/>
    </row>
    <row r="769" spans="2:6">
      <c r="B769" s="158"/>
      <c r="C769" s="158"/>
      <c r="D769" s="158"/>
      <c r="E769" s="158"/>
      <c r="F769" s="158"/>
    </row>
    <row r="770" spans="2:6">
      <c r="B770" s="158"/>
      <c r="C770" s="158"/>
      <c r="D770" s="158"/>
      <c r="E770" s="158"/>
      <c r="F770" s="158"/>
    </row>
    <row r="771" spans="2:6">
      <c r="B771" s="158"/>
      <c r="C771" s="158"/>
      <c r="D771" s="158"/>
      <c r="E771" s="158"/>
      <c r="F771" s="158"/>
    </row>
    <row r="772" spans="2:6">
      <c r="B772" s="158"/>
      <c r="C772" s="158"/>
      <c r="D772" s="158"/>
      <c r="E772" s="158"/>
      <c r="F772" s="158"/>
    </row>
    <row r="773" spans="2:6">
      <c r="B773" s="158"/>
      <c r="C773" s="158"/>
      <c r="D773" s="158"/>
      <c r="E773" s="158"/>
      <c r="F773" s="158"/>
    </row>
    <row r="774" spans="2:6">
      <c r="B774" s="158"/>
      <c r="C774" s="158"/>
      <c r="D774" s="158"/>
      <c r="E774" s="158"/>
      <c r="F774" s="158"/>
    </row>
    <row r="775" spans="2:6">
      <c r="B775" s="158"/>
      <c r="C775" s="158"/>
      <c r="D775" s="158"/>
      <c r="E775" s="158"/>
      <c r="F775" s="158"/>
    </row>
    <row r="776" spans="2:6">
      <c r="B776" s="158"/>
      <c r="C776" s="158"/>
      <c r="D776" s="158"/>
      <c r="E776" s="158"/>
      <c r="F776" s="158"/>
    </row>
    <row r="777" spans="2:6">
      <c r="B777" s="158"/>
      <c r="C777" s="158"/>
      <c r="D777" s="158"/>
      <c r="E777" s="158"/>
      <c r="F777" s="158"/>
    </row>
    <row r="778" spans="2:6">
      <c r="B778" s="158"/>
      <c r="C778" s="158"/>
      <c r="D778" s="158"/>
      <c r="E778" s="158"/>
      <c r="F778" s="158"/>
    </row>
    <row r="779" spans="2:6">
      <c r="B779" s="158"/>
      <c r="C779" s="158"/>
      <c r="D779" s="158"/>
      <c r="E779" s="158"/>
      <c r="F779" s="158"/>
    </row>
    <row r="780" spans="2:6">
      <c r="B780" s="158"/>
      <c r="C780" s="158"/>
      <c r="D780" s="158"/>
      <c r="E780" s="158"/>
      <c r="F780" s="158"/>
    </row>
    <row r="781" spans="2:6">
      <c r="B781" s="158"/>
      <c r="C781" s="158"/>
      <c r="D781" s="158"/>
      <c r="E781" s="158"/>
      <c r="F781" s="158"/>
    </row>
    <row r="782" spans="2:6">
      <c r="B782" s="158"/>
      <c r="C782" s="158"/>
      <c r="D782" s="158"/>
      <c r="E782" s="158"/>
      <c r="F782" s="158"/>
    </row>
    <row r="783" spans="2:6">
      <c r="B783" s="158"/>
      <c r="C783" s="158"/>
      <c r="D783" s="158"/>
      <c r="E783" s="158"/>
      <c r="F783" s="158"/>
    </row>
    <row r="784" spans="2:6">
      <c r="B784" s="158"/>
      <c r="C784" s="158"/>
      <c r="D784" s="158"/>
      <c r="E784" s="158"/>
      <c r="F784" s="158"/>
    </row>
    <row r="785" spans="2:6">
      <c r="B785" s="158"/>
      <c r="C785" s="158"/>
      <c r="D785" s="158"/>
      <c r="E785" s="158"/>
      <c r="F785" s="158"/>
    </row>
    <row r="786" spans="2:6">
      <c r="B786" s="158"/>
      <c r="C786" s="158"/>
      <c r="D786" s="158"/>
      <c r="E786" s="158"/>
      <c r="F786" s="158"/>
    </row>
    <row r="787" spans="2:6">
      <c r="B787" s="158"/>
      <c r="C787" s="158"/>
      <c r="D787" s="158"/>
      <c r="E787" s="158"/>
      <c r="F787" s="158"/>
    </row>
    <row r="788" spans="2:6">
      <c r="B788" s="158"/>
      <c r="C788" s="158"/>
      <c r="D788" s="158"/>
      <c r="E788" s="158"/>
      <c r="F788" s="158"/>
    </row>
    <row r="789" spans="2:6">
      <c r="B789" s="158"/>
      <c r="C789" s="158"/>
      <c r="D789" s="158"/>
      <c r="E789" s="158"/>
      <c r="F789" s="158"/>
    </row>
    <row r="790" spans="2:6">
      <c r="B790" s="158"/>
      <c r="C790" s="158"/>
      <c r="D790" s="158"/>
      <c r="E790" s="158"/>
      <c r="F790" s="158"/>
    </row>
    <row r="791" spans="2:6">
      <c r="B791" s="158"/>
      <c r="C791" s="158"/>
      <c r="D791" s="158"/>
      <c r="E791" s="158"/>
      <c r="F791" s="158"/>
    </row>
    <row r="792" spans="2:6">
      <c r="B792" s="158"/>
      <c r="C792" s="158"/>
      <c r="D792" s="158"/>
      <c r="E792" s="158"/>
      <c r="F792" s="158"/>
    </row>
    <row r="793" spans="2:6">
      <c r="B793" s="158"/>
      <c r="C793" s="158"/>
      <c r="D793" s="158"/>
      <c r="E793" s="158"/>
      <c r="F793" s="158"/>
    </row>
    <row r="794" spans="2:6">
      <c r="B794" s="158"/>
      <c r="C794" s="158"/>
      <c r="D794" s="158"/>
      <c r="E794" s="158"/>
      <c r="F794" s="158"/>
    </row>
    <row r="795" spans="2:6">
      <c r="B795" s="158"/>
      <c r="C795" s="158"/>
      <c r="D795" s="158"/>
      <c r="E795" s="158"/>
      <c r="F795" s="158"/>
    </row>
    <row r="796" spans="2:6">
      <c r="B796" s="158"/>
      <c r="C796" s="158"/>
      <c r="D796" s="158"/>
      <c r="E796" s="158"/>
      <c r="F796" s="158"/>
    </row>
    <row r="797" spans="2:6">
      <c r="B797" s="158"/>
      <c r="C797" s="158"/>
      <c r="D797" s="158"/>
      <c r="E797" s="158"/>
      <c r="F797" s="158"/>
    </row>
    <row r="798" spans="2:6">
      <c r="B798" s="158"/>
      <c r="C798" s="158"/>
      <c r="D798" s="158"/>
      <c r="E798" s="158"/>
      <c r="F798" s="158"/>
    </row>
    <row r="799" spans="2:6">
      <c r="B799" s="158"/>
      <c r="C799" s="158"/>
      <c r="D799" s="158"/>
      <c r="E799" s="158"/>
      <c r="F799" s="158"/>
    </row>
    <row r="800" spans="2:6">
      <c r="B800" s="158"/>
      <c r="C800" s="158"/>
      <c r="D800" s="158"/>
      <c r="E800" s="158"/>
      <c r="F800" s="158"/>
    </row>
    <row r="801" spans="2:6">
      <c r="B801" s="158"/>
      <c r="C801" s="158"/>
      <c r="D801" s="158"/>
      <c r="E801" s="158"/>
      <c r="F801" s="158"/>
    </row>
    <row r="802" spans="2:6">
      <c r="B802" s="158"/>
      <c r="C802" s="158"/>
      <c r="D802" s="158"/>
      <c r="E802" s="158"/>
      <c r="F802" s="158"/>
    </row>
    <row r="803" spans="2:6">
      <c r="B803" s="158"/>
      <c r="C803" s="158"/>
      <c r="D803" s="158"/>
      <c r="E803" s="158"/>
      <c r="F803" s="158"/>
    </row>
    <row r="804" spans="2:6">
      <c r="B804" s="158"/>
      <c r="C804" s="158"/>
      <c r="D804" s="158"/>
      <c r="E804" s="158"/>
      <c r="F804" s="158"/>
    </row>
    <row r="805" spans="2:6">
      <c r="B805" s="158"/>
      <c r="C805" s="158"/>
      <c r="D805" s="158"/>
      <c r="E805" s="158"/>
      <c r="F805" s="158"/>
    </row>
    <row r="806" spans="2:6">
      <c r="B806" s="158"/>
      <c r="C806" s="158"/>
      <c r="D806" s="158"/>
      <c r="E806" s="158"/>
      <c r="F806" s="158"/>
    </row>
    <row r="807" spans="2:6">
      <c r="B807" s="158"/>
      <c r="C807" s="158"/>
      <c r="D807" s="158"/>
      <c r="E807" s="158"/>
      <c r="F807" s="158"/>
    </row>
    <row r="808" spans="2:6">
      <c r="B808" s="158"/>
      <c r="C808" s="158"/>
      <c r="D808" s="158"/>
      <c r="E808" s="158"/>
      <c r="F808" s="158"/>
    </row>
    <row r="809" spans="2:6">
      <c r="B809" s="158"/>
      <c r="C809" s="158"/>
      <c r="D809" s="158"/>
      <c r="E809" s="158"/>
      <c r="F809" s="158"/>
    </row>
    <row r="810" spans="2:6">
      <c r="B810" s="158"/>
      <c r="C810" s="158"/>
      <c r="D810" s="158"/>
      <c r="E810" s="158"/>
      <c r="F810" s="158"/>
    </row>
    <row r="811" spans="2:6">
      <c r="B811" s="158"/>
      <c r="C811" s="158"/>
      <c r="D811" s="158"/>
      <c r="E811" s="158"/>
      <c r="F811" s="158"/>
    </row>
    <row r="812" spans="2:6">
      <c r="B812" s="158"/>
      <c r="C812" s="158"/>
      <c r="D812" s="158"/>
      <c r="E812" s="158"/>
      <c r="F812" s="158"/>
    </row>
    <row r="813" spans="2:6">
      <c r="B813" s="158"/>
      <c r="C813" s="158"/>
      <c r="D813" s="158"/>
      <c r="E813" s="158"/>
      <c r="F813" s="158"/>
    </row>
    <row r="814" spans="2:6">
      <c r="B814" s="158"/>
      <c r="C814" s="158"/>
      <c r="D814" s="158"/>
      <c r="E814" s="158"/>
      <c r="F814" s="158"/>
    </row>
    <row r="815" spans="2:6">
      <c r="B815" s="158"/>
      <c r="C815" s="158"/>
      <c r="D815" s="158"/>
      <c r="E815" s="158"/>
      <c r="F815" s="158"/>
    </row>
    <row r="816" spans="2:6">
      <c r="B816" s="158"/>
      <c r="C816" s="158"/>
      <c r="D816" s="158"/>
      <c r="E816" s="158"/>
      <c r="F816" s="158"/>
    </row>
    <row r="817" spans="2:6">
      <c r="B817" s="158"/>
      <c r="C817" s="158"/>
      <c r="D817" s="158"/>
      <c r="E817" s="158"/>
      <c r="F817" s="158"/>
    </row>
    <row r="818" spans="2:6">
      <c r="B818" s="158"/>
      <c r="C818" s="158"/>
      <c r="D818" s="158"/>
      <c r="E818" s="158"/>
      <c r="F818" s="158"/>
    </row>
    <row r="819" spans="2:6">
      <c r="B819" s="158"/>
      <c r="C819" s="158"/>
      <c r="D819" s="158"/>
      <c r="E819" s="158"/>
      <c r="F819" s="158"/>
    </row>
    <row r="820" spans="2:6">
      <c r="B820" s="158"/>
      <c r="C820" s="158"/>
      <c r="D820" s="158"/>
      <c r="E820" s="158"/>
      <c r="F820" s="158"/>
    </row>
    <row r="821" spans="2:6">
      <c r="B821" s="158"/>
      <c r="C821" s="158"/>
      <c r="D821" s="158"/>
      <c r="E821" s="158"/>
      <c r="F821" s="158"/>
    </row>
    <row r="822" spans="2:6">
      <c r="B822" s="158"/>
      <c r="C822" s="158"/>
      <c r="D822" s="158"/>
      <c r="E822" s="158"/>
      <c r="F822" s="158"/>
    </row>
    <row r="823" spans="2:6">
      <c r="B823" s="158"/>
      <c r="C823" s="158"/>
      <c r="D823" s="158"/>
      <c r="E823" s="158"/>
      <c r="F823" s="158"/>
    </row>
    <row r="824" spans="2:6">
      <c r="B824" s="158"/>
      <c r="C824" s="158"/>
      <c r="D824" s="158"/>
      <c r="E824" s="158"/>
      <c r="F824" s="158"/>
    </row>
    <row r="825" spans="2:6">
      <c r="B825" s="158"/>
      <c r="C825" s="158"/>
      <c r="D825" s="158"/>
      <c r="E825" s="158"/>
      <c r="F825" s="158"/>
    </row>
    <row r="826" spans="2:6">
      <c r="B826" s="158"/>
      <c r="C826" s="158"/>
      <c r="D826" s="158"/>
      <c r="E826" s="158"/>
      <c r="F826" s="158"/>
    </row>
    <row r="827" spans="2:6">
      <c r="B827" s="158"/>
      <c r="C827" s="158"/>
      <c r="D827" s="158"/>
      <c r="E827" s="158"/>
      <c r="F827" s="158"/>
    </row>
    <row r="828" spans="2:6">
      <c r="B828" s="158"/>
      <c r="C828" s="158"/>
      <c r="D828" s="158"/>
      <c r="E828" s="158"/>
      <c r="F828" s="158"/>
    </row>
    <row r="829" spans="2:6">
      <c r="B829" s="158"/>
      <c r="C829" s="158"/>
      <c r="D829" s="158"/>
      <c r="E829" s="158"/>
      <c r="F829" s="158"/>
    </row>
    <row r="830" spans="2:6">
      <c r="B830" s="158"/>
      <c r="C830" s="158"/>
      <c r="D830" s="158"/>
      <c r="E830" s="158"/>
      <c r="F830" s="158"/>
    </row>
    <row r="831" spans="2:6">
      <c r="B831" s="158"/>
      <c r="C831" s="158"/>
      <c r="D831" s="158"/>
      <c r="E831" s="158"/>
      <c r="F831" s="158"/>
    </row>
    <row r="832" spans="2:6">
      <c r="B832" s="158"/>
      <c r="C832" s="158"/>
      <c r="D832" s="158"/>
      <c r="E832" s="158"/>
      <c r="F832" s="158"/>
    </row>
    <row r="833" spans="2:6">
      <c r="B833" s="158"/>
      <c r="C833" s="158"/>
      <c r="D833" s="158"/>
      <c r="E833" s="158"/>
      <c r="F833" s="158"/>
    </row>
    <row r="834" spans="2:6">
      <c r="B834" s="158"/>
      <c r="C834" s="158"/>
      <c r="D834" s="158"/>
      <c r="E834" s="158"/>
      <c r="F834" s="158"/>
    </row>
    <row r="835" spans="2:6">
      <c r="B835" s="158"/>
      <c r="C835" s="158"/>
      <c r="D835" s="158"/>
      <c r="E835" s="158"/>
      <c r="F835" s="158"/>
    </row>
    <row r="836" spans="2:6">
      <c r="B836" s="158"/>
      <c r="C836" s="158"/>
      <c r="D836" s="158"/>
      <c r="E836" s="158"/>
      <c r="F836" s="158"/>
    </row>
    <row r="837" spans="2:6">
      <c r="B837" s="158"/>
      <c r="C837" s="158"/>
      <c r="D837" s="158"/>
      <c r="E837" s="158"/>
      <c r="F837" s="158"/>
    </row>
    <row r="838" spans="2:6">
      <c r="B838" s="158"/>
      <c r="C838" s="158"/>
      <c r="D838" s="158"/>
      <c r="E838" s="158"/>
      <c r="F838" s="158"/>
    </row>
    <row r="839" spans="2:6">
      <c r="B839" s="158"/>
      <c r="C839" s="158"/>
      <c r="D839" s="158"/>
      <c r="E839" s="158"/>
      <c r="F839" s="158"/>
    </row>
    <row r="840" spans="2:6">
      <c r="B840" s="158"/>
      <c r="C840" s="158"/>
      <c r="D840" s="158"/>
      <c r="E840" s="158"/>
      <c r="F840" s="158"/>
    </row>
    <row r="841" spans="2:6">
      <c r="B841" s="158"/>
      <c r="C841" s="158"/>
      <c r="D841" s="158"/>
      <c r="E841" s="158"/>
      <c r="F841" s="158"/>
    </row>
    <row r="842" spans="2:6">
      <c r="B842" s="158"/>
      <c r="C842" s="158"/>
      <c r="D842" s="158"/>
      <c r="E842" s="158"/>
      <c r="F842" s="158"/>
    </row>
    <row r="843" spans="2:6">
      <c r="B843" s="158"/>
      <c r="C843" s="158"/>
      <c r="D843" s="158"/>
      <c r="E843" s="158"/>
      <c r="F843" s="158"/>
    </row>
    <row r="844" spans="2:6">
      <c r="B844" s="158"/>
      <c r="C844" s="158"/>
      <c r="D844" s="158"/>
      <c r="E844" s="158"/>
      <c r="F844" s="158"/>
    </row>
    <row r="845" spans="2:6">
      <c r="B845" s="158"/>
      <c r="C845" s="158"/>
      <c r="D845" s="158"/>
      <c r="E845" s="158"/>
      <c r="F845" s="158"/>
    </row>
    <row r="846" spans="2:6">
      <c r="B846" s="158"/>
      <c r="C846" s="158"/>
      <c r="D846" s="158"/>
      <c r="E846" s="158"/>
      <c r="F846" s="158"/>
    </row>
    <row r="847" spans="2:6">
      <c r="B847" s="158"/>
      <c r="C847" s="158"/>
      <c r="D847" s="158"/>
      <c r="E847" s="158"/>
      <c r="F847" s="158"/>
    </row>
    <row r="848" spans="2:6">
      <c r="B848" s="158"/>
      <c r="C848" s="158"/>
      <c r="D848" s="158"/>
      <c r="E848" s="158"/>
      <c r="F848" s="158"/>
    </row>
    <row r="849" spans="2:6">
      <c r="B849" s="158"/>
      <c r="C849" s="158"/>
      <c r="D849" s="158"/>
      <c r="E849" s="158"/>
      <c r="F849" s="158"/>
    </row>
    <row r="850" spans="2:6">
      <c r="B850" s="158"/>
      <c r="C850" s="158"/>
      <c r="D850" s="158"/>
      <c r="E850" s="158"/>
      <c r="F850" s="158"/>
    </row>
    <row r="851" spans="2:6">
      <c r="B851" s="158"/>
      <c r="C851" s="158"/>
      <c r="D851" s="158"/>
      <c r="E851" s="158"/>
      <c r="F851" s="158"/>
    </row>
    <row r="852" spans="2:6">
      <c r="B852" s="158"/>
      <c r="C852" s="158"/>
      <c r="D852" s="158"/>
      <c r="E852" s="158"/>
      <c r="F852" s="158"/>
    </row>
    <row r="853" spans="2:6">
      <c r="B853" s="158"/>
      <c r="C853" s="158"/>
      <c r="D853" s="158"/>
      <c r="E853" s="158"/>
      <c r="F853" s="158"/>
    </row>
    <row r="854" spans="2:6">
      <c r="B854" s="158"/>
      <c r="C854" s="158"/>
      <c r="D854" s="158"/>
      <c r="E854" s="158"/>
      <c r="F854" s="158"/>
    </row>
    <row r="855" spans="2:6">
      <c r="B855" s="158"/>
      <c r="C855" s="158"/>
      <c r="D855" s="158"/>
      <c r="E855" s="158"/>
      <c r="F855" s="158"/>
    </row>
    <row r="856" spans="2:6">
      <c r="B856" s="158"/>
      <c r="C856" s="158"/>
      <c r="D856" s="158"/>
      <c r="E856" s="158"/>
      <c r="F856" s="158"/>
    </row>
    <row r="857" spans="2:6">
      <c r="B857" s="158"/>
      <c r="C857" s="158"/>
      <c r="D857" s="158"/>
      <c r="E857" s="158"/>
      <c r="F857" s="158"/>
    </row>
    <row r="858" spans="2:6">
      <c r="B858" s="158"/>
      <c r="C858" s="158"/>
      <c r="D858" s="158"/>
      <c r="E858" s="158"/>
      <c r="F858" s="158"/>
    </row>
    <row r="859" spans="2:6">
      <c r="B859" s="158"/>
      <c r="C859" s="158"/>
      <c r="D859" s="158"/>
      <c r="E859" s="158"/>
      <c r="F859" s="158"/>
    </row>
    <row r="860" spans="2:6">
      <c r="B860" s="158"/>
      <c r="C860" s="158"/>
      <c r="D860" s="158"/>
      <c r="E860" s="158"/>
      <c r="F860" s="158"/>
    </row>
    <row r="861" spans="2:6">
      <c r="B861" s="158"/>
      <c r="C861" s="158"/>
      <c r="D861" s="158"/>
      <c r="E861" s="158"/>
      <c r="F861" s="158"/>
    </row>
    <row r="862" spans="2:6">
      <c r="B862" s="158"/>
      <c r="C862" s="158"/>
      <c r="D862" s="158"/>
      <c r="E862" s="158"/>
      <c r="F862" s="158"/>
    </row>
    <row r="863" spans="2:6">
      <c r="B863" s="158"/>
      <c r="C863" s="158"/>
      <c r="D863" s="158"/>
      <c r="E863" s="158"/>
      <c r="F863" s="158"/>
    </row>
    <row r="864" spans="2:6">
      <c r="B864" s="158"/>
      <c r="C864" s="158"/>
      <c r="D864" s="158"/>
      <c r="E864" s="158"/>
      <c r="F864" s="158"/>
    </row>
    <row r="865" spans="2:6">
      <c r="B865" s="158"/>
      <c r="C865" s="158"/>
      <c r="D865" s="158"/>
      <c r="E865" s="158"/>
      <c r="F865" s="158"/>
    </row>
    <row r="866" spans="2:6">
      <c r="B866" s="158"/>
      <c r="C866" s="158"/>
      <c r="D866" s="158"/>
      <c r="E866" s="158"/>
      <c r="F866" s="158"/>
    </row>
    <row r="867" spans="2:6">
      <c r="B867" s="158"/>
      <c r="C867" s="158"/>
      <c r="D867" s="158"/>
      <c r="E867" s="158"/>
      <c r="F867" s="158"/>
    </row>
    <row r="868" spans="2:6">
      <c r="B868" s="158"/>
      <c r="C868" s="158"/>
      <c r="D868" s="158"/>
      <c r="E868" s="158"/>
      <c r="F868" s="158"/>
    </row>
    <row r="869" spans="2:6">
      <c r="B869" s="158"/>
      <c r="C869" s="158"/>
      <c r="D869" s="158"/>
      <c r="E869" s="158"/>
      <c r="F869" s="158"/>
    </row>
    <row r="870" spans="2:6">
      <c r="B870" s="158"/>
      <c r="C870" s="158"/>
      <c r="D870" s="158"/>
      <c r="E870" s="158"/>
      <c r="F870" s="158"/>
    </row>
    <row r="871" spans="2:6">
      <c r="B871" s="158"/>
      <c r="C871" s="158"/>
      <c r="D871" s="158"/>
      <c r="E871" s="158"/>
      <c r="F871" s="158"/>
    </row>
    <row r="872" spans="2:6">
      <c r="B872" s="158"/>
      <c r="C872" s="158"/>
      <c r="D872" s="158"/>
      <c r="E872" s="158"/>
      <c r="F872" s="158"/>
    </row>
    <row r="873" spans="2:6">
      <c r="B873" s="158"/>
      <c r="C873" s="158"/>
      <c r="D873" s="158"/>
      <c r="E873" s="158"/>
      <c r="F873" s="158"/>
    </row>
    <row r="874" spans="2:6">
      <c r="B874" s="158"/>
      <c r="C874" s="158"/>
      <c r="D874" s="158"/>
      <c r="E874" s="158"/>
      <c r="F874" s="158"/>
    </row>
    <row r="875" spans="2:6">
      <c r="B875" s="158"/>
      <c r="C875" s="158"/>
      <c r="D875" s="158"/>
      <c r="E875" s="158"/>
      <c r="F875" s="158"/>
    </row>
    <row r="876" spans="2:6">
      <c r="B876" s="158"/>
      <c r="C876" s="158"/>
      <c r="D876" s="158"/>
      <c r="E876" s="158"/>
      <c r="F876" s="158"/>
    </row>
    <row r="877" spans="2:6">
      <c r="B877" s="158"/>
      <c r="C877" s="158"/>
      <c r="D877" s="158"/>
      <c r="E877" s="158"/>
      <c r="F877" s="158"/>
    </row>
    <row r="878" spans="2:6">
      <c r="B878" s="158"/>
      <c r="C878" s="158"/>
      <c r="D878" s="158"/>
      <c r="E878" s="158"/>
      <c r="F878" s="158"/>
    </row>
    <row r="879" spans="2:6">
      <c r="B879" s="158"/>
      <c r="C879" s="158"/>
      <c r="D879" s="158"/>
      <c r="E879" s="158"/>
      <c r="F879" s="158"/>
    </row>
    <row r="880" spans="2:6">
      <c r="B880" s="158"/>
      <c r="C880" s="158"/>
      <c r="D880" s="158"/>
      <c r="E880" s="158"/>
      <c r="F880" s="158"/>
    </row>
    <row r="881" spans="2:6">
      <c r="B881" s="158"/>
      <c r="C881" s="158"/>
      <c r="D881" s="158"/>
      <c r="E881" s="158"/>
      <c r="F881" s="158"/>
    </row>
    <row r="882" spans="2:6">
      <c r="B882" s="158"/>
      <c r="C882" s="158"/>
      <c r="D882" s="158"/>
      <c r="E882" s="158"/>
      <c r="F882" s="158"/>
    </row>
    <row r="883" spans="2:6">
      <c r="B883" s="158"/>
      <c r="C883" s="158"/>
      <c r="D883" s="158"/>
      <c r="E883" s="158"/>
      <c r="F883" s="158"/>
    </row>
    <row r="884" spans="2:6">
      <c r="B884" s="158"/>
      <c r="C884" s="158"/>
      <c r="D884" s="158"/>
      <c r="E884" s="158"/>
      <c r="F884" s="158"/>
    </row>
    <row r="885" spans="2:6">
      <c r="B885" s="158"/>
      <c r="C885" s="158"/>
      <c r="D885" s="158"/>
      <c r="E885" s="158"/>
      <c r="F885" s="158"/>
    </row>
    <row r="886" spans="2:6">
      <c r="B886" s="158"/>
      <c r="C886" s="158"/>
      <c r="D886" s="158"/>
      <c r="E886" s="158"/>
      <c r="F886" s="158"/>
    </row>
    <row r="887" spans="2:6">
      <c r="B887" s="158"/>
      <c r="C887" s="158"/>
      <c r="D887" s="158"/>
      <c r="E887" s="158"/>
      <c r="F887" s="158"/>
    </row>
    <row r="888" spans="2:6">
      <c r="B888" s="158"/>
      <c r="C888" s="158"/>
      <c r="D888" s="158"/>
      <c r="E888" s="158"/>
      <c r="F888" s="158"/>
    </row>
    <row r="889" spans="2:6">
      <c r="B889" s="158"/>
      <c r="C889" s="158"/>
      <c r="D889" s="158"/>
      <c r="E889" s="158"/>
      <c r="F889" s="158"/>
    </row>
    <row r="890" spans="2:6">
      <c r="B890" s="158"/>
      <c r="C890" s="158"/>
      <c r="D890" s="158"/>
      <c r="E890" s="158"/>
      <c r="F890" s="158"/>
    </row>
    <row r="891" spans="2:6">
      <c r="B891" s="158"/>
      <c r="C891" s="158"/>
      <c r="D891" s="158"/>
      <c r="E891" s="158"/>
      <c r="F891" s="158"/>
    </row>
    <row r="892" spans="2:6">
      <c r="B892" s="158"/>
      <c r="C892" s="158"/>
      <c r="D892" s="158"/>
      <c r="E892" s="158"/>
      <c r="F892" s="158"/>
    </row>
    <row r="893" spans="2:6">
      <c r="B893" s="158"/>
      <c r="C893" s="158"/>
      <c r="D893" s="158"/>
      <c r="E893" s="158"/>
      <c r="F893" s="158"/>
    </row>
    <row r="894" spans="2:6">
      <c r="B894" s="158"/>
      <c r="C894" s="158"/>
      <c r="D894" s="158"/>
      <c r="E894" s="158"/>
      <c r="F894" s="158"/>
    </row>
    <row r="895" spans="2:6">
      <c r="B895" s="158"/>
      <c r="C895" s="158"/>
      <c r="D895" s="158"/>
      <c r="E895" s="158"/>
      <c r="F895" s="158"/>
    </row>
    <row r="896" spans="2:6">
      <c r="B896" s="158"/>
      <c r="C896" s="158"/>
      <c r="D896" s="158"/>
      <c r="E896" s="158"/>
      <c r="F896" s="158"/>
    </row>
    <row r="897" spans="2:6">
      <c r="B897" s="158"/>
      <c r="C897" s="158"/>
      <c r="D897" s="158"/>
      <c r="E897" s="158"/>
      <c r="F897" s="158"/>
    </row>
    <row r="898" spans="2:6">
      <c r="B898" s="158"/>
      <c r="C898" s="158"/>
      <c r="D898" s="158"/>
      <c r="E898" s="158"/>
      <c r="F898" s="158"/>
    </row>
    <row r="899" spans="2:6">
      <c r="B899" s="158"/>
      <c r="C899" s="158"/>
      <c r="D899" s="158"/>
      <c r="E899" s="158"/>
      <c r="F899" s="158"/>
    </row>
    <row r="900" spans="2:6">
      <c r="B900" s="158"/>
      <c r="C900" s="158"/>
      <c r="D900" s="158"/>
      <c r="E900" s="158"/>
      <c r="F900" s="158"/>
    </row>
    <row r="901" spans="2:6">
      <c r="B901" s="158"/>
      <c r="C901" s="158"/>
      <c r="D901" s="158"/>
      <c r="E901" s="158"/>
      <c r="F901" s="158"/>
    </row>
    <row r="902" spans="2:6">
      <c r="B902" s="158"/>
      <c r="C902" s="158"/>
      <c r="D902" s="158"/>
      <c r="E902" s="158"/>
      <c r="F902" s="158"/>
    </row>
    <row r="903" spans="2:6">
      <c r="B903" s="158"/>
      <c r="C903" s="158"/>
      <c r="D903" s="158"/>
      <c r="E903" s="158"/>
      <c r="F903" s="158"/>
    </row>
    <row r="904" spans="2:6">
      <c r="B904" s="158"/>
      <c r="C904" s="158"/>
      <c r="D904" s="158"/>
      <c r="E904" s="158"/>
      <c r="F904" s="158"/>
    </row>
    <row r="905" spans="2:6">
      <c r="B905" s="158"/>
      <c r="C905" s="158"/>
      <c r="D905" s="158"/>
      <c r="E905" s="158"/>
      <c r="F905" s="158"/>
    </row>
    <row r="906" spans="2:6">
      <c r="B906" s="158"/>
      <c r="C906" s="158"/>
      <c r="D906" s="158"/>
      <c r="E906" s="158"/>
      <c r="F906" s="158"/>
    </row>
    <row r="907" spans="2:6">
      <c r="B907" s="158"/>
      <c r="C907" s="158"/>
      <c r="D907" s="158"/>
      <c r="E907" s="158"/>
      <c r="F907" s="158"/>
    </row>
    <row r="908" spans="2:6">
      <c r="B908" s="158"/>
      <c r="C908" s="158"/>
      <c r="D908" s="158"/>
      <c r="E908" s="158"/>
      <c r="F908" s="158"/>
    </row>
    <row r="909" spans="2:6">
      <c r="B909" s="158"/>
      <c r="C909" s="158"/>
      <c r="D909" s="158"/>
      <c r="E909" s="158"/>
      <c r="F909" s="158"/>
    </row>
    <row r="910" spans="2:6">
      <c r="B910" s="158"/>
      <c r="C910" s="158"/>
      <c r="D910" s="158"/>
      <c r="E910" s="158"/>
      <c r="F910" s="158"/>
    </row>
    <row r="911" spans="2:6">
      <c r="B911" s="158"/>
      <c r="C911" s="158"/>
      <c r="D911" s="158"/>
      <c r="E911" s="158"/>
      <c r="F911" s="158"/>
    </row>
    <row r="912" spans="2:6">
      <c r="B912" s="158"/>
      <c r="C912" s="158"/>
      <c r="D912" s="158"/>
      <c r="E912" s="158"/>
      <c r="F912" s="158"/>
    </row>
    <row r="913" spans="2:6">
      <c r="B913" s="158"/>
      <c r="C913" s="158"/>
      <c r="D913" s="158"/>
      <c r="E913" s="158"/>
      <c r="F913" s="158"/>
    </row>
    <row r="914" spans="2:6">
      <c r="B914" s="158"/>
      <c r="C914" s="158"/>
      <c r="D914" s="158"/>
      <c r="E914" s="158"/>
      <c r="F914" s="158"/>
    </row>
    <row r="915" spans="2:6">
      <c r="B915" s="158"/>
      <c r="C915" s="158"/>
      <c r="D915" s="158"/>
      <c r="E915" s="158"/>
      <c r="F915" s="158"/>
    </row>
    <row r="916" spans="2:6">
      <c r="B916" s="158"/>
      <c r="C916" s="158"/>
      <c r="D916" s="158"/>
      <c r="E916" s="158"/>
      <c r="F916" s="158"/>
    </row>
    <row r="917" spans="2:6">
      <c r="B917" s="158"/>
      <c r="C917" s="158"/>
      <c r="D917" s="158"/>
      <c r="E917" s="158"/>
      <c r="F917" s="158"/>
    </row>
    <row r="918" spans="2:6">
      <c r="B918" s="158"/>
      <c r="C918" s="158"/>
      <c r="D918" s="158"/>
      <c r="E918" s="158"/>
      <c r="F918" s="158"/>
    </row>
    <row r="919" spans="2:6">
      <c r="B919" s="158"/>
      <c r="C919" s="158"/>
      <c r="D919" s="158"/>
      <c r="E919" s="158"/>
      <c r="F919" s="158"/>
    </row>
    <row r="920" spans="2:6">
      <c r="B920" s="158"/>
      <c r="C920" s="158"/>
      <c r="D920" s="158"/>
      <c r="E920" s="158"/>
      <c r="F920" s="158"/>
    </row>
    <row r="921" spans="2:6">
      <c r="B921" s="158"/>
      <c r="C921" s="158"/>
      <c r="D921" s="158"/>
      <c r="E921" s="158"/>
      <c r="F921" s="158"/>
    </row>
    <row r="922" spans="2:6">
      <c r="B922" s="158"/>
      <c r="C922" s="158"/>
      <c r="D922" s="158"/>
      <c r="E922" s="158"/>
      <c r="F922" s="158"/>
    </row>
    <row r="923" spans="2:6">
      <c r="B923" s="158"/>
      <c r="C923" s="158"/>
      <c r="D923" s="158"/>
      <c r="E923" s="158"/>
      <c r="F923" s="158"/>
    </row>
    <row r="924" spans="2:6">
      <c r="B924" s="158"/>
      <c r="C924" s="158"/>
      <c r="D924" s="158"/>
      <c r="E924" s="158"/>
      <c r="F924" s="158"/>
    </row>
    <row r="925" spans="2:6">
      <c r="B925" s="158"/>
      <c r="C925" s="158"/>
      <c r="D925" s="158"/>
      <c r="E925" s="158"/>
      <c r="F925" s="158"/>
    </row>
    <row r="926" spans="2:6">
      <c r="B926" s="158"/>
      <c r="C926" s="158"/>
      <c r="D926" s="158"/>
      <c r="E926" s="158"/>
      <c r="F926" s="158"/>
    </row>
    <row r="927" spans="2:6">
      <c r="B927" s="158"/>
      <c r="C927" s="158"/>
      <c r="D927" s="158"/>
      <c r="E927" s="158"/>
      <c r="F927" s="158"/>
    </row>
    <row r="928" spans="2:6">
      <c r="B928" s="158"/>
      <c r="C928" s="158"/>
      <c r="D928" s="158"/>
      <c r="E928" s="158"/>
      <c r="F928" s="158"/>
    </row>
    <row r="929" spans="2:6">
      <c r="B929" s="158"/>
      <c r="C929" s="158"/>
      <c r="D929" s="158"/>
      <c r="E929" s="158"/>
      <c r="F929" s="158"/>
    </row>
    <row r="930" spans="2:6">
      <c r="B930" s="158"/>
      <c r="C930" s="158"/>
      <c r="D930" s="158"/>
      <c r="E930" s="158"/>
      <c r="F930" s="158"/>
    </row>
    <row r="931" spans="2:6">
      <c r="B931" s="158"/>
      <c r="C931" s="158"/>
      <c r="D931" s="158"/>
      <c r="E931" s="158"/>
      <c r="F931" s="158"/>
    </row>
    <row r="932" spans="2:6">
      <c r="B932" s="158"/>
      <c r="C932" s="158"/>
      <c r="D932" s="158"/>
      <c r="E932" s="158"/>
      <c r="F932" s="158"/>
    </row>
    <row r="933" spans="2:6">
      <c r="B933" s="158"/>
      <c r="C933" s="158"/>
      <c r="D933" s="158"/>
      <c r="E933" s="158"/>
      <c r="F933" s="158"/>
    </row>
    <row r="934" spans="2:6">
      <c r="B934" s="158"/>
      <c r="C934" s="158"/>
      <c r="D934" s="158"/>
      <c r="E934" s="158"/>
      <c r="F934" s="158"/>
    </row>
    <row r="935" spans="2:6">
      <c r="B935" s="158"/>
      <c r="C935" s="158"/>
      <c r="D935" s="158"/>
      <c r="E935" s="158"/>
      <c r="F935" s="158"/>
    </row>
    <row r="936" spans="2:6">
      <c r="B936" s="158"/>
      <c r="C936" s="158"/>
      <c r="D936" s="158"/>
      <c r="E936" s="158"/>
      <c r="F936" s="158"/>
    </row>
    <row r="937" spans="2:6">
      <c r="B937" s="158"/>
      <c r="C937" s="158"/>
      <c r="D937" s="158"/>
      <c r="E937" s="158"/>
      <c r="F937" s="158"/>
    </row>
    <row r="938" spans="2:6">
      <c r="B938" s="158"/>
      <c r="C938" s="158"/>
      <c r="D938" s="158"/>
      <c r="E938" s="158"/>
      <c r="F938" s="158"/>
    </row>
    <row r="939" spans="2:6">
      <c r="B939" s="158"/>
      <c r="C939" s="158"/>
      <c r="D939" s="158"/>
      <c r="E939" s="158"/>
      <c r="F939" s="158"/>
    </row>
    <row r="940" spans="2:6">
      <c r="B940" s="158"/>
      <c r="C940" s="158"/>
      <c r="D940" s="158"/>
      <c r="E940" s="158"/>
      <c r="F940" s="158"/>
    </row>
    <row r="941" spans="2:6">
      <c r="B941" s="158"/>
      <c r="C941" s="158"/>
      <c r="D941" s="158"/>
      <c r="E941" s="158"/>
      <c r="F941" s="158"/>
    </row>
    <row r="942" spans="2:6">
      <c r="B942" s="158"/>
      <c r="C942" s="158"/>
      <c r="D942" s="158"/>
      <c r="E942" s="158"/>
      <c r="F942" s="158"/>
    </row>
    <row r="943" spans="2:6">
      <c r="B943" s="158"/>
      <c r="C943" s="158"/>
      <c r="D943" s="158"/>
      <c r="E943" s="158"/>
      <c r="F943" s="158"/>
    </row>
    <row r="944" spans="2:6">
      <c r="B944" s="158"/>
      <c r="C944" s="158"/>
      <c r="D944" s="158"/>
      <c r="E944" s="158"/>
      <c r="F944" s="158"/>
    </row>
    <row r="945" spans="2:6">
      <c r="B945" s="158"/>
      <c r="C945" s="158"/>
      <c r="D945" s="158"/>
      <c r="E945" s="158"/>
      <c r="F945" s="158"/>
    </row>
    <row r="946" spans="2:6">
      <c r="B946" s="158"/>
      <c r="C946" s="158"/>
      <c r="D946" s="158"/>
      <c r="E946" s="158"/>
      <c r="F946" s="158"/>
    </row>
    <row r="947" spans="2:6">
      <c r="B947" s="158"/>
      <c r="C947" s="158"/>
      <c r="D947" s="158"/>
      <c r="E947" s="158"/>
      <c r="F947" s="158"/>
    </row>
    <row r="948" spans="2:6">
      <c r="B948" s="158"/>
      <c r="C948" s="158"/>
      <c r="D948" s="158"/>
      <c r="E948" s="158"/>
      <c r="F948" s="158"/>
    </row>
    <row r="949" spans="2:6">
      <c r="B949" s="158"/>
      <c r="C949" s="158"/>
      <c r="D949" s="158"/>
      <c r="E949" s="158"/>
      <c r="F949" s="158"/>
    </row>
    <row r="950" spans="2:6">
      <c r="B950" s="158"/>
      <c r="C950" s="158"/>
      <c r="D950" s="158"/>
      <c r="E950" s="158"/>
      <c r="F950" s="158"/>
    </row>
    <row r="951" spans="2:6">
      <c r="B951" s="158"/>
      <c r="C951" s="158"/>
      <c r="D951" s="158"/>
      <c r="E951" s="158"/>
      <c r="F951" s="158"/>
    </row>
    <row r="952" spans="2:6">
      <c r="B952" s="158"/>
      <c r="C952" s="158"/>
      <c r="D952" s="158"/>
      <c r="E952" s="158"/>
      <c r="F952" s="158"/>
    </row>
    <row r="953" spans="2:6">
      <c r="B953" s="158"/>
      <c r="C953" s="158"/>
      <c r="D953" s="158"/>
      <c r="E953" s="158"/>
      <c r="F953" s="158"/>
    </row>
    <row r="954" spans="2:6">
      <c r="B954" s="158"/>
      <c r="C954" s="158"/>
      <c r="D954" s="158"/>
      <c r="E954" s="158"/>
      <c r="F954" s="158"/>
    </row>
    <row r="955" spans="2:6">
      <c r="B955" s="158"/>
      <c r="C955" s="158"/>
      <c r="D955" s="158"/>
      <c r="E955" s="158"/>
      <c r="F955" s="158"/>
    </row>
    <row r="956" spans="2:6">
      <c r="B956" s="158"/>
      <c r="C956" s="158"/>
      <c r="D956" s="158"/>
      <c r="E956" s="158"/>
      <c r="F956" s="158"/>
    </row>
    <row r="957" spans="2:6">
      <c r="B957" s="158"/>
      <c r="C957" s="158"/>
      <c r="D957" s="158"/>
      <c r="E957" s="158"/>
      <c r="F957" s="158"/>
    </row>
    <row r="958" spans="2:6">
      <c r="B958" s="158"/>
      <c r="C958" s="158"/>
      <c r="D958" s="158"/>
      <c r="E958" s="158"/>
      <c r="F958" s="158"/>
    </row>
    <row r="959" spans="2:6">
      <c r="B959" s="158"/>
      <c r="C959" s="158"/>
      <c r="D959" s="158"/>
      <c r="E959" s="158"/>
      <c r="F959" s="158"/>
    </row>
    <row r="960" spans="2:6">
      <c r="B960" s="158"/>
      <c r="C960" s="158"/>
      <c r="D960" s="158"/>
      <c r="E960" s="158"/>
      <c r="F960" s="158"/>
    </row>
    <row r="961" spans="2:6">
      <c r="B961" s="158"/>
      <c r="C961" s="158"/>
      <c r="D961" s="158"/>
      <c r="E961" s="158"/>
      <c r="F961" s="158"/>
    </row>
    <row r="962" spans="2:6">
      <c r="B962" s="158"/>
      <c r="C962" s="158"/>
      <c r="D962" s="158"/>
      <c r="E962" s="158"/>
      <c r="F962" s="158"/>
    </row>
    <row r="963" spans="2:6">
      <c r="B963" s="158"/>
      <c r="C963" s="158"/>
      <c r="D963" s="158"/>
      <c r="E963" s="158"/>
      <c r="F963" s="158"/>
    </row>
    <row r="964" spans="2:6">
      <c r="B964" s="158"/>
      <c r="C964" s="158"/>
      <c r="D964" s="158"/>
      <c r="E964" s="158"/>
      <c r="F964" s="158"/>
    </row>
    <row r="965" spans="2:6">
      <c r="B965" s="158"/>
      <c r="C965" s="158"/>
      <c r="D965" s="158"/>
      <c r="E965" s="158"/>
      <c r="F965" s="158"/>
    </row>
    <row r="966" spans="2:6">
      <c r="B966" s="158"/>
      <c r="C966" s="158"/>
      <c r="D966" s="158"/>
      <c r="E966" s="158"/>
      <c r="F966" s="158"/>
    </row>
    <row r="967" spans="2:6">
      <c r="B967" s="158"/>
      <c r="C967" s="158"/>
      <c r="D967" s="158"/>
      <c r="E967" s="158"/>
      <c r="F967" s="158"/>
    </row>
    <row r="968" spans="2:6">
      <c r="B968" s="158"/>
      <c r="C968" s="158"/>
      <c r="D968" s="158"/>
      <c r="E968" s="158"/>
      <c r="F968" s="158"/>
    </row>
    <row r="969" spans="2:6">
      <c r="B969" s="158"/>
      <c r="C969" s="158"/>
      <c r="D969" s="158"/>
      <c r="E969" s="158"/>
      <c r="F969" s="158"/>
    </row>
    <row r="970" spans="2:6">
      <c r="B970" s="158"/>
      <c r="C970" s="158"/>
      <c r="D970" s="158"/>
      <c r="E970" s="158"/>
      <c r="F970" s="158"/>
    </row>
    <row r="971" spans="2:6">
      <c r="B971" s="158"/>
      <c r="C971" s="158"/>
      <c r="D971" s="158"/>
      <c r="E971" s="158"/>
      <c r="F971" s="158"/>
    </row>
    <row r="972" spans="2:6">
      <c r="B972" s="158"/>
      <c r="C972" s="158"/>
      <c r="D972" s="158"/>
      <c r="E972" s="158"/>
      <c r="F972" s="158"/>
    </row>
    <row r="973" spans="2:6">
      <c r="B973" s="158"/>
      <c r="C973" s="158"/>
      <c r="D973" s="158"/>
      <c r="E973" s="158"/>
      <c r="F973" s="158"/>
    </row>
    <row r="974" spans="2:6">
      <c r="B974" s="158"/>
      <c r="C974" s="158"/>
      <c r="D974" s="158"/>
      <c r="E974" s="158"/>
      <c r="F974" s="158"/>
    </row>
    <row r="975" spans="2:6">
      <c r="B975" s="158"/>
      <c r="C975" s="158"/>
      <c r="D975" s="158"/>
      <c r="E975" s="158"/>
      <c r="F975" s="158"/>
    </row>
    <row r="976" spans="2:6">
      <c r="B976" s="158"/>
      <c r="C976" s="158"/>
      <c r="D976" s="158"/>
      <c r="E976" s="158"/>
      <c r="F976" s="158"/>
    </row>
    <row r="977" spans="2:6">
      <c r="B977" s="158"/>
      <c r="C977" s="158"/>
      <c r="D977" s="158"/>
      <c r="E977" s="158"/>
      <c r="F977" s="158"/>
    </row>
    <row r="978" spans="2:6">
      <c r="B978" s="158"/>
      <c r="C978" s="158"/>
      <c r="D978" s="158"/>
      <c r="E978" s="158"/>
      <c r="F978" s="158"/>
    </row>
    <row r="979" spans="2:6">
      <c r="B979" s="158"/>
      <c r="C979" s="158"/>
      <c r="D979" s="158"/>
      <c r="E979" s="158"/>
      <c r="F979" s="158"/>
    </row>
    <row r="980" spans="2:6">
      <c r="B980" s="158"/>
      <c r="C980" s="158"/>
      <c r="D980" s="158"/>
      <c r="E980" s="158"/>
      <c r="F980" s="158"/>
    </row>
    <row r="981" spans="2:6">
      <c r="B981" s="158"/>
      <c r="C981" s="158"/>
      <c r="D981" s="158"/>
      <c r="E981" s="158"/>
      <c r="F981" s="158"/>
    </row>
    <row r="982" spans="2:6">
      <c r="B982" s="158"/>
      <c r="C982" s="158"/>
      <c r="D982" s="158"/>
      <c r="E982" s="158"/>
      <c r="F982" s="158"/>
    </row>
    <row r="983" spans="2:6">
      <c r="B983" s="158"/>
      <c r="C983" s="158"/>
      <c r="D983" s="158"/>
      <c r="E983" s="158"/>
      <c r="F983" s="158"/>
    </row>
    <row r="984" spans="2:6">
      <c r="B984" s="158"/>
      <c r="C984" s="158"/>
      <c r="D984" s="158"/>
      <c r="E984" s="158"/>
      <c r="F984" s="158"/>
    </row>
    <row r="985" spans="2:6">
      <c r="B985" s="158"/>
      <c r="C985" s="158"/>
      <c r="D985" s="158"/>
      <c r="E985" s="158"/>
      <c r="F985" s="158"/>
    </row>
    <row r="986" spans="2:6">
      <c r="B986" s="158"/>
      <c r="C986" s="158"/>
      <c r="D986" s="158"/>
      <c r="E986" s="158"/>
      <c r="F986" s="158"/>
    </row>
    <row r="987" spans="2:6">
      <c r="B987" s="158"/>
      <c r="C987" s="158"/>
      <c r="D987" s="158"/>
      <c r="E987" s="158"/>
      <c r="F987" s="158"/>
    </row>
    <row r="988" spans="2:6">
      <c r="B988" s="158"/>
      <c r="C988" s="158"/>
      <c r="D988" s="158"/>
      <c r="E988" s="158"/>
      <c r="F988" s="158"/>
    </row>
    <row r="989" spans="2:6">
      <c r="B989" s="158"/>
      <c r="C989" s="158"/>
      <c r="D989" s="158"/>
      <c r="E989" s="158"/>
      <c r="F989" s="158"/>
    </row>
    <row r="990" spans="2:6">
      <c r="B990" s="158"/>
      <c r="C990" s="158"/>
      <c r="D990" s="158"/>
      <c r="E990" s="158"/>
      <c r="F990" s="158"/>
    </row>
    <row r="991" spans="2:6">
      <c r="B991" s="158"/>
      <c r="C991" s="158"/>
      <c r="D991" s="158"/>
      <c r="E991" s="158"/>
      <c r="F991" s="158"/>
    </row>
    <row r="992" spans="2:6">
      <c r="B992" s="158"/>
      <c r="C992" s="158"/>
      <c r="D992" s="158"/>
      <c r="E992" s="158"/>
      <c r="F992" s="158"/>
    </row>
    <row r="993" spans="2:6">
      <c r="B993" s="158"/>
      <c r="C993" s="158"/>
      <c r="D993" s="158"/>
      <c r="E993" s="158"/>
      <c r="F993" s="158"/>
    </row>
    <row r="994" spans="2:6">
      <c r="B994" s="158"/>
      <c r="C994" s="158"/>
      <c r="D994" s="158"/>
      <c r="E994" s="158"/>
      <c r="F994" s="158"/>
    </row>
    <row r="995" spans="2:6">
      <c r="B995" s="158"/>
      <c r="C995" s="158"/>
      <c r="D995" s="158"/>
      <c r="E995" s="158"/>
      <c r="F995" s="158"/>
    </row>
    <row r="996" spans="2:6">
      <c r="B996" s="158"/>
      <c r="C996" s="158"/>
      <c r="D996" s="158"/>
      <c r="E996" s="158"/>
      <c r="F996" s="158"/>
    </row>
    <row r="997" spans="2:6">
      <c r="B997" s="158"/>
      <c r="C997" s="158"/>
      <c r="D997" s="158"/>
      <c r="E997" s="158"/>
      <c r="F997" s="158"/>
    </row>
    <row r="998" spans="2:6">
      <c r="B998" s="158"/>
      <c r="C998" s="158"/>
      <c r="D998" s="158"/>
      <c r="E998" s="158"/>
      <c r="F998" s="158"/>
    </row>
    <row r="999" spans="2:6">
      <c r="B999" s="158"/>
      <c r="C999" s="158"/>
      <c r="D999" s="158"/>
      <c r="E999" s="158"/>
      <c r="F999" s="158"/>
    </row>
    <row r="1000" spans="2:6">
      <c r="B1000" s="158"/>
      <c r="C1000" s="158"/>
      <c r="D1000" s="158"/>
      <c r="E1000" s="158"/>
      <c r="F1000" s="158"/>
    </row>
    <row r="1001" spans="2:6">
      <c r="B1001" s="158"/>
      <c r="C1001" s="158"/>
      <c r="D1001" s="158"/>
      <c r="E1001" s="158"/>
      <c r="F1001" s="158"/>
    </row>
    <row r="1002" spans="2:6">
      <c r="B1002" s="158"/>
      <c r="C1002" s="158"/>
      <c r="D1002" s="158"/>
      <c r="E1002" s="158"/>
      <c r="F1002" s="158"/>
    </row>
    <row r="1003" spans="2:6">
      <c r="B1003" s="158"/>
      <c r="C1003" s="158"/>
      <c r="D1003" s="158"/>
      <c r="E1003" s="158"/>
      <c r="F1003" s="158"/>
    </row>
    <row r="1004" spans="2:6">
      <c r="B1004" s="158"/>
      <c r="C1004" s="158"/>
      <c r="D1004" s="158"/>
      <c r="E1004" s="158"/>
      <c r="F1004" s="158"/>
    </row>
    <row r="1005" spans="2:6">
      <c r="B1005" s="158"/>
      <c r="C1005" s="158"/>
      <c r="D1005" s="158"/>
      <c r="E1005" s="158"/>
      <c r="F1005" s="158"/>
    </row>
    <row r="1006" spans="2:6">
      <c r="B1006" s="158"/>
      <c r="C1006" s="158"/>
      <c r="D1006" s="158"/>
      <c r="E1006" s="158"/>
      <c r="F1006" s="158"/>
    </row>
    <row r="1007" spans="2:6">
      <c r="B1007" s="158"/>
      <c r="C1007" s="158"/>
      <c r="D1007" s="158"/>
      <c r="E1007" s="158"/>
      <c r="F1007" s="158"/>
    </row>
    <row r="1008" spans="2:6">
      <c r="B1008" s="158"/>
      <c r="C1008" s="158"/>
      <c r="D1008" s="158"/>
      <c r="E1008" s="158"/>
      <c r="F1008" s="158"/>
    </row>
    <row r="1009" spans="2:6">
      <c r="B1009" s="158"/>
      <c r="C1009" s="158"/>
      <c r="D1009" s="158"/>
      <c r="E1009" s="158"/>
      <c r="F1009" s="158"/>
    </row>
    <row r="1010" spans="2:6">
      <c r="B1010" s="158"/>
      <c r="C1010" s="158"/>
      <c r="D1010" s="158"/>
      <c r="E1010" s="158"/>
      <c r="F1010" s="158"/>
    </row>
    <row r="1011" spans="2:6">
      <c r="B1011" s="158"/>
      <c r="C1011" s="158"/>
      <c r="D1011" s="158"/>
      <c r="E1011" s="158"/>
      <c r="F1011" s="158"/>
    </row>
    <row r="1012" spans="2:6">
      <c r="B1012" s="158"/>
      <c r="C1012" s="158"/>
      <c r="D1012" s="158"/>
      <c r="E1012" s="158"/>
      <c r="F1012" s="158"/>
    </row>
    <row r="1013" spans="2:6">
      <c r="B1013" s="158"/>
      <c r="C1013" s="158"/>
      <c r="D1013" s="158"/>
      <c r="E1013" s="158"/>
      <c r="F1013" s="158"/>
    </row>
    <row r="1014" spans="2:6">
      <c r="B1014" s="158"/>
      <c r="C1014" s="158"/>
      <c r="D1014" s="158"/>
      <c r="E1014" s="158"/>
      <c r="F1014" s="158"/>
    </row>
    <row r="1015" spans="2:6">
      <c r="B1015" s="158"/>
      <c r="C1015" s="158"/>
      <c r="D1015" s="158"/>
      <c r="E1015" s="158"/>
      <c r="F1015" s="158"/>
    </row>
    <row r="1016" spans="2:6">
      <c r="B1016" s="158"/>
      <c r="C1016" s="158"/>
      <c r="D1016" s="158"/>
      <c r="E1016" s="158"/>
      <c r="F1016" s="158"/>
    </row>
    <row r="1017" spans="2:6">
      <c r="B1017" s="158"/>
      <c r="C1017" s="158"/>
      <c r="D1017" s="158"/>
      <c r="E1017" s="158"/>
      <c r="F1017" s="158"/>
    </row>
    <row r="1018" spans="2:6">
      <c r="B1018" s="158"/>
      <c r="C1018" s="158"/>
      <c r="D1018" s="158"/>
      <c r="E1018" s="158"/>
      <c r="F1018" s="158"/>
    </row>
    <row r="1019" spans="2:6">
      <c r="B1019" s="158"/>
      <c r="C1019" s="158"/>
      <c r="D1019" s="158"/>
      <c r="E1019" s="158"/>
      <c r="F1019" s="158"/>
    </row>
    <row r="1020" spans="2:6">
      <c r="B1020" s="158"/>
      <c r="C1020" s="158"/>
      <c r="D1020" s="158"/>
      <c r="E1020" s="158"/>
      <c r="F1020" s="158"/>
    </row>
    <row r="1021" spans="2:6">
      <c r="B1021" s="158"/>
      <c r="C1021" s="158"/>
      <c r="D1021" s="158"/>
      <c r="E1021" s="158"/>
      <c r="F1021" s="158"/>
    </row>
    <row r="1022" spans="2:6">
      <c r="B1022" s="158"/>
      <c r="C1022" s="158"/>
      <c r="D1022" s="158"/>
      <c r="E1022" s="158"/>
      <c r="F1022" s="158"/>
    </row>
    <row r="1023" spans="2:6">
      <c r="B1023" s="158"/>
      <c r="C1023" s="158"/>
      <c r="D1023" s="158"/>
      <c r="E1023" s="158"/>
      <c r="F1023" s="158"/>
    </row>
    <row r="1024" spans="2:6">
      <c r="B1024" s="158"/>
      <c r="C1024" s="158"/>
      <c r="D1024" s="158"/>
      <c r="E1024" s="158"/>
      <c r="F1024" s="158"/>
    </row>
    <row r="1025" spans="2:6">
      <c r="B1025" s="158"/>
      <c r="C1025" s="158"/>
      <c r="D1025" s="158"/>
      <c r="E1025" s="158"/>
      <c r="F1025" s="158"/>
    </row>
    <row r="1026" spans="2:6">
      <c r="B1026" s="158"/>
      <c r="C1026" s="158"/>
      <c r="D1026" s="158"/>
      <c r="E1026" s="158"/>
      <c r="F1026" s="158"/>
    </row>
    <row r="1027" spans="2:6">
      <c r="B1027" s="158"/>
      <c r="C1027" s="158"/>
      <c r="D1027" s="158"/>
      <c r="E1027" s="158"/>
      <c r="F1027" s="158"/>
    </row>
    <row r="1028" spans="2:6">
      <c r="B1028" s="158"/>
      <c r="C1028" s="158"/>
      <c r="D1028" s="158"/>
      <c r="E1028" s="158"/>
      <c r="F1028" s="158"/>
    </row>
    <row r="1029" spans="2:6">
      <c r="B1029" s="158"/>
      <c r="C1029" s="158"/>
      <c r="D1029" s="158"/>
      <c r="E1029" s="158"/>
      <c r="F1029" s="158"/>
    </row>
    <row r="1030" spans="2:6">
      <c r="B1030" s="158"/>
      <c r="C1030" s="158"/>
      <c r="D1030" s="158"/>
      <c r="E1030" s="158"/>
      <c r="F1030" s="158"/>
    </row>
    <row r="1031" spans="2:6">
      <c r="B1031" s="158"/>
      <c r="C1031" s="158"/>
      <c r="D1031" s="158"/>
      <c r="E1031" s="158"/>
      <c r="F1031" s="158"/>
    </row>
    <row r="1032" spans="2:6">
      <c r="B1032" s="158"/>
      <c r="C1032" s="158"/>
      <c r="D1032" s="158"/>
      <c r="E1032" s="158"/>
      <c r="F1032" s="158"/>
    </row>
    <row r="1033" spans="2:6">
      <c r="B1033" s="158"/>
      <c r="C1033" s="158"/>
      <c r="D1033" s="158"/>
      <c r="E1033" s="158"/>
      <c r="F1033" s="158"/>
    </row>
    <row r="1034" spans="2:6">
      <c r="B1034" s="158"/>
      <c r="C1034" s="158"/>
      <c r="D1034" s="158"/>
      <c r="E1034" s="158"/>
      <c r="F1034" s="158"/>
    </row>
    <row r="1035" spans="2:6">
      <c r="B1035" s="158"/>
      <c r="C1035" s="158"/>
      <c r="D1035" s="158"/>
      <c r="E1035" s="158"/>
      <c r="F1035" s="158"/>
    </row>
    <row r="1036" spans="2:6">
      <c r="B1036" s="158"/>
      <c r="C1036" s="158"/>
      <c r="D1036" s="158"/>
      <c r="E1036" s="158"/>
      <c r="F1036" s="158"/>
    </row>
    <row r="1037" spans="2:6">
      <c r="B1037" s="158"/>
      <c r="C1037" s="158"/>
      <c r="D1037" s="158"/>
      <c r="E1037" s="158"/>
      <c r="F1037" s="158"/>
    </row>
    <row r="1038" spans="2:6">
      <c r="B1038" s="158"/>
      <c r="C1038" s="158"/>
      <c r="D1038" s="158"/>
      <c r="E1038" s="158"/>
      <c r="F1038" s="158"/>
    </row>
    <row r="1039" spans="2:6">
      <c r="B1039" s="158"/>
      <c r="C1039" s="158"/>
      <c r="D1039" s="158"/>
      <c r="E1039" s="158"/>
      <c r="F1039" s="158"/>
    </row>
    <row r="1040" spans="2:6">
      <c r="B1040" s="158"/>
      <c r="C1040" s="158"/>
      <c r="D1040" s="158"/>
      <c r="E1040" s="158"/>
      <c r="F1040" s="158"/>
    </row>
    <row r="1041" spans="2:6">
      <c r="B1041" s="158"/>
      <c r="C1041" s="158"/>
      <c r="D1041" s="158"/>
      <c r="E1041" s="158"/>
      <c r="F1041" s="158"/>
    </row>
    <row r="1042" spans="2:6">
      <c r="B1042" s="158"/>
      <c r="C1042" s="158"/>
      <c r="D1042" s="158"/>
      <c r="E1042" s="158"/>
      <c r="F1042" s="158"/>
    </row>
    <row r="1043" spans="2:6">
      <c r="B1043" s="158"/>
      <c r="C1043" s="158"/>
      <c r="D1043" s="158"/>
      <c r="E1043" s="158"/>
      <c r="F1043" s="158"/>
    </row>
    <row r="1044" spans="2:6">
      <c r="B1044" s="158"/>
      <c r="C1044" s="158"/>
      <c r="D1044" s="158"/>
      <c r="E1044" s="158"/>
      <c r="F1044" s="158"/>
    </row>
    <row r="1045" spans="2:6">
      <c r="B1045" s="158"/>
      <c r="C1045" s="158"/>
      <c r="D1045" s="158"/>
      <c r="E1045" s="158"/>
      <c r="F1045" s="158"/>
    </row>
    <row r="1046" spans="2:6">
      <c r="B1046" s="158"/>
      <c r="C1046" s="158"/>
      <c r="D1046" s="158"/>
      <c r="E1046" s="158"/>
      <c r="F1046" s="158"/>
    </row>
    <row r="1047" spans="2:6">
      <c r="B1047" s="158"/>
      <c r="C1047" s="158"/>
      <c r="D1047" s="158"/>
      <c r="E1047" s="158"/>
      <c r="F1047" s="158"/>
    </row>
    <row r="1048" spans="2:6">
      <c r="B1048" s="158"/>
      <c r="C1048" s="158"/>
      <c r="D1048" s="158"/>
      <c r="E1048" s="158"/>
      <c r="F1048" s="158"/>
    </row>
    <row r="1049" spans="2:6">
      <c r="B1049" s="158"/>
      <c r="C1049" s="158"/>
      <c r="D1049" s="158"/>
      <c r="E1049" s="158"/>
      <c r="F1049" s="158"/>
    </row>
    <row r="1050" spans="2:6">
      <c r="B1050" s="158"/>
      <c r="C1050" s="158"/>
      <c r="D1050" s="158"/>
      <c r="E1050" s="158"/>
      <c r="F1050" s="158"/>
    </row>
    <row r="1051" spans="2:6">
      <c r="B1051" s="158"/>
      <c r="C1051" s="158"/>
      <c r="D1051" s="158"/>
      <c r="E1051" s="158"/>
      <c r="F1051" s="158"/>
    </row>
    <row r="1052" spans="2:6">
      <c r="B1052" s="158"/>
      <c r="C1052" s="158"/>
      <c r="D1052" s="158"/>
      <c r="E1052" s="158"/>
      <c r="F1052" s="158"/>
    </row>
    <row r="1053" spans="2:6">
      <c r="B1053" s="158"/>
      <c r="C1053" s="158"/>
      <c r="D1053" s="158"/>
      <c r="E1053" s="158"/>
      <c r="F1053" s="158"/>
    </row>
    <row r="1054" spans="2:6">
      <c r="B1054" s="158"/>
      <c r="C1054" s="158"/>
      <c r="D1054" s="158"/>
      <c r="E1054" s="158"/>
      <c r="F1054" s="158"/>
    </row>
    <row r="1055" spans="2:6">
      <c r="B1055" s="158"/>
      <c r="C1055" s="158"/>
      <c r="D1055" s="158"/>
      <c r="E1055" s="158"/>
      <c r="F1055" s="158"/>
    </row>
    <row r="1056" spans="2:6">
      <c r="B1056" s="158"/>
      <c r="C1056" s="158"/>
      <c r="D1056" s="158"/>
      <c r="E1056" s="158"/>
      <c r="F1056" s="158"/>
    </row>
    <row r="1057" spans="2:6">
      <c r="B1057" s="158"/>
      <c r="C1057" s="158"/>
      <c r="D1057" s="158"/>
      <c r="E1057" s="158"/>
      <c r="F1057" s="158"/>
    </row>
    <row r="1058" spans="2:6">
      <c r="B1058" s="158"/>
      <c r="C1058" s="158"/>
      <c r="D1058" s="158"/>
      <c r="E1058" s="158"/>
      <c r="F1058" s="158"/>
    </row>
    <row r="1059" spans="2:6">
      <c r="B1059" s="158"/>
      <c r="C1059" s="158"/>
      <c r="D1059" s="158"/>
      <c r="E1059" s="158"/>
      <c r="F1059" s="158"/>
    </row>
    <row r="1060" spans="2:6">
      <c r="B1060" s="158"/>
      <c r="C1060" s="158"/>
      <c r="D1060" s="158"/>
      <c r="E1060" s="158"/>
      <c r="F1060" s="158"/>
    </row>
    <row r="1061" spans="2:6">
      <c r="B1061" s="158"/>
      <c r="C1061" s="158"/>
      <c r="D1061" s="158"/>
      <c r="E1061" s="158"/>
      <c r="F1061" s="158"/>
    </row>
    <row r="1062" spans="2:6">
      <c r="B1062" s="158"/>
      <c r="C1062" s="158"/>
      <c r="D1062" s="158"/>
      <c r="E1062" s="158"/>
      <c r="F1062" s="158"/>
    </row>
    <row r="1063" spans="2:6">
      <c r="B1063" s="158"/>
      <c r="C1063" s="158"/>
      <c r="D1063" s="158"/>
      <c r="E1063" s="158"/>
      <c r="F1063" s="158"/>
    </row>
    <row r="1064" spans="2:6">
      <c r="B1064" s="158"/>
      <c r="C1064" s="158"/>
      <c r="D1064" s="158"/>
      <c r="E1064" s="158"/>
      <c r="F1064" s="158"/>
    </row>
    <row r="1065" spans="2:6">
      <c r="B1065" s="158"/>
      <c r="C1065" s="158"/>
      <c r="D1065" s="158"/>
      <c r="E1065" s="158"/>
      <c r="F1065" s="158"/>
    </row>
    <row r="1066" spans="2:6">
      <c r="B1066" s="158"/>
      <c r="C1066" s="158"/>
      <c r="D1066" s="158"/>
      <c r="E1066" s="158"/>
      <c r="F1066" s="158"/>
    </row>
    <row r="1067" spans="2:6">
      <c r="B1067" s="158"/>
      <c r="C1067" s="158"/>
      <c r="D1067" s="158"/>
      <c r="E1067" s="158"/>
      <c r="F1067" s="158"/>
    </row>
    <row r="1068" spans="2:6">
      <c r="B1068" s="158"/>
      <c r="C1068" s="158"/>
      <c r="D1068" s="158"/>
      <c r="E1068" s="158"/>
      <c r="F1068" s="158"/>
    </row>
    <row r="1069" spans="2:6">
      <c r="B1069" s="158"/>
      <c r="C1069" s="158"/>
      <c r="D1069" s="158"/>
      <c r="E1069" s="158"/>
      <c r="F1069" s="158"/>
    </row>
    <row r="1070" spans="2:6">
      <c r="B1070" s="158"/>
      <c r="C1070" s="158"/>
      <c r="D1070" s="158"/>
      <c r="E1070" s="158"/>
      <c r="F1070" s="158"/>
    </row>
    <row r="1071" spans="2:6">
      <c r="B1071" s="158"/>
      <c r="C1071" s="158"/>
      <c r="D1071" s="158"/>
      <c r="E1071" s="158"/>
      <c r="F1071" s="158"/>
    </row>
    <row r="1072" spans="2:6">
      <c r="B1072" s="158"/>
      <c r="C1072" s="158"/>
      <c r="D1072" s="158"/>
      <c r="E1072" s="158"/>
      <c r="F1072" s="158"/>
    </row>
    <row r="1073" spans="2:6">
      <c r="B1073" s="158"/>
      <c r="C1073" s="158"/>
      <c r="D1073" s="158"/>
      <c r="E1073" s="158"/>
      <c r="F1073" s="158"/>
    </row>
    <row r="1074" spans="2:6">
      <c r="B1074" s="158"/>
      <c r="C1074" s="158"/>
      <c r="D1074" s="158"/>
      <c r="E1074" s="158"/>
      <c r="F1074" s="158"/>
    </row>
    <row r="1075" spans="2:6">
      <c r="B1075" s="158"/>
      <c r="C1075" s="158"/>
      <c r="D1075" s="158"/>
      <c r="E1075" s="158"/>
      <c r="F1075" s="158"/>
    </row>
    <row r="1076" spans="2:6">
      <c r="B1076" s="158"/>
      <c r="C1076" s="158"/>
      <c r="D1076" s="158"/>
      <c r="E1076" s="158"/>
      <c r="F1076" s="158"/>
    </row>
    <row r="1077" spans="2:6">
      <c r="B1077" s="158"/>
      <c r="C1077" s="158"/>
      <c r="D1077" s="158"/>
      <c r="E1077" s="158"/>
      <c r="F1077" s="158"/>
    </row>
    <row r="1078" spans="2:6">
      <c r="B1078" s="158"/>
      <c r="C1078" s="158"/>
      <c r="D1078" s="158"/>
      <c r="E1078" s="158"/>
      <c r="F1078" s="158"/>
    </row>
    <row r="1079" spans="2:6">
      <c r="B1079" s="158"/>
      <c r="C1079" s="158"/>
      <c r="D1079" s="158"/>
      <c r="E1079" s="158"/>
      <c r="F1079" s="158"/>
    </row>
    <row r="1080" spans="2:6">
      <c r="B1080" s="158"/>
      <c r="C1080" s="158"/>
      <c r="D1080" s="158"/>
      <c r="E1080" s="158"/>
      <c r="F1080" s="158"/>
    </row>
    <row r="1081" spans="2:6">
      <c r="B1081" s="158"/>
      <c r="C1081" s="158"/>
      <c r="D1081" s="158"/>
      <c r="E1081" s="158"/>
      <c r="F1081" s="158"/>
    </row>
    <row r="1082" spans="2:6">
      <c r="B1082" s="158"/>
      <c r="C1082" s="158"/>
      <c r="D1082" s="158"/>
      <c r="E1082" s="158"/>
      <c r="F1082" s="158"/>
    </row>
    <row r="1083" spans="2:6">
      <c r="B1083" s="158"/>
      <c r="C1083" s="158"/>
      <c r="D1083" s="158"/>
      <c r="E1083" s="158"/>
      <c r="F1083" s="158"/>
    </row>
    <row r="1084" spans="2:6">
      <c r="B1084" s="158"/>
      <c r="C1084" s="158"/>
      <c r="D1084" s="158"/>
      <c r="E1084" s="158"/>
      <c r="F1084" s="158"/>
    </row>
    <row r="1085" spans="2:6">
      <c r="B1085" s="158"/>
      <c r="C1085" s="158"/>
      <c r="D1085" s="158"/>
      <c r="E1085" s="158"/>
      <c r="F1085" s="158"/>
    </row>
    <row r="1086" spans="2:6">
      <c r="B1086" s="158"/>
      <c r="C1086" s="158"/>
      <c r="D1086" s="158"/>
      <c r="E1086" s="158"/>
      <c r="F1086" s="158"/>
    </row>
    <row r="1087" spans="2:6">
      <c r="B1087" s="158"/>
      <c r="C1087" s="158"/>
      <c r="D1087" s="158"/>
      <c r="E1087" s="158"/>
      <c r="F1087" s="158"/>
    </row>
    <row r="1088" spans="2:6">
      <c r="B1088" s="158"/>
      <c r="C1088" s="158"/>
      <c r="D1088" s="158"/>
      <c r="E1088" s="158"/>
      <c r="F1088" s="158"/>
    </row>
    <row r="1089" spans="2:6">
      <c r="B1089" s="158"/>
      <c r="C1089" s="158"/>
      <c r="D1089" s="158"/>
      <c r="E1089" s="158"/>
      <c r="F1089" s="158"/>
    </row>
    <row r="1090" spans="2:6">
      <c r="B1090" s="158"/>
      <c r="C1090" s="158"/>
      <c r="D1090" s="158"/>
      <c r="E1090" s="158"/>
      <c r="F1090" s="158"/>
    </row>
    <row r="1091" spans="2:6">
      <c r="B1091" s="158"/>
      <c r="C1091" s="158"/>
      <c r="D1091" s="158"/>
      <c r="E1091" s="158"/>
      <c r="F1091" s="158"/>
    </row>
    <row r="1092" spans="2:6">
      <c r="B1092" s="158"/>
      <c r="C1092" s="158"/>
      <c r="D1092" s="158"/>
      <c r="E1092" s="158"/>
      <c r="F1092" s="158"/>
    </row>
    <row r="1093" spans="2:6">
      <c r="B1093" s="158"/>
      <c r="C1093" s="158"/>
      <c r="D1093" s="158"/>
      <c r="E1093" s="158"/>
      <c r="F1093" s="158"/>
    </row>
    <row r="1094" spans="2:6">
      <c r="B1094" s="158"/>
      <c r="C1094" s="158"/>
      <c r="D1094" s="158"/>
      <c r="E1094" s="158"/>
      <c r="F1094" s="158"/>
    </row>
    <row r="1095" spans="2:6">
      <c r="B1095" s="158"/>
      <c r="C1095" s="158"/>
      <c r="D1095" s="158"/>
      <c r="E1095" s="158"/>
      <c r="F1095" s="158"/>
    </row>
    <row r="1096" spans="2:6">
      <c r="B1096" s="158"/>
      <c r="C1096" s="158"/>
      <c r="D1096" s="158"/>
      <c r="E1096" s="158"/>
      <c r="F1096" s="158"/>
    </row>
    <row r="1097" spans="2:6">
      <c r="B1097" s="158"/>
      <c r="C1097" s="158"/>
      <c r="D1097" s="158"/>
      <c r="E1097" s="158"/>
      <c r="F1097" s="158"/>
    </row>
    <row r="1098" spans="2:6">
      <c r="B1098" s="158"/>
      <c r="C1098" s="158"/>
      <c r="D1098" s="158"/>
      <c r="E1098" s="158"/>
      <c r="F1098" s="158"/>
    </row>
    <row r="1099" spans="2:6">
      <c r="B1099" s="158"/>
      <c r="C1099" s="158"/>
      <c r="D1099" s="158"/>
      <c r="E1099" s="158"/>
      <c r="F1099" s="158"/>
    </row>
    <row r="1100" spans="2:6">
      <c r="B1100" s="158"/>
      <c r="C1100" s="158"/>
      <c r="D1100" s="158"/>
      <c r="E1100" s="158"/>
      <c r="F1100" s="158"/>
    </row>
    <row r="1101" spans="2:6">
      <c r="B1101" s="158"/>
      <c r="C1101" s="158"/>
      <c r="D1101" s="158"/>
      <c r="E1101" s="158"/>
      <c r="F1101" s="158"/>
    </row>
    <row r="1102" spans="2:6">
      <c r="B1102" s="158"/>
      <c r="C1102" s="158"/>
      <c r="D1102" s="158"/>
      <c r="E1102" s="158"/>
      <c r="F1102" s="158"/>
    </row>
    <row r="1103" spans="2:6">
      <c r="B1103" s="158"/>
      <c r="C1103" s="158"/>
      <c r="D1103" s="158"/>
      <c r="E1103" s="158"/>
      <c r="F1103" s="158"/>
    </row>
    <row r="1104" spans="2:6">
      <c r="B1104" s="158"/>
      <c r="C1104" s="158"/>
      <c r="D1104" s="158"/>
      <c r="E1104" s="158"/>
      <c r="F1104" s="158"/>
    </row>
    <row r="1105" spans="2:6">
      <c r="B1105" s="158"/>
      <c r="C1105" s="158"/>
      <c r="D1105" s="158"/>
      <c r="E1105" s="158"/>
      <c r="F1105" s="158"/>
    </row>
    <row r="1106" spans="2:6">
      <c r="B1106" s="158"/>
      <c r="C1106" s="158"/>
      <c r="D1106" s="158"/>
      <c r="E1106" s="158"/>
      <c r="F1106" s="158"/>
    </row>
    <row r="1107" spans="2:6">
      <c r="B1107" s="158"/>
      <c r="C1107" s="158"/>
      <c r="D1107" s="158"/>
      <c r="E1107" s="158"/>
      <c r="F1107" s="158"/>
    </row>
    <row r="1108" spans="2:6">
      <c r="B1108" s="158"/>
      <c r="C1108" s="158"/>
      <c r="D1108" s="158"/>
      <c r="E1108" s="158"/>
      <c r="F1108" s="158"/>
    </row>
    <row r="1109" spans="2:6">
      <c r="B1109" s="158"/>
      <c r="C1109" s="158"/>
      <c r="D1109" s="158"/>
      <c r="E1109" s="158"/>
      <c r="F1109" s="158"/>
    </row>
    <row r="1110" spans="2:6">
      <c r="B1110" s="158"/>
      <c r="C1110" s="158"/>
      <c r="D1110" s="158"/>
      <c r="E1110" s="158"/>
      <c r="F1110" s="158"/>
    </row>
    <row r="1111" spans="2:6">
      <c r="B1111" s="158"/>
      <c r="C1111" s="158"/>
      <c r="D1111" s="158"/>
      <c r="E1111" s="158"/>
      <c r="F1111" s="158"/>
    </row>
    <row r="1112" spans="2:6">
      <c r="B1112" s="158"/>
      <c r="C1112" s="158"/>
      <c r="D1112" s="158"/>
      <c r="E1112" s="158"/>
      <c r="F1112" s="158"/>
    </row>
    <row r="1113" spans="2:6">
      <c r="B1113" s="158"/>
      <c r="C1113" s="158"/>
      <c r="D1113" s="158"/>
      <c r="E1113" s="158"/>
      <c r="F1113" s="158"/>
    </row>
    <row r="1114" spans="2:6">
      <c r="B1114" s="158"/>
      <c r="C1114" s="158"/>
      <c r="D1114" s="158"/>
      <c r="E1114" s="158"/>
      <c r="F1114" s="158"/>
    </row>
    <row r="1115" spans="2:6">
      <c r="B1115" s="158"/>
      <c r="C1115" s="158"/>
      <c r="D1115" s="158"/>
      <c r="E1115" s="158"/>
      <c r="F1115" s="158"/>
    </row>
    <row r="1116" spans="2:6">
      <c r="B1116" s="158"/>
      <c r="C1116" s="158"/>
      <c r="D1116" s="158"/>
      <c r="E1116" s="158"/>
      <c r="F1116" s="158"/>
    </row>
    <row r="1117" spans="2:6">
      <c r="B1117" s="158"/>
      <c r="C1117" s="158"/>
      <c r="D1117" s="158"/>
      <c r="E1117" s="158"/>
      <c r="F1117" s="158"/>
    </row>
    <row r="1118" spans="2:6">
      <c r="B1118" s="158"/>
      <c r="C1118" s="158"/>
      <c r="D1118" s="158"/>
      <c r="E1118" s="158"/>
      <c r="F1118" s="158"/>
    </row>
    <row r="1119" spans="2:6">
      <c r="B1119" s="158"/>
      <c r="C1119" s="158"/>
      <c r="D1119" s="158"/>
      <c r="E1119" s="158"/>
      <c r="F1119" s="158"/>
    </row>
    <row r="1120" spans="2:6">
      <c r="B1120" s="158"/>
      <c r="C1120" s="158"/>
      <c r="D1120" s="158"/>
      <c r="E1120" s="158"/>
      <c r="F1120" s="158"/>
    </row>
    <row r="1121" spans="2:6">
      <c r="B1121" s="158"/>
      <c r="C1121" s="158"/>
      <c r="D1121" s="158"/>
      <c r="E1121" s="158"/>
      <c r="F1121" s="158"/>
    </row>
    <row r="1122" spans="2:6">
      <c r="B1122" s="158"/>
      <c r="C1122" s="158"/>
      <c r="D1122" s="158"/>
      <c r="E1122" s="158"/>
      <c r="F1122" s="158"/>
    </row>
    <row r="1123" spans="2:6">
      <c r="B1123" s="158"/>
      <c r="C1123" s="158"/>
      <c r="D1123" s="158"/>
      <c r="E1123" s="158"/>
      <c r="F1123" s="158"/>
    </row>
    <row r="1124" spans="2:6">
      <c r="B1124" s="158"/>
      <c r="C1124" s="158"/>
      <c r="D1124" s="158"/>
      <c r="E1124" s="158"/>
      <c r="F1124" s="158"/>
    </row>
    <row r="1125" spans="2:6">
      <c r="B1125" s="158"/>
      <c r="C1125" s="158"/>
      <c r="D1125" s="158"/>
      <c r="E1125" s="158"/>
      <c r="F1125" s="158"/>
    </row>
    <row r="1126" spans="2:6">
      <c r="B1126" s="158"/>
      <c r="C1126" s="158"/>
      <c r="D1126" s="158"/>
      <c r="E1126" s="158"/>
      <c r="F1126" s="158"/>
    </row>
    <row r="1127" spans="2:6">
      <c r="B1127" s="158"/>
      <c r="C1127" s="158"/>
      <c r="D1127" s="158"/>
      <c r="E1127" s="158"/>
      <c r="F1127" s="158"/>
    </row>
    <row r="1128" spans="2:6">
      <c r="B1128" s="158"/>
      <c r="C1128" s="158"/>
      <c r="D1128" s="158"/>
      <c r="E1128" s="158"/>
      <c r="F1128" s="158"/>
    </row>
    <row r="1129" spans="2:6">
      <c r="B1129" s="158"/>
      <c r="C1129" s="158"/>
      <c r="D1129" s="158"/>
      <c r="E1129" s="158"/>
      <c r="F1129" s="158"/>
    </row>
    <row r="1130" spans="2:6">
      <c r="B1130" s="158"/>
      <c r="C1130" s="158"/>
      <c r="D1130" s="158"/>
      <c r="E1130" s="158"/>
      <c r="F1130" s="158"/>
    </row>
    <row r="1131" spans="2:6">
      <c r="B1131" s="158"/>
      <c r="C1131" s="158"/>
      <c r="D1131" s="158"/>
      <c r="E1131" s="158"/>
      <c r="F1131" s="158"/>
    </row>
    <row r="1132" spans="2:6">
      <c r="B1132" s="158"/>
      <c r="C1132" s="158"/>
      <c r="D1132" s="158"/>
      <c r="E1132" s="158"/>
      <c r="F1132" s="158"/>
    </row>
    <row r="1133" spans="2:6">
      <c r="B1133" s="158"/>
      <c r="C1133" s="158"/>
      <c r="D1133" s="158"/>
      <c r="E1133" s="158"/>
      <c r="F1133" s="158"/>
    </row>
    <row r="1134" spans="2:6">
      <c r="B1134" s="158"/>
      <c r="C1134" s="158"/>
      <c r="D1134" s="158"/>
      <c r="E1134" s="158"/>
      <c r="F1134" s="158"/>
    </row>
    <row r="1135" spans="2:6">
      <c r="B1135" s="158"/>
      <c r="C1135" s="158"/>
      <c r="D1135" s="158"/>
      <c r="E1135" s="158"/>
      <c r="F1135" s="158"/>
    </row>
    <row r="1136" spans="2:6">
      <c r="B1136" s="158"/>
      <c r="C1136" s="158"/>
      <c r="D1136" s="158"/>
      <c r="E1136" s="158"/>
      <c r="F1136" s="158"/>
    </row>
    <row r="1137" spans="4:6">
      <c r="D1137" s="158"/>
      <c r="E1137" s="158"/>
      <c r="F1137" s="158"/>
    </row>
    <row r="1138" spans="4:6">
      <c r="D1138" s="158"/>
      <c r="E1138" s="158"/>
      <c r="F1138" s="158"/>
    </row>
    <row r="1139" spans="4:6">
      <c r="D1139" s="158"/>
      <c r="E1139" s="158"/>
      <c r="F1139" s="158"/>
    </row>
    <row r="1140" spans="4:6">
      <c r="D1140" s="158"/>
      <c r="E1140" s="158"/>
      <c r="F1140" s="158"/>
    </row>
    <row r="1141" spans="4:6">
      <c r="D1141" s="158"/>
      <c r="E1141" s="158"/>
      <c r="F1141" s="158"/>
    </row>
    <row r="1142" spans="4:6">
      <c r="D1142" s="158"/>
      <c r="E1142" s="158"/>
      <c r="F1142" s="158"/>
    </row>
    <row r="1143" spans="4:6">
      <c r="D1143" s="158"/>
      <c r="E1143" s="158"/>
      <c r="F1143" s="158"/>
    </row>
    <row r="1144" spans="4:6">
      <c r="D1144" s="158"/>
      <c r="E1144" s="158"/>
      <c r="F1144" s="158"/>
    </row>
    <row r="1145" spans="4:6">
      <c r="D1145" s="158"/>
      <c r="E1145" s="158"/>
      <c r="F1145" s="158"/>
    </row>
    <row r="1146" spans="4:6">
      <c r="D1146" s="158"/>
      <c r="E1146" s="158"/>
      <c r="F1146" s="158"/>
    </row>
    <row r="1147" spans="4:6">
      <c r="D1147" s="158"/>
      <c r="E1147" s="158"/>
      <c r="F1147" s="158"/>
    </row>
    <row r="1148" spans="4:6">
      <c r="D1148" s="158"/>
      <c r="E1148" s="158"/>
      <c r="F1148" s="158"/>
    </row>
    <row r="1149" spans="4:6">
      <c r="D1149" s="158"/>
      <c r="E1149" s="158"/>
      <c r="F1149" s="158"/>
    </row>
    <row r="1150" spans="4:6">
      <c r="D1150" s="158"/>
      <c r="E1150" s="158"/>
      <c r="F1150" s="158"/>
    </row>
    <row r="1151" spans="4:6">
      <c r="D1151" s="158"/>
      <c r="E1151" s="158"/>
      <c r="F1151" s="158"/>
    </row>
    <row r="1152" spans="4:6">
      <c r="D1152" s="158"/>
      <c r="E1152" s="158"/>
      <c r="F1152" s="158"/>
    </row>
    <row r="1153" spans="4:6">
      <c r="D1153" s="158"/>
      <c r="E1153" s="158"/>
      <c r="F1153" s="158"/>
    </row>
    <row r="1154" spans="4:6">
      <c r="D1154" s="158"/>
      <c r="E1154" s="158"/>
      <c r="F1154" s="158"/>
    </row>
    <row r="1155" spans="4:6">
      <c r="D1155" s="158"/>
      <c r="E1155" s="158"/>
      <c r="F1155" s="158"/>
    </row>
    <row r="1156" spans="4:6">
      <c r="D1156" s="158"/>
      <c r="E1156" s="158"/>
      <c r="F1156" s="158"/>
    </row>
    <row r="1157" spans="4:6">
      <c r="D1157" s="158"/>
      <c r="E1157" s="158"/>
      <c r="F1157" s="158"/>
    </row>
    <row r="1158" spans="4:6">
      <c r="D1158" s="158"/>
      <c r="E1158" s="158"/>
      <c r="F1158" s="158"/>
    </row>
    <row r="1159" spans="4:6">
      <c r="D1159" s="158"/>
      <c r="E1159" s="158"/>
      <c r="F1159" s="158"/>
    </row>
    <row r="1160" spans="4:6">
      <c r="D1160" s="158"/>
      <c r="E1160" s="158"/>
      <c r="F1160" s="158"/>
    </row>
    <row r="1161" spans="4:6">
      <c r="D1161" s="158"/>
      <c r="E1161" s="158"/>
      <c r="F1161" s="158"/>
    </row>
    <row r="1162" spans="4:6">
      <c r="D1162" s="158"/>
      <c r="E1162" s="158"/>
      <c r="F1162" s="158"/>
    </row>
    <row r="1163" spans="4:6">
      <c r="D1163" s="158"/>
      <c r="E1163" s="158"/>
      <c r="F1163" s="158"/>
    </row>
    <row r="1164" spans="4:6">
      <c r="D1164" s="158"/>
      <c r="E1164" s="158"/>
      <c r="F1164" s="158"/>
    </row>
    <row r="1165" spans="4:6">
      <c r="D1165" s="158"/>
      <c r="E1165" s="158"/>
      <c r="F1165" s="158"/>
    </row>
    <row r="1166" spans="4:6">
      <c r="D1166" s="158"/>
      <c r="E1166" s="158"/>
      <c r="F1166" s="158"/>
    </row>
    <row r="1167" spans="4:6">
      <c r="D1167" s="158"/>
      <c r="E1167" s="158"/>
      <c r="F1167" s="158"/>
    </row>
    <row r="1168" spans="4:6">
      <c r="D1168" s="158"/>
      <c r="E1168" s="158"/>
      <c r="F1168" s="158"/>
    </row>
    <row r="1169" spans="4:6">
      <c r="D1169" s="158"/>
      <c r="E1169" s="158"/>
      <c r="F1169" s="158"/>
    </row>
    <row r="1170" spans="4:6">
      <c r="D1170" s="158"/>
      <c r="E1170" s="158"/>
      <c r="F1170" s="158"/>
    </row>
    <row r="1171" spans="4:6">
      <c r="D1171" s="158"/>
      <c r="E1171" s="158"/>
      <c r="F1171" s="158"/>
    </row>
    <row r="1172" spans="4:6">
      <c r="D1172" s="158"/>
      <c r="E1172" s="158"/>
      <c r="F1172" s="158"/>
    </row>
    <row r="1173" spans="4:6">
      <c r="D1173" s="158"/>
      <c r="E1173" s="158"/>
      <c r="F1173" s="158"/>
    </row>
    <row r="1174" spans="4:6">
      <c r="D1174" s="158"/>
      <c r="E1174" s="158"/>
      <c r="F1174" s="158"/>
    </row>
    <row r="1175" spans="4:6">
      <c r="D1175" s="158"/>
      <c r="E1175" s="158"/>
      <c r="F1175" s="158"/>
    </row>
    <row r="1176" spans="4:6">
      <c r="D1176" s="158"/>
      <c r="E1176" s="158"/>
      <c r="F1176" s="158"/>
    </row>
    <row r="1177" spans="4:6">
      <c r="D1177" s="158"/>
      <c r="E1177" s="158"/>
      <c r="F1177" s="158"/>
    </row>
    <row r="1178" spans="4:6">
      <c r="D1178" s="158"/>
      <c r="E1178" s="158"/>
      <c r="F1178" s="158"/>
    </row>
    <row r="1179" spans="4:6">
      <c r="D1179" s="158"/>
      <c r="E1179" s="158"/>
      <c r="F1179" s="158"/>
    </row>
    <row r="1180" spans="4:6">
      <c r="D1180" s="158"/>
      <c r="E1180" s="158"/>
      <c r="F1180" s="158"/>
    </row>
    <row r="1181" spans="4:6">
      <c r="D1181" s="158"/>
      <c r="E1181" s="158"/>
      <c r="F1181" s="158"/>
    </row>
    <row r="1182" spans="4:6">
      <c r="D1182" s="158"/>
      <c r="E1182" s="158"/>
      <c r="F1182" s="158"/>
    </row>
    <row r="1183" spans="4:6">
      <c r="D1183" s="158"/>
      <c r="E1183" s="158"/>
      <c r="F1183" s="158"/>
    </row>
    <row r="1184" spans="4:6">
      <c r="D1184" s="158"/>
      <c r="E1184" s="158"/>
      <c r="F1184" s="158"/>
    </row>
    <row r="1185" spans="4:6">
      <c r="D1185" s="158"/>
      <c r="E1185" s="158"/>
      <c r="F1185" s="158"/>
    </row>
    <row r="1186" spans="4:6">
      <c r="D1186" s="158"/>
      <c r="E1186" s="158"/>
      <c r="F1186" s="158"/>
    </row>
    <row r="1187" spans="4:6">
      <c r="D1187" s="158"/>
      <c r="E1187" s="158"/>
      <c r="F1187" s="158"/>
    </row>
    <row r="1188" spans="4:6">
      <c r="D1188" s="158"/>
      <c r="E1188" s="158"/>
      <c r="F1188" s="158"/>
    </row>
    <row r="1189" spans="4:6">
      <c r="D1189" s="158"/>
      <c r="E1189" s="158"/>
      <c r="F1189" s="158"/>
    </row>
    <row r="1190" spans="4:6">
      <c r="D1190" s="158"/>
      <c r="E1190" s="158"/>
      <c r="F1190" s="158"/>
    </row>
    <row r="1191" spans="4:6">
      <c r="D1191" s="158"/>
      <c r="E1191" s="158"/>
      <c r="F1191" s="158"/>
    </row>
    <row r="1192" spans="4:6">
      <c r="D1192" s="158"/>
      <c r="E1192" s="158"/>
      <c r="F1192" s="158"/>
    </row>
    <row r="1193" spans="4:6">
      <c r="D1193" s="158"/>
      <c r="E1193" s="158"/>
      <c r="F1193" s="158"/>
    </row>
    <row r="1194" spans="4:6">
      <c r="D1194" s="158"/>
      <c r="E1194" s="158"/>
      <c r="F1194" s="158"/>
    </row>
    <row r="1195" spans="4:6">
      <c r="D1195" s="158"/>
      <c r="E1195" s="158"/>
      <c r="F1195" s="158"/>
    </row>
    <row r="1196" spans="4:6">
      <c r="D1196" s="158"/>
      <c r="E1196" s="158"/>
      <c r="F1196" s="158"/>
    </row>
    <row r="1197" spans="4:6">
      <c r="D1197" s="158"/>
      <c r="E1197" s="158"/>
      <c r="F1197" s="158"/>
    </row>
    <row r="1198" spans="4:6">
      <c r="D1198" s="158"/>
      <c r="E1198" s="158"/>
      <c r="F1198" s="158"/>
    </row>
    <row r="1199" spans="4:6">
      <c r="D1199" s="158"/>
      <c r="E1199" s="158"/>
      <c r="F1199" s="158"/>
    </row>
    <row r="1200" spans="4:6">
      <c r="D1200" s="158"/>
      <c r="E1200" s="158"/>
      <c r="F1200" s="158"/>
    </row>
    <row r="1201" spans="4:6">
      <c r="D1201" s="158"/>
      <c r="E1201" s="158"/>
      <c r="F1201" s="158"/>
    </row>
    <row r="1202" spans="4:6">
      <c r="D1202" s="158"/>
      <c r="E1202" s="158"/>
      <c r="F1202" s="158"/>
    </row>
    <row r="1203" spans="4:6">
      <c r="D1203" s="158"/>
      <c r="E1203" s="158"/>
      <c r="F1203" s="158"/>
    </row>
    <row r="1204" spans="4:6">
      <c r="D1204" s="158"/>
      <c r="E1204" s="158"/>
      <c r="F1204" s="158"/>
    </row>
    <row r="1205" spans="4:6">
      <c r="D1205" s="158"/>
      <c r="E1205" s="158"/>
      <c r="F1205" s="158"/>
    </row>
    <row r="1206" spans="4:6">
      <c r="D1206" s="158"/>
      <c r="E1206" s="158"/>
      <c r="F1206" s="158"/>
    </row>
    <row r="1207" spans="4:6">
      <c r="D1207" s="158"/>
      <c r="E1207" s="158"/>
      <c r="F1207" s="158"/>
    </row>
    <row r="1208" spans="4:6">
      <c r="D1208" s="158"/>
      <c r="E1208" s="158"/>
      <c r="F1208" s="158"/>
    </row>
    <row r="1209" spans="4:6">
      <c r="D1209" s="158"/>
      <c r="E1209" s="158"/>
      <c r="F1209" s="158"/>
    </row>
    <row r="1210" spans="4:6">
      <c r="D1210" s="158"/>
      <c r="E1210" s="158"/>
      <c r="F1210" s="158"/>
    </row>
    <row r="1211" spans="4:6">
      <c r="D1211" s="158"/>
      <c r="E1211" s="158"/>
      <c r="F1211" s="158"/>
    </row>
    <row r="1212" spans="4:6">
      <c r="D1212" s="158"/>
      <c r="E1212" s="158"/>
      <c r="F1212" s="158"/>
    </row>
    <row r="1213" spans="4:6">
      <c r="D1213" s="158"/>
      <c r="E1213" s="158"/>
      <c r="F1213" s="158"/>
    </row>
    <row r="1214" spans="4:6">
      <c r="D1214" s="158"/>
      <c r="E1214" s="158"/>
      <c r="F1214" s="158"/>
    </row>
  </sheetData>
  <autoFilter ref="B3:Q249" xr:uid="{CDCB4B91-1220-BE4A-8E71-2B2AFC7EBD43}"/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47D2-EDD5-8D49-99CD-8F4CE3948A59}">
  <sheetPr codeName="Sheet9"/>
  <dimension ref="A1:I24"/>
  <sheetViews>
    <sheetView topLeftCell="D1" workbookViewId="0">
      <selection activeCell="J4" sqref="J4"/>
    </sheetView>
  </sheetViews>
  <sheetFormatPr defaultColWidth="10.83203125" defaultRowHeight="15.7"/>
  <cols>
    <col min="1" max="1" width="4.83203125" style="32" customWidth="1"/>
    <col min="2" max="2" width="35.83203125" style="158" customWidth="1"/>
    <col min="3" max="4" width="20.83203125" style="158" customWidth="1"/>
    <col min="5" max="5" width="55.83203125" style="14" customWidth="1"/>
    <col min="6" max="6" width="70.83203125" style="158" customWidth="1"/>
    <col min="7" max="7" width="10.83203125" style="158"/>
    <col min="8" max="8" width="27.83203125" style="32" customWidth="1"/>
    <col min="9" max="9" width="20.83203125" style="32" customWidth="1"/>
    <col min="10" max="16384" width="10.83203125" style="32"/>
  </cols>
  <sheetData>
    <row r="1" spans="1:9" s="52" customFormat="1" ht="20.7">
      <c r="A1" s="21" t="s">
        <v>79</v>
      </c>
      <c r="B1" s="21" t="s">
        <v>772</v>
      </c>
      <c r="C1" s="158"/>
      <c r="D1" s="158"/>
      <c r="E1" s="14"/>
      <c r="F1" s="158"/>
      <c r="G1" s="158"/>
      <c r="H1" s="21" t="s">
        <v>65</v>
      </c>
    </row>
    <row r="2" spans="1:9" s="30" customFormat="1" ht="36">
      <c r="B2" s="23" t="s">
        <v>404</v>
      </c>
      <c r="C2" s="23" t="s">
        <v>773</v>
      </c>
      <c r="D2" s="23" t="s">
        <v>536</v>
      </c>
      <c r="E2" s="23" t="s">
        <v>568</v>
      </c>
      <c r="F2" s="23" t="s">
        <v>46</v>
      </c>
      <c r="G2" s="158"/>
      <c r="H2" s="23" t="s">
        <v>66</v>
      </c>
      <c r="I2" s="23" t="s">
        <v>78</v>
      </c>
    </row>
    <row r="3" spans="1:9" s="30" customFormat="1" ht="18">
      <c r="B3" s="183"/>
      <c r="C3" s="17" t="s">
        <v>32</v>
      </c>
      <c r="D3" s="17" t="s">
        <v>32</v>
      </c>
      <c r="E3" s="18"/>
      <c r="F3" s="17" t="s">
        <v>32</v>
      </c>
      <c r="G3" s="158"/>
      <c r="H3" s="17" t="s">
        <v>67</v>
      </c>
      <c r="I3" s="17" t="s">
        <v>77</v>
      </c>
    </row>
    <row r="4" spans="1:9" s="30" customFormat="1" ht="18">
      <c r="B4" s="183" t="s">
        <v>552</v>
      </c>
      <c r="C4" s="184">
        <v>0.9</v>
      </c>
      <c r="D4" s="193">
        <v>0.65</v>
      </c>
      <c r="E4" s="18" t="s">
        <v>804</v>
      </c>
      <c r="F4" s="18" t="s">
        <v>803</v>
      </c>
      <c r="G4" s="158"/>
      <c r="H4" s="88">
        <v>0.2</v>
      </c>
      <c r="I4" s="89">
        <v>0.05</v>
      </c>
    </row>
    <row r="5" spans="1:9" s="52" customFormat="1" ht="18">
      <c r="A5" s="30"/>
      <c r="B5" s="183" t="s">
        <v>774</v>
      </c>
      <c r="C5" s="184">
        <v>0.73</v>
      </c>
      <c r="D5" s="201">
        <v>0.04</v>
      </c>
      <c r="E5" s="18"/>
      <c r="F5" s="18" t="s">
        <v>796</v>
      </c>
      <c r="G5" s="158"/>
    </row>
    <row r="6" spans="1:9" s="52" customFormat="1" ht="18">
      <c r="A6" s="30"/>
      <c r="B6" s="183" t="s">
        <v>775</v>
      </c>
      <c r="C6" s="184">
        <v>0.78</v>
      </c>
      <c r="D6" s="80">
        <v>0.01</v>
      </c>
      <c r="E6" s="18"/>
      <c r="F6" s="18" t="s">
        <v>792</v>
      </c>
      <c r="G6" s="158"/>
    </row>
    <row r="7" spans="1:9" s="39" customFormat="1" ht="18">
      <c r="A7" s="30"/>
      <c r="B7" s="183" t="s">
        <v>776</v>
      </c>
      <c r="C7" s="184">
        <v>0.73</v>
      </c>
      <c r="D7" s="201">
        <v>0.2</v>
      </c>
      <c r="E7" s="18" t="s">
        <v>802</v>
      </c>
      <c r="F7" s="18" t="s">
        <v>796</v>
      </c>
      <c r="G7" s="158"/>
      <c r="H7" s="42"/>
    </row>
    <row r="8" spans="1:9" s="2" customFormat="1" ht="18">
      <c r="A8" s="30"/>
      <c r="B8" s="183" t="s">
        <v>777</v>
      </c>
      <c r="C8" s="184">
        <v>0.93</v>
      </c>
      <c r="D8" s="80">
        <v>0.01</v>
      </c>
      <c r="E8" s="18"/>
      <c r="F8" s="18" t="s">
        <v>792</v>
      </c>
      <c r="G8" s="158"/>
    </row>
    <row r="9" spans="1:9" s="2" customFormat="1" ht="18">
      <c r="A9" s="30"/>
      <c r="B9" s="183" t="s">
        <v>778</v>
      </c>
      <c r="C9" s="184">
        <v>0.95</v>
      </c>
      <c r="D9" s="201">
        <v>0.45</v>
      </c>
      <c r="E9" s="18"/>
      <c r="F9" s="18" t="s">
        <v>791</v>
      </c>
      <c r="G9" s="158"/>
    </row>
    <row r="10" spans="1:9" s="2" customFormat="1" ht="18">
      <c r="A10" s="158"/>
      <c r="B10" s="183" t="s">
        <v>80</v>
      </c>
      <c r="C10" s="184">
        <v>0.9</v>
      </c>
      <c r="D10" s="189">
        <v>0.9</v>
      </c>
      <c r="E10" s="18"/>
      <c r="F10" s="18" t="s">
        <v>789</v>
      </c>
      <c r="G10" s="158"/>
    </row>
    <row r="11" spans="1:9" s="2" customFormat="1" ht="18">
      <c r="A11" s="158"/>
      <c r="B11" s="183" t="s">
        <v>794</v>
      </c>
      <c r="C11" s="184">
        <v>0.95</v>
      </c>
      <c r="D11" s="202" t="s">
        <v>795</v>
      </c>
      <c r="E11" s="18"/>
      <c r="F11" s="18"/>
      <c r="G11" s="158"/>
    </row>
    <row r="12" spans="1:9" s="2" customFormat="1" ht="18">
      <c r="A12" s="30"/>
      <c r="B12" s="183" t="s">
        <v>793</v>
      </c>
      <c r="C12" s="184">
        <v>0.95</v>
      </c>
      <c r="D12" s="189">
        <v>0.35</v>
      </c>
      <c r="E12" s="18"/>
      <c r="F12" s="18" t="s">
        <v>789</v>
      </c>
      <c r="G12" s="158"/>
    </row>
    <row r="13" spans="1:9" s="52" customFormat="1" ht="18">
      <c r="A13" s="30"/>
      <c r="B13" s="183" t="s">
        <v>779</v>
      </c>
      <c r="C13" s="186">
        <v>0.21</v>
      </c>
      <c r="D13" s="185">
        <v>0.35199999999999998</v>
      </c>
      <c r="E13" s="18"/>
      <c r="F13" s="18"/>
      <c r="G13" s="158"/>
    </row>
    <row r="14" spans="1:9" s="52" customFormat="1" ht="18">
      <c r="A14" s="30"/>
      <c r="B14" s="183" t="s">
        <v>780</v>
      </c>
      <c r="C14" s="185">
        <v>0.05</v>
      </c>
      <c r="D14" s="185">
        <v>0.15</v>
      </c>
      <c r="E14" s="18"/>
      <c r="F14" s="18"/>
      <c r="G14" s="158"/>
    </row>
    <row r="15" spans="1:9">
      <c r="A15" s="30"/>
    </row>
    <row r="16" spans="1:9">
      <c r="A16" s="52"/>
    </row>
    <row r="17" spans="1:1">
      <c r="A17" s="52"/>
    </row>
    <row r="18" spans="1:1" ht="18">
      <c r="A18" s="69" t="s">
        <v>55</v>
      </c>
    </row>
    <row r="19" spans="1:1" ht="18">
      <c r="A19" s="2" t="s">
        <v>136</v>
      </c>
    </row>
    <row r="20" spans="1:1" ht="18">
      <c r="A20" s="2" t="s">
        <v>137</v>
      </c>
    </row>
    <row r="21" spans="1:1" ht="18">
      <c r="A21" s="2"/>
    </row>
    <row r="22" spans="1:1" ht="18">
      <c r="A22" s="2"/>
    </row>
    <row r="23" spans="1:1">
      <c r="A23" s="52"/>
    </row>
    <row r="24" spans="1:1">
      <c r="A24" s="52"/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341D-907D-164E-98EE-F0989C2CC326}">
  <sheetPr codeName="Sheet10"/>
  <dimension ref="A1:X15"/>
  <sheetViews>
    <sheetView workbookViewId="0">
      <selection activeCell="N2" sqref="N2"/>
    </sheetView>
  </sheetViews>
  <sheetFormatPr defaultColWidth="10.83203125" defaultRowHeight="15.7"/>
  <cols>
    <col min="1" max="1" width="4.83203125" style="52" customWidth="1"/>
    <col min="2" max="2" width="49.83203125" style="52" customWidth="1"/>
    <col min="3" max="16384" width="10.83203125" style="52"/>
  </cols>
  <sheetData>
    <row r="1" spans="1:24" s="30" customFormat="1" ht="20" customHeight="1">
      <c r="A1" s="21" t="s">
        <v>79</v>
      </c>
      <c r="B1" s="135" t="s">
        <v>522</v>
      </c>
      <c r="C1" s="17" t="s">
        <v>131</v>
      </c>
      <c r="D1" s="17">
        <v>2008</v>
      </c>
      <c r="E1" s="17">
        <v>2009</v>
      </c>
      <c r="F1" s="17">
        <v>2010</v>
      </c>
      <c r="G1" s="17">
        <v>2011</v>
      </c>
      <c r="H1" s="17">
        <v>2012</v>
      </c>
      <c r="I1" s="17">
        <v>2013</v>
      </c>
      <c r="J1" s="17">
        <v>2014</v>
      </c>
      <c r="K1" s="17">
        <v>2015</v>
      </c>
      <c r="L1" s="17">
        <v>2016</v>
      </c>
      <c r="M1" s="17">
        <v>2017</v>
      </c>
      <c r="N1" s="17">
        <v>2018</v>
      </c>
      <c r="O1" s="17" t="s">
        <v>569</v>
      </c>
    </row>
    <row r="2" spans="1:24" ht="18">
      <c r="B2" s="77" t="s">
        <v>523</v>
      </c>
      <c r="C2" s="78" t="s">
        <v>61</v>
      </c>
      <c r="D2" s="102">
        <v>12539</v>
      </c>
      <c r="E2" s="102">
        <v>12073</v>
      </c>
      <c r="F2" s="102">
        <v>12158</v>
      </c>
      <c r="G2" s="102">
        <v>11907</v>
      </c>
      <c r="H2" s="102">
        <v>10475</v>
      </c>
      <c r="I2" s="102">
        <v>11194</v>
      </c>
      <c r="J2" s="102">
        <v>11037</v>
      </c>
      <c r="K2" s="102">
        <v>11099</v>
      </c>
      <c r="L2" s="102">
        <v>10809</v>
      </c>
      <c r="M2" s="102">
        <v>10873</v>
      </c>
      <c r="N2" s="102">
        <v>10960</v>
      </c>
      <c r="O2" s="47"/>
    </row>
    <row r="3" spans="1:24" ht="18">
      <c r="B3" s="77" t="s">
        <v>524</v>
      </c>
      <c r="C3" s="78" t="s">
        <v>61</v>
      </c>
      <c r="D3" s="68"/>
      <c r="E3" s="68">
        <f>E2-D2</f>
        <v>-466</v>
      </c>
      <c r="F3" s="68">
        <f t="shared" ref="F3:N3" si="0">F2-E2</f>
        <v>85</v>
      </c>
      <c r="G3" s="68">
        <f t="shared" si="0"/>
        <v>-251</v>
      </c>
      <c r="H3" s="68">
        <f t="shared" si="0"/>
        <v>-1432</v>
      </c>
      <c r="I3" s="68">
        <f t="shared" si="0"/>
        <v>719</v>
      </c>
      <c r="J3" s="68">
        <f t="shared" si="0"/>
        <v>-157</v>
      </c>
      <c r="K3" s="68">
        <f t="shared" si="0"/>
        <v>62</v>
      </c>
      <c r="L3" s="68">
        <f t="shared" si="0"/>
        <v>-290</v>
      </c>
      <c r="M3" s="68">
        <f t="shared" si="0"/>
        <v>64</v>
      </c>
      <c r="N3" s="68">
        <f t="shared" si="0"/>
        <v>87</v>
      </c>
      <c r="O3" s="47" t="s">
        <v>907</v>
      </c>
    </row>
    <row r="4" spans="1:24" ht="18">
      <c r="B4" s="77" t="s">
        <v>525</v>
      </c>
      <c r="C4" s="78" t="s">
        <v>63</v>
      </c>
      <c r="D4" s="68"/>
      <c r="E4" s="80">
        <f>E3/D2</f>
        <v>-3.7164048169710501E-2</v>
      </c>
      <c r="F4" s="80">
        <f t="shared" ref="F4:N4" si="1">F3/E2</f>
        <v>7.040503603081256E-3</v>
      </c>
      <c r="G4" s="80">
        <f t="shared" si="1"/>
        <v>-2.0644842901793057E-2</v>
      </c>
      <c r="H4" s="80">
        <f t="shared" si="1"/>
        <v>-0.12026539010665994</v>
      </c>
      <c r="I4" s="80">
        <f t="shared" si="1"/>
        <v>6.8639618138424827E-2</v>
      </c>
      <c r="J4" s="80">
        <f t="shared" si="1"/>
        <v>-1.4025370734321958E-2</v>
      </c>
      <c r="K4" s="80">
        <f t="shared" si="1"/>
        <v>5.6174685149950167E-3</v>
      </c>
      <c r="L4" s="80">
        <f t="shared" si="1"/>
        <v>-2.6128480043247141E-2</v>
      </c>
      <c r="M4" s="80">
        <f t="shared" si="1"/>
        <v>5.9209917661208252E-3</v>
      </c>
      <c r="N4" s="80">
        <f t="shared" si="1"/>
        <v>8.001471534994942E-3</v>
      </c>
      <c r="O4" s="128">
        <f>(N2/I2)^(1/(10))-1</f>
        <v>-2.110334002364711E-3</v>
      </c>
    </row>
    <row r="5" spans="1:24" ht="18">
      <c r="C5" s="49"/>
      <c r="E5" s="60"/>
      <c r="F5" s="60"/>
      <c r="G5" s="60"/>
      <c r="H5" s="60"/>
      <c r="I5" s="60"/>
      <c r="J5" s="60"/>
      <c r="K5" s="60"/>
      <c r="L5" s="60"/>
      <c r="M5" s="60"/>
      <c r="N5" s="60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8">
      <c r="A6" s="69" t="s">
        <v>55</v>
      </c>
      <c r="B6" s="49"/>
    </row>
    <row r="7" spans="1:24" s="2" customFormat="1" ht="18"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</row>
    <row r="8" spans="1:24" s="2" customFormat="1" ht="18"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</row>
    <row r="9" spans="1:24" ht="18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8">
      <c r="O10" s="5"/>
    </row>
    <row r="11" spans="1:24" ht="18">
      <c r="O11" s="5"/>
    </row>
    <row r="12" spans="1:24" ht="18">
      <c r="O12" s="5"/>
    </row>
    <row r="13" spans="1:24" ht="18">
      <c r="O13" s="5"/>
    </row>
    <row r="14" spans="1:24" ht="18">
      <c r="O14" s="5"/>
    </row>
    <row r="15" spans="1:24" ht="18">
      <c r="O15" s="5"/>
    </row>
  </sheetData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C51A-37A4-4E49-A2CC-D6FDC798A4E4}">
  <sheetPr codeName="Sheet11"/>
  <dimension ref="A1:Y15"/>
  <sheetViews>
    <sheetView workbookViewId="0">
      <selection sqref="A1:XFD1"/>
    </sheetView>
  </sheetViews>
  <sheetFormatPr defaultColWidth="10.83203125" defaultRowHeight="15.7"/>
  <cols>
    <col min="1" max="1" width="4.83203125" style="52" customWidth="1"/>
    <col min="2" max="2" width="49.83203125" style="52" customWidth="1"/>
    <col min="3" max="14" width="10.83203125" style="52"/>
    <col min="15" max="15" width="10.83203125" style="158"/>
    <col min="16" max="16384" width="10.83203125" style="52"/>
  </cols>
  <sheetData>
    <row r="1" spans="1:25" s="30" customFormat="1" ht="20" customHeight="1">
      <c r="A1" s="21" t="s">
        <v>79</v>
      </c>
      <c r="B1" s="146" t="s">
        <v>526</v>
      </c>
      <c r="C1" s="17" t="s">
        <v>131</v>
      </c>
      <c r="D1" s="17">
        <v>2008</v>
      </c>
      <c r="E1" s="17">
        <v>2009</v>
      </c>
      <c r="F1" s="17">
        <v>2010</v>
      </c>
      <c r="G1" s="17">
        <v>2011</v>
      </c>
      <c r="H1" s="17">
        <v>2012</v>
      </c>
      <c r="I1" s="17">
        <v>2013</v>
      </c>
      <c r="J1" s="17">
        <v>2014</v>
      </c>
      <c r="K1" s="17">
        <v>2015</v>
      </c>
      <c r="L1" s="17">
        <v>2016</v>
      </c>
      <c r="M1" s="17">
        <v>2017</v>
      </c>
      <c r="N1" s="17">
        <v>2018</v>
      </c>
      <c r="O1" s="17" t="s">
        <v>569</v>
      </c>
    </row>
    <row r="2" spans="1:25" ht="18">
      <c r="B2" s="77" t="s">
        <v>527</v>
      </c>
      <c r="C2" s="78" t="s">
        <v>61</v>
      </c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47"/>
    </row>
    <row r="3" spans="1:25" ht="18">
      <c r="B3" s="77" t="s">
        <v>528</v>
      </c>
      <c r="C3" s="78" t="s">
        <v>61</v>
      </c>
      <c r="D3" s="68"/>
      <c r="E3" s="68">
        <f>E2-D2</f>
        <v>0</v>
      </c>
      <c r="F3" s="68">
        <f t="shared" ref="F3:N3" si="0">F2-E2</f>
        <v>0</v>
      </c>
      <c r="G3" s="68">
        <f t="shared" si="0"/>
        <v>0</v>
      </c>
      <c r="H3" s="68">
        <f t="shared" si="0"/>
        <v>0</v>
      </c>
      <c r="I3" s="68">
        <f t="shared" si="0"/>
        <v>0</v>
      </c>
      <c r="J3" s="68">
        <f t="shared" si="0"/>
        <v>0</v>
      </c>
      <c r="K3" s="68">
        <f t="shared" si="0"/>
        <v>0</v>
      </c>
      <c r="L3" s="68">
        <f t="shared" si="0"/>
        <v>0</v>
      </c>
      <c r="M3" s="68">
        <f t="shared" si="0"/>
        <v>0</v>
      </c>
      <c r="N3" s="68">
        <f t="shared" si="0"/>
        <v>0</v>
      </c>
      <c r="O3" s="47" t="s">
        <v>907</v>
      </c>
    </row>
    <row r="4" spans="1:25" ht="18">
      <c r="B4" s="77" t="s">
        <v>529</v>
      </c>
      <c r="C4" s="78" t="s">
        <v>63</v>
      </c>
      <c r="D4" s="68"/>
      <c r="E4" s="80" t="e">
        <f>E3/D2</f>
        <v>#DIV/0!</v>
      </c>
      <c r="F4" s="80" t="e">
        <f t="shared" ref="F4:N4" si="1">F3/E2</f>
        <v>#DIV/0!</v>
      </c>
      <c r="G4" s="80" t="e">
        <f t="shared" si="1"/>
        <v>#DIV/0!</v>
      </c>
      <c r="H4" s="80" t="e">
        <f t="shared" si="1"/>
        <v>#DIV/0!</v>
      </c>
      <c r="I4" s="80" t="e">
        <f t="shared" si="1"/>
        <v>#DIV/0!</v>
      </c>
      <c r="J4" s="80" t="e">
        <f t="shared" si="1"/>
        <v>#DIV/0!</v>
      </c>
      <c r="K4" s="80" t="e">
        <f t="shared" si="1"/>
        <v>#DIV/0!</v>
      </c>
      <c r="L4" s="80" t="e">
        <f t="shared" si="1"/>
        <v>#DIV/0!</v>
      </c>
      <c r="M4" s="80" t="e">
        <f t="shared" si="1"/>
        <v>#DIV/0!</v>
      </c>
      <c r="N4" s="80" t="e">
        <f t="shared" si="1"/>
        <v>#DIV/0!</v>
      </c>
      <c r="O4" s="128" t="e">
        <f>(N2/I2)^(1/(10))-1</f>
        <v>#DIV/0!</v>
      </c>
    </row>
    <row r="5" spans="1:25" ht="18">
      <c r="C5" s="49"/>
      <c r="E5" s="60"/>
      <c r="F5" s="60"/>
      <c r="G5" s="60"/>
      <c r="H5" s="60"/>
      <c r="I5" s="60"/>
      <c r="J5" s="60"/>
      <c r="K5" s="60"/>
      <c r="L5" s="60"/>
      <c r="M5" s="60"/>
      <c r="N5" s="60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8">
      <c r="A6" s="69" t="s">
        <v>55</v>
      </c>
      <c r="B6" s="49"/>
    </row>
    <row r="7" spans="1:25" s="2" customFormat="1" ht="18"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</row>
    <row r="8" spans="1:25" s="2" customFormat="1" ht="18"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</row>
    <row r="9" spans="1:25" ht="18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8">
      <c r="O10" s="5"/>
    </row>
    <row r="11" spans="1:25" ht="18">
      <c r="O11" s="5"/>
    </row>
    <row r="12" spans="1:25" ht="18">
      <c r="O12" s="5"/>
    </row>
    <row r="13" spans="1:25" ht="18">
      <c r="O13" s="5"/>
    </row>
    <row r="14" spans="1:25" ht="18">
      <c r="O14" s="5"/>
    </row>
    <row r="15" spans="1:25" ht="18">
      <c r="O15" s="5"/>
    </row>
  </sheetData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77BA-8388-4C4B-9C9F-FCAF32F26943}">
  <sheetPr codeName="Sheet12"/>
  <dimension ref="A1:W42"/>
  <sheetViews>
    <sheetView topLeftCell="D1" workbookViewId="0">
      <selection activeCell="P14" sqref="P14"/>
    </sheetView>
  </sheetViews>
  <sheetFormatPr defaultColWidth="10.83203125" defaultRowHeight="15.7"/>
  <cols>
    <col min="1" max="1" width="4.83203125" style="32" customWidth="1"/>
    <col min="2" max="2" width="87.83203125" style="32" customWidth="1"/>
    <col min="3" max="13" width="10.83203125" style="32"/>
    <col min="14" max="15" width="19.1640625" style="52" customWidth="1"/>
    <col min="16" max="16" width="57.5" style="52" customWidth="1"/>
    <col min="17" max="16384" width="10.83203125" style="32"/>
  </cols>
  <sheetData>
    <row r="1" spans="1:17" s="30" customFormat="1" ht="20.7">
      <c r="A1" s="21" t="s">
        <v>79</v>
      </c>
      <c r="B1" s="135" t="s">
        <v>530</v>
      </c>
      <c r="C1" s="17" t="s">
        <v>131</v>
      </c>
      <c r="D1" s="17">
        <v>2018</v>
      </c>
      <c r="E1" s="17">
        <f>D1+1</f>
        <v>2019</v>
      </c>
      <c r="F1" s="17">
        <f t="shared" ref="F1:M1" si="0">E1+1</f>
        <v>2020</v>
      </c>
      <c r="G1" s="17">
        <f t="shared" si="0"/>
        <v>2021</v>
      </c>
      <c r="H1" s="17">
        <f t="shared" si="0"/>
        <v>2022</v>
      </c>
      <c r="I1" s="17">
        <f t="shared" si="0"/>
        <v>2023</v>
      </c>
      <c r="J1" s="17">
        <f t="shared" si="0"/>
        <v>2024</v>
      </c>
      <c r="K1" s="17">
        <f t="shared" si="0"/>
        <v>2025</v>
      </c>
      <c r="L1" s="17">
        <f t="shared" si="0"/>
        <v>2026</v>
      </c>
      <c r="M1" s="17">
        <f t="shared" si="0"/>
        <v>2027</v>
      </c>
      <c r="N1" s="17" t="s">
        <v>532</v>
      </c>
      <c r="O1" s="17" t="s">
        <v>533</v>
      </c>
      <c r="P1" s="17" t="s">
        <v>46</v>
      </c>
    </row>
    <row r="2" spans="1:17" s="52" customFormat="1" ht="18">
      <c r="B2" s="47" t="s">
        <v>117</v>
      </c>
      <c r="C2" s="47" t="s">
        <v>118</v>
      </c>
      <c r="D2" s="68"/>
      <c r="E2" s="85">
        <v>1625</v>
      </c>
      <c r="F2" s="85">
        <v>1637</v>
      </c>
      <c r="G2" s="85">
        <v>1650</v>
      </c>
      <c r="H2" s="85">
        <v>1643</v>
      </c>
      <c r="I2" s="85">
        <v>1637</v>
      </c>
      <c r="J2" s="85">
        <v>1631</v>
      </c>
      <c r="K2" s="85">
        <v>1628</v>
      </c>
      <c r="L2" s="85">
        <v>1629</v>
      </c>
      <c r="M2" s="85">
        <v>1630</v>
      </c>
      <c r="N2" s="68"/>
      <c r="O2" s="68"/>
      <c r="P2" s="18"/>
    </row>
    <row r="3" spans="1:17" s="52" customFormat="1" ht="18">
      <c r="B3" s="47" t="s">
        <v>119</v>
      </c>
      <c r="C3" s="47" t="s">
        <v>118</v>
      </c>
      <c r="D3" s="68"/>
      <c r="E3" s="85">
        <v>1438</v>
      </c>
      <c r="F3" s="85">
        <v>1451</v>
      </c>
      <c r="G3" s="85">
        <v>1462</v>
      </c>
      <c r="H3" s="85">
        <v>1458</v>
      </c>
      <c r="I3" s="85">
        <v>1451</v>
      </c>
      <c r="J3" s="85">
        <v>1447</v>
      </c>
      <c r="K3" s="85">
        <v>1448</v>
      </c>
      <c r="L3" s="85">
        <v>1447</v>
      </c>
      <c r="M3" s="85">
        <v>1450</v>
      </c>
      <c r="N3" s="68"/>
      <c r="O3" s="68"/>
      <c r="P3" s="18"/>
    </row>
    <row r="4" spans="1:17" s="52" customFormat="1" ht="18">
      <c r="B4" s="47" t="s">
        <v>120</v>
      </c>
      <c r="C4" s="112" t="s">
        <v>118</v>
      </c>
      <c r="D4" s="113"/>
      <c r="E4" s="114">
        <v>1387</v>
      </c>
      <c r="F4" s="114">
        <v>1407</v>
      </c>
      <c r="G4" s="114">
        <v>1410</v>
      </c>
      <c r="H4" s="114">
        <v>1405</v>
      </c>
      <c r="I4" s="114">
        <v>1410</v>
      </c>
      <c r="J4" s="114">
        <v>1404</v>
      </c>
      <c r="K4" s="114">
        <v>1395</v>
      </c>
      <c r="L4" s="114">
        <v>1405</v>
      </c>
      <c r="M4" s="114">
        <v>1404</v>
      </c>
      <c r="N4" s="68"/>
      <c r="O4" s="68"/>
      <c r="P4" s="18"/>
    </row>
    <row r="5" spans="1:17" s="52" customFormat="1" ht="18">
      <c r="B5" s="47" t="s">
        <v>121</v>
      </c>
      <c r="C5" s="78" t="s">
        <v>118</v>
      </c>
      <c r="D5" s="111"/>
      <c r="E5" s="87">
        <v>1162</v>
      </c>
      <c r="F5" s="87">
        <v>1152</v>
      </c>
      <c r="G5" s="87">
        <v>1188</v>
      </c>
      <c r="H5" s="87">
        <v>1177</v>
      </c>
      <c r="I5" s="87">
        <v>1179</v>
      </c>
      <c r="J5" s="87">
        <v>1167</v>
      </c>
      <c r="K5" s="87">
        <v>1173</v>
      </c>
      <c r="L5" s="87">
        <v>1169</v>
      </c>
      <c r="M5" s="87">
        <v>1176</v>
      </c>
      <c r="N5" s="68"/>
      <c r="O5" s="68"/>
      <c r="P5" s="18"/>
    </row>
    <row r="6" spans="1:17" s="52" customFormat="1" ht="18">
      <c r="B6" s="47" t="s">
        <v>122</v>
      </c>
      <c r="C6" s="47" t="s">
        <v>118</v>
      </c>
      <c r="D6" s="68"/>
      <c r="E6" s="85">
        <v>1022</v>
      </c>
      <c r="F6" s="85">
        <v>1012</v>
      </c>
      <c r="G6" s="85">
        <v>1050</v>
      </c>
      <c r="H6" s="85">
        <v>1039</v>
      </c>
      <c r="I6" s="85">
        <v>1038</v>
      </c>
      <c r="J6" s="85">
        <v>1037</v>
      </c>
      <c r="K6" s="85">
        <v>1036</v>
      </c>
      <c r="L6" s="85">
        <v>1029</v>
      </c>
      <c r="M6" s="85">
        <v>1037</v>
      </c>
      <c r="N6" s="68"/>
      <c r="O6" s="68"/>
      <c r="P6" s="18"/>
    </row>
    <row r="7" spans="1:17" s="52" customFormat="1" ht="18">
      <c r="B7" s="47" t="s">
        <v>123</v>
      </c>
      <c r="C7" s="47" t="s">
        <v>118</v>
      </c>
      <c r="D7" s="68"/>
      <c r="E7" s="85">
        <v>913</v>
      </c>
      <c r="F7" s="85">
        <v>910</v>
      </c>
      <c r="G7" s="85">
        <v>941</v>
      </c>
      <c r="H7" s="85">
        <v>935</v>
      </c>
      <c r="I7" s="85">
        <v>932</v>
      </c>
      <c r="J7" s="85">
        <v>928</v>
      </c>
      <c r="K7" s="85">
        <v>928</v>
      </c>
      <c r="L7" s="85">
        <v>929</v>
      </c>
      <c r="M7" s="85">
        <v>932</v>
      </c>
      <c r="N7" s="68"/>
      <c r="O7" s="68"/>
      <c r="P7" s="18"/>
    </row>
    <row r="8" spans="1:17" s="52" customFormat="1" ht="18">
      <c r="B8" s="47" t="s">
        <v>124</v>
      </c>
      <c r="C8" s="47" t="s">
        <v>118</v>
      </c>
      <c r="D8" s="68"/>
      <c r="E8" s="85">
        <v>921</v>
      </c>
      <c r="F8" s="85">
        <v>919</v>
      </c>
      <c r="G8" s="85">
        <v>948</v>
      </c>
      <c r="H8" s="85">
        <v>945</v>
      </c>
      <c r="I8" s="85">
        <v>939</v>
      </c>
      <c r="J8" s="85">
        <v>937</v>
      </c>
      <c r="K8" s="85">
        <v>936</v>
      </c>
      <c r="L8" s="85">
        <v>937</v>
      </c>
      <c r="M8" s="85">
        <v>939</v>
      </c>
      <c r="N8" s="68"/>
      <c r="O8" s="68"/>
      <c r="P8" s="18"/>
    </row>
    <row r="9" spans="1:17" s="52" customFormat="1" ht="18">
      <c r="B9" s="47" t="s">
        <v>125</v>
      </c>
      <c r="C9" s="47" t="s">
        <v>118</v>
      </c>
      <c r="D9" s="68"/>
      <c r="E9" s="85">
        <v>937</v>
      </c>
      <c r="F9" s="85">
        <v>934</v>
      </c>
      <c r="G9" s="85">
        <v>966</v>
      </c>
      <c r="H9" s="85">
        <v>964</v>
      </c>
      <c r="I9" s="85">
        <v>957</v>
      </c>
      <c r="J9" s="85">
        <v>954</v>
      </c>
      <c r="K9" s="85">
        <v>955</v>
      </c>
      <c r="L9" s="85">
        <v>954</v>
      </c>
      <c r="M9" s="85">
        <v>958</v>
      </c>
      <c r="N9" s="68"/>
      <c r="O9" s="68"/>
      <c r="P9" s="18"/>
    </row>
    <row r="10" spans="1:17" s="52" customFormat="1" ht="18">
      <c r="B10" s="47" t="s">
        <v>126</v>
      </c>
      <c r="C10" s="47" t="s">
        <v>118</v>
      </c>
      <c r="D10" s="68"/>
      <c r="E10" s="85">
        <v>913</v>
      </c>
      <c r="F10" s="85">
        <v>911</v>
      </c>
      <c r="G10" s="85">
        <v>941</v>
      </c>
      <c r="H10" s="85">
        <v>938</v>
      </c>
      <c r="I10" s="85">
        <v>932</v>
      </c>
      <c r="J10" s="85">
        <v>929</v>
      </c>
      <c r="K10" s="85">
        <v>931</v>
      </c>
      <c r="L10" s="85">
        <v>932</v>
      </c>
      <c r="M10" s="85">
        <v>934</v>
      </c>
      <c r="N10" s="68"/>
      <c r="O10" s="68"/>
      <c r="P10" s="18"/>
    </row>
    <row r="11" spans="1:17" s="52" customFormat="1" ht="18">
      <c r="B11" s="47" t="s">
        <v>127</v>
      </c>
      <c r="C11" s="47" t="s">
        <v>118</v>
      </c>
      <c r="D11" s="68"/>
      <c r="E11" s="85">
        <v>1051</v>
      </c>
      <c r="F11" s="85">
        <v>1063</v>
      </c>
      <c r="G11" s="85">
        <v>1078</v>
      </c>
      <c r="H11" s="85">
        <v>1074</v>
      </c>
      <c r="I11" s="85">
        <v>1069</v>
      </c>
      <c r="J11" s="85">
        <v>1065</v>
      </c>
      <c r="K11" s="85">
        <v>1065</v>
      </c>
      <c r="L11" s="85">
        <v>1067</v>
      </c>
      <c r="M11" s="85">
        <v>1069</v>
      </c>
      <c r="N11" s="68"/>
      <c r="O11" s="68"/>
      <c r="P11" s="18"/>
    </row>
    <row r="12" spans="1:17" s="52" customFormat="1" ht="18">
      <c r="B12" s="47" t="s">
        <v>128</v>
      </c>
      <c r="C12" s="47" t="s">
        <v>118</v>
      </c>
      <c r="D12" s="68"/>
      <c r="E12" s="85">
        <v>1223</v>
      </c>
      <c r="F12" s="85">
        <v>1235</v>
      </c>
      <c r="G12" s="85">
        <v>1249</v>
      </c>
      <c r="H12" s="85">
        <v>1245</v>
      </c>
      <c r="I12" s="85">
        <v>1239</v>
      </c>
      <c r="J12" s="85">
        <v>1234</v>
      </c>
      <c r="K12" s="85">
        <v>1236</v>
      </c>
      <c r="L12" s="85">
        <v>1236</v>
      </c>
      <c r="M12" s="85">
        <v>1238</v>
      </c>
      <c r="N12" s="68"/>
      <c r="O12" s="68"/>
      <c r="P12" s="18"/>
    </row>
    <row r="13" spans="1:17" s="52" customFormat="1" ht="18.350000000000001" thickBot="1">
      <c r="B13" s="79" t="s">
        <v>129</v>
      </c>
      <c r="C13" s="79" t="s">
        <v>118</v>
      </c>
      <c r="D13" s="84"/>
      <c r="E13" s="86">
        <v>1510</v>
      </c>
      <c r="F13" s="86">
        <v>1520</v>
      </c>
      <c r="G13" s="86">
        <v>1533</v>
      </c>
      <c r="H13" s="86">
        <v>1525</v>
      </c>
      <c r="I13" s="86">
        <v>1520</v>
      </c>
      <c r="J13" s="86">
        <v>1515</v>
      </c>
      <c r="K13" s="86">
        <v>1515</v>
      </c>
      <c r="L13" s="86">
        <v>1513</v>
      </c>
      <c r="M13" s="86">
        <v>1515</v>
      </c>
      <c r="N13" s="68"/>
      <c r="O13" s="68"/>
      <c r="P13" s="18"/>
    </row>
    <row r="14" spans="1:17" s="52" customFormat="1" ht="18">
      <c r="B14" s="77" t="s">
        <v>62</v>
      </c>
      <c r="C14" s="78" t="s">
        <v>61</v>
      </c>
      <c r="D14" s="87">
        <v>14127</v>
      </c>
      <c r="E14" s="87">
        <f>SUM(E2:E13)</f>
        <v>14102</v>
      </c>
      <c r="F14" s="87">
        <f t="shared" ref="F14:M14" si="1">SUM(F2:F13)</f>
        <v>14151</v>
      </c>
      <c r="G14" s="87">
        <f t="shared" si="1"/>
        <v>14416</v>
      </c>
      <c r="H14" s="87">
        <f t="shared" si="1"/>
        <v>14348</v>
      </c>
      <c r="I14" s="87">
        <f t="shared" si="1"/>
        <v>14303</v>
      </c>
      <c r="J14" s="87">
        <f t="shared" si="1"/>
        <v>14248</v>
      </c>
      <c r="K14" s="87">
        <f t="shared" si="1"/>
        <v>14246</v>
      </c>
      <c r="L14" s="87">
        <f t="shared" si="1"/>
        <v>14247</v>
      </c>
      <c r="M14" s="87">
        <f t="shared" si="1"/>
        <v>14282</v>
      </c>
      <c r="N14" s="47" t="s">
        <v>535</v>
      </c>
      <c r="O14" s="47" t="s">
        <v>535</v>
      </c>
      <c r="P14" s="18" t="s">
        <v>1571</v>
      </c>
    </row>
    <row r="15" spans="1:17" s="52" customFormat="1" ht="18">
      <c r="B15" s="76" t="s">
        <v>534</v>
      </c>
      <c r="C15" s="47" t="s">
        <v>63</v>
      </c>
      <c r="D15" s="68"/>
      <c r="E15" s="136">
        <f t="shared" ref="E15:M15" si="2">(E14-D14)/D14</f>
        <v>-1.7696609329652438E-3</v>
      </c>
      <c r="F15" s="136">
        <f t="shared" si="2"/>
        <v>3.4746844419231314E-3</v>
      </c>
      <c r="G15" s="136">
        <f t="shared" si="2"/>
        <v>1.8726591760299626E-2</v>
      </c>
      <c r="H15" s="136">
        <f t="shared" si="2"/>
        <v>-4.7169811320754715E-3</v>
      </c>
      <c r="I15" s="136">
        <f t="shared" si="2"/>
        <v>-3.1363256202955117E-3</v>
      </c>
      <c r="J15" s="136">
        <f t="shared" si="2"/>
        <v>-3.8453471299727329E-3</v>
      </c>
      <c r="K15" s="136">
        <f t="shared" si="2"/>
        <v>-1.4037057832678272E-4</v>
      </c>
      <c r="L15" s="136">
        <f t="shared" si="2"/>
        <v>7.0195142496139266E-5</v>
      </c>
      <c r="M15" s="136">
        <f t="shared" si="2"/>
        <v>2.4566575419386538E-3</v>
      </c>
      <c r="N15" s="277">
        <f>(M14/D14)^(1/(10-1))-1</f>
        <v>1.2131956824772416E-3</v>
      </c>
      <c r="O15" s="277">
        <f>N15</f>
        <v>1.2131956824772416E-3</v>
      </c>
      <c r="P15" s="278" t="s">
        <v>908</v>
      </c>
      <c r="Q15" s="60"/>
    </row>
    <row r="16" spans="1:17" s="52" customFormat="1" ht="18">
      <c r="B16" s="76"/>
      <c r="C16" s="47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136"/>
      <c r="O16" s="136"/>
      <c r="P16" s="94"/>
      <c r="Q16" s="60"/>
    </row>
    <row r="17" spans="1:23" s="2" customFormat="1" ht="18">
      <c r="A17" s="52"/>
      <c r="B17" s="52"/>
      <c r="C17" s="42"/>
      <c r="D17" s="50"/>
      <c r="E17" s="52"/>
      <c r="F17" s="52"/>
      <c r="G17" s="14"/>
      <c r="H17" s="42"/>
      <c r="I17" s="50"/>
      <c r="J17" s="50"/>
      <c r="K17" s="50"/>
      <c r="L17" s="95"/>
      <c r="M17" s="95"/>
      <c r="N17" s="52"/>
      <c r="O17" s="52"/>
      <c r="P17" s="52"/>
      <c r="Q17" s="52"/>
      <c r="R17" s="12"/>
      <c r="S17" s="38"/>
      <c r="T17" s="38"/>
      <c r="U17" s="41"/>
      <c r="W17" s="52"/>
    </row>
    <row r="18" spans="1:23" s="2" customFormat="1" ht="18">
      <c r="A18" s="52"/>
      <c r="B18" s="52"/>
      <c r="C18" s="96"/>
      <c r="D18" s="38"/>
      <c r="E18" s="52"/>
      <c r="F18" s="52"/>
      <c r="G18" s="14"/>
      <c r="H18" s="13"/>
      <c r="I18" s="82"/>
      <c r="J18" s="82"/>
      <c r="K18" s="82"/>
      <c r="L18" s="118"/>
      <c r="M18" s="118"/>
      <c r="Q18" s="52"/>
      <c r="R18" s="12"/>
      <c r="S18" s="38"/>
      <c r="T18" s="38"/>
      <c r="U18" s="81"/>
      <c r="W18" s="52"/>
    </row>
    <row r="19" spans="1:23" s="2" customFormat="1" ht="18">
      <c r="A19" s="69" t="s">
        <v>55</v>
      </c>
      <c r="B19" s="52"/>
      <c r="C19" s="11"/>
      <c r="D19" s="11"/>
      <c r="E19" s="52"/>
      <c r="F19" s="52"/>
      <c r="G19" s="14"/>
      <c r="H19" s="50"/>
      <c r="I19" s="50"/>
      <c r="J19" s="43"/>
      <c r="K19" s="43"/>
      <c r="L19" s="116"/>
      <c r="M19" s="116"/>
      <c r="N19" s="13"/>
      <c r="O19" s="13"/>
      <c r="P19" s="13"/>
      <c r="Q19" s="52"/>
      <c r="R19" s="52"/>
      <c r="S19" s="52"/>
      <c r="T19" s="12"/>
      <c r="U19" s="38"/>
      <c r="V19" s="41"/>
      <c r="W19" s="52"/>
    </row>
    <row r="20" spans="1:23" s="2" customFormat="1" ht="18">
      <c r="A20" s="2" t="s">
        <v>135</v>
      </c>
      <c r="B20" s="27"/>
      <c r="C20" s="58"/>
      <c r="D20" s="11"/>
      <c r="E20" s="52"/>
      <c r="F20" s="52"/>
      <c r="G20" s="14"/>
      <c r="I20" s="50"/>
      <c r="J20" s="50"/>
      <c r="K20" s="43"/>
      <c r="L20" s="116"/>
      <c r="M20" s="116"/>
      <c r="Q20" s="52"/>
      <c r="R20" s="40"/>
      <c r="S20" s="52"/>
      <c r="T20" s="52"/>
      <c r="U20" s="12"/>
      <c r="V20" s="41"/>
      <c r="W20" s="52"/>
    </row>
    <row r="21" spans="1:23" s="2" customFormat="1" ht="18">
      <c r="A21" s="2" t="s">
        <v>134</v>
      </c>
      <c r="C21" s="58"/>
      <c r="D21" s="11"/>
      <c r="E21" s="52"/>
      <c r="F21" s="52"/>
      <c r="G21" s="14"/>
      <c r="I21" s="50"/>
      <c r="J21" s="50"/>
      <c r="K21" s="50"/>
      <c r="L21" s="95"/>
      <c r="M21" s="95"/>
      <c r="N21" s="52"/>
      <c r="O21" s="12"/>
      <c r="P21" s="38"/>
      <c r="Q21" s="52"/>
      <c r="R21" s="40"/>
      <c r="S21" s="52"/>
      <c r="T21" s="52"/>
      <c r="U21" s="12"/>
      <c r="V21" s="41"/>
      <c r="W21" s="52"/>
    </row>
    <row r="22" spans="1:23" s="2" customFormat="1" ht="18">
      <c r="A22" s="52"/>
      <c r="C22" s="58"/>
      <c r="D22" s="11"/>
      <c r="E22" s="52"/>
      <c r="F22" s="52"/>
      <c r="G22" s="14"/>
      <c r="I22" s="50"/>
      <c r="J22" s="50"/>
      <c r="K22" s="50"/>
      <c r="L22" s="95"/>
      <c r="M22" s="95"/>
      <c r="N22" s="52"/>
      <c r="O22" s="12"/>
      <c r="P22" s="38"/>
      <c r="Q22" s="52"/>
      <c r="R22" s="44"/>
      <c r="S22" s="52"/>
      <c r="T22" s="52"/>
      <c r="U22" s="29"/>
      <c r="V22" s="33"/>
      <c r="W22" s="52"/>
    </row>
    <row r="23" spans="1:23" s="52" customFormat="1"/>
    <row r="24" spans="1:23" s="52" customFormat="1"/>
    <row r="25" spans="1:23" s="52" customFormat="1"/>
    <row r="26" spans="1:23" s="52" customFormat="1"/>
    <row r="27" spans="1:23" s="52" customFormat="1"/>
    <row r="28" spans="1:23" s="52" customFormat="1"/>
    <row r="29" spans="1:23" s="52" customFormat="1"/>
    <row r="30" spans="1:23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</row>
    <row r="31" spans="1:23">
      <c r="A31" s="52"/>
      <c r="B31" s="52"/>
    </row>
    <row r="32" spans="1:23">
      <c r="A32" s="52"/>
      <c r="B32" s="52"/>
    </row>
    <row r="33" spans="1:2">
      <c r="A33" s="52"/>
      <c r="B33" s="52"/>
    </row>
    <row r="34" spans="1:2">
      <c r="A34" s="52"/>
      <c r="B34" s="52"/>
    </row>
    <row r="35" spans="1:2">
      <c r="A35" s="52"/>
      <c r="B35" s="52"/>
    </row>
    <row r="36" spans="1:2">
      <c r="A36" s="52"/>
      <c r="B36" s="52"/>
    </row>
    <row r="37" spans="1:2">
      <c r="A37" s="52"/>
      <c r="B37" s="52"/>
    </row>
    <row r="38" spans="1:2">
      <c r="A38" s="52"/>
      <c r="B38" s="52"/>
    </row>
    <row r="39" spans="1:2">
      <c r="A39" s="52"/>
      <c r="B39" s="52"/>
    </row>
    <row r="40" spans="1:2">
      <c r="A40" s="52"/>
      <c r="B40" s="52"/>
    </row>
    <row r="41" spans="1:2">
      <c r="A41" s="52"/>
      <c r="B41" s="52"/>
    </row>
    <row r="42" spans="1:2">
      <c r="B42" s="52"/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BB60-9242-B144-9F05-88ED31E185F9}">
  <sheetPr codeName="Sheet13"/>
  <dimension ref="A1:Q22"/>
  <sheetViews>
    <sheetView topLeftCell="C1" workbookViewId="0">
      <selection activeCell="P14" sqref="P14"/>
    </sheetView>
  </sheetViews>
  <sheetFormatPr defaultColWidth="10.83203125" defaultRowHeight="15.7"/>
  <cols>
    <col min="1" max="1" width="4.83203125" style="32" customWidth="1"/>
    <col min="2" max="2" width="85" style="32" customWidth="1"/>
    <col min="3" max="3" width="12.83203125" style="32" customWidth="1"/>
    <col min="4" max="13" width="10.83203125" style="32"/>
    <col min="14" max="15" width="19.1640625" style="52" customWidth="1"/>
    <col min="16" max="16" width="57.5" style="52" customWidth="1"/>
    <col min="17" max="16384" width="10.83203125" style="32"/>
  </cols>
  <sheetData>
    <row r="1" spans="1:17" s="30" customFormat="1" ht="20.7">
      <c r="A1" s="21" t="s">
        <v>79</v>
      </c>
      <c r="B1" s="135" t="s">
        <v>531</v>
      </c>
      <c r="C1" s="17" t="s">
        <v>131</v>
      </c>
      <c r="D1" s="17">
        <v>2018</v>
      </c>
      <c r="E1" s="17">
        <f>D1+1</f>
        <v>2019</v>
      </c>
      <c r="F1" s="17">
        <f t="shared" ref="F1:M1" si="0">E1+1</f>
        <v>2020</v>
      </c>
      <c r="G1" s="17">
        <f t="shared" si="0"/>
        <v>2021</v>
      </c>
      <c r="H1" s="17">
        <f t="shared" si="0"/>
        <v>2022</v>
      </c>
      <c r="I1" s="17">
        <f t="shared" si="0"/>
        <v>2023</v>
      </c>
      <c r="J1" s="17">
        <f t="shared" si="0"/>
        <v>2024</v>
      </c>
      <c r="K1" s="17">
        <f t="shared" si="0"/>
        <v>2025</v>
      </c>
      <c r="L1" s="17">
        <f t="shared" si="0"/>
        <v>2026</v>
      </c>
      <c r="M1" s="17">
        <f t="shared" si="0"/>
        <v>2027</v>
      </c>
      <c r="N1" s="17" t="s">
        <v>532</v>
      </c>
      <c r="O1" s="17" t="s">
        <v>533</v>
      </c>
      <c r="P1" s="17" t="s">
        <v>46</v>
      </c>
    </row>
    <row r="2" spans="1:17" s="52" customFormat="1" ht="18">
      <c r="B2" s="47" t="s">
        <v>117</v>
      </c>
      <c r="C2" s="47" t="s">
        <v>64</v>
      </c>
      <c r="D2" s="68"/>
      <c r="E2" s="85">
        <v>3060</v>
      </c>
      <c r="F2" s="85">
        <v>3060</v>
      </c>
      <c r="G2" s="85">
        <v>3050</v>
      </c>
      <c r="H2" s="85">
        <v>3020</v>
      </c>
      <c r="I2" s="85">
        <v>2970</v>
      </c>
      <c r="J2" s="85">
        <v>2920</v>
      </c>
      <c r="K2" s="85">
        <v>2890</v>
      </c>
      <c r="L2" s="85">
        <v>2870</v>
      </c>
      <c r="M2" s="85">
        <v>2860</v>
      </c>
      <c r="N2" s="68"/>
      <c r="O2" s="68"/>
      <c r="P2" s="18"/>
    </row>
    <row r="3" spans="1:17" s="52" customFormat="1" ht="18">
      <c r="B3" s="47" t="s">
        <v>119</v>
      </c>
      <c r="C3" s="47" t="s">
        <v>64</v>
      </c>
      <c r="D3" s="68"/>
      <c r="E3" s="85">
        <v>3020</v>
      </c>
      <c r="F3" s="85">
        <v>3020</v>
      </c>
      <c r="G3" s="85">
        <v>3020</v>
      </c>
      <c r="H3" s="85">
        <v>2980</v>
      </c>
      <c r="I3" s="85">
        <v>2940</v>
      </c>
      <c r="J3" s="85">
        <v>2890</v>
      </c>
      <c r="K3" s="85">
        <v>2870</v>
      </c>
      <c r="L3" s="85">
        <v>2840</v>
      </c>
      <c r="M3" s="85">
        <v>2840</v>
      </c>
      <c r="N3" s="68"/>
      <c r="O3" s="68"/>
      <c r="P3" s="18"/>
    </row>
    <row r="4" spans="1:17" s="52" customFormat="1" ht="18">
      <c r="B4" s="47" t="s">
        <v>120</v>
      </c>
      <c r="C4" s="112" t="s">
        <v>64</v>
      </c>
      <c r="D4" s="113"/>
      <c r="E4" s="114">
        <v>2610</v>
      </c>
      <c r="F4" s="114">
        <v>2630</v>
      </c>
      <c r="G4" s="114">
        <v>2610</v>
      </c>
      <c r="H4" s="114">
        <v>2590</v>
      </c>
      <c r="I4" s="114">
        <v>2560</v>
      </c>
      <c r="J4" s="114">
        <v>2520</v>
      </c>
      <c r="K4" s="114">
        <v>2490</v>
      </c>
      <c r="L4" s="114">
        <v>2480</v>
      </c>
      <c r="M4" s="114">
        <v>2470</v>
      </c>
      <c r="N4" s="68"/>
      <c r="O4" s="68"/>
      <c r="P4" s="18"/>
    </row>
    <row r="5" spans="1:17" s="52" customFormat="1" ht="18">
      <c r="B5" s="47" t="s">
        <v>121</v>
      </c>
      <c r="C5" s="78" t="s">
        <v>64</v>
      </c>
      <c r="D5" s="111"/>
      <c r="E5" s="87">
        <v>2170</v>
      </c>
      <c r="F5" s="87">
        <v>2150</v>
      </c>
      <c r="G5" s="87">
        <v>2180</v>
      </c>
      <c r="H5" s="87">
        <v>2150</v>
      </c>
      <c r="I5" s="87">
        <v>2140</v>
      </c>
      <c r="J5" s="87">
        <v>2100</v>
      </c>
      <c r="K5" s="87">
        <v>2080</v>
      </c>
      <c r="L5" s="87">
        <v>2070</v>
      </c>
      <c r="M5" s="87">
        <v>2070</v>
      </c>
      <c r="N5" s="68"/>
      <c r="O5" s="68"/>
      <c r="P5" s="18"/>
    </row>
    <row r="6" spans="1:17" s="52" customFormat="1" ht="18">
      <c r="B6" s="47" t="s">
        <v>122</v>
      </c>
      <c r="C6" s="47" t="s">
        <v>64</v>
      </c>
      <c r="D6" s="68"/>
      <c r="E6" s="85">
        <v>1840</v>
      </c>
      <c r="F6" s="85">
        <v>1820</v>
      </c>
      <c r="G6" s="85">
        <v>1860</v>
      </c>
      <c r="H6" s="85">
        <v>1830</v>
      </c>
      <c r="I6" s="85">
        <v>1820</v>
      </c>
      <c r="J6" s="85">
        <v>1790</v>
      </c>
      <c r="K6" s="85">
        <v>1770</v>
      </c>
      <c r="L6" s="85">
        <v>1750</v>
      </c>
      <c r="M6" s="85">
        <v>1760</v>
      </c>
      <c r="N6" s="68"/>
      <c r="O6" s="68"/>
      <c r="P6" s="18"/>
    </row>
    <row r="7" spans="1:17" s="52" customFormat="1" ht="18">
      <c r="B7" s="47" t="s">
        <v>123</v>
      </c>
      <c r="C7" s="47" t="s">
        <v>64</v>
      </c>
      <c r="D7" s="68"/>
      <c r="E7" s="85">
        <v>1590</v>
      </c>
      <c r="F7" s="85">
        <v>1590</v>
      </c>
      <c r="G7" s="85">
        <v>1610</v>
      </c>
      <c r="H7" s="85">
        <v>1590</v>
      </c>
      <c r="I7" s="85">
        <v>1580</v>
      </c>
      <c r="J7" s="85">
        <v>1550</v>
      </c>
      <c r="K7" s="85">
        <v>1540</v>
      </c>
      <c r="L7" s="85">
        <v>1530</v>
      </c>
      <c r="M7" s="85">
        <v>1530</v>
      </c>
      <c r="N7" s="68"/>
      <c r="O7" s="68"/>
      <c r="P7" s="18"/>
    </row>
    <row r="8" spans="1:17" s="52" customFormat="1" ht="18">
      <c r="B8" s="47" t="s">
        <v>124</v>
      </c>
      <c r="C8" s="47" t="s">
        <v>64</v>
      </c>
      <c r="D8" s="68"/>
      <c r="E8" s="85">
        <v>1530</v>
      </c>
      <c r="F8" s="85">
        <v>1520</v>
      </c>
      <c r="G8" s="85">
        <v>1550</v>
      </c>
      <c r="H8" s="85">
        <v>1530</v>
      </c>
      <c r="I8" s="85">
        <v>1510</v>
      </c>
      <c r="J8" s="85">
        <v>1490</v>
      </c>
      <c r="K8" s="85">
        <v>1470</v>
      </c>
      <c r="L8" s="85">
        <v>1470</v>
      </c>
      <c r="M8" s="85">
        <v>1470</v>
      </c>
      <c r="N8" s="68"/>
      <c r="O8" s="68"/>
      <c r="P8" s="18"/>
    </row>
    <row r="9" spans="1:17" s="52" customFormat="1" ht="18">
      <c r="B9" s="47" t="s">
        <v>125</v>
      </c>
      <c r="C9" s="47" t="s">
        <v>64</v>
      </c>
      <c r="D9" s="68"/>
      <c r="E9" s="85">
        <v>1550</v>
      </c>
      <c r="F9" s="85">
        <v>1540</v>
      </c>
      <c r="G9" s="85">
        <v>1570</v>
      </c>
      <c r="H9" s="85">
        <v>1550</v>
      </c>
      <c r="I9" s="85">
        <v>1530</v>
      </c>
      <c r="J9" s="85">
        <v>1510</v>
      </c>
      <c r="K9" s="85">
        <v>1490</v>
      </c>
      <c r="L9" s="85">
        <v>1490</v>
      </c>
      <c r="M9" s="85">
        <v>1490</v>
      </c>
      <c r="N9" s="68"/>
      <c r="O9" s="68"/>
      <c r="P9" s="18"/>
    </row>
    <row r="10" spans="1:17" s="52" customFormat="1" ht="18">
      <c r="B10" s="47" t="s">
        <v>126</v>
      </c>
      <c r="C10" s="47" t="s">
        <v>64</v>
      </c>
      <c r="D10" s="68"/>
      <c r="E10" s="85">
        <v>1690</v>
      </c>
      <c r="F10" s="85">
        <v>1680</v>
      </c>
      <c r="G10" s="85">
        <v>1710</v>
      </c>
      <c r="H10" s="85">
        <v>1690</v>
      </c>
      <c r="I10" s="85">
        <v>1670</v>
      </c>
      <c r="J10" s="85">
        <v>1650</v>
      </c>
      <c r="K10" s="85">
        <v>1630</v>
      </c>
      <c r="L10" s="85">
        <v>1630</v>
      </c>
      <c r="M10" s="85">
        <v>1620</v>
      </c>
      <c r="N10" s="68"/>
      <c r="O10" s="68"/>
      <c r="P10" s="18"/>
    </row>
    <row r="11" spans="1:17" s="52" customFormat="1" ht="18">
      <c r="B11" s="47" t="s">
        <v>127</v>
      </c>
      <c r="C11" s="47" t="s">
        <v>64</v>
      </c>
      <c r="D11" s="68"/>
      <c r="E11" s="85">
        <v>1950</v>
      </c>
      <c r="F11" s="85">
        <v>1960</v>
      </c>
      <c r="G11" s="85">
        <v>1970</v>
      </c>
      <c r="H11" s="85">
        <v>1950</v>
      </c>
      <c r="I11" s="85">
        <v>1930</v>
      </c>
      <c r="J11" s="85">
        <v>1900</v>
      </c>
      <c r="K11" s="85">
        <v>1880</v>
      </c>
      <c r="L11" s="85">
        <v>1870</v>
      </c>
      <c r="M11" s="85">
        <v>1870</v>
      </c>
      <c r="N11" s="68"/>
      <c r="O11" s="68"/>
      <c r="P11" s="18"/>
    </row>
    <row r="12" spans="1:17" s="52" customFormat="1" ht="18">
      <c r="B12" s="47" t="s">
        <v>128</v>
      </c>
      <c r="C12" s="47" t="s">
        <v>64</v>
      </c>
      <c r="D12" s="68"/>
      <c r="E12" s="85">
        <v>2350</v>
      </c>
      <c r="F12" s="85">
        <v>2360</v>
      </c>
      <c r="G12" s="85">
        <v>2370</v>
      </c>
      <c r="H12" s="85">
        <v>2350</v>
      </c>
      <c r="I12" s="85">
        <v>2320</v>
      </c>
      <c r="J12" s="85">
        <v>2290</v>
      </c>
      <c r="K12" s="85">
        <v>2270</v>
      </c>
      <c r="L12" s="85">
        <v>2260</v>
      </c>
      <c r="M12" s="85">
        <v>2250</v>
      </c>
      <c r="N12" s="68"/>
      <c r="O12" s="68"/>
      <c r="P12" s="18"/>
    </row>
    <row r="13" spans="1:17" s="52" customFormat="1" ht="18.350000000000001" thickBot="1">
      <c r="B13" s="79" t="s">
        <v>129</v>
      </c>
      <c r="C13" s="79" t="s">
        <v>64</v>
      </c>
      <c r="D13" s="84"/>
      <c r="E13" s="86">
        <v>2780</v>
      </c>
      <c r="F13" s="86">
        <v>2780</v>
      </c>
      <c r="G13" s="86">
        <v>2770</v>
      </c>
      <c r="H13" s="86">
        <v>2740</v>
      </c>
      <c r="I13" s="86">
        <v>2710</v>
      </c>
      <c r="J13" s="86">
        <v>2660</v>
      </c>
      <c r="K13" s="86">
        <v>2640</v>
      </c>
      <c r="L13" s="86">
        <v>2620</v>
      </c>
      <c r="M13" s="86">
        <v>2610</v>
      </c>
      <c r="N13" s="68"/>
      <c r="O13" s="68"/>
      <c r="P13" s="18"/>
    </row>
    <row r="14" spans="1:17" s="52" customFormat="1" ht="18">
      <c r="B14" s="77" t="s">
        <v>62</v>
      </c>
      <c r="C14" s="78" t="s">
        <v>64</v>
      </c>
      <c r="D14" s="87">
        <v>3090</v>
      </c>
      <c r="E14" s="87">
        <f>MAX(E2:E13)</f>
        <v>3060</v>
      </c>
      <c r="F14" s="87">
        <f t="shared" ref="F14:M14" si="1">MAX(F2:F13)</f>
        <v>3060</v>
      </c>
      <c r="G14" s="87">
        <f t="shared" si="1"/>
        <v>3050</v>
      </c>
      <c r="H14" s="87">
        <f t="shared" si="1"/>
        <v>3020</v>
      </c>
      <c r="I14" s="87">
        <f t="shared" si="1"/>
        <v>2970</v>
      </c>
      <c r="J14" s="87">
        <f t="shared" si="1"/>
        <v>2920</v>
      </c>
      <c r="K14" s="87">
        <f t="shared" si="1"/>
        <v>2890</v>
      </c>
      <c r="L14" s="87">
        <f t="shared" si="1"/>
        <v>2870</v>
      </c>
      <c r="M14" s="87">
        <f t="shared" si="1"/>
        <v>2860</v>
      </c>
      <c r="N14" s="47" t="s">
        <v>535</v>
      </c>
      <c r="O14" s="47" t="s">
        <v>535</v>
      </c>
      <c r="P14" s="18" t="s">
        <v>1571</v>
      </c>
    </row>
    <row r="15" spans="1:17" s="52" customFormat="1" ht="18">
      <c r="B15" s="76" t="s">
        <v>534</v>
      </c>
      <c r="C15" s="47" t="s">
        <v>63</v>
      </c>
      <c r="D15" s="68"/>
      <c r="E15" s="136">
        <f t="shared" ref="E15:M15" si="2">(E14-D14)/D14</f>
        <v>-9.7087378640776691E-3</v>
      </c>
      <c r="F15" s="136">
        <f t="shared" si="2"/>
        <v>0</v>
      </c>
      <c r="G15" s="136">
        <f t="shared" si="2"/>
        <v>-3.2679738562091504E-3</v>
      </c>
      <c r="H15" s="136">
        <f t="shared" si="2"/>
        <v>-9.8360655737704927E-3</v>
      </c>
      <c r="I15" s="136">
        <f t="shared" si="2"/>
        <v>-1.6556291390728478E-2</v>
      </c>
      <c r="J15" s="136">
        <f t="shared" si="2"/>
        <v>-1.6835016835016835E-2</v>
      </c>
      <c r="K15" s="136">
        <f t="shared" si="2"/>
        <v>-1.0273972602739725E-2</v>
      </c>
      <c r="L15" s="136">
        <f t="shared" si="2"/>
        <v>-6.920415224913495E-3</v>
      </c>
      <c r="M15" s="136">
        <f t="shared" si="2"/>
        <v>-3.4843205574912892E-3</v>
      </c>
      <c r="N15" s="277">
        <f>(M14/D14)^(1/(10-1))-1</f>
        <v>-8.5575589668678287E-3</v>
      </c>
      <c r="O15" s="277">
        <f>N15</f>
        <v>-8.5575589668678287E-3</v>
      </c>
      <c r="P15" s="278" t="s">
        <v>908</v>
      </c>
      <c r="Q15" s="60"/>
    </row>
    <row r="16" spans="1:17" s="52" customFormat="1" ht="18">
      <c r="B16" s="76"/>
      <c r="C16" s="47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136"/>
      <c r="O16" s="136"/>
      <c r="P16" s="94"/>
      <c r="Q16" s="60"/>
    </row>
    <row r="17" spans="1:16" s="52" customFormat="1"/>
    <row r="18" spans="1:16" s="52" customFormat="1" ht="18">
      <c r="A18" s="69" t="s">
        <v>55</v>
      </c>
      <c r="B18" s="27"/>
      <c r="N18" s="2"/>
      <c r="O18" s="2"/>
      <c r="P18" s="2"/>
    </row>
    <row r="19" spans="1:16" s="2" customFormat="1" ht="18">
      <c r="A19" s="2" t="s">
        <v>130</v>
      </c>
    </row>
    <row r="20" spans="1:16" s="2" customFormat="1" ht="18">
      <c r="A20" s="2" t="s">
        <v>132</v>
      </c>
      <c r="N20" s="13"/>
      <c r="O20" s="13"/>
      <c r="P20" s="13"/>
    </row>
    <row r="21" spans="1:16" s="2" customFormat="1" ht="18"/>
    <row r="22" spans="1:16" s="52" customFormat="1" ht="18">
      <c r="B22" s="27"/>
      <c r="O22" s="12"/>
      <c r="P22" s="38"/>
    </row>
  </sheetData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B22C-4706-BA43-8A24-79EAEEAA548B}">
  <sheetPr codeName="Sheet14"/>
  <dimension ref="A1:B3"/>
  <sheetViews>
    <sheetView workbookViewId="0">
      <selection activeCell="A2" sqref="A2"/>
    </sheetView>
  </sheetViews>
  <sheetFormatPr defaultColWidth="10.83203125" defaultRowHeight="15.7"/>
  <cols>
    <col min="1" max="1" width="4.83203125" style="52" customWidth="1"/>
    <col min="2" max="16384" width="10.83203125" style="52"/>
  </cols>
  <sheetData>
    <row r="1" spans="1:2" ht="20.7">
      <c r="A1" s="121" t="s">
        <v>79</v>
      </c>
      <c r="B1" s="133" t="s">
        <v>495</v>
      </c>
    </row>
    <row r="3" spans="1:2" ht="18">
      <c r="B3" s="2" t="s">
        <v>500</v>
      </c>
    </row>
  </sheetData>
  <pageMargins left="0.7" right="0.7" top="0.75" bottom="0.75" header="0.3" footer="0.3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0DAF-8B65-8445-BC4F-58BEAE04860C}">
  <dimension ref="A1:AH107"/>
  <sheetViews>
    <sheetView workbookViewId="0">
      <selection activeCell="A6" sqref="A6"/>
    </sheetView>
  </sheetViews>
  <sheetFormatPr defaultColWidth="10.83203125" defaultRowHeight="18"/>
  <cols>
    <col min="1" max="1" width="4.83203125" style="158" customWidth="1"/>
    <col min="2" max="4" width="12.83203125" style="158" customWidth="1"/>
    <col min="5" max="5" width="4.83203125" style="158" customWidth="1"/>
    <col min="6" max="7" width="10.83203125" style="158"/>
    <col min="8" max="11" width="12.83203125" style="158" customWidth="1"/>
    <col min="12" max="12" width="4.83203125" style="158" customWidth="1"/>
    <col min="13" max="20" width="12.83203125" style="158" customWidth="1"/>
    <col min="21" max="21" width="33.83203125" style="158" customWidth="1"/>
    <col min="22" max="22" width="4.83203125" style="158" customWidth="1"/>
    <col min="23" max="23" width="18.83203125" style="158" customWidth="1"/>
    <col min="24" max="24" width="18.33203125" style="158" customWidth="1"/>
    <col min="25" max="25" width="10.83203125" style="158"/>
    <col min="26" max="26" width="4.83203125" style="158" customWidth="1"/>
    <col min="27" max="27" width="10.83203125" style="63"/>
    <col min="28" max="30" width="10.83203125" style="61"/>
    <col min="31" max="16384" width="10.83203125" style="158"/>
  </cols>
  <sheetData>
    <row r="1" spans="1:34" ht="20.7">
      <c r="A1" s="21" t="s">
        <v>79</v>
      </c>
      <c r="B1" s="21" t="s">
        <v>909</v>
      </c>
    </row>
    <row r="2" spans="1:34" ht="20.7">
      <c r="A2" s="21"/>
    </row>
    <row r="3" spans="1:34" ht="20.7">
      <c r="B3" s="21" t="s">
        <v>856</v>
      </c>
      <c r="E3" s="21"/>
      <c r="F3" s="21" t="s">
        <v>857</v>
      </c>
      <c r="M3" s="21" t="s">
        <v>893</v>
      </c>
      <c r="N3" s="69"/>
      <c r="O3" s="69"/>
      <c r="P3" s="69"/>
      <c r="Q3" s="69"/>
      <c r="W3" s="21" t="s">
        <v>894</v>
      </c>
      <c r="X3" s="21"/>
      <c r="AA3" s="21" t="s">
        <v>858</v>
      </c>
    </row>
    <row r="4" spans="1:34" ht="54">
      <c r="B4" s="17" t="s">
        <v>42</v>
      </c>
      <c r="C4" s="17" t="s">
        <v>42</v>
      </c>
      <c r="D4" s="17" t="s">
        <v>833</v>
      </c>
      <c r="F4" s="17" t="s">
        <v>42</v>
      </c>
      <c r="G4" s="17" t="s">
        <v>42</v>
      </c>
      <c r="H4" s="17" t="s">
        <v>859</v>
      </c>
      <c r="I4" s="17" t="s">
        <v>860</v>
      </c>
      <c r="J4" s="17" t="s">
        <v>861</v>
      </c>
      <c r="K4" s="17" t="s">
        <v>862</v>
      </c>
      <c r="M4" s="23" t="s">
        <v>42</v>
      </c>
      <c r="N4" s="23" t="s">
        <v>834</v>
      </c>
      <c r="O4" s="23" t="s">
        <v>835</v>
      </c>
      <c r="P4" s="23" t="s">
        <v>839</v>
      </c>
      <c r="Q4" s="23" t="s">
        <v>840</v>
      </c>
      <c r="R4" s="23" t="s">
        <v>895</v>
      </c>
      <c r="S4" s="23" t="s">
        <v>813</v>
      </c>
      <c r="T4" s="23" t="s">
        <v>814</v>
      </c>
      <c r="U4" s="23" t="s">
        <v>46</v>
      </c>
      <c r="W4" s="23" t="s">
        <v>896</v>
      </c>
      <c r="X4" s="23" t="s">
        <v>897</v>
      </c>
      <c r="Y4" s="23" t="s">
        <v>836</v>
      </c>
      <c r="AA4" s="23" t="s">
        <v>580</v>
      </c>
      <c r="AB4" s="23" t="s">
        <v>898</v>
      </c>
      <c r="AC4" s="23" t="s">
        <v>580</v>
      </c>
      <c r="AD4" s="23" t="s">
        <v>898</v>
      </c>
      <c r="AE4" s="23" t="s">
        <v>580</v>
      </c>
      <c r="AF4" s="23" t="s">
        <v>898</v>
      </c>
      <c r="AG4" s="23" t="s">
        <v>580</v>
      </c>
      <c r="AH4" s="23" t="s">
        <v>898</v>
      </c>
    </row>
    <row r="5" spans="1:34">
      <c r="B5" s="17" t="s">
        <v>863</v>
      </c>
      <c r="C5" s="17" t="s">
        <v>71</v>
      </c>
      <c r="D5" s="17" t="s">
        <v>864</v>
      </c>
      <c r="F5" s="17" t="s">
        <v>863</v>
      </c>
      <c r="G5" s="17" t="s">
        <v>71</v>
      </c>
      <c r="H5" s="17" t="s">
        <v>865</v>
      </c>
      <c r="I5" s="17" t="s">
        <v>865</v>
      </c>
      <c r="J5" s="17" t="s">
        <v>19</v>
      </c>
      <c r="K5" s="17" t="s">
        <v>19</v>
      </c>
      <c r="M5" s="17" t="s">
        <v>71</v>
      </c>
      <c r="N5" s="17" t="s">
        <v>72</v>
      </c>
      <c r="O5" s="17" t="s">
        <v>72</v>
      </c>
      <c r="P5" s="17" t="s">
        <v>841</v>
      </c>
      <c r="Q5" s="17" t="s">
        <v>841</v>
      </c>
      <c r="R5" s="17" t="s">
        <v>841</v>
      </c>
      <c r="S5" s="17" t="s">
        <v>19</v>
      </c>
      <c r="T5" s="17" t="s">
        <v>19</v>
      </c>
      <c r="U5" s="17"/>
      <c r="W5" s="17"/>
      <c r="X5" s="17"/>
      <c r="Y5" s="17"/>
    </row>
    <row r="6" spans="1:34">
      <c r="B6" s="213">
        <v>63000</v>
      </c>
      <c r="C6" s="213">
        <f t="shared" ref="C6:C23" si="0">B6/1000</f>
        <v>63</v>
      </c>
      <c r="D6" s="214">
        <v>0.38</v>
      </c>
      <c r="F6" s="213">
        <v>63000</v>
      </c>
      <c r="G6" s="213">
        <f t="shared" ref="G6:G23" si="1">F6/1000</f>
        <v>63</v>
      </c>
      <c r="H6" s="215">
        <v>400</v>
      </c>
      <c r="I6" s="215">
        <v>366</v>
      </c>
      <c r="J6" s="215">
        <f>$F6*$F6/H6/10^6</f>
        <v>9.9224999999999994</v>
      </c>
      <c r="K6" s="215">
        <f>$F6*$F6/I6/10^6</f>
        <v>10.844262295081968</v>
      </c>
      <c r="M6" s="231">
        <v>69</v>
      </c>
      <c r="N6" s="213">
        <v>500</v>
      </c>
      <c r="O6" s="213">
        <f>N6*$W$6</f>
        <v>650</v>
      </c>
      <c r="P6" s="213">
        <f t="shared" ref="P6:P17" si="2">(SQRT(3)*N6*M6)/1000</f>
        <v>59.755752861126261</v>
      </c>
      <c r="Q6" s="213">
        <f t="shared" ref="Q6:Q17" si="3">(SQRT(3)*O6*$M6)/1000</f>
        <v>77.682478719464143</v>
      </c>
      <c r="R6" s="232"/>
      <c r="S6" s="213">
        <f>P6*$Y$6</f>
        <v>53.780177575013639</v>
      </c>
      <c r="T6" s="213">
        <f>Q6*$Y$6</f>
        <v>69.914230847517729</v>
      </c>
      <c r="U6" s="18" t="s">
        <v>899</v>
      </c>
      <c r="W6" s="124">
        <v>1.3</v>
      </c>
      <c r="X6" s="124">
        <v>1.2</v>
      </c>
      <c r="Y6" s="124">
        <v>0.9</v>
      </c>
      <c r="AA6" s="17">
        <v>1980</v>
      </c>
      <c r="AB6" s="233">
        <v>44.033333333333331</v>
      </c>
      <c r="AC6" s="17">
        <v>1990</v>
      </c>
      <c r="AD6" s="233">
        <v>78.358333333333334</v>
      </c>
      <c r="AE6" s="17">
        <v>2000</v>
      </c>
      <c r="AF6" s="233">
        <v>95.375</v>
      </c>
      <c r="AG6" s="17">
        <v>2010</v>
      </c>
      <c r="AH6" s="233">
        <v>116.46666666666668</v>
      </c>
    </row>
    <row r="7" spans="1:34">
      <c r="B7" s="213">
        <v>66000</v>
      </c>
      <c r="C7" s="213">
        <f t="shared" si="0"/>
        <v>66</v>
      </c>
      <c r="D7" s="214">
        <f>(D$14-D$6)*(C7-C$6)/(C$14-C$6)+D$6</f>
        <v>0.38214285714285717</v>
      </c>
      <c r="F7" s="213">
        <v>66000</v>
      </c>
      <c r="G7" s="213">
        <f t="shared" si="1"/>
        <v>66</v>
      </c>
      <c r="H7" s="215">
        <v>400</v>
      </c>
      <c r="I7" s="215">
        <v>366</v>
      </c>
      <c r="J7" s="215">
        <f>$F7*$F7/H7/10^6</f>
        <v>10.89</v>
      </c>
      <c r="K7" s="215">
        <f>$F7*$F7/I7/10^6</f>
        <v>11.901639344262295</v>
      </c>
      <c r="M7" s="213">
        <v>115</v>
      </c>
      <c r="N7" s="213">
        <v>600</v>
      </c>
      <c r="O7" s="213">
        <f t="shared" ref="O7:O17" si="4">N7*$W$6</f>
        <v>780</v>
      </c>
      <c r="P7" s="213">
        <f t="shared" si="2"/>
        <v>119.51150572225254</v>
      </c>
      <c r="Q7" s="213">
        <f t="shared" si="3"/>
        <v>155.36495743892829</v>
      </c>
      <c r="R7" s="232">
        <v>125</v>
      </c>
      <c r="S7" s="213">
        <f t="shared" ref="S7:T17" si="5">P7*$Y$6</f>
        <v>107.56035515002729</v>
      </c>
      <c r="T7" s="213">
        <f t="shared" si="5"/>
        <v>139.82846169503546</v>
      </c>
      <c r="U7" s="18"/>
      <c r="AA7" s="17">
        <v>1981</v>
      </c>
      <c r="AB7" s="233">
        <v>49.524999999999999</v>
      </c>
      <c r="AC7" s="17">
        <v>1991</v>
      </c>
      <c r="AD7" s="233">
        <v>82.766666666666666</v>
      </c>
      <c r="AE7" s="17">
        <v>2001</v>
      </c>
      <c r="AF7" s="233">
        <v>97.783333333333346</v>
      </c>
      <c r="AG7" s="17">
        <v>2011</v>
      </c>
      <c r="AH7" s="233">
        <v>119.85833333333333</v>
      </c>
    </row>
    <row r="8" spans="1:34">
      <c r="B8" s="213">
        <v>69000</v>
      </c>
      <c r="C8" s="213">
        <f t="shared" si="0"/>
        <v>69</v>
      </c>
      <c r="D8" s="214">
        <f t="shared" ref="D8:D13" si="6">(D$14-D$6)*(C8-C$6)/(C$14-C$6)+D$6</f>
        <v>0.38428571428571429</v>
      </c>
      <c r="F8" s="216">
        <v>69000</v>
      </c>
      <c r="G8" s="216">
        <f t="shared" si="1"/>
        <v>69</v>
      </c>
      <c r="H8" s="216">
        <v>400</v>
      </c>
      <c r="I8" s="216">
        <v>366</v>
      </c>
      <c r="J8" s="216">
        <v>12</v>
      </c>
      <c r="K8" s="216">
        <v>13</v>
      </c>
      <c r="M8" s="213">
        <v>120</v>
      </c>
      <c r="N8" s="213">
        <v>610</v>
      </c>
      <c r="O8" s="213">
        <f t="shared" si="4"/>
        <v>793</v>
      </c>
      <c r="P8" s="213">
        <f t="shared" si="2"/>
        <v>126.78611911404181</v>
      </c>
      <c r="Q8" s="213">
        <f t="shared" si="3"/>
        <v>164.82195484825436</v>
      </c>
      <c r="R8" s="232"/>
      <c r="S8" s="213">
        <f t="shared" si="5"/>
        <v>114.10750720263763</v>
      </c>
      <c r="T8" s="213">
        <f t="shared" si="5"/>
        <v>148.33975936342893</v>
      </c>
      <c r="U8" s="18"/>
      <c r="AA8" s="17">
        <v>1982</v>
      </c>
      <c r="AB8" s="233">
        <v>54.858333333333341</v>
      </c>
      <c r="AC8" s="17">
        <v>1992</v>
      </c>
      <c r="AD8" s="233">
        <v>84.000000000000014</v>
      </c>
      <c r="AE8" s="17">
        <v>2002</v>
      </c>
      <c r="AF8" s="233">
        <v>99.991666666666674</v>
      </c>
      <c r="AG8" s="17">
        <v>2012</v>
      </c>
      <c r="AH8" s="233">
        <v>121.67500000000001</v>
      </c>
    </row>
    <row r="9" spans="1:34">
      <c r="B9" s="213">
        <v>72000</v>
      </c>
      <c r="C9" s="213">
        <f t="shared" si="0"/>
        <v>72</v>
      </c>
      <c r="D9" s="214">
        <f t="shared" si="6"/>
        <v>0.38642857142857145</v>
      </c>
      <c r="F9" s="213">
        <v>72000</v>
      </c>
      <c r="G9" s="213">
        <f t="shared" si="1"/>
        <v>72</v>
      </c>
      <c r="H9" s="215">
        <v>400</v>
      </c>
      <c r="I9" s="215">
        <v>366</v>
      </c>
      <c r="J9" s="215">
        <f t="shared" ref="J9:K11" si="7">$F9*$F9/H9/10^6</f>
        <v>12.96</v>
      </c>
      <c r="K9" s="215">
        <f t="shared" si="7"/>
        <v>14.163934426229508</v>
      </c>
      <c r="M9" s="213">
        <v>138</v>
      </c>
      <c r="N9" s="213">
        <v>650</v>
      </c>
      <c r="O9" s="213">
        <f t="shared" si="4"/>
        <v>845</v>
      </c>
      <c r="P9" s="213">
        <f t="shared" si="2"/>
        <v>155.36495743892829</v>
      </c>
      <c r="Q9" s="213">
        <f t="shared" si="3"/>
        <v>201.97444467060674</v>
      </c>
      <c r="R9" s="232">
        <v>150</v>
      </c>
      <c r="S9" s="213">
        <f t="shared" si="5"/>
        <v>139.82846169503546</v>
      </c>
      <c r="T9" s="213">
        <f t="shared" si="5"/>
        <v>181.77700020354607</v>
      </c>
      <c r="U9" s="18"/>
      <c r="AA9" s="17">
        <v>1983</v>
      </c>
      <c r="AB9" s="233">
        <v>58.07500000000001</v>
      </c>
      <c r="AC9" s="17">
        <v>1993</v>
      </c>
      <c r="AD9" s="233">
        <v>85.566666666666663</v>
      </c>
      <c r="AE9" s="17">
        <v>2003</v>
      </c>
      <c r="AF9" s="233">
        <v>102.75</v>
      </c>
      <c r="AG9" s="17">
        <v>2013</v>
      </c>
      <c r="AH9" s="233">
        <v>122.81666666666666</v>
      </c>
    </row>
    <row r="10" spans="1:34">
      <c r="B10" s="213">
        <v>115000</v>
      </c>
      <c r="C10" s="213">
        <f t="shared" si="0"/>
        <v>115</v>
      </c>
      <c r="D10" s="214">
        <f t="shared" si="6"/>
        <v>0.41714285714285715</v>
      </c>
      <c r="F10" s="213">
        <v>115000</v>
      </c>
      <c r="G10" s="213">
        <f t="shared" si="1"/>
        <v>115</v>
      </c>
      <c r="H10" s="215">
        <v>403</v>
      </c>
      <c r="I10" s="215">
        <v>366</v>
      </c>
      <c r="J10" s="215">
        <f t="shared" si="7"/>
        <v>32.816377171215883</v>
      </c>
      <c r="K10" s="215">
        <f t="shared" si="7"/>
        <v>36.133879781420767</v>
      </c>
      <c r="M10" s="213">
        <v>161</v>
      </c>
      <c r="N10" s="213">
        <v>700</v>
      </c>
      <c r="O10" s="213">
        <f t="shared" si="4"/>
        <v>910</v>
      </c>
      <c r="P10" s="213">
        <f t="shared" si="2"/>
        <v>195.20212601301245</v>
      </c>
      <c r="Q10" s="213">
        <f t="shared" si="3"/>
        <v>253.76276381691622</v>
      </c>
      <c r="R10" s="232"/>
      <c r="S10" s="213">
        <f t="shared" si="5"/>
        <v>175.68191341171121</v>
      </c>
      <c r="T10" s="213">
        <f t="shared" si="5"/>
        <v>228.38648743522461</v>
      </c>
      <c r="U10" s="18"/>
      <c r="AA10" s="17">
        <v>1984</v>
      </c>
      <c r="AB10" s="233">
        <v>60.574999999999996</v>
      </c>
      <c r="AC10" s="17">
        <v>1994</v>
      </c>
      <c r="AD10" s="233">
        <v>85.708333333333329</v>
      </c>
      <c r="AE10" s="17">
        <v>2004</v>
      </c>
      <c r="AF10" s="233">
        <v>104.65833333333335</v>
      </c>
      <c r="AG10" s="17">
        <v>2014</v>
      </c>
      <c r="AH10" s="233">
        <v>125.15833333333336</v>
      </c>
    </row>
    <row r="11" spans="1:34">
      <c r="B11" s="213">
        <v>120000</v>
      </c>
      <c r="C11" s="213">
        <f t="shared" si="0"/>
        <v>120</v>
      </c>
      <c r="D11" s="214">
        <f t="shared" si="6"/>
        <v>0.42071428571428571</v>
      </c>
      <c r="F11" s="213">
        <v>120000</v>
      </c>
      <c r="G11" s="213">
        <f t="shared" si="1"/>
        <v>120</v>
      </c>
      <c r="H11" s="215">
        <v>403</v>
      </c>
      <c r="I11" s="215">
        <v>366</v>
      </c>
      <c r="J11" s="215">
        <f t="shared" si="7"/>
        <v>35.732009925558316</v>
      </c>
      <c r="K11" s="215">
        <f t="shared" si="7"/>
        <v>39.344262295081968</v>
      </c>
      <c r="M11" s="213">
        <v>230</v>
      </c>
      <c r="N11" s="213">
        <v>1000</v>
      </c>
      <c r="O11" s="213">
        <f t="shared" si="4"/>
        <v>1300</v>
      </c>
      <c r="P11" s="213">
        <f t="shared" si="2"/>
        <v>398.37168574084171</v>
      </c>
      <c r="Q11" s="213">
        <f t="shared" si="3"/>
        <v>517.88319146309425</v>
      </c>
      <c r="R11" s="232">
        <v>400</v>
      </c>
      <c r="S11" s="213">
        <f t="shared" si="5"/>
        <v>358.53451716675755</v>
      </c>
      <c r="T11" s="213">
        <f t="shared" si="5"/>
        <v>466.09487231678486</v>
      </c>
      <c r="U11" s="18"/>
      <c r="AA11" s="17">
        <v>1985</v>
      </c>
      <c r="AB11" s="233">
        <v>62.975000000000001</v>
      </c>
      <c r="AC11" s="17">
        <v>1995</v>
      </c>
      <c r="AD11" s="233">
        <v>87.550000000000011</v>
      </c>
      <c r="AE11" s="17">
        <v>2005</v>
      </c>
      <c r="AF11" s="233">
        <v>106.97500000000001</v>
      </c>
      <c r="AG11" s="17">
        <v>2015</v>
      </c>
      <c r="AH11" s="233">
        <v>126.6</v>
      </c>
    </row>
    <row r="12" spans="1:34">
      <c r="B12" s="213">
        <v>138000</v>
      </c>
      <c r="C12" s="213">
        <f t="shared" si="0"/>
        <v>138</v>
      </c>
      <c r="D12" s="214">
        <f t="shared" si="6"/>
        <v>0.43357142857142861</v>
      </c>
      <c r="F12" s="216">
        <v>138000</v>
      </c>
      <c r="G12" s="216">
        <f t="shared" si="1"/>
        <v>138</v>
      </c>
      <c r="H12" s="216">
        <v>405</v>
      </c>
      <c r="I12" s="216">
        <v>366</v>
      </c>
      <c r="J12" s="216">
        <v>47</v>
      </c>
      <c r="K12" s="216">
        <v>52</v>
      </c>
      <c r="M12" s="213">
        <v>240</v>
      </c>
      <c r="N12" s="213">
        <v>1025</v>
      </c>
      <c r="O12" s="213">
        <f t="shared" si="4"/>
        <v>1332.5</v>
      </c>
      <c r="P12" s="213">
        <f t="shared" si="2"/>
        <v>426.08449866194377</v>
      </c>
      <c r="Q12" s="213">
        <f t="shared" si="3"/>
        <v>553.90984826052693</v>
      </c>
      <c r="R12" s="232"/>
      <c r="S12" s="213">
        <f t="shared" si="5"/>
        <v>383.47604879574942</v>
      </c>
      <c r="T12" s="213">
        <f t="shared" si="5"/>
        <v>498.51886343447427</v>
      </c>
      <c r="U12" s="18"/>
      <c r="AA12" s="17">
        <v>1986</v>
      </c>
      <c r="AB12" s="233">
        <v>65.61666666666666</v>
      </c>
      <c r="AC12" s="17">
        <v>1996</v>
      </c>
      <c r="AD12" s="233">
        <v>88.924999999999997</v>
      </c>
      <c r="AE12" s="17">
        <v>2006</v>
      </c>
      <c r="AF12" s="233">
        <v>109.11666666666667</v>
      </c>
      <c r="AG12" s="17">
        <v>2016</v>
      </c>
      <c r="AH12" s="233">
        <v>128.37499999999997</v>
      </c>
    </row>
    <row r="13" spans="1:34">
      <c r="B13" s="213">
        <v>144000</v>
      </c>
      <c r="C13" s="213">
        <f t="shared" si="0"/>
        <v>144</v>
      </c>
      <c r="D13" s="214">
        <f t="shared" si="6"/>
        <v>0.43785714285714289</v>
      </c>
      <c r="F13" s="213">
        <v>144000</v>
      </c>
      <c r="G13" s="213">
        <f t="shared" si="1"/>
        <v>144</v>
      </c>
      <c r="H13" s="215">
        <v>405</v>
      </c>
      <c r="I13" s="215">
        <v>366</v>
      </c>
      <c r="J13" s="215">
        <f>$F13*$F13/H13/10^6</f>
        <v>51.2</v>
      </c>
      <c r="K13" s="215">
        <f>$F13*$F13/I13/10^6</f>
        <v>56.655737704918032</v>
      </c>
      <c r="M13" s="213">
        <v>315</v>
      </c>
      <c r="N13" s="213">
        <v>1150</v>
      </c>
      <c r="O13" s="213">
        <f t="shared" si="4"/>
        <v>1495</v>
      </c>
      <c r="P13" s="213">
        <f t="shared" si="2"/>
        <v>627.43540504182567</v>
      </c>
      <c r="Q13" s="213">
        <f t="shared" si="3"/>
        <v>815.6660265543735</v>
      </c>
      <c r="R13" s="232"/>
      <c r="S13" s="213">
        <f t="shared" si="5"/>
        <v>564.69186453764314</v>
      </c>
      <c r="T13" s="213">
        <f t="shared" si="5"/>
        <v>734.09942389893615</v>
      </c>
      <c r="U13" s="18"/>
      <c r="AA13" s="17">
        <v>1987</v>
      </c>
      <c r="AB13" s="233">
        <v>68.475000000000009</v>
      </c>
      <c r="AC13" s="17">
        <v>1997</v>
      </c>
      <c r="AD13" s="233">
        <v>90.366666666666674</v>
      </c>
      <c r="AE13" s="17">
        <v>2007</v>
      </c>
      <c r="AF13" s="233">
        <v>111.45</v>
      </c>
      <c r="AG13" s="17">
        <v>2017</v>
      </c>
      <c r="AH13" s="233">
        <v>130.42499999999998</v>
      </c>
    </row>
    <row r="14" spans="1:34">
      <c r="B14" s="213">
        <v>161000</v>
      </c>
      <c r="C14" s="213">
        <f t="shared" si="0"/>
        <v>161</v>
      </c>
      <c r="D14" s="214">
        <v>0.45</v>
      </c>
      <c r="F14" s="213">
        <v>161000</v>
      </c>
      <c r="G14" s="213">
        <f t="shared" si="1"/>
        <v>161</v>
      </c>
      <c r="H14" s="215">
        <v>403</v>
      </c>
      <c r="I14" s="215">
        <v>366</v>
      </c>
      <c r="J14" s="215">
        <f>$F14*$F14/H14/10^6</f>
        <v>64.320099255583131</v>
      </c>
      <c r="K14" s="215">
        <f>$F14*$F14/I14/10^6</f>
        <v>70.822404371584696</v>
      </c>
      <c r="M14" s="213">
        <v>345</v>
      </c>
      <c r="N14" s="213">
        <v>1300</v>
      </c>
      <c r="O14" s="213">
        <f t="shared" si="4"/>
        <v>1690</v>
      </c>
      <c r="P14" s="213">
        <f t="shared" si="2"/>
        <v>776.82478719464143</v>
      </c>
      <c r="Q14" s="213">
        <f t="shared" si="3"/>
        <v>1009.8722233530337</v>
      </c>
      <c r="R14" s="232">
        <v>800</v>
      </c>
      <c r="S14" s="213">
        <f t="shared" si="5"/>
        <v>699.14230847517729</v>
      </c>
      <c r="T14" s="213">
        <f t="shared" si="5"/>
        <v>908.88500101773036</v>
      </c>
      <c r="U14" s="18"/>
      <c r="AA14" s="17">
        <v>1988</v>
      </c>
      <c r="AB14" s="233">
        <v>71.233333333333334</v>
      </c>
      <c r="AC14" s="17">
        <v>1998</v>
      </c>
      <c r="AD14" s="233">
        <v>91.266666666666666</v>
      </c>
      <c r="AE14" s="17">
        <v>2008</v>
      </c>
      <c r="AF14" s="233">
        <v>114.09166666666665</v>
      </c>
      <c r="AG14" s="17">
        <v>2018</v>
      </c>
      <c r="AH14" s="233">
        <v>133.38333333333335</v>
      </c>
    </row>
    <row r="15" spans="1:34">
      <c r="B15" s="213">
        <v>230000</v>
      </c>
      <c r="C15" s="213">
        <f t="shared" si="0"/>
        <v>230</v>
      </c>
      <c r="D15" s="214">
        <v>0.48</v>
      </c>
      <c r="F15" s="216">
        <v>230000</v>
      </c>
      <c r="G15" s="216">
        <f t="shared" si="1"/>
        <v>230</v>
      </c>
      <c r="H15" s="216">
        <v>395</v>
      </c>
      <c r="I15" s="216">
        <v>365</v>
      </c>
      <c r="J15" s="216">
        <v>134</v>
      </c>
      <c r="K15" s="216">
        <v>145</v>
      </c>
      <c r="M15" s="213">
        <v>500</v>
      </c>
      <c r="N15" s="213">
        <v>1800</v>
      </c>
      <c r="O15" s="213">
        <f t="shared" si="4"/>
        <v>2340</v>
      </c>
      <c r="P15" s="213">
        <f t="shared" si="2"/>
        <v>1558.8457268119894</v>
      </c>
      <c r="Q15" s="213">
        <f t="shared" si="3"/>
        <v>2026.4994448555863</v>
      </c>
      <c r="R15" s="232">
        <v>1600</v>
      </c>
      <c r="S15" s="213">
        <f t="shared" si="5"/>
        <v>1402.9611541307904</v>
      </c>
      <c r="T15" s="213">
        <f t="shared" si="5"/>
        <v>1823.8495003700277</v>
      </c>
      <c r="U15" s="18"/>
      <c r="AA15" s="17">
        <v>1989</v>
      </c>
      <c r="AB15" s="233">
        <v>74.783333333333331</v>
      </c>
      <c r="AC15" s="17">
        <v>1999</v>
      </c>
      <c r="AD15" s="233">
        <v>92.850000000000009</v>
      </c>
      <c r="AE15" s="17">
        <v>2009</v>
      </c>
      <c r="AF15" s="233">
        <v>114.43333333333334</v>
      </c>
      <c r="AG15" s="17">
        <v>2019</v>
      </c>
      <c r="AH15" s="233">
        <v>136</v>
      </c>
    </row>
    <row r="16" spans="1:34">
      <c r="B16" s="213">
        <v>240000</v>
      </c>
      <c r="C16" s="213">
        <f t="shared" si="0"/>
        <v>240</v>
      </c>
      <c r="D16" s="214">
        <f>(D$21-D$15)*(C16-C$15)/(C$21-C$15)+D$15</f>
        <v>0.47685185185185186</v>
      </c>
      <c r="F16" s="213">
        <v>240000</v>
      </c>
      <c r="G16" s="213">
        <f t="shared" si="1"/>
        <v>240</v>
      </c>
      <c r="H16" s="215">
        <v>394</v>
      </c>
      <c r="I16" s="215">
        <v>363</v>
      </c>
      <c r="J16" s="215">
        <f t="shared" ref="J16:K18" si="8">$F16*$F16/H16/10^6</f>
        <v>146.19289340101523</v>
      </c>
      <c r="K16" s="215">
        <f t="shared" si="8"/>
        <v>158.67768595041323</v>
      </c>
      <c r="M16" s="213">
        <v>735</v>
      </c>
      <c r="N16" s="213">
        <v>2500</v>
      </c>
      <c r="O16" s="213">
        <f t="shared" si="4"/>
        <v>3250</v>
      </c>
      <c r="P16" s="213">
        <f t="shared" si="2"/>
        <v>3182.6433589078119</v>
      </c>
      <c r="Q16" s="213">
        <f t="shared" si="3"/>
        <v>4137.4363665801557</v>
      </c>
      <c r="R16" s="232">
        <v>3200</v>
      </c>
      <c r="S16" s="213">
        <f t="shared" si="5"/>
        <v>2864.3790230170307</v>
      </c>
      <c r="T16" s="213">
        <f t="shared" si="5"/>
        <v>3723.6927299221402</v>
      </c>
      <c r="U16" s="18"/>
    </row>
    <row r="17" spans="1:30">
      <c r="B17" s="213">
        <v>287000</v>
      </c>
      <c r="C17" s="213">
        <f t="shared" si="0"/>
        <v>287</v>
      </c>
      <c r="D17" s="214">
        <f t="shared" ref="D17:D20" si="9">(D$21-D$15)*(C17-C$15)/(C$21-C$15)+D$15</f>
        <v>0.46205555555555555</v>
      </c>
      <c r="F17" s="213">
        <v>287000</v>
      </c>
      <c r="G17" s="213">
        <f t="shared" si="1"/>
        <v>287</v>
      </c>
      <c r="H17" s="215">
        <v>385</v>
      </c>
      <c r="I17" s="215">
        <v>340</v>
      </c>
      <c r="J17" s="215">
        <f t="shared" si="8"/>
        <v>213.94545454545454</v>
      </c>
      <c r="K17" s="215">
        <f t="shared" si="8"/>
        <v>242.26176470588234</v>
      </c>
      <c r="M17" s="213">
        <v>765</v>
      </c>
      <c r="N17" s="213">
        <v>2600</v>
      </c>
      <c r="O17" s="213">
        <f t="shared" si="4"/>
        <v>3380</v>
      </c>
      <c r="P17" s="213">
        <f t="shared" si="2"/>
        <v>3445.0490562544969</v>
      </c>
      <c r="Q17" s="213">
        <f t="shared" si="3"/>
        <v>4478.5637731308452</v>
      </c>
      <c r="R17" s="232"/>
      <c r="S17" s="213">
        <f t="shared" si="5"/>
        <v>3100.5441506290472</v>
      </c>
      <c r="T17" s="213">
        <f t="shared" si="5"/>
        <v>4030.7073958177607</v>
      </c>
      <c r="U17" s="18"/>
      <c r="AA17" s="69" t="s">
        <v>55</v>
      </c>
    </row>
    <row r="18" spans="1:30">
      <c r="B18" s="213">
        <v>315000</v>
      </c>
      <c r="C18" s="213">
        <f t="shared" si="0"/>
        <v>315</v>
      </c>
      <c r="D18" s="214">
        <f t="shared" si="9"/>
        <v>0.45324074074074072</v>
      </c>
      <c r="F18" s="213">
        <v>315000</v>
      </c>
      <c r="G18" s="213">
        <f t="shared" si="1"/>
        <v>315</v>
      </c>
      <c r="H18" s="215">
        <v>375</v>
      </c>
      <c r="I18" s="215">
        <v>310</v>
      </c>
      <c r="J18" s="215">
        <f t="shared" si="8"/>
        <v>264.60000000000002</v>
      </c>
      <c r="K18" s="215">
        <f t="shared" si="8"/>
        <v>320.08064516129036</v>
      </c>
      <c r="M18" s="10"/>
      <c r="N18" s="10"/>
      <c r="O18" s="10"/>
      <c r="P18" s="10"/>
      <c r="Q18" s="10"/>
      <c r="R18" s="10"/>
      <c r="S18" s="10"/>
      <c r="T18" s="10"/>
      <c r="U18" s="10"/>
      <c r="X18" s="10"/>
      <c r="AA18" s="2" t="s">
        <v>900</v>
      </c>
    </row>
    <row r="19" spans="1:30">
      <c r="B19" s="213">
        <v>345000</v>
      </c>
      <c r="C19" s="213">
        <f t="shared" si="0"/>
        <v>345</v>
      </c>
      <c r="D19" s="214">
        <f t="shared" si="9"/>
        <v>0.4437962962962963</v>
      </c>
      <c r="F19" s="216">
        <v>345000</v>
      </c>
      <c r="G19" s="216">
        <f t="shared" si="1"/>
        <v>345</v>
      </c>
      <c r="H19" s="216">
        <v>366</v>
      </c>
      <c r="I19" s="216">
        <v>280</v>
      </c>
      <c r="J19" s="216">
        <v>325</v>
      </c>
      <c r="K19" s="216">
        <v>425</v>
      </c>
      <c r="M19" s="69" t="s">
        <v>550</v>
      </c>
      <c r="N19" s="10"/>
      <c r="O19" s="10"/>
      <c r="P19" s="10"/>
      <c r="Q19" s="10"/>
      <c r="R19" s="10"/>
      <c r="S19" s="10"/>
      <c r="T19" s="10"/>
      <c r="U19" s="10"/>
      <c r="X19" s="10"/>
    </row>
    <row r="20" spans="1:30">
      <c r="B20" s="213">
        <v>360000</v>
      </c>
      <c r="C20" s="213">
        <f t="shared" si="0"/>
        <v>360</v>
      </c>
      <c r="D20" s="214">
        <f t="shared" si="9"/>
        <v>0.43907407407407406</v>
      </c>
      <c r="F20" s="213">
        <v>360000</v>
      </c>
      <c r="G20" s="213">
        <f t="shared" si="1"/>
        <v>360</v>
      </c>
      <c r="H20" s="215">
        <v>360</v>
      </c>
      <c r="I20" s="215">
        <v>275</v>
      </c>
      <c r="J20" s="215">
        <f>$F20*$F20/H20/10^6</f>
        <v>360</v>
      </c>
      <c r="K20" s="215">
        <f>$F20*$F20/I20/10^6</f>
        <v>471.27272727272725</v>
      </c>
      <c r="M20" s="2" t="s">
        <v>901</v>
      </c>
    </row>
    <row r="21" spans="1:30">
      <c r="B21" s="213">
        <v>500000</v>
      </c>
      <c r="C21" s="213">
        <f t="shared" si="0"/>
        <v>500</v>
      </c>
      <c r="D21" s="214">
        <v>0.39500000000000002</v>
      </c>
      <c r="F21" s="216">
        <v>500000</v>
      </c>
      <c r="G21" s="216">
        <f t="shared" si="1"/>
        <v>500</v>
      </c>
      <c r="H21" s="216">
        <v>294</v>
      </c>
      <c r="I21" s="216">
        <v>233</v>
      </c>
      <c r="J21" s="216">
        <v>850</v>
      </c>
      <c r="K21" s="216">
        <v>1075</v>
      </c>
      <c r="M21" s="2" t="s">
        <v>902</v>
      </c>
    </row>
    <row r="22" spans="1:30">
      <c r="B22" s="213">
        <v>735000</v>
      </c>
      <c r="C22" s="213">
        <f t="shared" si="0"/>
        <v>735</v>
      </c>
      <c r="D22" s="214">
        <v>0.38</v>
      </c>
      <c r="F22" s="213">
        <v>735000</v>
      </c>
      <c r="G22" s="213">
        <f t="shared" si="1"/>
        <v>735</v>
      </c>
      <c r="H22" s="215">
        <v>270</v>
      </c>
      <c r="I22" s="215">
        <v>250</v>
      </c>
      <c r="J22" s="215">
        <f>$F22*$F22/H22/10^6</f>
        <v>2000.8333333333333</v>
      </c>
      <c r="K22" s="215">
        <f>$F22*$F22/I22/10^6</f>
        <v>2160.9</v>
      </c>
    </row>
    <row r="23" spans="1:30">
      <c r="B23" s="213">
        <v>765000</v>
      </c>
      <c r="C23" s="213">
        <f t="shared" si="0"/>
        <v>765</v>
      </c>
      <c r="D23" s="214">
        <f>((C$23-C$21)/(C$22-C$21))*(D$22-D$21)+D$21</f>
        <v>0.37808510638297871</v>
      </c>
      <c r="F23" s="216">
        <v>765000</v>
      </c>
      <c r="G23" s="216">
        <f t="shared" si="1"/>
        <v>765</v>
      </c>
      <c r="H23" s="216">
        <v>266</v>
      </c>
      <c r="I23" s="216">
        <v>254</v>
      </c>
      <c r="J23" s="216">
        <v>2200</v>
      </c>
      <c r="K23" s="216">
        <v>2300</v>
      </c>
    </row>
    <row r="25" spans="1:30">
      <c r="A25" s="69" t="s">
        <v>55</v>
      </c>
      <c r="AA25" s="61"/>
      <c r="AB25" s="158"/>
      <c r="AC25" s="158"/>
      <c r="AD25" s="158"/>
    </row>
    <row r="26" spans="1:30">
      <c r="A26" s="2" t="s">
        <v>866</v>
      </c>
      <c r="AA26" s="61"/>
      <c r="AB26" s="158"/>
      <c r="AC26" s="158"/>
      <c r="AD26" s="158"/>
    </row>
    <row r="27" spans="1:30">
      <c r="A27" s="2" t="s">
        <v>867</v>
      </c>
    </row>
    <row r="28" spans="1:30">
      <c r="A28" s="2" t="s">
        <v>868</v>
      </c>
    </row>
    <row r="29" spans="1:30">
      <c r="A29" s="2" t="s">
        <v>869</v>
      </c>
    </row>
    <row r="30" spans="1:30">
      <c r="A30" s="2" t="s">
        <v>870</v>
      </c>
    </row>
    <row r="32" spans="1:30">
      <c r="B32" s="2"/>
      <c r="C32" s="2"/>
      <c r="F32" s="2"/>
    </row>
    <row r="46" spans="27:30">
      <c r="AA46" s="2"/>
      <c r="AB46" s="2"/>
      <c r="AC46" s="2"/>
      <c r="AD46" s="2"/>
    </row>
    <row r="102" spans="1:31">
      <c r="A102" s="62"/>
      <c r="AE102" s="62"/>
    </row>
    <row r="103" spans="1:31">
      <c r="A103" s="62"/>
      <c r="AE103" s="62"/>
    </row>
    <row r="104" spans="1:31">
      <c r="Z104" s="2"/>
    </row>
    <row r="105" spans="1:31">
      <c r="Z105" s="2"/>
    </row>
    <row r="106" spans="1:31" s="2" customFormat="1"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W106" s="158"/>
      <c r="X106" s="158"/>
      <c r="Y106" s="158"/>
      <c r="Z106" s="158"/>
      <c r="AA106" s="63"/>
      <c r="AB106" s="61"/>
      <c r="AC106" s="61"/>
      <c r="AD106" s="61"/>
    </row>
    <row r="107" spans="1:31" s="2" customFormat="1"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W107" s="158"/>
      <c r="X107" s="158"/>
      <c r="Y107" s="158"/>
      <c r="Z107" s="158"/>
      <c r="AA107" s="63"/>
      <c r="AB107" s="61"/>
      <c r="AC107" s="61"/>
      <c r="AD107" s="6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README</vt:lpstr>
      <vt:lpstr>NB-Sources</vt:lpstr>
      <vt:lpstr>Generation</vt:lpstr>
      <vt:lpstr>Storage</vt:lpstr>
      <vt:lpstr>HydroExisting</vt:lpstr>
      <vt:lpstr>HydroRenewals</vt:lpstr>
      <vt:lpstr>HydroGreenfield</vt:lpstr>
      <vt:lpstr>HydroPS</vt:lpstr>
      <vt:lpstr>Transmission</vt:lpstr>
      <vt:lpstr>Nodes</vt:lpstr>
      <vt:lpstr>Distribution</vt:lpstr>
      <vt:lpstr>System</vt:lpstr>
      <vt:lpstr>HGWh</vt:lpstr>
      <vt:lpstr>HMW</vt:lpstr>
      <vt:lpstr>FGWh</vt:lpstr>
      <vt:lpstr>FMW</vt:lpstr>
      <vt:lpstr>Hourly</vt:lpstr>
      <vt:lpstr>Inputs</vt:lpstr>
      <vt:lpstr>HydroPS!_FilterDatabase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Collins</dc:creator>
  <cp:lastModifiedBy>Reza</cp:lastModifiedBy>
  <cp:lastPrinted>2019-06-10T20:29:56Z</cp:lastPrinted>
  <dcterms:created xsi:type="dcterms:W3CDTF">2018-03-01T23:28:31Z</dcterms:created>
  <dcterms:modified xsi:type="dcterms:W3CDTF">2021-05-17T22:12:04Z</dcterms:modified>
</cp:coreProperties>
</file>