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za\Desktop\Google Drive\PhD\Thesis\Copper Data\210516-Update\"/>
    </mc:Choice>
  </mc:AlternateContent>
  <xr:revisionPtr revIDLastSave="0" documentId="8_{2F514441-517C-44AA-BE50-B524E99FD163}" xr6:coauthVersionLast="46" xr6:coauthVersionMax="46" xr10:uidLastSave="{00000000-0000-0000-0000-000000000000}"/>
  <bookViews>
    <workbookView xWindow="-93" yWindow="-93" windowWidth="20186" windowHeight="12920" firstSheet="4" activeTab="2" xr2:uid="{00000000-000D-0000-FFFF-FFFF00000000}"/>
  </bookViews>
  <sheets>
    <sheet name="README" sheetId="44" r:id="rId1"/>
    <sheet name="NL-Sources" sheetId="49" r:id="rId2"/>
    <sheet name="Generation" sheetId="43" r:id="rId3"/>
    <sheet name="Storage" sheetId="54" r:id="rId4"/>
    <sheet name="HydroExisting" sheetId="38" r:id="rId5"/>
    <sheet name="HydroRenewals" sheetId="41" r:id="rId6"/>
    <sheet name="HydroGreenfield" sheetId="42" r:id="rId7"/>
    <sheet name="HydroPS" sheetId="51" r:id="rId8"/>
    <sheet name="Transmission" sheetId="37" r:id="rId9"/>
    <sheet name="Nodes" sheetId="50" r:id="rId10"/>
    <sheet name="Distribution" sheetId="53" r:id="rId11"/>
    <sheet name="System" sheetId="30" r:id="rId12"/>
    <sheet name="HGWh" sheetId="40" r:id="rId13"/>
    <sheet name="HMW" sheetId="39" r:id="rId14"/>
    <sheet name="FGWh" sheetId="28" r:id="rId15"/>
    <sheet name="FMW" sheetId="33" r:id="rId16"/>
    <sheet name="Hourly" sheetId="45" r:id="rId17"/>
    <sheet name="Inputs" sheetId="52" r:id="rId18"/>
  </sheets>
  <externalReferences>
    <externalReference r:id="rId19"/>
    <externalReference r:id="rId20"/>
  </externalReferences>
  <definedNames>
    <definedName name="_xlnm._FilterDatabase" localSheetId="10" hidden="1">Distribution!$B$3:$O$3</definedName>
    <definedName name="_xlnm._FilterDatabase" localSheetId="2" hidden="1">Generation!$B$3:$AU$3</definedName>
    <definedName name="_xlnm._FilterDatabase" localSheetId="4" hidden="1">HydroExisting!$B$3:$AY$3</definedName>
    <definedName name="_xlnm._FilterDatabase" localSheetId="6" hidden="1">HydroGreenfield!$B$3:$AL$3</definedName>
    <definedName name="_xlnm._FilterDatabase" localSheetId="7" hidden="1">HydroPS!$B$3:$AW$3</definedName>
    <definedName name="_xlnm._FilterDatabase" localSheetId="5" hidden="1">HydroRenewals!$B$3:$AU$3</definedName>
    <definedName name="_xlnm._FilterDatabase" localSheetId="1" hidden="1">'NL-Sources'!$B$3:$H$3</definedName>
    <definedName name="_xlnm._FilterDatabase" localSheetId="3" hidden="1">Storage!$B$3:$AF$3</definedName>
    <definedName name="_xlnm._FilterDatabase" localSheetId="8" hidden="1">Transmission!$B$3:$X$4</definedName>
    <definedName name="code">#REF!</definedName>
    <definedName name="Keywords">[1]Selection!$I$2:$I$59</definedName>
    <definedName name="Organization">[1]Selection!$A$9:$A$31</definedName>
    <definedName name="Process">[1]Selection!$A$2:$A$3</definedName>
    <definedName name="renumber">#REF!</definedName>
    <definedName name="rerank">#REF!</definedName>
    <definedName name="total">#REF!</definedName>
    <definedName name="user">#REF!</definedName>
    <definedName name="VRE">[2]lists!$B$3:$C$3</definedName>
    <definedName name="Yes_No">[1]Selection!$F$2:$F$3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4" i="33" l="1"/>
  <c r="N34" i="33"/>
  <c r="M34" i="33"/>
  <c r="L34" i="33"/>
  <c r="K34" i="33"/>
  <c r="J34" i="33"/>
  <c r="I34" i="33"/>
  <c r="H34" i="33"/>
  <c r="G34" i="33"/>
  <c r="F34" i="33"/>
  <c r="E34" i="33"/>
  <c r="D34" i="33"/>
  <c r="Q37" i="28"/>
  <c r="P37" i="28"/>
  <c r="F36" i="28"/>
  <c r="G36" i="28"/>
  <c r="H36" i="28"/>
  <c r="I36" i="28"/>
  <c r="I37" i="28" s="1"/>
  <c r="J36" i="28"/>
  <c r="K36" i="28"/>
  <c r="L36" i="28"/>
  <c r="M36" i="28"/>
  <c r="M37" i="28" s="1"/>
  <c r="N36" i="28"/>
  <c r="O36" i="28"/>
  <c r="F37" i="28"/>
  <c r="G37" i="28"/>
  <c r="H37" i="28"/>
  <c r="J37" i="28"/>
  <c r="K37" i="28"/>
  <c r="L37" i="28"/>
  <c r="N37" i="28"/>
  <c r="O37" i="28"/>
  <c r="E36" i="28"/>
  <c r="E37" i="28" s="1"/>
  <c r="K139" i="37" l="1"/>
  <c r="R139" i="37" s="1"/>
  <c r="K145" i="37"/>
  <c r="R145" i="37" s="1"/>
  <c r="K177" i="37"/>
  <c r="R177" i="37" s="1"/>
  <c r="Q145" i="37" l="1"/>
  <c r="Q177" i="37"/>
  <c r="Q139" i="37"/>
  <c r="K52" i="37" l="1"/>
  <c r="R52" i="37" s="1"/>
  <c r="K51" i="37"/>
  <c r="Q51" i="37" s="1"/>
  <c r="K50" i="37"/>
  <c r="R50" i="37" s="1"/>
  <c r="K54" i="37"/>
  <c r="R54" i="37" s="1"/>
  <c r="K53" i="37"/>
  <c r="R53" i="37" s="1"/>
  <c r="K100" i="37"/>
  <c r="Q100" i="37" s="1"/>
  <c r="K33" i="37"/>
  <c r="R33" i="37" s="1"/>
  <c r="K202" i="37"/>
  <c r="R202" i="37" s="1"/>
  <c r="K13" i="37"/>
  <c r="R13" i="37" s="1"/>
  <c r="K199" i="37"/>
  <c r="Q199" i="37" s="1"/>
  <c r="K201" i="37"/>
  <c r="R201" i="37" s="1"/>
  <c r="K213" i="37"/>
  <c r="R213" i="37" s="1"/>
  <c r="K56" i="37"/>
  <c r="R56" i="37" s="1"/>
  <c r="K55" i="37"/>
  <c r="R55" i="37" s="1"/>
  <c r="K57" i="37"/>
  <c r="Q57" i="37" s="1"/>
  <c r="K58" i="37"/>
  <c r="R58" i="37" s="1"/>
  <c r="K154" i="37"/>
  <c r="Q154" i="37" s="1"/>
  <c r="K49" i="37"/>
  <c r="R49" i="37" s="1"/>
  <c r="R199" i="37" l="1"/>
  <c r="Q55" i="37"/>
  <c r="R51" i="37"/>
  <c r="Q33" i="37"/>
  <c r="R57" i="37"/>
  <c r="Q50" i="37"/>
  <c r="Q201" i="37"/>
  <c r="R100" i="37"/>
  <c r="Q49" i="37"/>
  <c r="Q53" i="37"/>
  <c r="Q56" i="37"/>
  <c r="R154" i="37"/>
  <c r="Q58" i="37"/>
  <c r="Q54" i="37"/>
  <c r="Q202" i="37"/>
  <c r="Q213" i="37"/>
  <c r="Q52" i="37"/>
  <c r="Q13" i="37"/>
  <c r="J41" i="37" a="1"/>
  <c r="J41" i="37" s="1"/>
  <c r="J100" i="37" a="1"/>
  <c r="J100" i="37" s="1"/>
  <c r="J33" i="37" a="1"/>
  <c r="J33" i="37" s="1"/>
  <c r="J202" i="37" a="1"/>
  <c r="J202" i="37" s="1"/>
  <c r="J13" i="37" a="1"/>
  <c r="J13" i="37" s="1"/>
  <c r="J199" i="37" a="1"/>
  <c r="J199" i="37" s="1"/>
  <c r="J201" i="37" a="1"/>
  <c r="J201" i="37" s="1"/>
  <c r="J40" i="37" a="1"/>
  <c r="J40" i="37" s="1"/>
  <c r="J235" i="37" a="1"/>
  <c r="J235" i="37" s="1"/>
  <c r="J178" i="37" a="1"/>
  <c r="J178" i="37" s="1"/>
  <c r="J208" i="37" a="1"/>
  <c r="J208" i="37" s="1"/>
  <c r="J198" i="37" a="1"/>
  <c r="J198" i="37" s="1"/>
  <c r="J22" i="37" a="1"/>
  <c r="J22" i="37" s="1"/>
  <c r="J154" i="37" a="1"/>
  <c r="J154" i="37" s="1"/>
  <c r="J138" i="37" a="1"/>
  <c r="J138" i="37" s="1"/>
  <c r="J207" i="37" a="1"/>
  <c r="J207" i="37" s="1"/>
  <c r="J206" i="37" a="1"/>
  <c r="J206" i="37" s="1"/>
  <c r="J38" i="37" a="1"/>
  <c r="J38" i="37" s="1"/>
  <c r="J187" i="37" a="1"/>
  <c r="J187" i="37" s="1"/>
  <c r="J126" i="37" a="1"/>
  <c r="J126" i="37" s="1"/>
  <c r="J125" i="37" a="1"/>
  <c r="J125" i="37" s="1"/>
  <c r="J104" i="37" a="1"/>
  <c r="J104" i="37" s="1"/>
  <c r="J103" i="37" a="1"/>
  <c r="J103" i="37" s="1"/>
  <c r="J121" i="37" a="1"/>
  <c r="J121" i="37" s="1"/>
  <c r="J32" i="37" a="1"/>
  <c r="J32" i="37" s="1"/>
  <c r="J74" i="37" a="1"/>
  <c r="J74" i="37" s="1"/>
  <c r="J71" i="37" a="1"/>
  <c r="J71" i="37" s="1"/>
  <c r="J73" i="37" a="1"/>
  <c r="J73" i="37" s="1"/>
  <c r="J19" i="37" a="1"/>
  <c r="J19" i="37" s="1"/>
  <c r="J122" i="37" a="1"/>
  <c r="J122" i="37" s="1"/>
  <c r="J200" i="37" a="1"/>
  <c r="J200" i="37" s="1"/>
  <c r="J181" i="37" a="1"/>
  <c r="J181" i="37" s="1"/>
  <c r="J21" i="37" a="1"/>
  <c r="J21" i="37" s="1"/>
  <c r="J213" i="37" a="1"/>
  <c r="J213" i="37" s="1"/>
  <c r="J68" i="37" a="1"/>
  <c r="J68" i="37" s="1"/>
  <c r="J168" i="37" a="1"/>
  <c r="J168" i="37" s="1"/>
  <c r="J221" i="37" a="1"/>
  <c r="J221" i="37" s="1"/>
  <c r="J12" i="37" a="1"/>
  <c r="J12" i="37" s="1"/>
  <c r="J30" i="37" a="1"/>
  <c r="J30" i="37" s="1"/>
  <c r="J43" i="37" a="1"/>
  <c r="J43" i="37" s="1"/>
  <c r="J218" i="37" a="1"/>
  <c r="J218" i="37" s="1"/>
  <c r="J88" i="37" a="1"/>
  <c r="J88" i="37" s="1"/>
  <c r="J143" i="37" a="1"/>
  <c r="J143" i="37" s="1"/>
  <c r="J196" i="37" a="1"/>
  <c r="J196" i="37" s="1"/>
  <c r="J176" i="37" a="1"/>
  <c r="J176" i="37" s="1"/>
  <c r="J70" i="37" a="1"/>
  <c r="J70" i="37" s="1"/>
  <c r="J23" i="37" a="1"/>
  <c r="J23" i="37" s="1"/>
  <c r="J192" i="37" a="1"/>
  <c r="J192" i="37" s="1"/>
  <c r="J246" i="37" a="1"/>
  <c r="J246" i="37" s="1"/>
  <c r="J75" i="37" a="1"/>
  <c r="J75" i="37" s="1"/>
  <c r="J72" i="37" a="1"/>
  <c r="J72" i="37" s="1"/>
  <c r="J120" i="37" a="1"/>
  <c r="J120" i="37" s="1"/>
  <c r="J8" i="37" a="1"/>
  <c r="J8" i="37" s="1"/>
  <c r="J204" i="37" a="1"/>
  <c r="J204" i="37" s="1"/>
  <c r="J203" i="37" a="1"/>
  <c r="J203" i="37" s="1"/>
  <c r="J179" i="37" a="1"/>
  <c r="J179" i="37" s="1"/>
  <c r="J80" i="37" a="1"/>
  <c r="J80" i="37" s="1"/>
  <c r="J9" i="37" a="1"/>
  <c r="J9" i="37" s="1"/>
  <c r="J69" i="37" a="1"/>
  <c r="J69" i="37" s="1"/>
  <c r="J230" i="37" a="1"/>
  <c r="J230" i="37" s="1"/>
  <c r="J117" i="37" a="1"/>
  <c r="J117" i="37" s="1"/>
  <c r="J243" i="37" a="1"/>
  <c r="J243" i="37" s="1"/>
  <c r="J76" i="37" a="1"/>
  <c r="J76" i="37" s="1"/>
  <c r="J31" i="37" a="1"/>
  <c r="J31" i="37" s="1"/>
  <c r="J153" i="37" a="1"/>
  <c r="J153" i="37" s="1"/>
  <c r="J14" i="37" a="1"/>
  <c r="J14" i="37" s="1"/>
  <c r="J228" i="37" a="1"/>
  <c r="J228" i="37" s="1"/>
  <c r="J136" i="37" a="1"/>
  <c r="J136" i="37" s="1"/>
  <c r="J142" i="37" a="1"/>
  <c r="J142" i="37" s="1"/>
  <c r="J89" i="37" a="1"/>
  <c r="J89" i="37" s="1"/>
  <c r="J66" i="37" a="1"/>
  <c r="J66" i="37" s="1"/>
  <c r="J220" i="37" a="1"/>
  <c r="J220" i="37" s="1"/>
  <c r="J36" i="37" a="1"/>
  <c r="J36" i="37" s="1"/>
  <c r="J242" i="37" a="1"/>
  <c r="J242" i="37" s="1"/>
  <c r="J227" i="37" a="1"/>
  <c r="J227" i="37" s="1"/>
  <c r="J11" i="37" a="1"/>
  <c r="J11" i="37" s="1"/>
  <c r="J42" i="37" a="1"/>
  <c r="J42" i="37" s="1"/>
  <c r="J217" i="37" a="1"/>
  <c r="J217" i="37" s="1"/>
  <c r="J231" i="37" a="1"/>
  <c r="J231" i="37" s="1"/>
  <c r="J10" i="37" a="1"/>
  <c r="J10" i="37" s="1"/>
  <c r="J241" i="37" a="1"/>
  <c r="J241" i="37" s="1"/>
  <c r="J52" i="37" a="1"/>
  <c r="J52" i="37" s="1"/>
  <c r="J51" i="37" a="1"/>
  <c r="J51" i="37" s="1"/>
  <c r="J50" i="37" a="1"/>
  <c r="J50" i="37" s="1"/>
  <c r="J54" i="37" a="1"/>
  <c r="J54" i="37" s="1"/>
  <c r="J53" i="37" a="1"/>
  <c r="J53" i="37" s="1"/>
  <c r="J56" i="37" a="1"/>
  <c r="J56" i="37" s="1"/>
  <c r="J55" i="37" a="1"/>
  <c r="J55" i="37" s="1"/>
  <c r="J93" i="37" a="1"/>
  <c r="J93" i="37" s="1"/>
  <c r="J106" i="37" a="1"/>
  <c r="J106" i="37" s="1"/>
  <c r="J152" i="37" a="1"/>
  <c r="J152" i="37" s="1"/>
  <c r="J131" i="37" a="1"/>
  <c r="J131" i="37" s="1"/>
  <c r="J210" i="37" a="1"/>
  <c r="J210" i="37" s="1"/>
  <c r="J148" i="37" a="1"/>
  <c r="J148" i="37" s="1"/>
  <c r="J211" i="37" a="1"/>
  <c r="J211" i="37" s="1"/>
  <c r="J132" i="37" a="1"/>
  <c r="J132" i="37" s="1"/>
  <c r="J90" i="37" a="1"/>
  <c r="J90" i="37" s="1"/>
  <c r="J91" i="37" a="1"/>
  <c r="J91" i="37" s="1"/>
  <c r="J111" i="37" a="1"/>
  <c r="J111" i="37" s="1"/>
  <c r="J157" i="37" a="1"/>
  <c r="J157" i="37" s="1"/>
  <c r="J193" i="37" a="1"/>
  <c r="J193" i="37" s="1"/>
  <c r="J150" i="37" a="1"/>
  <c r="J150" i="37" s="1"/>
  <c r="J155" i="37" a="1"/>
  <c r="J155" i="37" s="1"/>
  <c r="J118" i="37" a="1"/>
  <c r="J118" i="37" s="1"/>
  <c r="J119" i="37" a="1"/>
  <c r="J119" i="37" s="1"/>
  <c r="J156" i="37" a="1"/>
  <c r="J156" i="37" s="1"/>
  <c r="J151" i="37" a="1"/>
  <c r="J151" i="37" s="1"/>
  <c r="J24" i="37" a="1"/>
  <c r="J24" i="37" s="1"/>
  <c r="J94" i="37" a="1"/>
  <c r="J94" i="37" s="1"/>
  <c r="J188" i="37" a="1"/>
  <c r="J188" i="37" s="1"/>
  <c r="J172" i="37" a="1"/>
  <c r="J172" i="37" s="1"/>
  <c r="J170" i="37" a="1"/>
  <c r="J170" i="37" s="1"/>
  <c r="J174" i="37" a="1"/>
  <c r="J174" i="37" s="1"/>
  <c r="J169" i="37" a="1"/>
  <c r="J169" i="37" s="1"/>
  <c r="J78" i="37" a="1"/>
  <c r="J78" i="37" s="1"/>
  <c r="J67" i="37" a="1"/>
  <c r="J67" i="37" s="1"/>
  <c r="J77" i="37" a="1"/>
  <c r="J77" i="37" s="1"/>
  <c r="J116" i="37" a="1"/>
  <c r="J116" i="37" s="1"/>
  <c r="J205" i="37" a="1"/>
  <c r="J205" i="37" s="1"/>
  <c r="J46" i="37" a="1"/>
  <c r="J46" i="37" s="1"/>
  <c r="J45" i="37" a="1"/>
  <c r="J45" i="37" s="1"/>
  <c r="J115" i="37" a="1"/>
  <c r="J115" i="37" s="1"/>
  <c r="J15" i="37" a="1"/>
  <c r="J15" i="37" s="1"/>
  <c r="J107" i="37" a="1"/>
  <c r="J107" i="37" s="1"/>
  <c r="J48" i="37" a="1"/>
  <c r="J48" i="37" s="1"/>
  <c r="J128" i="37" a="1"/>
  <c r="J128" i="37" s="1"/>
  <c r="J129" i="37" a="1"/>
  <c r="J129" i="37" s="1"/>
  <c r="J180" i="37" a="1"/>
  <c r="J180" i="37" s="1"/>
  <c r="J27" i="37" a="1"/>
  <c r="J27" i="37" s="1"/>
  <c r="J186" i="37" a="1"/>
  <c r="J186" i="37" s="1"/>
  <c r="J79" i="37" a="1"/>
  <c r="J79" i="37" s="1"/>
  <c r="J16" i="37" a="1"/>
  <c r="J16" i="37" s="1"/>
  <c r="J17" i="37" a="1"/>
  <c r="J17" i="37" s="1"/>
  <c r="J234" i="37" a="1"/>
  <c r="J234" i="37" s="1"/>
  <c r="J175" i="37" a="1"/>
  <c r="J175" i="37" s="1"/>
  <c r="J237" i="37" a="1"/>
  <c r="J237" i="37" s="1"/>
  <c r="J29" i="37" a="1"/>
  <c r="J29" i="37" s="1"/>
  <c r="J160" i="37" a="1"/>
  <c r="J160" i="37" s="1"/>
  <c r="J44" i="37" a="1"/>
  <c r="J44" i="37" s="1"/>
  <c r="J171" i="37" a="1"/>
  <c r="J171" i="37" s="1"/>
  <c r="J105" i="37" a="1"/>
  <c r="J105" i="37" s="1"/>
  <c r="J130" i="37" a="1"/>
  <c r="J130" i="37" s="1"/>
  <c r="J173" i="37" a="1"/>
  <c r="J173" i="37" s="1"/>
  <c r="J110" i="37" a="1"/>
  <c r="J110" i="37" s="1"/>
  <c r="J109" i="37" a="1"/>
  <c r="J109" i="37" s="1"/>
  <c r="J236" i="37" a="1"/>
  <c r="J236" i="37" s="1"/>
  <c r="J108" i="37" a="1"/>
  <c r="J108" i="37" s="1"/>
  <c r="J26" i="37" a="1"/>
  <c r="J26" i="37" s="1"/>
  <c r="J164" i="37" a="1"/>
  <c r="J164" i="37" s="1"/>
  <c r="J124" i="37" a="1"/>
  <c r="J124" i="37" s="1"/>
  <c r="J240" i="37" a="1"/>
  <c r="J240" i="37" s="1"/>
  <c r="J28" i="37" a="1"/>
  <c r="J28" i="37" s="1"/>
  <c r="J209" i="37" a="1"/>
  <c r="J209" i="37" s="1"/>
  <c r="J189" i="37" a="1"/>
  <c r="J189" i="37" s="1"/>
  <c r="J226" i="37" a="1"/>
  <c r="J226" i="37" s="1"/>
  <c r="J162" i="37" a="1"/>
  <c r="J162" i="37" s="1"/>
  <c r="J98" i="37" a="1"/>
  <c r="J98" i="37" s="1"/>
  <c r="J85" i="37" a="1"/>
  <c r="J85" i="37" s="1"/>
  <c r="J167" i="37" a="1"/>
  <c r="J167" i="37" s="1"/>
  <c r="J194" i="37" a="1"/>
  <c r="J194" i="37" s="1"/>
  <c r="J166" i="37" a="1"/>
  <c r="J166" i="37" s="1"/>
  <c r="J195" i="37" a="1"/>
  <c r="J195" i="37" s="1"/>
  <c r="J99" i="37" a="1"/>
  <c r="J99" i="37" s="1"/>
  <c r="J84" i="37" a="1"/>
  <c r="J84" i="37" s="1"/>
  <c r="J127" i="37" a="1"/>
  <c r="J127" i="37" s="1"/>
  <c r="J229" i="37" a="1"/>
  <c r="J229" i="37" s="1"/>
  <c r="J165" i="37" a="1"/>
  <c r="J165" i="37" s="1"/>
  <c r="J134" i="37" a="1"/>
  <c r="J134" i="37" s="1"/>
  <c r="J225" i="37" a="1"/>
  <c r="J225" i="37" s="1"/>
  <c r="J59" i="37" a="1"/>
  <c r="J59" i="37" s="1"/>
  <c r="J185" i="37" a="1"/>
  <c r="J185" i="37" s="1"/>
  <c r="J149" i="37" a="1"/>
  <c r="J149" i="37" s="1"/>
  <c r="J137" i="37" a="1"/>
  <c r="J137" i="37" s="1"/>
  <c r="J183" i="37" a="1"/>
  <c r="J183" i="37" s="1"/>
  <c r="J39" i="37" a="1"/>
  <c r="J39" i="37" s="1"/>
  <c r="J86" i="37" a="1"/>
  <c r="J86" i="37" s="1"/>
  <c r="J62" i="37" a="1"/>
  <c r="J62" i="37" s="1"/>
  <c r="J82" i="37" a="1"/>
  <c r="J82" i="37" s="1"/>
  <c r="J102" i="37" a="1"/>
  <c r="J102" i="37" s="1"/>
  <c r="J112" i="37" a="1"/>
  <c r="J112" i="37" s="1"/>
  <c r="J233" i="37" a="1"/>
  <c r="J233" i="37" s="1"/>
  <c r="J47" i="37" a="1"/>
  <c r="J47" i="37" s="1"/>
  <c r="J6" i="37" a="1"/>
  <c r="J6" i="37" s="1"/>
  <c r="J61" i="37" a="1"/>
  <c r="J61" i="37" s="1"/>
  <c r="J184" i="37" a="1"/>
  <c r="J184" i="37" s="1"/>
  <c r="J182" i="37" a="1"/>
  <c r="J182" i="37" s="1"/>
  <c r="J60" i="37" a="1"/>
  <c r="J60" i="37" s="1"/>
  <c r="J5" i="37" a="1"/>
  <c r="J5" i="37" s="1"/>
  <c r="J232" i="37" a="1"/>
  <c r="J232" i="37" s="1"/>
  <c r="J163" i="37" a="1"/>
  <c r="J163" i="37" s="1"/>
  <c r="J161" i="37" a="1"/>
  <c r="J161" i="37" s="1"/>
  <c r="J219" i="37" a="1"/>
  <c r="J219" i="37" s="1"/>
  <c r="J25" i="37" a="1"/>
  <c r="J25" i="37" s="1"/>
  <c r="J63" i="37" a="1"/>
  <c r="J63" i="37" s="1"/>
  <c r="J224" i="37" a="1"/>
  <c r="J224" i="37" s="1"/>
  <c r="J64" i="37" a="1"/>
  <c r="J64" i="37" s="1"/>
  <c r="J65" i="37" a="1"/>
  <c r="J65" i="37" s="1"/>
  <c r="J83" i="37" a="1"/>
  <c r="J83" i="37" s="1"/>
  <c r="J135" i="37" a="1"/>
  <c r="J135" i="37" s="1"/>
  <c r="J87" i="37" a="1"/>
  <c r="J87" i="37" s="1"/>
  <c r="J101" i="37" a="1"/>
  <c r="J101" i="37" s="1"/>
  <c r="J97" i="37" a="1"/>
  <c r="J97" i="37" s="1"/>
  <c r="J197" i="37" a="1"/>
  <c r="J197" i="37" s="1"/>
  <c r="J133" i="37" a="1"/>
  <c r="J133" i="37" s="1"/>
  <c r="J239" i="37" a="1"/>
  <c r="J239" i="37" s="1"/>
  <c r="J140" i="37" a="1"/>
  <c r="J140" i="37" s="1"/>
  <c r="J146" i="37" a="1"/>
  <c r="J146" i="37" s="1"/>
  <c r="J147" i="37" a="1"/>
  <c r="J147" i="37" s="1"/>
  <c r="J238" i="37" a="1"/>
  <c r="J238" i="37" s="1"/>
  <c r="J144" i="37" a="1"/>
  <c r="J144" i="37" s="1"/>
  <c r="J141" i="37" a="1"/>
  <c r="J141" i="37" s="1"/>
  <c r="J18" i="37" a="1"/>
  <c r="J18" i="37" s="1"/>
  <c r="J123" i="37" a="1"/>
  <c r="J123" i="37" s="1"/>
  <c r="J7" i="37" a="1"/>
  <c r="J7" i="37" s="1"/>
  <c r="J37" i="37" a="1"/>
  <c r="J37" i="37" s="1"/>
  <c r="J215" i="37" a="1"/>
  <c r="J215" i="37" s="1"/>
  <c r="J244" i="37" a="1"/>
  <c r="J244" i="37" s="1"/>
  <c r="J81" i="37" a="1"/>
  <c r="J81" i="37" s="1"/>
  <c r="J212" i="37" a="1"/>
  <c r="J212" i="37" s="1"/>
  <c r="J191" i="37" a="1"/>
  <c r="J191" i="37" s="1"/>
  <c r="J190" i="37" a="1"/>
  <c r="J190" i="37" s="1"/>
  <c r="J245" i="37" a="1"/>
  <c r="J245" i="37" s="1"/>
  <c r="J114" i="37" a="1"/>
  <c r="J114" i="37" s="1"/>
  <c r="J113" i="37" a="1"/>
  <c r="J113" i="37" s="1"/>
  <c r="J214" i="37" a="1"/>
  <c r="J214" i="37" s="1"/>
  <c r="J216" i="37" a="1"/>
  <c r="J216" i="37" s="1"/>
  <c r="J4" i="37" a="1"/>
  <c r="J4" i="37" s="1"/>
  <c r="J20" i="37" a="1"/>
  <c r="J20" i="37" s="1"/>
  <c r="J95" i="37" a="1"/>
  <c r="J95" i="37" s="1"/>
  <c r="J96" i="37" a="1"/>
  <c r="J96" i="37" s="1"/>
  <c r="J139" i="37" a="1"/>
  <c r="J139" i="37" s="1"/>
  <c r="J145" i="37" a="1"/>
  <c r="J145" i="37" s="1"/>
  <c r="J177" i="37" a="1"/>
  <c r="J177" i="37" s="1"/>
  <c r="J57" i="37" a="1"/>
  <c r="J57" i="37" s="1"/>
  <c r="J49" i="37" a="1"/>
  <c r="J49" i="37" s="1"/>
  <c r="J58" i="37" a="1"/>
  <c r="J58" i="37" s="1"/>
  <c r="J92" i="37" a="1"/>
  <c r="J92" i="37" s="1"/>
  <c r="P162" i="37" l="1"/>
  <c r="P57" i="37"/>
  <c r="K193" i="53"/>
  <c r="L193" i="53" s="1"/>
  <c r="J193" i="53"/>
  <c r="K192" i="53"/>
  <c r="L192" i="53" s="1"/>
  <c r="J192" i="53"/>
  <c r="K191" i="53"/>
  <c r="L191" i="53" s="1"/>
  <c r="J191" i="53"/>
  <c r="K190" i="53"/>
  <c r="L190" i="53" s="1"/>
  <c r="J190" i="53"/>
  <c r="K189" i="53"/>
  <c r="L189" i="53" s="1"/>
  <c r="J189" i="53"/>
  <c r="K187" i="53"/>
  <c r="L187" i="53" s="1"/>
  <c r="J187" i="53"/>
  <c r="K186" i="53"/>
  <c r="L186" i="53" s="1"/>
  <c r="J186" i="53"/>
  <c r="K185" i="53"/>
  <c r="L185" i="53" s="1"/>
  <c r="J185" i="53"/>
  <c r="K184" i="53"/>
  <c r="L184" i="53" s="1"/>
  <c r="J184" i="53"/>
  <c r="K183" i="53"/>
  <c r="L183" i="53" s="1"/>
  <c r="J183" i="53"/>
  <c r="K182" i="53"/>
  <c r="L182" i="53" s="1"/>
  <c r="J182" i="53"/>
  <c r="K181" i="53"/>
  <c r="L181" i="53" s="1"/>
  <c r="J181" i="53"/>
  <c r="K180" i="53"/>
  <c r="L180" i="53" s="1"/>
  <c r="J180" i="53"/>
  <c r="K179" i="53"/>
  <c r="L179" i="53" s="1"/>
  <c r="J179" i="53"/>
  <c r="K178" i="53"/>
  <c r="L178" i="53" s="1"/>
  <c r="J178" i="53"/>
  <c r="K177" i="53"/>
  <c r="L177" i="53" s="1"/>
  <c r="J177" i="53"/>
  <c r="K176" i="53"/>
  <c r="L176" i="53" s="1"/>
  <c r="J176" i="53"/>
  <c r="K175" i="53"/>
  <c r="L175" i="53" s="1"/>
  <c r="J175" i="53"/>
  <c r="K174" i="53"/>
  <c r="L174" i="53" s="1"/>
  <c r="J174" i="53"/>
  <c r="K173" i="53"/>
  <c r="L173" i="53" s="1"/>
  <c r="J173" i="53"/>
  <c r="K172" i="53"/>
  <c r="L172" i="53" s="1"/>
  <c r="J172" i="53"/>
  <c r="K171" i="53"/>
  <c r="L171" i="53" s="1"/>
  <c r="J171" i="53"/>
  <c r="K170" i="53"/>
  <c r="L170" i="53" s="1"/>
  <c r="J170" i="53"/>
  <c r="K169" i="53"/>
  <c r="L169" i="53" s="1"/>
  <c r="J169" i="53"/>
  <c r="K168" i="53"/>
  <c r="L168" i="53" s="1"/>
  <c r="J168" i="53"/>
  <c r="K167" i="53"/>
  <c r="L167" i="53" s="1"/>
  <c r="J167" i="53"/>
  <c r="K166" i="53"/>
  <c r="L166" i="53" s="1"/>
  <c r="J166" i="53"/>
  <c r="K165" i="53"/>
  <c r="L165" i="53" s="1"/>
  <c r="J165" i="53"/>
  <c r="K163" i="53"/>
  <c r="L163" i="53" s="1"/>
  <c r="J163" i="53"/>
  <c r="K162" i="53"/>
  <c r="L162" i="53" s="1"/>
  <c r="J162" i="53"/>
  <c r="K160" i="53"/>
  <c r="L160" i="53" s="1"/>
  <c r="J160" i="53"/>
  <c r="K159" i="53"/>
  <c r="L159" i="53" s="1"/>
  <c r="J159" i="53"/>
  <c r="K158" i="53"/>
  <c r="L158" i="53" s="1"/>
  <c r="J158" i="53"/>
  <c r="K157" i="53"/>
  <c r="L157" i="53" s="1"/>
  <c r="J157" i="53"/>
  <c r="K156" i="53"/>
  <c r="L156" i="53" s="1"/>
  <c r="J156" i="53"/>
  <c r="K151" i="53"/>
  <c r="L151" i="53" s="1"/>
  <c r="J151" i="53"/>
  <c r="K150" i="53"/>
  <c r="L150" i="53" s="1"/>
  <c r="J150" i="53"/>
  <c r="K149" i="53"/>
  <c r="L149" i="53" s="1"/>
  <c r="J149" i="53"/>
  <c r="K148" i="53"/>
  <c r="L148" i="53" s="1"/>
  <c r="J148" i="53"/>
  <c r="K147" i="53"/>
  <c r="L147" i="53" s="1"/>
  <c r="J147" i="53"/>
  <c r="K146" i="53"/>
  <c r="L146" i="53" s="1"/>
  <c r="J146" i="53"/>
  <c r="K145" i="53"/>
  <c r="L145" i="53" s="1"/>
  <c r="J145" i="53"/>
  <c r="K144" i="53"/>
  <c r="L144" i="53" s="1"/>
  <c r="J144" i="53"/>
  <c r="K141" i="53"/>
  <c r="L141" i="53" s="1"/>
  <c r="J141" i="53"/>
  <c r="K140" i="53"/>
  <c r="L140" i="53" s="1"/>
  <c r="J140" i="53"/>
  <c r="K138" i="53"/>
  <c r="L138" i="53" s="1"/>
  <c r="J138" i="53"/>
  <c r="K137" i="53"/>
  <c r="L137" i="53" s="1"/>
  <c r="J137" i="53"/>
  <c r="K135" i="53"/>
  <c r="L135" i="53" s="1"/>
  <c r="J135" i="53"/>
  <c r="K134" i="53"/>
  <c r="L134" i="53" s="1"/>
  <c r="J134" i="53"/>
  <c r="K131" i="53"/>
  <c r="L131" i="53" s="1"/>
  <c r="J131" i="53"/>
  <c r="K130" i="53"/>
  <c r="L130" i="53" s="1"/>
  <c r="J130" i="53"/>
  <c r="K128" i="53"/>
  <c r="L128" i="53" s="1"/>
  <c r="J128" i="53"/>
  <c r="K127" i="53"/>
  <c r="L127" i="53" s="1"/>
  <c r="J127" i="53"/>
  <c r="K125" i="53"/>
  <c r="L125" i="53" s="1"/>
  <c r="J125" i="53"/>
  <c r="K123" i="53"/>
  <c r="L123" i="53" s="1"/>
  <c r="J123" i="53"/>
  <c r="K122" i="53"/>
  <c r="L122" i="53" s="1"/>
  <c r="J122" i="53"/>
  <c r="K121" i="53"/>
  <c r="L121" i="53" s="1"/>
  <c r="J121" i="53"/>
  <c r="K120" i="53"/>
  <c r="L120" i="53" s="1"/>
  <c r="J120" i="53"/>
  <c r="K119" i="53"/>
  <c r="L119" i="53" s="1"/>
  <c r="J119" i="53"/>
  <c r="K118" i="53"/>
  <c r="L118" i="53" s="1"/>
  <c r="J118" i="53"/>
  <c r="K117" i="53"/>
  <c r="L117" i="53" s="1"/>
  <c r="J117" i="53"/>
  <c r="K116" i="53"/>
  <c r="L116" i="53" s="1"/>
  <c r="J116" i="53"/>
  <c r="K112" i="53"/>
  <c r="L112" i="53" s="1"/>
  <c r="J112" i="53"/>
  <c r="K111" i="53"/>
  <c r="L111" i="53" s="1"/>
  <c r="J111" i="53"/>
  <c r="K110" i="53"/>
  <c r="L110" i="53" s="1"/>
  <c r="J110" i="53"/>
  <c r="K109" i="53"/>
  <c r="L109" i="53" s="1"/>
  <c r="J109" i="53"/>
  <c r="K108" i="53"/>
  <c r="L108" i="53" s="1"/>
  <c r="J108" i="53"/>
  <c r="K107" i="53"/>
  <c r="L107" i="53" s="1"/>
  <c r="J107" i="53"/>
  <c r="K106" i="53"/>
  <c r="L106" i="53" s="1"/>
  <c r="J106" i="53"/>
  <c r="K105" i="53"/>
  <c r="L105" i="53" s="1"/>
  <c r="J105" i="53"/>
  <c r="K104" i="53"/>
  <c r="L104" i="53" s="1"/>
  <c r="J104" i="53"/>
  <c r="K103" i="53"/>
  <c r="L103" i="53" s="1"/>
  <c r="J103" i="53"/>
  <c r="K102" i="53"/>
  <c r="L102" i="53" s="1"/>
  <c r="J102" i="53"/>
  <c r="K101" i="53"/>
  <c r="L101" i="53" s="1"/>
  <c r="J101" i="53"/>
  <c r="K100" i="53"/>
  <c r="L100" i="53" s="1"/>
  <c r="J100" i="53"/>
  <c r="K97" i="53"/>
  <c r="L97" i="53" s="1"/>
  <c r="J97" i="53"/>
  <c r="K96" i="53"/>
  <c r="L96" i="53" s="1"/>
  <c r="J96" i="53"/>
  <c r="K95" i="53"/>
  <c r="L95" i="53" s="1"/>
  <c r="J95" i="53"/>
  <c r="K94" i="53"/>
  <c r="L94" i="53" s="1"/>
  <c r="J94" i="53"/>
  <c r="K93" i="53"/>
  <c r="L93" i="53" s="1"/>
  <c r="J93" i="53"/>
  <c r="K92" i="53"/>
  <c r="L92" i="53" s="1"/>
  <c r="J92" i="53"/>
  <c r="K91" i="53"/>
  <c r="L91" i="53" s="1"/>
  <c r="J91" i="53"/>
  <c r="K90" i="53"/>
  <c r="L90" i="53" s="1"/>
  <c r="J90" i="53"/>
  <c r="K89" i="53"/>
  <c r="L89" i="53" s="1"/>
  <c r="J89" i="53"/>
  <c r="K88" i="53"/>
  <c r="L88" i="53" s="1"/>
  <c r="J88" i="53"/>
  <c r="K87" i="53"/>
  <c r="L87" i="53" s="1"/>
  <c r="J87" i="53"/>
  <c r="K86" i="53"/>
  <c r="L86" i="53" s="1"/>
  <c r="J86" i="53"/>
  <c r="K85" i="53"/>
  <c r="L85" i="53" s="1"/>
  <c r="J85" i="53"/>
  <c r="K81" i="53"/>
  <c r="L81" i="53" s="1"/>
  <c r="J81" i="53"/>
  <c r="K80" i="53"/>
  <c r="L80" i="53" s="1"/>
  <c r="J80" i="53"/>
  <c r="K78" i="53"/>
  <c r="L78" i="53" s="1"/>
  <c r="J78" i="53"/>
  <c r="K77" i="53"/>
  <c r="L77" i="53" s="1"/>
  <c r="J77" i="53"/>
  <c r="K76" i="53"/>
  <c r="L76" i="53" s="1"/>
  <c r="J76" i="53"/>
  <c r="K75" i="53"/>
  <c r="L75" i="53" s="1"/>
  <c r="J75" i="53"/>
  <c r="K74" i="53"/>
  <c r="L74" i="53" s="1"/>
  <c r="J74" i="53"/>
  <c r="K73" i="53"/>
  <c r="L73" i="53" s="1"/>
  <c r="J73" i="53"/>
  <c r="K72" i="53"/>
  <c r="L72" i="53" s="1"/>
  <c r="J72" i="53"/>
  <c r="K71" i="53"/>
  <c r="L71" i="53" s="1"/>
  <c r="J71" i="53"/>
  <c r="K70" i="53"/>
  <c r="L70" i="53" s="1"/>
  <c r="J70" i="53"/>
  <c r="K69" i="53"/>
  <c r="L69" i="53" s="1"/>
  <c r="J69" i="53"/>
  <c r="K68" i="53"/>
  <c r="L68" i="53" s="1"/>
  <c r="J68" i="53"/>
  <c r="K67" i="53"/>
  <c r="L67" i="53" s="1"/>
  <c r="J67" i="53"/>
  <c r="K66" i="53"/>
  <c r="L66" i="53" s="1"/>
  <c r="J66" i="53"/>
  <c r="K65" i="53"/>
  <c r="L65" i="53" s="1"/>
  <c r="J65" i="53"/>
  <c r="K63" i="53"/>
  <c r="L63" i="53" s="1"/>
  <c r="J63" i="53"/>
  <c r="K62" i="53"/>
  <c r="L62" i="53" s="1"/>
  <c r="J62" i="53"/>
  <c r="K61" i="53"/>
  <c r="L61" i="53" s="1"/>
  <c r="J61" i="53"/>
  <c r="K60" i="53"/>
  <c r="L60" i="53" s="1"/>
  <c r="J60" i="53"/>
  <c r="K59" i="53"/>
  <c r="L59" i="53" s="1"/>
  <c r="J59" i="53"/>
  <c r="K58" i="53"/>
  <c r="L58" i="53" s="1"/>
  <c r="J58" i="53"/>
  <c r="K57" i="53"/>
  <c r="L57" i="53" s="1"/>
  <c r="J57" i="53"/>
  <c r="K56" i="53"/>
  <c r="L56" i="53" s="1"/>
  <c r="J56" i="53"/>
  <c r="K55" i="53"/>
  <c r="L55" i="53" s="1"/>
  <c r="J55" i="53"/>
  <c r="K54" i="53"/>
  <c r="L54" i="53" s="1"/>
  <c r="J54" i="53"/>
  <c r="K53" i="53"/>
  <c r="L53" i="53" s="1"/>
  <c r="J53" i="53"/>
  <c r="K50" i="53"/>
  <c r="L50" i="53" s="1"/>
  <c r="J50" i="53"/>
  <c r="K47" i="53"/>
  <c r="L47" i="53" s="1"/>
  <c r="J47" i="53"/>
  <c r="K46" i="53"/>
  <c r="L46" i="53" s="1"/>
  <c r="J46" i="53"/>
  <c r="K41" i="53"/>
  <c r="L41" i="53" s="1"/>
  <c r="J41" i="53"/>
  <c r="K40" i="53"/>
  <c r="L40" i="53" s="1"/>
  <c r="J40" i="53"/>
  <c r="K39" i="53"/>
  <c r="L39" i="53" s="1"/>
  <c r="J39" i="53"/>
  <c r="K38" i="53"/>
  <c r="L38" i="53" s="1"/>
  <c r="J38" i="53"/>
  <c r="K37" i="53"/>
  <c r="L37" i="53" s="1"/>
  <c r="J37" i="53"/>
  <c r="K36" i="53"/>
  <c r="L36" i="53" s="1"/>
  <c r="J36" i="53"/>
  <c r="K34" i="53"/>
  <c r="L34" i="53" s="1"/>
  <c r="J34" i="53"/>
  <c r="K33" i="53"/>
  <c r="L33" i="53" s="1"/>
  <c r="J33" i="53"/>
  <c r="K32" i="53"/>
  <c r="L32" i="53" s="1"/>
  <c r="J32" i="53"/>
  <c r="K31" i="53"/>
  <c r="L31" i="53" s="1"/>
  <c r="J31" i="53"/>
  <c r="K30" i="53"/>
  <c r="L30" i="53" s="1"/>
  <c r="J30" i="53"/>
  <c r="K29" i="53"/>
  <c r="L29" i="53" s="1"/>
  <c r="J29" i="53"/>
  <c r="K28" i="53"/>
  <c r="L28" i="53" s="1"/>
  <c r="J28" i="53"/>
  <c r="K27" i="53"/>
  <c r="L27" i="53" s="1"/>
  <c r="J27" i="53"/>
  <c r="K25" i="53"/>
  <c r="L25" i="53" s="1"/>
  <c r="J25" i="53"/>
  <c r="K23" i="53"/>
  <c r="L23" i="53" s="1"/>
  <c r="J23" i="53"/>
  <c r="K21" i="53"/>
  <c r="L21" i="53" s="1"/>
  <c r="J21" i="53"/>
  <c r="K20" i="53"/>
  <c r="L20" i="53" s="1"/>
  <c r="J20" i="53"/>
  <c r="K19" i="53"/>
  <c r="L19" i="53" s="1"/>
  <c r="J19" i="53"/>
  <c r="K18" i="53"/>
  <c r="L18" i="53" s="1"/>
  <c r="J18" i="53"/>
  <c r="K17" i="53"/>
  <c r="L17" i="53" s="1"/>
  <c r="J17" i="53"/>
  <c r="K15" i="53"/>
  <c r="L15" i="53" s="1"/>
  <c r="J15" i="53"/>
  <c r="K13" i="53"/>
  <c r="L13" i="53" s="1"/>
  <c r="J13" i="53"/>
  <c r="K12" i="53"/>
  <c r="L12" i="53" s="1"/>
  <c r="J12" i="53"/>
  <c r="K11" i="53"/>
  <c r="L11" i="53" s="1"/>
  <c r="J11" i="53"/>
  <c r="K10" i="53"/>
  <c r="L10" i="53" s="1"/>
  <c r="J10" i="53"/>
  <c r="K9" i="53"/>
  <c r="L9" i="53" s="1"/>
  <c r="J9" i="53"/>
  <c r="K8" i="53"/>
  <c r="L8" i="53" s="1"/>
  <c r="J8" i="53"/>
  <c r="K7" i="53"/>
  <c r="L7" i="53" s="1"/>
  <c r="J7" i="53"/>
  <c r="K5" i="53"/>
  <c r="L5" i="53" s="1"/>
  <c r="J5" i="53"/>
  <c r="K4" i="53"/>
  <c r="L4" i="53" s="1"/>
  <c r="J4" i="53"/>
  <c r="V74" i="43"/>
  <c r="S74" i="43"/>
  <c r="T74" i="43" s="1"/>
  <c r="R162" i="37" l="1"/>
  <c r="Q162" i="37" s="1"/>
  <c r="M193" i="53"/>
  <c r="M170" i="53"/>
  <c r="M172" i="53"/>
  <c r="M174" i="53"/>
  <c r="M176" i="53"/>
  <c r="M178" i="53"/>
  <c r="M180" i="53"/>
  <c r="M182" i="53"/>
  <c r="M184" i="53"/>
  <c r="M186" i="53"/>
  <c r="M123" i="53"/>
  <c r="M137" i="53"/>
  <c r="M140" i="53"/>
  <c r="M144" i="53"/>
  <c r="M146" i="53"/>
  <c r="M148" i="53"/>
  <c r="M150" i="53"/>
  <c r="M156" i="53"/>
  <c r="M158" i="53"/>
  <c r="M160" i="53"/>
  <c r="M163" i="53"/>
  <c r="M166" i="53"/>
  <c r="M168" i="53"/>
  <c r="M189" i="53"/>
  <c r="M4" i="53"/>
  <c r="M9" i="53"/>
  <c r="M13" i="53"/>
  <c r="M25" i="53"/>
  <c r="M127" i="53"/>
  <c r="M15" i="53"/>
  <c r="M18" i="53"/>
  <c r="M20" i="53"/>
  <c r="M23" i="53"/>
  <c r="M27" i="53"/>
  <c r="M29" i="53"/>
  <c r="M36" i="53"/>
  <c r="M38" i="53"/>
  <c r="M40" i="53"/>
  <c r="M46" i="53"/>
  <c r="M50" i="53"/>
  <c r="M54" i="53"/>
  <c r="M60" i="53"/>
  <c r="M62" i="53"/>
  <c r="M65" i="53"/>
  <c r="M67" i="53"/>
  <c r="M69" i="53"/>
  <c r="M71" i="53"/>
  <c r="M8" i="53"/>
  <c r="M30" i="53"/>
  <c r="M47" i="53"/>
  <c r="M55" i="53"/>
  <c r="M59" i="53"/>
  <c r="M68" i="53"/>
  <c r="M130" i="53"/>
  <c r="M34" i="53"/>
  <c r="M77" i="53"/>
  <c r="M80" i="53"/>
  <c r="M85" i="53"/>
  <c r="M87" i="53"/>
  <c r="M191" i="53"/>
  <c r="M72" i="53"/>
  <c r="M76" i="53"/>
  <c r="M88" i="53"/>
  <c r="M90" i="53"/>
  <c r="M94" i="53"/>
  <c r="M96" i="53"/>
  <c r="M100" i="53"/>
  <c r="M104" i="53"/>
  <c r="M106" i="53"/>
  <c r="M108" i="53"/>
  <c r="M10" i="53"/>
  <c r="M12" i="53"/>
  <c r="M19" i="53"/>
  <c r="M31" i="53"/>
  <c r="M33" i="53"/>
  <c r="M39" i="53"/>
  <c r="M56" i="53"/>
  <c r="M58" i="53"/>
  <c r="M63" i="53"/>
  <c r="M73" i="53"/>
  <c r="M75" i="53"/>
  <c r="M81" i="53"/>
  <c r="M112" i="53"/>
  <c r="M117" i="53"/>
  <c r="M119" i="53"/>
  <c r="M145" i="53"/>
  <c r="M147" i="53"/>
  <c r="M149" i="53"/>
  <c r="M151" i="53"/>
  <c r="M157" i="53"/>
  <c r="M159" i="53"/>
  <c r="M162" i="53"/>
  <c r="M165" i="53"/>
  <c r="M167" i="53"/>
  <c r="M169" i="53"/>
  <c r="M171" i="53"/>
  <c r="M173" i="53"/>
  <c r="M175" i="53"/>
  <c r="M177" i="53"/>
  <c r="M179" i="53"/>
  <c r="M181" i="53"/>
  <c r="M183" i="53"/>
  <c r="M185" i="53"/>
  <c r="M187" i="53"/>
  <c r="M190" i="53"/>
  <c r="M5" i="53"/>
  <c r="M7" i="53"/>
  <c r="M11" i="53"/>
  <c r="M17" i="53"/>
  <c r="M21" i="53"/>
  <c r="M28" i="53"/>
  <c r="M32" i="53"/>
  <c r="M37" i="53"/>
  <c r="M41" i="53"/>
  <c r="M53" i="53"/>
  <c r="M57" i="53"/>
  <c r="M61" i="53"/>
  <c r="M66" i="53"/>
  <c r="M70" i="53"/>
  <c r="M74" i="53"/>
  <c r="M78" i="53"/>
  <c r="M86" i="53"/>
  <c r="M92" i="53"/>
  <c r="M102" i="53"/>
  <c r="M110" i="53"/>
  <c r="M121" i="53"/>
  <c r="M134" i="53"/>
  <c r="M141" i="53"/>
  <c r="M192" i="53"/>
  <c r="M91" i="53"/>
  <c r="M95" i="53"/>
  <c r="M101" i="53"/>
  <c r="M105" i="53"/>
  <c r="M109" i="53"/>
  <c r="M116" i="53"/>
  <c r="M120" i="53"/>
  <c r="M125" i="53"/>
  <c r="M131" i="53"/>
  <c r="M138" i="53"/>
  <c r="M89" i="53"/>
  <c r="M93" i="53"/>
  <c r="M97" i="53"/>
  <c r="M103" i="53"/>
  <c r="M107" i="53"/>
  <c r="M111" i="53"/>
  <c r="M118" i="53"/>
  <c r="M122" i="53"/>
  <c r="M128" i="53"/>
  <c r="M135" i="53"/>
  <c r="H5" i="41"/>
  <c r="H4" i="41"/>
  <c r="G6" i="38" l="1"/>
  <c r="G5" i="38"/>
  <c r="G4" i="38"/>
  <c r="V16" i="43" l="1"/>
  <c r="V28" i="43"/>
  <c r="V8" i="43"/>
  <c r="V73" i="43"/>
  <c r="V91" i="43"/>
  <c r="V76" i="43"/>
  <c r="V15" i="43"/>
  <c r="V47" i="43"/>
  <c r="V10" i="43"/>
  <c r="V90" i="43"/>
  <c r="V89" i="43"/>
  <c r="V80" i="43"/>
  <c r="V88" i="43"/>
  <c r="V87" i="43"/>
  <c r="V9" i="43"/>
  <c r="V86" i="43"/>
  <c r="V85" i="43"/>
  <c r="V45" i="43"/>
  <c r="V84" i="43"/>
  <c r="V83" i="43"/>
  <c r="V82" i="43"/>
  <c r="V81" i="43"/>
  <c r="V79" i="43"/>
  <c r="V12" i="43"/>
  <c r="V5" i="43"/>
  <c r="V78" i="43"/>
  <c r="V14" i="43"/>
  <c r="V7" i="43"/>
  <c r="V44" i="43"/>
  <c r="V77" i="43"/>
  <c r="V6" i="43"/>
  <c r="V13" i="43"/>
  <c r="V11" i="43"/>
  <c r="V66" i="43"/>
  <c r="V43" i="43"/>
  <c r="V42" i="43"/>
  <c r="V41" i="43"/>
  <c r="V40" i="43"/>
  <c r="V39" i="43"/>
  <c r="V38" i="43"/>
  <c r="V37" i="43"/>
  <c r="V36" i="43"/>
  <c r="V35" i="43"/>
  <c r="V34" i="43"/>
  <c r="V33" i="43"/>
  <c r="V32" i="43"/>
  <c r="V31" i="43"/>
  <c r="V30" i="43"/>
  <c r="V29" i="43"/>
  <c r="V65" i="43"/>
  <c r="V64" i="43"/>
  <c r="V63" i="43"/>
  <c r="V62" i="43"/>
  <c r="V61" i="43"/>
  <c r="V60" i="43"/>
  <c r="V59" i="43"/>
  <c r="V58" i="43"/>
  <c r="V57" i="43"/>
  <c r="V56" i="43"/>
  <c r="V55" i="43"/>
  <c r="V27" i="43"/>
  <c r="V26" i="43"/>
  <c r="V75" i="43"/>
  <c r="V25" i="43"/>
  <c r="V24" i="43"/>
  <c r="V23" i="43"/>
  <c r="V22" i="43"/>
  <c r="V21" i="43"/>
  <c r="V20" i="43"/>
  <c r="V19" i="43"/>
  <c r="V18" i="43"/>
  <c r="V17" i="43"/>
  <c r="V54" i="43"/>
  <c r="V53" i="43"/>
  <c r="V52" i="43"/>
  <c r="V51" i="43"/>
  <c r="V50" i="43"/>
  <c r="V49" i="43"/>
  <c r="V48" i="43"/>
  <c r="V72" i="43"/>
  <c r="V71" i="43"/>
  <c r="V70" i="43"/>
  <c r="V69" i="43"/>
  <c r="V68" i="43"/>
  <c r="V67" i="43"/>
  <c r="V96" i="43"/>
  <c r="V95" i="43"/>
  <c r="V46" i="43"/>
  <c r="V4" i="43"/>
  <c r="V94" i="43"/>
  <c r="V93" i="43"/>
  <c r="T16" i="43"/>
  <c r="T28" i="43"/>
  <c r="T8" i="43"/>
  <c r="T73" i="43"/>
  <c r="T15" i="43"/>
  <c r="T47" i="43"/>
  <c r="T10" i="43"/>
  <c r="T67" i="43"/>
  <c r="T68" i="43"/>
  <c r="T46" i="43"/>
  <c r="T9" i="43"/>
  <c r="T45" i="43"/>
  <c r="T72" i="43"/>
  <c r="T71" i="43"/>
  <c r="T70" i="43"/>
  <c r="T69" i="43"/>
  <c r="T12" i="43"/>
  <c r="T5" i="43"/>
  <c r="T14" i="43"/>
  <c r="T94" i="43"/>
  <c r="T93" i="43"/>
  <c r="T92" i="43"/>
  <c r="T7" i="43"/>
  <c r="T44" i="43"/>
  <c r="T6" i="43"/>
  <c r="T13" i="43"/>
  <c r="T11" i="43"/>
  <c r="T66" i="43"/>
  <c r="T43" i="43"/>
  <c r="T42" i="43"/>
  <c r="T41" i="43"/>
  <c r="T40" i="43"/>
  <c r="T39" i="43"/>
  <c r="T38" i="43"/>
  <c r="T37" i="43"/>
  <c r="T36" i="43"/>
  <c r="T35" i="43"/>
  <c r="T34" i="43"/>
  <c r="T33" i="43"/>
  <c r="T32" i="43"/>
  <c r="T31" i="43"/>
  <c r="T30" i="43"/>
  <c r="T29" i="43"/>
  <c r="T27" i="43"/>
  <c r="T4" i="43"/>
  <c r="T22" i="43"/>
  <c r="T23" i="43"/>
  <c r="T24" i="43"/>
  <c r="T25" i="43"/>
  <c r="T26" i="43"/>
  <c r="T49" i="43"/>
  <c r="T50" i="43"/>
  <c r="T51" i="43"/>
  <c r="T52" i="43"/>
  <c r="T53" i="43"/>
  <c r="T54" i="43"/>
  <c r="T17" i="43"/>
  <c r="T18" i="43"/>
  <c r="T19" i="43"/>
  <c r="T20" i="43"/>
  <c r="T21" i="43"/>
  <c r="T48" i="43"/>
  <c r="O33" i="39"/>
  <c r="O33" i="40"/>
  <c r="P93" i="37" l="1"/>
  <c r="R93" i="37" s="1"/>
  <c r="P106" i="37"/>
  <c r="R106" i="37" s="1"/>
  <c r="P152" i="37"/>
  <c r="R152" i="37" s="1"/>
  <c r="P131" i="37"/>
  <c r="R131" i="37" s="1"/>
  <c r="P210" i="37"/>
  <c r="R210" i="37" s="1"/>
  <c r="P148" i="37"/>
  <c r="R148" i="37" s="1"/>
  <c r="P211" i="37"/>
  <c r="R211" i="37" s="1"/>
  <c r="P132" i="37"/>
  <c r="R132" i="37" s="1"/>
  <c r="P90" i="37"/>
  <c r="R90" i="37" s="1"/>
  <c r="P91" i="37"/>
  <c r="R91" i="37" s="1"/>
  <c r="P111" i="37"/>
  <c r="R111" i="37" s="1"/>
  <c r="P118" i="37"/>
  <c r="R118" i="37" s="1"/>
  <c r="P193" i="37"/>
  <c r="R193" i="37" s="1"/>
  <c r="P155" i="37"/>
  <c r="R155" i="37" s="1"/>
  <c r="P150" i="37"/>
  <c r="R150" i="37" s="1"/>
  <c r="P157" i="37"/>
  <c r="R157" i="37" s="1"/>
  <c r="P119" i="37"/>
  <c r="R119" i="37" s="1"/>
  <c r="P156" i="37"/>
  <c r="R156" i="37" s="1"/>
  <c r="P151" i="37"/>
  <c r="R151" i="37" s="1"/>
  <c r="P24" i="37"/>
  <c r="R24" i="37" s="1"/>
  <c r="P94" i="37"/>
  <c r="R94" i="37" s="1"/>
  <c r="P188" i="37"/>
  <c r="R188" i="37" s="1"/>
  <c r="P172" i="37"/>
  <c r="R172" i="37" s="1"/>
  <c r="P170" i="37"/>
  <c r="R170" i="37" s="1"/>
  <c r="P174" i="37"/>
  <c r="R174" i="37" s="1"/>
  <c r="P169" i="37"/>
  <c r="R169" i="37" s="1"/>
  <c r="P78" i="37"/>
  <c r="R78" i="37" s="1"/>
  <c r="P205" i="37"/>
  <c r="R205" i="37" s="1"/>
  <c r="P116" i="37"/>
  <c r="R116" i="37" s="1"/>
  <c r="P77" i="37"/>
  <c r="R77" i="37" s="1"/>
  <c r="P67" i="37"/>
  <c r="R67" i="37" s="1"/>
  <c r="P46" i="37"/>
  <c r="R46" i="37" s="1"/>
  <c r="P45" i="37"/>
  <c r="R45" i="37" s="1"/>
  <c r="P115" i="37"/>
  <c r="R115" i="37" s="1"/>
  <c r="P15" i="37"/>
  <c r="R15" i="37" s="1"/>
  <c r="P107" i="37"/>
  <c r="R107" i="37" s="1"/>
  <c r="P48" i="37"/>
  <c r="R48" i="37" s="1"/>
  <c r="P128" i="37"/>
  <c r="R128" i="37" s="1"/>
  <c r="P129" i="37"/>
  <c r="R129" i="37" s="1"/>
  <c r="P79" i="37"/>
  <c r="R79" i="37" s="1"/>
  <c r="P186" i="37"/>
  <c r="R186" i="37" s="1"/>
  <c r="P27" i="37"/>
  <c r="R27" i="37" s="1"/>
  <c r="P180" i="37"/>
  <c r="R180" i="37" s="1"/>
  <c r="P16" i="37"/>
  <c r="R16" i="37" s="1"/>
  <c r="P234" i="37"/>
  <c r="R234" i="37" s="1"/>
  <c r="P17" i="37"/>
  <c r="R17" i="37" s="1"/>
  <c r="P175" i="37"/>
  <c r="R175" i="37" s="1"/>
  <c r="P237" i="37"/>
  <c r="R237" i="37" s="1"/>
  <c r="P29" i="37"/>
  <c r="R29" i="37" s="1"/>
  <c r="P160" i="37"/>
  <c r="R160" i="37" s="1"/>
  <c r="P44" i="37"/>
  <c r="R44" i="37" s="1"/>
  <c r="P171" i="37"/>
  <c r="R171" i="37" s="1"/>
  <c r="P105" i="37"/>
  <c r="R105" i="37" s="1"/>
  <c r="P130" i="37"/>
  <c r="R130" i="37" s="1"/>
  <c r="P173" i="37"/>
  <c r="R173" i="37" s="1"/>
  <c r="P110" i="37"/>
  <c r="R110" i="37" s="1"/>
  <c r="P109" i="37"/>
  <c r="R109" i="37" s="1"/>
  <c r="P236" i="37"/>
  <c r="R236" i="37" s="1"/>
  <c r="P108" i="37"/>
  <c r="R108" i="37" s="1"/>
  <c r="P124" i="37"/>
  <c r="R124" i="37" s="1"/>
  <c r="P164" i="37"/>
  <c r="R164" i="37" s="1"/>
  <c r="P26" i="37"/>
  <c r="R26" i="37" s="1"/>
  <c r="P240" i="37"/>
  <c r="R240" i="37" s="1"/>
  <c r="P209" i="37"/>
  <c r="R209" i="37" s="1"/>
  <c r="P28" i="37"/>
  <c r="R28" i="37" s="1"/>
  <c r="P189" i="37"/>
  <c r="R189" i="37" s="1"/>
  <c r="P98" i="37"/>
  <c r="R98" i="37" s="1"/>
  <c r="P167" i="37"/>
  <c r="R167" i="37" s="1"/>
  <c r="P85" i="37"/>
  <c r="R85" i="37" s="1"/>
  <c r="P194" i="37"/>
  <c r="R194" i="37" s="1"/>
  <c r="P166" i="37"/>
  <c r="R166" i="37" s="1"/>
  <c r="P195" i="37"/>
  <c r="R195" i="37" s="1"/>
  <c r="P99" i="37"/>
  <c r="R99" i="37" s="1"/>
  <c r="P84" i="37"/>
  <c r="R84" i="37" s="1"/>
  <c r="P127" i="37"/>
  <c r="R127" i="37" s="1"/>
  <c r="P137" i="37"/>
  <c r="R137" i="37" s="1"/>
  <c r="P183" i="37"/>
  <c r="R183" i="37" s="1"/>
  <c r="P86" i="37"/>
  <c r="R86" i="37" s="1"/>
  <c r="P62" i="37"/>
  <c r="R62" i="37" s="1"/>
  <c r="P39" i="37"/>
  <c r="R39" i="37" s="1"/>
  <c r="P82" i="37"/>
  <c r="R82" i="37" s="1"/>
  <c r="P233" i="37"/>
  <c r="R233" i="37" s="1"/>
  <c r="P112" i="37"/>
  <c r="R112" i="37" s="1"/>
  <c r="P102" i="37"/>
  <c r="R102" i="37" s="1"/>
  <c r="P25" i="37"/>
  <c r="R25" i="37" s="1"/>
  <c r="P63" i="37"/>
  <c r="R63" i="37" s="1"/>
  <c r="P224" i="37"/>
  <c r="R224" i="37" s="1"/>
  <c r="P64" i="37"/>
  <c r="R64" i="37" s="1"/>
  <c r="P135" i="37"/>
  <c r="R135" i="37" s="1"/>
  <c r="P101" i="37"/>
  <c r="R101" i="37" s="1"/>
  <c r="P87" i="37"/>
  <c r="R87" i="37" s="1"/>
  <c r="P97" i="37"/>
  <c r="R97" i="37" s="1"/>
  <c r="P197" i="37"/>
  <c r="R197" i="37" s="1"/>
  <c r="P239" i="37"/>
  <c r="R239" i="37" s="1"/>
  <c r="P133" i="37"/>
  <c r="R133" i="37" s="1"/>
  <c r="P140" i="37"/>
  <c r="R140" i="37" s="1"/>
  <c r="P146" i="37"/>
  <c r="R146" i="37" s="1"/>
  <c r="P147" i="37"/>
  <c r="R147" i="37" s="1"/>
  <c r="P238" i="37"/>
  <c r="R238" i="37" s="1"/>
  <c r="P144" i="37"/>
  <c r="R144" i="37" s="1"/>
  <c r="P141" i="37"/>
  <c r="R141" i="37" s="1"/>
  <c r="P18" i="37"/>
  <c r="R18" i="37" s="1"/>
  <c r="P123" i="37"/>
  <c r="R123" i="37" s="1"/>
  <c r="P37" i="37"/>
  <c r="R37" i="37" s="1"/>
  <c r="P215" i="37"/>
  <c r="R215" i="37" s="1"/>
  <c r="P244" i="37"/>
  <c r="R244" i="37" s="1"/>
  <c r="P81" i="37"/>
  <c r="R81" i="37" s="1"/>
  <c r="P212" i="37"/>
  <c r="R212" i="37" s="1"/>
  <c r="P191" i="37"/>
  <c r="R191" i="37" s="1"/>
  <c r="P190" i="37"/>
  <c r="R190" i="37" s="1"/>
  <c r="P245" i="37"/>
  <c r="R245" i="37" s="1"/>
  <c r="P114" i="37"/>
  <c r="R114" i="37" s="1"/>
  <c r="P113" i="37"/>
  <c r="R113" i="37" s="1"/>
  <c r="P214" i="37"/>
  <c r="R214" i="37" s="1"/>
  <c r="P216" i="37"/>
  <c r="R216" i="37" s="1"/>
  <c r="P4" i="37"/>
  <c r="R4" i="37" s="1"/>
  <c r="P20" i="37"/>
  <c r="R20" i="37" s="1"/>
  <c r="P95" i="37"/>
  <c r="R95" i="37" s="1"/>
  <c r="P96" i="37"/>
  <c r="R96" i="37" s="1"/>
  <c r="P177" i="37"/>
  <c r="P145" i="37"/>
  <c r="P139" i="37"/>
  <c r="P76" i="37"/>
  <c r="R76" i="37" s="1"/>
  <c r="P80" i="37"/>
  <c r="R80" i="37" s="1"/>
  <c r="P9" i="37"/>
  <c r="R9" i="37" s="1"/>
  <c r="P69" i="37"/>
  <c r="R69" i="37" s="1"/>
  <c r="P179" i="37"/>
  <c r="R179" i="37" s="1"/>
  <c r="P72" i="37"/>
  <c r="R72" i="37" s="1"/>
  <c r="P192" i="37"/>
  <c r="R192" i="37" s="1"/>
  <c r="P246" i="37"/>
  <c r="R246" i="37" s="1"/>
  <c r="P75" i="37"/>
  <c r="R75" i="37" s="1"/>
  <c r="P196" i="37"/>
  <c r="R196" i="37" s="1"/>
  <c r="P176" i="37"/>
  <c r="R176" i="37" s="1"/>
  <c r="P70" i="37"/>
  <c r="R70" i="37" s="1"/>
  <c r="P23" i="37"/>
  <c r="R23" i="37" s="1"/>
  <c r="P88" i="37"/>
  <c r="R88" i="37" s="1"/>
  <c r="P103" i="37"/>
  <c r="R103" i="37" s="1"/>
  <c r="P121" i="37"/>
  <c r="R121" i="37" s="1"/>
  <c r="P125" i="37"/>
  <c r="R125" i="37" s="1"/>
  <c r="P104" i="37"/>
  <c r="R104" i="37" s="1"/>
  <c r="P126" i="37"/>
  <c r="R126" i="37" s="1"/>
  <c r="P187" i="37"/>
  <c r="R187" i="37" s="1"/>
  <c r="P38" i="37"/>
  <c r="R38" i="37" s="1"/>
  <c r="P207" i="37"/>
  <c r="R207" i="37" s="1"/>
  <c r="P138" i="37"/>
  <c r="R138" i="37" s="1"/>
  <c r="P208" i="37"/>
  <c r="R208" i="37" s="1"/>
  <c r="P178" i="37"/>
  <c r="R178" i="37" s="1"/>
  <c r="P40" i="37"/>
  <c r="R40" i="37" s="1"/>
  <c r="P41" i="37"/>
  <c r="R41" i="37" s="1"/>
  <c r="P226" i="37"/>
  <c r="R226" i="37" s="1"/>
  <c r="P165" i="37"/>
  <c r="R165" i="37" s="1"/>
  <c r="P229" i="37"/>
  <c r="R229" i="37" s="1"/>
  <c r="P149" i="37"/>
  <c r="R149" i="37" s="1"/>
  <c r="P134" i="37"/>
  <c r="R134" i="37" s="1"/>
  <c r="P59" i="37"/>
  <c r="R59" i="37" s="1"/>
  <c r="P185" i="37"/>
  <c r="R185" i="37" s="1"/>
  <c r="P225" i="37"/>
  <c r="R225" i="37" s="1"/>
  <c r="P47" i="37"/>
  <c r="R47" i="37" s="1"/>
  <c r="P6" i="37"/>
  <c r="R6" i="37" s="1"/>
  <c r="P61" i="37"/>
  <c r="R61" i="37" s="1"/>
  <c r="P184" i="37"/>
  <c r="R184" i="37" s="1"/>
  <c r="P232" i="37"/>
  <c r="R232" i="37" s="1"/>
  <c r="P5" i="37"/>
  <c r="R5" i="37" s="1"/>
  <c r="P60" i="37"/>
  <c r="R60" i="37" s="1"/>
  <c r="P182" i="37"/>
  <c r="R182" i="37" s="1"/>
  <c r="P163" i="37"/>
  <c r="R163" i="37" s="1"/>
  <c r="P161" i="37"/>
  <c r="R161" i="37" s="1"/>
  <c r="P219" i="37"/>
  <c r="R219" i="37" s="1"/>
  <c r="P65" i="37"/>
  <c r="R65" i="37" s="1"/>
  <c r="P83" i="37"/>
  <c r="R83" i="37" s="1"/>
  <c r="P7" i="37"/>
  <c r="R7" i="37" s="1"/>
  <c r="P49" i="37"/>
  <c r="P58" i="37"/>
  <c r="P89" i="37"/>
  <c r="R89" i="37" s="1"/>
  <c r="Q89" i="37" s="1"/>
  <c r="P66" i="37"/>
  <c r="R66" i="37" s="1"/>
  <c r="Q66" i="37" s="1"/>
  <c r="P220" i="37"/>
  <c r="R220" i="37" s="1"/>
  <c r="Q220" i="37" s="1"/>
  <c r="P153" i="37"/>
  <c r="R153" i="37" s="1"/>
  <c r="P14" i="37"/>
  <c r="R14" i="37" s="1"/>
  <c r="P228" i="37"/>
  <c r="R228" i="37" s="1"/>
  <c r="P136" i="37"/>
  <c r="R136" i="37" s="1"/>
  <c r="P31" i="37"/>
  <c r="R31" i="37" s="1"/>
  <c r="P230" i="37"/>
  <c r="R230" i="37" s="1"/>
  <c r="Q230" i="37" s="1"/>
  <c r="P204" i="37"/>
  <c r="R204" i="37" s="1"/>
  <c r="P203" i="37"/>
  <c r="R203" i="37" s="1"/>
  <c r="P8" i="37"/>
  <c r="R8" i="37" s="1"/>
  <c r="P120" i="37"/>
  <c r="R120" i="37" s="1"/>
  <c r="P21" i="37"/>
  <c r="R21" i="37" s="1"/>
  <c r="Q21" i="37" s="1"/>
  <c r="P181" i="37"/>
  <c r="R181" i="37" s="1"/>
  <c r="Q181" i="37" s="1"/>
  <c r="P122" i="37"/>
  <c r="R122" i="37" s="1"/>
  <c r="Q122" i="37" s="1"/>
  <c r="P19" i="37"/>
  <c r="R19" i="37" s="1"/>
  <c r="P73" i="37"/>
  <c r="R73" i="37" s="1"/>
  <c r="P32" i="37"/>
  <c r="R32" i="37" s="1"/>
  <c r="Q32" i="37" s="1"/>
  <c r="P206" i="37"/>
  <c r="R206" i="37" s="1"/>
  <c r="Q206" i="37" s="1"/>
  <c r="P154" i="37"/>
  <c r="P22" i="37"/>
  <c r="R22" i="37" s="1"/>
  <c r="Q22" i="37" s="1"/>
  <c r="P198" i="37"/>
  <c r="R198" i="37" s="1"/>
  <c r="Q198" i="37" s="1"/>
  <c r="P55" i="37"/>
  <c r="P56" i="37"/>
  <c r="P241" i="37"/>
  <c r="R241" i="37" s="1"/>
  <c r="P10" i="37"/>
  <c r="R10" i="37" s="1"/>
  <c r="P231" i="37"/>
  <c r="R231" i="37" s="1"/>
  <c r="P217" i="37"/>
  <c r="R217" i="37" s="1"/>
  <c r="P42" i="37"/>
  <c r="R42" i="37" s="1"/>
  <c r="P11" i="37"/>
  <c r="R11" i="37" s="1"/>
  <c r="P227" i="37"/>
  <c r="R227" i="37" s="1"/>
  <c r="P242" i="37"/>
  <c r="R242" i="37" s="1"/>
  <c r="P36" i="37"/>
  <c r="R36" i="37" s="1"/>
  <c r="P142" i="37"/>
  <c r="R142" i="37" s="1"/>
  <c r="P243" i="37"/>
  <c r="R243" i="37" s="1"/>
  <c r="P117" i="37"/>
  <c r="R117" i="37" s="1"/>
  <c r="P143" i="37"/>
  <c r="R143" i="37" s="1"/>
  <c r="P218" i="37"/>
  <c r="R218" i="37" s="1"/>
  <c r="P43" i="37"/>
  <c r="R43" i="37" s="1"/>
  <c r="P30" i="37"/>
  <c r="R30" i="37" s="1"/>
  <c r="P12" i="37"/>
  <c r="R12" i="37" s="1"/>
  <c r="P221" i="37"/>
  <c r="R221" i="37" s="1"/>
  <c r="P168" i="37"/>
  <c r="R168" i="37" s="1"/>
  <c r="P68" i="37"/>
  <c r="R68" i="37" s="1"/>
  <c r="P213" i="37"/>
  <c r="P200" i="37"/>
  <c r="R200" i="37" s="1"/>
  <c r="P71" i="37"/>
  <c r="R71" i="37" s="1"/>
  <c r="P74" i="37"/>
  <c r="R74" i="37" s="1"/>
  <c r="P235" i="37"/>
  <c r="R235" i="37" s="1"/>
  <c r="P201" i="37"/>
  <c r="P199" i="37"/>
  <c r="P13" i="37"/>
  <c r="P202" i="37"/>
  <c r="P33" i="37"/>
  <c r="P100" i="37"/>
  <c r="P53" i="37"/>
  <c r="P54" i="37"/>
  <c r="P50" i="37"/>
  <c r="P51" i="37"/>
  <c r="P52" i="37"/>
  <c r="P92" i="37"/>
  <c r="R92" i="37" s="1"/>
  <c r="P17" i="52"/>
  <c r="S17" i="52" s="1"/>
  <c r="O17" i="52"/>
  <c r="Q17" i="52" s="1"/>
  <c r="T17" i="52" s="1"/>
  <c r="Q16" i="52"/>
  <c r="T16" i="52" s="1"/>
  <c r="P16" i="52"/>
  <c r="S16" i="52" s="1"/>
  <c r="O16" i="52"/>
  <c r="S15" i="52"/>
  <c r="Q15" i="52"/>
  <c r="T15" i="52" s="1"/>
  <c r="P15" i="52"/>
  <c r="O15" i="52"/>
  <c r="S14" i="52"/>
  <c r="P14" i="52"/>
  <c r="O14" i="52"/>
  <c r="Q14" i="52" s="1"/>
  <c r="T14" i="52" s="1"/>
  <c r="P13" i="52"/>
  <c r="S13" i="52" s="1"/>
  <c r="O13" i="52"/>
  <c r="Q13" i="52" s="1"/>
  <c r="T13" i="52" s="1"/>
  <c r="Q12" i="52"/>
  <c r="T12" i="52" s="1"/>
  <c r="P12" i="52"/>
  <c r="S12" i="52" s="1"/>
  <c r="O12" i="52"/>
  <c r="S11" i="52"/>
  <c r="Q11" i="52"/>
  <c r="T11" i="52" s="1"/>
  <c r="P11" i="52"/>
  <c r="O11" i="52"/>
  <c r="S10" i="52"/>
  <c r="P10" i="52"/>
  <c r="O10" i="52"/>
  <c r="Q10" i="52" s="1"/>
  <c r="T10" i="52" s="1"/>
  <c r="P9" i="52"/>
  <c r="S9" i="52" s="1"/>
  <c r="O9" i="52"/>
  <c r="Q9" i="52" s="1"/>
  <c r="T9" i="52" s="1"/>
  <c r="Q8" i="52"/>
  <c r="T8" i="52" s="1"/>
  <c r="P8" i="52"/>
  <c r="S8" i="52" s="1"/>
  <c r="O8" i="52"/>
  <c r="S7" i="52"/>
  <c r="Q7" i="52"/>
  <c r="T7" i="52" s="1"/>
  <c r="P7" i="52"/>
  <c r="O7" i="52"/>
  <c r="S6" i="52"/>
  <c r="P6" i="52"/>
  <c r="O6" i="52"/>
  <c r="Q6" i="52" s="1"/>
  <c r="T6" i="52" s="1"/>
  <c r="Q235" i="37" l="1"/>
  <c r="Q74" i="37"/>
  <c r="Q71" i="37"/>
  <c r="Q200" i="37"/>
  <c r="Q68" i="37"/>
  <c r="Q168" i="37"/>
  <c r="Q221" i="37"/>
  <c r="Q12" i="37"/>
  <c r="Q30" i="37"/>
  <c r="Q43" i="37"/>
  <c r="Q218" i="37"/>
  <c r="Q143" i="37"/>
  <c r="Q117" i="37"/>
  <c r="Q243" i="37"/>
  <c r="Q142" i="37"/>
  <c r="Q36" i="37"/>
  <c r="Q242" i="37"/>
  <c r="Q227" i="37"/>
  <c r="Q11" i="37"/>
  <c r="Q42" i="37"/>
  <c r="Q217" i="37"/>
  <c r="Q231" i="37"/>
  <c r="Q10" i="37"/>
  <c r="Q241" i="37"/>
  <c r="Q73" i="37"/>
  <c r="Q19" i="37"/>
  <c r="Q120" i="37"/>
  <c r="Q8" i="37"/>
  <c r="Q203" i="37"/>
  <c r="Q204" i="37"/>
  <c r="Q31" i="37"/>
  <c r="Q136" i="37"/>
  <c r="Q228" i="37"/>
  <c r="Q14" i="37"/>
  <c r="Q153" i="37"/>
  <c r="Q7" i="37"/>
  <c r="Q83" i="37"/>
  <c r="Q65" i="37"/>
  <c r="Q219" i="37"/>
  <c r="Q161" i="37"/>
  <c r="Q163" i="37"/>
  <c r="Q182" i="37"/>
  <c r="Q60" i="37"/>
  <c r="Q5" i="37"/>
  <c r="Q232" i="37"/>
  <c r="Q184" i="37"/>
  <c r="Q61" i="37"/>
  <c r="Q6" i="37"/>
  <c r="Q47" i="37"/>
  <c r="Q225" i="37"/>
  <c r="Q185" i="37"/>
  <c r="Q59" i="37"/>
  <c r="Q134" i="37"/>
  <c r="Q149" i="37"/>
  <c r="Q229" i="37"/>
  <c r="Q165" i="37"/>
  <c r="Q226" i="37"/>
  <c r="Q41" i="37"/>
  <c r="Q40" i="37"/>
  <c r="Q178" i="37"/>
  <c r="Q208" i="37"/>
  <c r="Q138" i="37"/>
  <c r="Q207" i="37"/>
  <c r="Q38" i="37"/>
  <c r="Q187" i="37"/>
  <c r="Q126" i="37"/>
  <c r="Q104" i="37"/>
  <c r="Q125" i="37"/>
  <c r="Q121" i="37"/>
  <c r="Q103" i="37"/>
  <c r="Q88" i="37"/>
  <c r="Q23" i="37"/>
  <c r="Q70" i="37"/>
  <c r="Q176" i="37"/>
  <c r="Q196" i="37"/>
  <c r="Q75" i="37"/>
  <c r="Q246" i="37"/>
  <c r="Q192" i="37"/>
  <c r="Q72" i="37"/>
  <c r="Q179" i="37"/>
  <c r="Q69" i="37"/>
  <c r="Q9" i="37"/>
  <c r="Q80" i="37"/>
  <c r="Q76" i="37"/>
  <c r="Q96" i="37"/>
  <c r="Q95" i="37"/>
  <c r="Q20" i="37"/>
  <c r="Q4" i="37"/>
  <c r="Q216" i="37"/>
  <c r="Q214" i="37"/>
  <c r="Q113" i="37"/>
  <c r="Q114" i="37"/>
  <c r="Q245" i="37"/>
  <c r="Q190" i="37"/>
  <c r="Q191" i="37"/>
  <c r="Q212" i="37"/>
  <c r="Q81" i="37"/>
  <c r="Q244" i="37"/>
  <c r="Q215" i="37"/>
  <c r="Q37" i="37"/>
  <c r="Q123" i="37"/>
  <c r="Q18" i="37"/>
  <c r="Q141" i="37"/>
  <c r="Q144" i="37"/>
  <c r="Q238" i="37"/>
  <c r="Q147" i="37"/>
  <c r="Q146" i="37"/>
  <c r="Q140" i="37"/>
  <c r="Q133" i="37"/>
  <c r="Q239" i="37"/>
  <c r="Q197" i="37"/>
  <c r="Q97" i="37"/>
  <c r="Q87" i="37"/>
  <c r="Q101" i="37"/>
  <c r="Q135" i="37"/>
  <c r="Q64" i="37"/>
  <c r="Q224" i="37"/>
  <c r="Q63" i="37"/>
  <c r="Q25" i="37"/>
  <c r="Q102" i="37"/>
  <c r="Q112" i="37"/>
  <c r="Q233" i="37"/>
  <c r="Q82" i="37"/>
  <c r="Q39" i="37"/>
  <c r="Q62" i="37"/>
  <c r="Q86" i="37"/>
  <c r="Q183" i="37"/>
  <c r="Q137" i="37"/>
  <c r="Q127" i="37"/>
  <c r="Q84" i="37"/>
  <c r="Q99" i="37"/>
  <c r="Q195" i="37"/>
  <c r="Q166" i="37"/>
  <c r="Q194" i="37"/>
  <c r="Q85" i="37"/>
  <c r="Q167" i="37"/>
  <c r="Q98" i="37"/>
  <c r="Q189" i="37"/>
  <c r="Q28" i="37"/>
  <c r="Q209" i="37"/>
  <c r="Q240" i="37"/>
  <c r="Q26" i="37"/>
  <c r="Q164" i="37"/>
  <c r="Q124" i="37"/>
  <c r="Q108" i="37"/>
  <c r="Q236" i="37"/>
  <c r="Q109" i="37"/>
  <c r="Q110" i="37"/>
  <c r="Q173" i="37"/>
  <c r="Q130" i="37"/>
  <c r="Q105" i="37"/>
  <c r="Q171" i="37"/>
  <c r="Q44" i="37"/>
  <c r="Q160" i="37"/>
  <c r="Q29" i="37"/>
  <c r="Q237" i="37"/>
  <c r="Q175" i="37"/>
  <c r="Q17" i="37"/>
  <c r="Q234" i="37"/>
  <c r="Q16" i="37"/>
  <c r="Q180" i="37"/>
  <c r="Q27" i="37"/>
  <c r="Q186" i="37"/>
  <c r="Q79" i="37"/>
  <c r="Q129" i="37"/>
  <c r="Q128" i="37"/>
  <c r="Q48" i="37"/>
  <c r="Q107" i="37"/>
  <c r="Q15" i="37"/>
  <c r="Q115" i="37"/>
  <c r="Q45" i="37"/>
  <c r="Q46" i="37"/>
  <c r="Q67" i="37"/>
  <c r="Q77" i="37"/>
  <c r="Q116" i="37"/>
  <c r="Q205" i="37"/>
  <c r="Q78" i="37"/>
  <c r="Q169" i="37"/>
  <c r="Q174" i="37"/>
  <c r="Q170" i="37"/>
  <c r="Q172" i="37"/>
  <c r="Q188" i="37"/>
  <c r="Q94" i="37"/>
  <c r="Q24" i="37"/>
  <c r="Q151" i="37"/>
  <c r="Q156" i="37"/>
  <c r="Q119" i="37"/>
  <c r="Q157" i="37"/>
  <c r="Q150" i="37"/>
  <c r="Q155" i="37"/>
  <c r="Q193" i="37"/>
  <c r="Q118" i="37"/>
  <c r="Q111" i="37"/>
  <c r="Q91" i="37"/>
  <c r="Q90" i="37"/>
  <c r="Q132" i="37"/>
  <c r="Q211" i="37"/>
  <c r="Q148" i="37"/>
  <c r="Q210" i="37"/>
  <c r="Q131" i="37"/>
  <c r="Q152" i="37"/>
  <c r="Q106" i="37"/>
  <c r="Q93" i="37"/>
  <c r="Q92" i="37"/>
  <c r="G23" i="52"/>
  <c r="C23" i="52"/>
  <c r="K22" i="52"/>
  <c r="J22" i="52"/>
  <c r="G22" i="52"/>
  <c r="C22" i="52"/>
  <c r="G21" i="52"/>
  <c r="C21" i="52"/>
  <c r="K20" i="52"/>
  <c r="J20" i="52"/>
  <c r="G20" i="52"/>
  <c r="C20" i="52"/>
  <c r="G19" i="52"/>
  <c r="C19" i="52"/>
  <c r="D19" i="52" s="1"/>
  <c r="K18" i="52"/>
  <c r="J18" i="52"/>
  <c r="G18" i="52"/>
  <c r="C18" i="52"/>
  <c r="D18" i="52" s="1"/>
  <c r="K17" i="52"/>
  <c r="J17" i="52"/>
  <c r="G17" i="52"/>
  <c r="C17" i="52"/>
  <c r="D17" i="52" s="1"/>
  <c r="K16" i="52"/>
  <c r="J16" i="52"/>
  <c r="G16" i="52"/>
  <c r="C16" i="52"/>
  <c r="D16" i="52" s="1"/>
  <c r="G15" i="52"/>
  <c r="C15" i="52"/>
  <c r="K14" i="52"/>
  <c r="J14" i="52"/>
  <c r="G14" i="52"/>
  <c r="C14" i="52"/>
  <c r="K13" i="52"/>
  <c r="J13" i="52"/>
  <c r="G13" i="52"/>
  <c r="C13" i="52"/>
  <c r="G12" i="52"/>
  <c r="C12" i="52"/>
  <c r="K11" i="52"/>
  <c r="J11" i="52"/>
  <c r="G11" i="52"/>
  <c r="C11" i="52"/>
  <c r="K10" i="52"/>
  <c r="J10" i="52"/>
  <c r="G10" i="52"/>
  <c r="C10" i="52"/>
  <c r="K9" i="52"/>
  <c r="J9" i="52"/>
  <c r="G9" i="52"/>
  <c r="C9" i="52"/>
  <c r="G8" i="52"/>
  <c r="C8" i="52"/>
  <c r="K7" i="52"/>
  <c r="J7" i="52"/>
  <c r="G7" i="52"/>
  <c r="C7" i="52"/>
  <c r="D7" i="52" s="1"/>
  <c r="K6" i="52"/>
  <c r="J6" i="52"/>
  <c r="G6" i="52"/>
  <c r="C6" i="52"/>
  <c r="D9" i="52" l="1"/>
  <c r="D10" i="52"/>
  <c r="D11" i="52"/>
  <c r="D12" i="52"/>
  <c r="D8" i="52"/>
  <c r="D23" i="52"/>
  <c r="D13" i="52"/>
  <c r="D20" i="52"/>
  <c r="G10" i="38" l="1"/>
  <c r="G11" i="38"/>
  <c r="G12" i="38"/>
  <c r="G13" i="38"/>
  <c r="G14" i="38"/>
  <c r="G18" i="38"/>
  <c r="G15" i="38"/>
  <c r="G16" i="38"/>
  <c r="G17" i="38"/>
  <c r="G19" i="38"/>
  <c r="F8" i="38" l="1"/>
  <c r="G8" i="38"/>
  <c r="S4" i="42" l="1"/>
  <c r="S5" i="42"/>
  <c r="S6" i="42"/>
  <c r="S7" i="42"/>
  <c r="S8" i="42"/>
  <c r="S9" i="42"/>
  <c r="V92" i="43" l="1"/>
  <c r="S56" i="43"/>
  <c r="T56" i="43" s="1"/>
  <c r="S57" i="43"/>
  <c r="T57" i="43" s="1"/>
  <c r="S58" i="43"/>
  <c r="T58" i="43" s="1"/>
  <c r="S59" i="43"/>
  <c r="T59" i="43" s="1"/>
  <c r="S60" i="43"/>
  <c r="T60" i="43" s="1"/>
  <c r="S61" i="43"/>
  <c r="T61" i="43" s="1"/>
  <c r="S62" i="43"/>
  <c r="T62" i="43" s="1"/>
  <c r="S63" i="43"/>
  <c r="T63" i="43" s="1"/>
  <c r="S64" i="43"/>
  <c r="T64" i="43" s="1"/>
  <c r="S65" i="43"/>
  <c r="T65" i="43" s="1"/>
  <c r="S55" i="43"/>
  <c r="T55" i="43" s="1"/>
  <c r="S91" i="43"/>
  <c r="T91" i="43" s="1"/>
  <c r="S76" i="43"/>
  <c r="T76" i="43" s="1"/>
  <c r="S90" i="43"/>
  <c r="T90" i="43" s="1"/>
  <c r="S89" i="43"/>
  <c r="T89" i="43" s="1"/>
  <c r="S80" i="43"/>
  <c r="T80" i="43" s="1"/>
  <c r="S88" i="43"/>
  <c r="T88" i="43" s="1"/>
  <c r="S87" i="43"/>
  <c r="T87" i="43" s="1"/>
  <c r="S86" i="43"/>
  <c r="T86" i="43" s="1"/>
  <c r="S85" i="43"/>
  <c r="T85" i="43" s="1"/>
  <c r="S84" i="43"/>
  <c r="T84" i="43" s="1"/>
  <c r="S83" i="43"/>
  <c r="T83" i="43" s="1"/>
  <c r="S82" i="43"/>
  <c r="T82" i="43" s="1"/>
  <c r="S81" i="43"/>
  <c r="T81" i="43" s="1"/>
  <c r="S79" i="43"/>
  <c r="T79" i="43" s="1"/>
  <c r="S78" i="43"/>
  <c r="T78" i="43" s="1"/>
  <c r="S77" i="43"/>
  <c r="T77" i="43" s="1"/>
  <c r="S75" i="43"/>
  <c r="T75" i="43" s="1"/>
  <c r="S95" i="43"/>
  <c r="T95" i="43" s="1"/>
  <c r="S96" i="43" l="1"/>
  <c r="T96" i="43" s="1"/>
  <c r="AF9" i="42" l="1"/>
  <c r="AF8" i="42"/>
  <c r="AF7" i="42"/>
  <c r="AF6" i="42"/>
  <c r="AF5" i="42"/>
  <c r="AF4" i="42"/>
  <c r="AL5" i="41"/>
  <c r="AK5" i="41"/>
  <c r="AL4" i="41"/>
  <c r="AK4" i="41"/>
  <c r="AG4" i="41"/>
  <c r="AM5" i="41" l="1"/>
  <c r="AM4" i="41"/>
  <c r="AG5" i="42" l="1"/>
  <c r="AD5" i="41" l="1"/>
  <c r="AE5" i="41" s="1"/>
  <c r="AI9" i="42"/>
  <c r="AI7" i="42"/>
  <c r="AI6" i="42"/>
  <c r="AI4" i="42"/>
  <c r="AI8" i="42"/>
  <c r="AP5" i="41" l="1"/>
  <c r="AP4" i="41"/>
  <c r="Y8" i="42" l="1"/>
  <c r="Z8" i="42" s="1"/>
  <c r="Y4" i="42"/>
  <c r="Z4" i="42" s="1"/>
  <c r="AA4" i="42" s="1"/>
  <c r="AB4" i="42" s="1"/>
  <c r="Y9" i="42"/>
  <c r="Z9" i="42" s="1"/>
  <c r="AA9" i="42" s="1"/>
  <c r="AB9" i="42" s="1"/>
  <c r="X5" i="42"/>
  <c r="Y5" i="42" s="1"/>
  <c r="Z5" i="42" s="1"/>
  <c r="Y7" i="42"/>
  <c r="Z7" i="42" s="1"/>
  <c r="AA7" i="42" s="1"/>
  <c r="AB7" i="42" s="1"/>
  <c r="AF5" i="41"/>
  <c r="AG5" i="41" s="1"/>
  <c r="AA8" i="42" l="1"/>
  <c r="AB8" i="42" s="1"/>
  <c r="AC4" i="42"/>
  <c r="AD4" i="42" s="1"/>
  <c r="AE4" i="42" s="1"/>
  <c r="AC9" i="42"/>
  <c r="AC7" i="42"/>
  <c r="AD7" i="42" s="1"/>
  <c r="AE7" i="42" s="1"/>
  <c r="Y6" i="42"/>
  <c r="AA5" i="42"/>
  <c r="AB5" i="42" s="1"/>
  <c r="AH4" i="41"/>
  <c r="AI4" i="41" s="1"/>
  <c r="AJ4" i="41" s="1"/>
  <c r="AH5" i="41"/>
  <c r="AI5" i="41" s="1"/>
  <c r="AJ5" i="41" s="1"/>
  <c r="N15" i="39"/>
  <c r="M15" i="39"/>
  <c r="L15" i="39"/>
  <c r="L31" i="39" s="1"/>
  <c r="K15" i="39"/>
  <c r="J15" i="39"/>
  <c r="I15" i="39"/>
  <c r="H15" i="39"/>
  <c r="H31" i="39" s="1"/>
  <c r="G15" i="39"/>
  <c r="F15" i="39"/>
  <c r="E15" i="39"/>
  <c r="D15" i="39"/>
  <c r="D31" i="39" s="1"/>
  <c r="N30" i="39"/>
  <c r="M30" i="39"/>
  <c r="L30" i="39"/>
  <c r="K30" i="39"/>
  <c r="J30" i="39"/>
  <c r="I30" i="39"/>
  <c r="H30" i="39"/>
  <c r="G30" i="39"/>
  <c r="F30" i="39"/>
  <c r="E30" i="39"/>
  <c r="D30" i="39"/>
  <c r="N15" i="40"/>
  <c r="M15" i="40"/>
  <c r="L15" i="40"/>
  <c r="K15" i="40"/>
  <c r="J15" i="40"/>
  <c r="I15" i="40"/>
  <c r="H15" i="40"/>
  <c r="G15" i="40"/>
  <c r="F15" i="40"/>
  <c r="E15" i="40"/>
  <c r="D15" i="40"/>
  <c r="N30" i="40"/>
  <c r="M30" i="40"/>
  <c r="L30" i="40"/>
  <c r="K30" i="40"/>
  <c r="J30" i="40"/>
  <c r="I30" i="40"/>
  <c r="H30" i="40"/>
  <c r="G30" i="40"/>
  <c r="F30" i="40"/>
  <c r="E30" i="40"/>
  <c r="D30" i="40"/>
  <c r="D31" i="40"/>
  <c r="E16" i="40"/>
  <c r="F16" i="40" s="1"/>
  <c r="G16" i="40" s="1"/>
  <c r="H16" i="40" s="1"/>
  <c r="I16" i="40" s="1"/>
  <c r="J16" i="40" s="1"/>
  <c r="K16" i="40" s="1"/>
  <c r="L16" i="40" s="1"/>
  <c r="M16" i="40" s="1"/>
  <c r="N16" i="40" s="1"/>
  <c r="E1" i="40"/>
  <c r="F1" i="40" s="1"/>
  <c r="G1" i="40" s="1"/>
  <c r="H1" i="40" s="1"/>
  <c r="I1" i="40" s="1"/>
  <c r="J1" i="40" s="1"/>
  <c r="K1" i="40" s="1"/>
  <c r="L1" i="40" s="1"/>
  <c r="M1" i="40" s="1"/>
  <c r="N1" i="40" s="1"/>
  <c r="E16" i="39"/>
  <c r="F16" i="39" s="1"/>
  <c r="G16" i="39" s="1"/>
  <c r="H16" i="39" s="1"/>
  <c r="I16" i="39" s="1"/>
  <c r="J16" i="39" s="1"/>
  <c r="K16" i="39" s="1"/>
  <c r="L16" i="39" s="1"/>
  <c r="M16" i="39" s="1"/>
  <c r="N16" i="39" s="1"/>
  <c r="E1" i="39"/>
  <c r="F1" i="39" s="1"/>
  <c r="G1" i="39" s="1"/>
  <c r="H1" i="39" s="1"/>
  <c r="I1" i="39" s="1"/>
  <c r="J1" i="39" s="1"/>
  <c r="K1" i="39" s="1"/>
  <c r="L1" i="39" s="1"/>
  <c r="M1" i="39" s="1"/>
  <c r="N1" i="39" s="1"/>
  <c r="K31" i="39" l="1"/>
  <c r="G31" i="39"/>
  <c r="G32" i="39" s="1"/>
  <c r="G33" i="39" s="1"/>
  <c r="F31" i="39"/>
  <c r="J31" i="39"/>
  <c r="N31" i="39"/>
  <c r="L32" i="39"/>
  <c r="L33" i="39" s="1"/>
  <c r="E31" i="39"/>
  <c r="E32" i="39" s="1"/>
  <c r="I31" i="39"/>
  <c r="I32" i="39" s="1"/>
  <c r="I33" i="39" s="1"/>
  <c r="M31" i="39"/>
  <c r="M32" i="39" s="1"/>
  <c r="M33" i="39" s="1"/>
  <c r="AC8" i="42"/>
  <c r="AD8" i="42" s="1"/>
  <c r="AE8" i="42" s="1"/>
  <c r="Z6" i="42"/>
  <c r="AA6" i="42" s="1"/>
  <c r="AC5" i="42"/>
  <c r="AD5" i="42" s="1"/>
  <c r="AE5" i="42" s="1"/>
  <c r="AD9" i="42"/>
  <c r="AE9" i="42" s="1"/>
  <c r="K32" i="39"/>
  <c r="K33" i="39" s="1"/>
  <c r="K31" i="40"/>
  <c r="G31" i="40"/>
  <c r="F31" i="40"/>
  <c r="J31" i="40"/>
  <c r="N31" i="40"/>
  <c r="H31" i="40"/>
  <c r="H32" i="40" s="1"/>
  <c r="H33" i="40" s="1"/>
  <c r="L31" i="40"/>
  <c r="I31" i="40"/>
  <c r="M31" i="40"/>
  <c r="E31" i="40"/>
  <c r="E32" i="40" s="1"/>
  <c r="K32" i="40" l="1"/>
  <c r="K33" i="40" s="1"/>
  <c r="L32" i="40"/>
  <c r="L33" i="40" s="1"/>
  <c r="N32" i="39"/>
  <c r="N33" i="39" s="1"/>
  <c r="H32" i="39"/>
  <c r="H33" i="39" s="1"/>
  <c r="F32" i="39"/>
  <c r="F33" i="39" s="1"/>
  <c r="F32" i="40"/>
  <c r="F33" i="40" s="1"/>
  <c r="J32" i="39"/>
  <c r="J33" i="39" s="1"/>
  <c r="AB6" i="42"/>
  <c r="AC6" i="42" s="1"/>
  <c r="AD6" i="42" s="1"/>
  <c r="AE6" i="42" s="1"/>
  <c r="M32" i="40"/>
  <c r="M33" i="40" s="1"/>
  <c r="N32" i="40"/>
  <c r="N33" i="40" s="1"/>
  <c r="G32" i="40"/>
  <c r="G33" i="40" s="1"/>
  <c r="I32" i="40"/>
  <c r="I33" i="40" s="1"/>
  <c r="J32" i="40"/>
  <c r="J33" i="40" s="1"/>
  <c r="J4" i="30" l="1"/>
  <c r="O15" i="33"/>
  <c r="O32" i="33" s="1"/>
  <c r="N15" i="33"/>
  <c r="N32" i="33" s="1"/>
  <c r="M15" i="33"/>
  <c r="M32" i="33" s="1"/>
  <c r="L15" i="33"/>
  <c r="L32" i="33" s="1"/>
  <c r="K15" i="33"/>
  <c r="K32" i="33" s="1"/>
  <c r="J15" i="33"/>
  <c r="J32" i="33" s="1"/>
  <c r="I15" i="33"/>
  <c r="I32" i="33" s="1"/>
  <c r="H15" i="33"/>
  <c r="H32" i="33" s="1"/>
  <c r="G15" i="33"/>
  <c r="G32" i="33" s="1"/>
  <c r="F15" i="33"/>
  <c r="F32" i="33" s="1"/>
  <c r="E15" i="33"/>
  <c r="E32" i="33" s="1"/>
  <c r="D15" i="33"/>
  <c r="D32" i="33" s="1"/>
  <c r="O30" i="33"/>
  <c r="N30" i="33"/>
  <c r="M30" i="33"/>
  <c r="L30" i="33"/>
  <c r="K30" i="33"/>
  <c r="J30" i="33"/>
  <c r="I30" i="33"/>
  <c r="H30" i="33"/>
  <c r="G30" i="33"/>
  <c r="F30" i="33"/>
  <c r="E30" i="33"/>
  <c r="D30" i="33"/>
  <c r="E16" i="33"/>
  <c r="F16" i="33" s="1"/>
  <c r="G16" i="33" s="1"/>
  <c r="H16" i="33" s="1"/>
  <c r="I16" i="33" s="1"/>
  <c r="J16" i="33" s="1"/>
  <c r="K16" i="33" s="1"/>
  <c r="L16" i="33" s="1"/>
  <c r="M16" i="33" s="1"/>
  <c r="N16" i="33" s="1"/>
  <c r="O16" i="33" s="1"/>
  <c r="E1" i="33"/>
  <c r="F1" i="33" s="1"/>
  <c r="G1" i="33" s="1"/>
  <c r="H1" i="33" s="1"/>
  <c r="I1" i="33" s="1"/>
  <c r="J1" i="33" s="1"/>
  <c r="K1" i="33" s="1"/>
  <c r="L1" i="33" s="1"/>
  <c r="M1" i="33" s="1"/>
  <c r="N1" i="33" s="1"/>
  <c r="O1" i="33" s="1"/>
  <c r="O30" i="28"/>
  <c r="N30" i="28"/>
  <c r="M30" i="28"/>
  <c r="L30" i="28"/>
  <c r="K30" i="28"/>
  <c r="J30" i="28"/>
  <c r="I30" i="28"/>
  <c r="H30" i="28"/>
  <c r="G30" i="28"/>
  <c r="F30" i="28"/>
  <c r="E30" i="28"/>
  <c r="D30" i="28"/>
  <c r="E16" i="28"/>
  <c r="F16" i="28" s="1"/>
  <c r="G16" i="28" s="1"/>
  <c r="H16" i="28" s="1"/>
  <c r="I16" i="28" s="1"/>
  <c r="J16" i="28" s="1"/>
  <c r="K16" i="28" s="1"/>
  <c r="L16" i="28" s="1"/>
  <c r="M16" i="28" s="1"/>
  <c r="N16" i="28" s="1"/>
  <c r="O16" i="28" s="1"/>
  <c r="O15" i="28"/>
  <c r="N15" i="28"/>
  <c r="M15" i="28"/>
  <c r="M32" i="28" s="1"/>
  <c r="M35" i="28" s="1"/>
  <c r="L15" i="28"/>
  <c r="K15" i="28"/>
  <c r="J15" i="28"/>
  <c r="I15" i="28"/>
  <c r="H15" i="28"/>
  <c r="G15" i="28"/>
  <c r="F15" i="28"/>
  <c r="E15" i="28"/>
  <c r="D15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E1" i="28"/>
  <c r="F1" i="28" s="1"/>
  <c r="G1" i="28" s="1"/>
  <c r="H1" i="28" s="1"/>
  <c r="I1" i="28" s="1"/>
  <c r="J1" i="28" s="1"/>
  <c r="K1" i="28" s="1"/>
  <c r="L1" i="28" s="1"/>
  <c r="M1" i="28" s="1"/>
  <c r="N1" i="28" s="1"/>
  <c r="O1" i="28" s="1"/>
  <c r="N32" i="28" l="1"/>
  <c r="N35" i="28" s="1"/>
  <c r="D32" i="28"/>
  <c r="D35" i="28" s="1"/>
  <c r="H32" i="28"/>
  <c r="H35" i="28" s="1"/>
  <c r="L32" i="28"/>
  <c r="L35" i="28" s="1"/>
  <c r="G32" i="28"/>
  <c r="G35" i="28" s="1"/>
  <c r="K32" i="28"/>
  <c r="K35" i="28" s="1"/>
  <c r="O32" i="28"/>
  <c r="O35" i="28" s="1"/>
  <c r="G35" i="33"/>
  <c r="K35" i="33"/>
  <c r="O35" i="33"/>
  <c r="G36" i="33"/>
  <c r="K36" i="33"/>
  <c r="O36" i="33"/>
  <c r="D35" i="33"/>
  <c r="H35" i="33"/>
  <c r="L35" i="33"/>
  <c r="D36" i="33"/>
  <c r="H36" i="33"/>
  <c r="L36" i="33"/>
  <c r="E35" i="33"/>
  <c r="I35" i="33"/>
  <c r="M35" i="33"/>
  <c r="E36" i="33"/>
  <c r="I36" i="33"/>
  <c r="M36" i="33"/>
  <c r="F35" i="33"/>
  <c r="J35" i="33"/>
  <c r="N35" i="33"/>
  <c r="F36" i="33"/>
  <c r="J36" i="33"/>
  <c r="N36" i="33"/>
  <c r="E32" i="28"/>
  <c r="E35" i="28" s="1"/>
  <c r="I32" i="28"/>
  <c r="I35" i="28" s="1"/>
  <c r="F32" i="28"/>
  <c r="F35" i="28" s="1"/>
  <c r="J32" i="28"/>
  <c r="J35" i="28" s="1"/>
  <c r="P36" i="33" l="1"/>
  <c r="Q36" i="3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<sst xmlns="http://schemas.openxmlformats.org/spreadsheetml/2006/main" count="6047" uniqueCount="1361">
  <si>
    <t>Initial Level</t>
  </si>
  <si>
    <t>M10</t>
  </si>
  <si>
    <t>M11</t>
  </si>
  <si>
    <t>M12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</si>
  <si>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</si>
  <si>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</si>
  <si>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</si>
  <si>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</si>
  <si>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</si>
  <si>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</si>
  <si>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</si>
  <si>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</si>
  <si>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</si>
  <si>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Owner</t>
  </si>
  <si>
    <t>Latitude</t>
  </si>
  <si>
    <t>Longitude</t>
  </si>
  <si>
    <t>Installed Capacity</t>
  </si>
  <si>
    <t>Start Year</t>
  </si>
  <si>
    <t>Project Name</t>
  </si>
  <si>
    <t>(MW)</t>
  </si>
  <si>
    <t>(GWh/year)</t>
  </si>
  <si>
    <t>Location</t>
  </si>
  <si>
    <t>Transmission</t>
  </si>
  <si>
    <t>($/MWh)</t>
  </si>
  <si>
    <t>Fixed O&amp;M Cost</t>
  </si>
  <si>
    <t>Variable O&amp;M Cost</t>
  </si>
  <si>
    <t>Minimum Up Time</t>
  </si>
  <si>
    <t>Minimum Down Time</t>
  </si>
  <si>
    <t>Shut Down Costs</t>
  </si>
  <si>
    <t>Shut Down Ramp Limit</t>
  </si>
  <si>
    <t>(%/min)</t>
  </si>
  <si>
    <t>(hours)</t>
  </si>
  <si>
    <t>(%)</t>
  </si>
  <si>
    <t>Operating Reserve Fraction</t>
  </si>
  <si>
    <t>Characteristics of existing system transmission</t>
  </si>
  <si>
    <t>LEGEND</t>
  </si>
  <si>
    <t>Start Up Ramp Limit</t>
  </si>
  <si>
    <t>Start Up Costs</t>
  </si>
  <si>
    <t>[MW/hr p MWcap]</t>
  </si>
  <si>
    <t>(S/MWcap)</t>
  </si>
  <si>
    <t>DESIGN</t>
  </si>
  <si>
    <t>OPERATIONS</t>
  </si>
  <si>
    <t>Voltage</t>
  </si>
  <si>
    <t>Length</t>
  </si>
  <si>
    <t># of units</t>
  </si>
  <si>
    <t>Must Run</t>
  </si>
  <si>
    <t>(T/F)</t>
  </si>
  <si>
    <t>Notes</t>
  </si>
  <si>
    <t>Low Volume</t>
  </si>
  <si>
    <t>High Volume</t>
  </si>
  <si>
    <t>(m)</t>
  </si>
  <si>
    <t>OPERATING COSTS</t>
  </si>
  <si>
    <t xml:space="preserve">Inc Heat Rate @ Max </t>
  </si>
  <si>
    <t>(MMBtu/MWh)</t>
  </si>
  <si>
    <t>Forced Outage Rate</t>
  </si>
  <si>
    <t>Live Storage</t>
  </si>
  <si>
    <t>Notes:</t>
  </si>
  <si>
    <t>Station Flow</t>
  </si>
  <si>
    <t>(WSC#)</t>
  </si>
  <si>
    <t>all other colours are linked to references</t>
  </si>
  <si>
    <t>System</t>
  </si>
  <si>
    <t>Miscellaneous provincial system characteristics</t>
  </si>
  <si>
    <t>Cumulative DSM</t>
  </si>
  <si>
    <t>Incremental Annual DSM</t>
  </si>
  <si>
    <t>Incremental Annual DSM / Mid-load (before DSM)</t>
  </si>
  <si>
    <t>%</t>
  </si>
  <si>
    <t>MW</t>
  </si>
  <si>
    <t>Reserve Requirements</t>
  </si>
  <si>
    <t>(% installed MW)</t>
  </si>
  <si>
    <t>Number of Circuits</t>
  </si>
  <si>
    <t>Circuit ID</t>
  </si>
  <si>
    <t>(kV)</t>
  </si>
  <si>
    <t>(A)</t>
  </si>
  <si>
    <t>(km)</t>
  </si>
  <si>
    <t>Spin Up Ramp Rate</t>
  </si>
  <si>
    <t>Spin Down Ramp Rate</t>
  </si>
  <si>
    <t>Calculated values (may be overlain by reference shading)</t>
  </si>
  <si>
    <t>(% across system)</t>
  </si>
  <si>
    <t>Upper Storage Level</t>
  </si>
  <si>
    <t>Lower Storage Level</t>
  </si>
  <si>
    <t>GWh</t>
  </si>
  <si>
    <t>End Year</t>
  </si>
  <si>
    <t>Maximum Level</t>
  </si>
  <si>
    <t>Minimum Level</t>
  </si>
  <si>
    <t>(m3)</t>
  </si>
  <si>
    <t>(m3/s)</t>
  </si>
  <si>
    <t>Minimum Capacity</t>
  </si>
  <si>
    <t>Maximum Capacity</t>
  </si>
  <si>
    <t>RH Additions, Comments and TODOs</t>
  </si>
  <si>
    <t>Remote projects are not included in this list.</t>
  </si>
  <si>
    <t>See calculations sheets for sources of values.</t>
  </si>
  <si>
    <t>Sources</t>
  </si>
  <si>
    <t>EXISTING GENERATION</t>
  </si>
  <si>
    <t>Maximum</t>
  </si>
  <si>
    <t>(MVA)</t>
  </si>
  <si>
    <t>EXISTING TRANSMISSION</t>
  </si>
  <si>
    <t>SYSTEM CHARACTERISTICS</t>
  </si>
  <si>
    <t>NL</t>
  </si>
  <si>
    <t>Fermeuse</t>
  </si>
  <si>
    <t>Elemental Energy</t>
  </si>
  <si>
    <t>St. Lawrence</t>
  </si>
  <si>
    <t>Nalcor Energy</t>
  </si>
  <si>
    <t>Hinds Lake</t>
  </si>
  <si>
    <t>Granite Canal</t>
  </si>
  <si>
    <t>Paradise River</t>
  </si>
  <si>
    <t>Northern Peninsula</t>
  </si>
  <si>
    <t>Grand Lake</t>
  </si>
  <si>
    <t>Bay D'Espoir System</t>
  </si>
  <si>
    <t>Star Lake</t>
  </si>
  <si>
    <t>Muskrat Falls</t>
  </si>
  <si>
    <t>Cape Broyle</t>
  </si>
  <si>
    <t>Deer Lake</t>
  </si>
  <si>
    <t>Grand Falls</t>
  </si>
  <si>
    <t>Hearts Content</t>
  </si>
  <si>
    <t>Horsechops</t>
  </si>
  <si>
    <t>Mobile</t>
  </si>
  <si>
    <t>New Chelsea</t>
  </si>
  <si>
    <t>Rocky Pond</t>
  </si>
  <si>
    <t>Rose Blanche</t>
  </si>
  <si>
    <t>Sandy Brook</t>
  </si>
  <si>
    <t>Topsail</t>
  </si>
  <si>
    <t>Tors Cove</t>
  </si>
  <si>
    <t>Kruger Energy</t>
  </si>
  <si>
    <t>Newfoundland Power</t>
  </si>
  <si>
    <t>Churchill Falls, Labrador</t>
  </si>
  <si>
    <t>Churchill River, Labrador</t>
  </si>
  <si>
    <t xml:space="preserve">Cornerbrook </t>
  </si>
  <si>
    <t>Cornerbrook</t>
  </si>
  <si>
    <t>Exploits River</t>
  </si>
  <si>
    <t>St. John's</t>
  </si>
  <si>
    <t>Avalon</t>
  </si>
  <si>
    <t>Clarenville</t>
  </si>
  <si>
    <t>Burin</t>
  </si>
  <si>
    <t>Wesleyville</t>
  </si>
  <si>
    <t>Greenhill</t>
  </si>
  <si>
    <t>Stephenville</t>
  </si>
  <si>
    <t>Port Aux Basques</t>
  </si>
  <si>
    <t>Morris</t>
  </si>
  <si>
    <t>Conception Bay South</t>
  </si>
  <si>
    <t>Hardwoods</t>
  </si>
  <si>
    <t>Capacities for 60 Hz units assumed equivalent</t>
  </si>
  <si>
    <t>Enel North America Inc.</t>
  </si>
  <si>
    <t>n/a</t>
  </si>
  <si>
    <t>St. Anthony</t>
  </si>
  <si>
    <t>Hawke's Bay</t>
  </si>
  <si>
    <t>Upper Salmon</t>
  </si>
  <si>
    <t>Vale Capacity Assistance</t>
  </si>
  <si>
    <t>Vale</t>
  </si>
  <si>
    <t>Rattle Brook</t>
  </si>
  <si>
    <t>Algonquin Power</t>
  </si>
  <si>
    <t>Churchill Falls TwinCo</t>
  </si>
  <si>
    <t>Churchill Falls  Recall Power</t>
  </si>
  <si>
    <t>Churchill River</t>
  </si>
  <si>
    <t>03OD005</t>
  </si>
  <si>
    <t>East Forebay</t>
  </si>
  <si>
    <t>03OE001</t>
  </si>
  <si>
    <t>03OE014</t>
  </si>
  <si>
    <t>03OE001 prior to full reservoir inundation</t>
  </si>
  <si>
    <t>Cat Arm</t>
  </si>
  <si>
    <t>02YF001</t>
  </si>
  <si>
    <t>Cat Arm Reservoir</t>
  </si>
  <si>
    <t>White Bay</t>
  </si>
  <si>
    <t>02YK001</t>
  </si>
  <si>
    <t>02YL007</t>
  </si>
  <si>
    <t>Happy Valley - Goose Bay, Labrador</t>
  </si>
  <si>
    <t>02YO016</t>
  </si>
  <si>
    <t>Red Indian Lake</t>
  </si>
  <si>
    <t>02YO017</t>
  </si>
  <si>
    <t>02YO001</t>
  </si>
  <si>
    <t>Granite Lake</t>
  </si>
  <si>
    <t>02ZC004</t>
  </si>
  <si>
    <t>02ZD003</t>
  </si>
  <si>
    <t>Meelpaeg</t>
  </si>
  <si>
    <t>Jeddore Lake</t>
  </si>
  <si>
    <t>02ZE003</t>
  </si>
  <si>
    <t>UNITS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</si>
  <si>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</si>
  <si>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</si>
  <si>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</si>
  <si>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</si>
  <si>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</si>
  <si>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</si>
  <si>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</si>
  <si>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</si>
  <si>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</si>
  <si>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</si>
  <si>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</si>
  <si>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</si>
  <si>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GWh/year</t>
  </si>
  <si>
    <t>Mid-load (after DSM)</t>
  </si>
  <si>
    <t>Newfoundland Power MW are purchase requirements. Annual maximum reflects average (P50) peak demand weather conditions, no load curtailed and expected NP generation.</t>
  </si>
  <si>
    <t>Hydro Rural Interconnected annual maximum MW requirements reflect average (P50) peak demand weather conditions.</t>
  </si>
  <si>
    <t>Island Interconnected System (IIS)</t>
  </si>
  <si>
    <t>Labrador Interconnected System (LIS)</t>
  </si>
  <si>
    <t>IIS Mid-load (before DSM)</t>
  </si>
  <si>
    <t>LIS Mid-load (before DSM)</t>
  </si>
  <si>
    <t>Peak</t>
  </si>
  <si>
    <t>NL Mid-load (before DSM)</t>
  </si>
  <si>
    <t xml:space="preserve">Labrador Industrial load does not include a forecasted load for the reactiviation of Wabush mines by Tacora Resources. </t>
  </si>
  <si>
    <t>After 2021, the IIS and LIS will be interconnected, so there will no longer be separate peak demands for the two systems.</t>
  </si>
  <si>
    <t>Nalcor Line Losses</t>
  </si>
  <si>
    <t>NP Line Losses</t>
  </si>
  <si>
    <t>Total Line Losses</t>
  </si>
  <si>
    <t>Nalcor line losses reflect average of the three years 2016-2018.</t>
  </si>
  <si>
    <t>TL256</t>
  </si>
  <si>
    <t>TL201</t>
  </si>
  <si>
    <t>TL202</t>
  </si>
  <si>
    <t>TL203</t>
  </si>
  <si>
    <t>TL204</t>
  </si>
  <si>
    <t>TL205</t>
  </si>
  <si>
    <t>TL206</t>
  </si>
  <si>
    <t>TL207</t>
  </si>
  <si>
    <t>TL208</t>
  </si>
  <si>
    <t>TL209</t>
  </si>
  <si>
    <t>TL210</t>
  </si>
  <si>
    <t>TL211</t>
  </si>
  <si>
    <t>TL212</t>
  </si>
  <si>
    <t>TL214</t>
  </si>
  <si>
    <t>TL215</t>
  </si>
  <si>
    <t>TL217</t>
  </si>
  <si>
    <t>TL218</t>
  </si>
  <si>
    <t>TL219</t>
  </si>
  <si>
    <t>TL220</t>
  </si>
  <si>
    <t>TL221</t>
  </si>
  <si>
    <t>TL222</t>
  </si>
  <si>
    <t>TL223</t>
  </si>
  <si>
    <t>TL224</t>
  </si>
  <si>
    <t>TL225</t>
  </si>
  <si>
    <t>TL226</t>
  </si>
  <si>
    <t>TL227</t>
  </si>
  <si>
    <t>TL228</t>
  </si>
  <si>
    <t>TL229</t>
  </si>
  <si>
    <t>TL231</t>
  </si>
  <si>
    <t>TL232</t>
  </si>
  <si>
    <t>TL233</t>
  </si>
  <si>
    <t>TL234</t>
  </si>
  <si>
    <t>TL235</t>
  </si>
  <si>
    <t>TL236</t>
  </si>
  <si>
    <t>TL237</t>
  </si>
  <si>
    <t>TL238</t>
  </si>
  <si>
    <t>TL239</t>
  </si>
  <si>
    <t>TL241</t>
  </si>
  <si>
    <t>TL242</t>
  </si>
  <si>
    <t>TL243</t>
  </si>
  <si>
    <t>TL244</t>
  </si>
  <si>
    <t>TL245</t>
  </si>
  <si>
    <t>TL247</t>
  </si>
  <si>
    <t>TL248</t>
  </si>
  <si>
    <t>TL250</t>
  </si>
  <si>
    <t>TL251</t>
  </si>
  <si>
    <t>TL252</t>
  </si>
  <si>
    <t>TL253</t>
  </si>
  <si>
    <t>TL254</t>
  </si>
  <si>
    <t>TL259</t>
  </si>
  <si>
    <t>TL260</t>
  </si>
  <si>
    <t>TL261</t>
  </si>
  <si>
    <t>TL257B</t>
  </si>
  <si>
    <t>TL257A</t>
  </si>
  <si>
    <t>Seal Cove</t>
  </si>
  <si>
    <t>TL280</t>
  </si>
  <si>
    <t>TL264</t>
  </si>
  <si>
    <t>TL263</t>
  </si>
  <si>
    <t>(ac/dc)</t>
  </si>
  <si>
    <t>dc</t>
  </si>
  <si>
    <t>Emera</t>
  </si>
  <si>
    <t>TL262</t>
  </si>
  <si>
    <t>ac</t>
  </si>
  <si>
    <t>L3101</t>
  </si>
  <si>
    <t>L3102</t>
  </si>
  <si>
    <t>L2303</t>
  </si>
  <si>
    <t>L2304</t>
  </si>
  <si>
    <t>100L</t>
  </si>
  <si>
    <t>101L</t>
  </si>
  <si>
    <t>102L</t>
  </si>
  <si>
    <t>103L</t>
  </si>
  <si>
    <t>104L</t>
  </si>
  <si>
    <t>105L</t>
  </si>
  <si>
    <t>108L</t>
  </si>
  <si>
    <t>109L</t>
  </si>
  <si>
    <t>110L</t>
  </si>
  <si>
    <t>111L</t>
  </si>
  <si>
    <t>114L</t>
  </si>
  <si>
    <t>115L</t>
  </si>
  <si>
    <t>116L</t>
  </si>
  <si>
    <t>117L</t>
  </si>
  <si>
    <t>121L</t>
  </si>
  <si>
    <t>123L</t>
  </si>
  <si>
    <t>124L</t>
  </si>
  <si>
    <t>130L</t>
  </si>
  <si>
    <t>132L</t>
  </si>
  <si>
    <t>133L</t>
  </si>
  <si>
    <t>134L</t>
  </si>
  <si>
    <t>136L</t>
  </si>
  <si>
    <t>140L</t>
  </si>
  <si>
    <t>142L</t>
  </si>
  <si>
    <t>144L</t>
  </si>
  <si>
    <t>146L</t>
  </si>
  <si>
    <t>300L</t>
  </si>
  <si>
    <t>301L</t>
  </si>
  <si>
    <t>302L</t>
  </si>
  <si>
    <t>305L</t>
  </si>
  <si>
    <t>308L</t>
  </si>
  <si>
    <t>351L</t>
  </si>
  <si>
    <t>352L</t>
  </si>
  <si>
    <t>353L</t>
  </si>
  <si>
    <t>356L</t>
  </si>
  <si>
    <t>357L</t>
  </si>
  <si>
    <t>358L</t>
  </si>
  <si>
    <t>359L</t>
  </si>
  <si>
    <t>363L</t>
  </si>
  <si>
    <t>400L</t>
  </si>
  <si>
    <t>401L</t>
  </si>
  <si>
    <t>402L</t>
  </si>
  <si>
    <t>403L</t>
  </si>
  <si>
    <t>404L</t>
  </si>
  <si>
    <t>405L</t>
  </si>
  <si>
    <t>406L</t>
  </si>
  <si>
    <t>407L</t>
  </si>
  <si>
    <t>410L</t>
  </si>
  <si>
    <t>416L</t>
  </si>
  <si>
    <t>417L</t>
  </si>
  <si>
    <t>Bishops Falls</t>
  </si>
  <si>
    <t>Lockston</t>
  </si>
  <si>
    <t>Lookout Brook</t>
  </si>
  <si>
    <t>Petty Harbour</t>
  </si>
  <si>
    <t>Pierres Brook</t>
  </si>
  <si>
    <t>Rattling Brook</t>
  </si>
  <si>
    <t>Watsons Brook</t>
  </si>
  <si>
    <t>Long Harbour</t>
  </si>
  <si>
    <t>Hydro_run</t>
  </si>
  <si>
    <t>Bay Verte Junction also called Indian River</t>
  </si>
  <si>
    <t>Generator Type</t>
  </si>
  <si>
    <t>Hydro_hourly</t>
  </si>
  <si>
    <t>Hydro_monthly</t>
  </si>
  <si>
    <t>Wind_Onshore</t>
  </si>
  <si>
    <t>Grand Falls_04</t>
  </si>
  <si>
    <t>Grand Falls_05</t>
  </si>
  <si>
    <t>Grand Falls_06</t>
  </si>
  <si>
    <t>(days/y)</t>
  </si>
  <si>
    <t>($/year)</t>
  </si>
  <si>
    <t>Cat Arm_01</t>
  </si>
  <si>
    <t>Cat Arm_02</t>
  </si>
  <si>
    <t>Deer Lake_01</t>
  </si>
  <si>
    <t>Deer Lake_02</t>
  </si>
  <si>
    <t>Deer Lake_03</t>
  </si>
  <si>
    <t>Deer Lake_04</t>
  </si>
  <si>
    <t>Deer Lake_06</t>
  </si>
  <si>
    <t>Deer Lake_07</t>
  </si>
  <si>
    <t>Deer Lake_05</t>
  </si>
  <si>
    <t>Deer Lake_08</t>
  </si>
  <si>
    <t>Deer Lake_09</t>
  </si>
  <si>
    <t>Holyrood_01</t>
  </si>
  <si>
    <t>Holyrood_02</t>
  </si>
  <si>
    <t>Holyrood_03</t>
  </si>
  <si>
    <t>Holyrood_04</t>
  </si>
  <si>
    <t>Holyrood Diesel</t>
  </si>
  <si>
    <t>EXISTING STORAGE HYDROELECTRIC</t>
  </si>
  <si>
    <t>RESERVOIR</t>
  </si>
  <si>
    <t>Dam Type</t>
  </si>
  <si>
    <t>Penstock</t>
  </si>
  <si>
    <t>Rated Head</t>
  </si>
  <si>
    <t>Maximum Head</t>
  </si>
  <si>
    <t>Minimum Head</t>
  </si>
  <si>
    <t>Operating Flow (Facility)</t>
  </si>
  <si>
    <t>Rated Discharge (Unit)</t>
  </si>
  <si>
    <t>Rated Discharge (Facility)</t>
  </si>
  <si>
    <t>Upstream Reservoir Area</t>
  </si>
  <si>
    <t>Upstream Reservoir Storage</t>
  </si>
  <si>
    <t>Turbine Type</t>
  </si>
  <si>
    <t>Upper Storage Name</t>
  </si>
  <si>
    <t>Lower Storage Name</t>
  </si>
  <si>
    <t>Low Reference Level</t>
  </si>
  <si>
    <t>High Reference Level</t>
  </si>
  <si>
    <t>(km2)</t>
  </si>
  <si>
    <t>Paradise</t>
  </si>
  <si>
    <t>Multi-unit Hydro_run facilities treated as single-unit facilities</t>
  </si>
  <si>
    <t>HISTORICAL ANNUAL ENERGY DEMAND</t>
  </si>
  <si>
    <t>Annual Change in Energy Demand</t>
  </si>
  <si>
    <t>Percentage Change in Energy Demand</t>
  </si>
  <si>
    <t>Annual NL Energy Demand (after DSM)</t>
  </si>
  <si>
    <t>Annual LIS Energy Demand  (after DSM)</t>
  </si>
  <si>
    <t>Annual IIS Energy Demand  (after DSM)</t>
  </si>
  <si>
    <t>NA</t>
  </si>
  <si>
    <t>NL Peak load (after DSM)</t>
  </si>
  <si>
    <t>Annual Change in Peak Load</t>
  </si>
  <si>
    <t>Percentage Change in Peak Load</t>
  </si>
  <si>
    <t>IIS Peak Load (after DSM)</t>
  </si>
  <si>
    <t>LIS Peak Load (after DSM)</t>
  </si>
  <si>
    <t>Red Indian Reservoir</t>
  </si>
  <si>
    <t>Bay Despoir</t>
  </si>
  <si>
    <t>Hawkes Bay</t>
  </si>
  <si>
    <t>Bay Despoir_01</t>
  </si>
  <si>
    <t>Bay Despoir_02</t>
  </si>
  <si>
    <t>Bay Despoir_03</t>
  </si>
  <si>
    <t>Bay Despoir_04</t>
  </si>
  <si>
    <t>Bishops Falls_01</t>
  </si>
  <si>
    <t>Bishops Falls_02</t>
  </si>
  <si>
    <t>Bishops Falls_03</t>
  </si>
  <si>
    <t>Bishops Falls_04</t>
  </si>
  <si>
    <t>Bishops Falls_05</t>
  </si>
  <si>
    <t>Bishops Falls_06</t>
  </si>
  <si>
    <t>Bishops Falls_07</t>
  </si>
  <si>
    <t>Bishops Falls_08</t>
  </si>
  <si>
    <t>Bishops Falls_09</t>
  </si>
  <si>
    <t>St Lawrence</t>
  </si>
  <si>
    <t>Oil_ST</t>
  </si>
  <si>
    <t>Diesel_CT</t>
  </si>
  <si>
    <t>Gas_CT</t>
  </si>
  <si>
    <t>L1301</t>
  </si>
  <si>
    <t>L1302</t>
  </si>
  <si>
    <t>L3501</t>
  </si>
  <si>
    <t>L3502</t>
  </si>
  <si>
    <t>L7051</t>
  </si>
  <si>
    <t>L7052</t>
  </si>
  <si>
    <t>L7053</t>
  </si>
  <si>
    <t>L2001</t>
  </si>
  <si>
    <t>L2002</t>
  </si>
  <si>
    <t>TL265</t>
  </si>
  <si>
    <t>TL266</t>
  </si>
  <si>
    <t>TL268</t>
  </si>
  <si>
    <t>TL269</t>
  </si>
  <si>
    <t>TL267</t>
  </si>
  <si>
    <t>011L</t>
  </si>
  <si>
    <t>012L</t>
  </si>
  <si>
    <t>013L</t>
  </si>
  <si>
    <t>014L</t>
  </si>
  <si>
    <t>015L</t>
  </si>
  <si>
    <t>016L</t>
  </si>
  <si>
    <t>017L</t>
  </si>
  <si>
    <t>018L</t>
  </si>
  <si>
    <t>019L</t>
  </si>
  <si>
    <t>020L</t>
  </si>
  <si>
    <t>021L</t>
  </si>
  <si>
    <t>022L</t>
  </si>
  <si>
    <t>023L</t>
  </si>
  <si>
    <t>024L</t>
  </si>
  <si>
    <t>025L</t>
  </si>
  <si>
    <t>030L</t>
  </si>
  <si>
    <t>031L</t>
  </si>
  <si>
    <t>032L</t>
  </si>
  <si>
    <t>034L</t>
  </si>
  <si>
    <t>035L</t>
  </si>
  <si>
    <t>038L</t>
  </si>
  <si>
    <t>039L</t>
  </si>
  <si>
    <t>003L</t>
  </si>
  <si>
    <t>040L</t>
  </si>
  <si>
    <t>041L</t>
  </si>
  <si>
    <t>043L</t>
  </si>
  <si>
    <t>048L</t>
  </si>
  <si>
    <t>049L</t>
  </si>
  <si>
    <t>004L</t>
  </si>
  <si>
    <t>051L</t>
  </si>
  <si>
    <t>052L</t>
  </si>
  <si>
    <t>054L</t>
  </si>
  <si>
    <t>055L</t>
  </si>
  <si>
    <t>056L</t>
  </si>
  <si>
    <t>057L</t>
  </si>
  <si>
    <t>058L</t>
  </si>
  <si>
    <t>059L</t>
  </si>
  <si>
    <t>005L</t>
  </si>
  <si>
    <t>064L</t>
  </si>
  <si>
    <t>065L</t>
  </si>
  <si>
    <t>066L</t>
  </si>
  <si>
    <t>067L</t>
  </si>
  <si>
    <t>068L</t>
  </si>
  <si>
    <t>069L</t>
  </si>
  <si>
    <t>070L</t>
  </si>
  <si>
    <t>072L</t>
  </si>
  <si>
    <t>073L</t>
  </si>
  <si>
    <t>074L</t>
  </si>
  <si>
    <t>079L</t>
  </si>
  <si>
    <t>080L</t>
  </si>
  <si>
    <t>086L</t>
  </si>
  <si>
    <t>094L</t>
  </si>
  <si>
    <t>095L</t>
  </si>
  <si>
    <t>Grand Falls_07</t>
  </si>
  <si>
    <t>Grand Falls_08</t>
  </si>
  <si>
    <t>Grand Falls_09</t>
  </si>
  <si>
    <t>HYDROELECTRIC RENEWAL</t>
  </si>
  <si>
    <t>COSTS</t>
  </si>
  <si>
    <t>Existing Project Name</t>
  </si>
  <si>
    <t>Existing #units</t>
  </si>
  <si>
    <t>Renewal Project Name</t>
  </si>
  <si>
    <t>Additional Installed Capacity</t>
  </si>
  <si>
    <t>Additional Dependable Capacity</t>
  </si>
  <si>
    <t>Additional Annual Energy</t>
  </si>
  <si>
    <t>Capital Overhead</t>
  </si>
  <si>
    <t>Interest During Construction</t>
  </si>
  <si>
    <t>Project Definition Costs</t>
  </si>
  <si>
    <t>Annualized Project Cost</t>
  </si>
  <si>
    <t>Fixed O&amp;M</t>
  </si>
  <si>
    <t>Variable O&amp;M</t>
  </si>
  <si>
    <t>Construction Time</t>
  </si>
  <si>
    <t>Development Time</t>
  </si>
  <si>
    <t>($2018M)</t>
  </si>
  <si>
    <t>($M)</t>
  </si>
  <si>
    <t>($M/year)</t>
  </si>
  <si>
    <t>(years)</t>
  </si>
  <si>
    <t>HYDROELECTRIC GREENFIELD</t>
  </si>
  <si>
    <t>Generation Type</t>
  </si>
  <si>
    <t>Implementation Costs</t>
  </si>
  <si>
    <t>($2008M)</t>
  </si>
  <si>
    <t>Island Pond</t>
  </si>
  <si>
    <t>Portland Creek</t>
  </si>
  <si>
    <t>Gull Island</t>
  </si>
  <si>
    <t>Round Pond</t>
  </si>
  <si>
    <t>Daniels Harbour</t>
  </si>
  <si>
    <t>Distance to Market Grid</t>
  </si>
  <si>
    <t>Total Capital Costs include contingency and project management costs, but exclude IDC, corporate overhead, future inflation and transmission costs</t>
  </si>
  <si>
    <t>Total Capital Cost</t>
  </si>
  <si>
    <t>($1977M)</t>
  </si>
  <si>
    <t>Bay Despoir_05</t>
  </si>
  <si>
    <t>Bay Despoir_06</t>
  </si>
  <si>
    <t>Bay Despoir_07</t>
  </si>
  <si>
    <t>Red Indian Falls</t>
  </si>
  <si>
    <t>Badger Chute</t>
  </si>
  <si>
    <t>Water Rentals</t>
  </si>
  <si>
    <t>Variable Costs</t>
  </si>
  <si>
    <t>Hydroelectric generation type has been estimated based on available information concerning operations, reservoir size and operations, facility location and design flows.</t>
  </si>
  <si>
    <t>Assume a Capital Overhead rate of 1.77% of total capital costs (inclusive of contingencies, as they are above) based on BC Hydro rate</t>
  </si>
  <si>
    <t>Assume IDC rate of 5% each year</t>
  </si>
  <si>
    <t>Bay Despoir_08</t>
  </si>
  <si>
    <t>Cat Arm_03</t>
  </si>
  <si>
    <t>Transmission must be developed to DLK - Deer Lake</t>
  </si>
  <si>
    <t>Capital cost includes transmission to Churchill Falls; Presumes that Gull Island_230 substation is also built</t>
  </si>
  <si>
    <t>Annualized Project Cost per KW</t>
  </si>
  <si>
    <t>($M/MW-year)</t>
  </si>
  <si>
    <t>Primarily operates in synchronous condense mode</t>
  </si>
  <si>
    <t>Black start diesel facility</t>
  </si>
  <si>
    <t>Back up facility</t>
  </si>
  <si>
    <t>Data not yet obtained</t>
  </si>
  <si>
    <t>Data under review</t>
  </si>
  <si>
    <t>Data obtained and calculated</t>
  </si>
  <si>
    <t>Hydro_daily</t>
  </si>
  <si>
    <t>Monthly storage but at reduced dependable capacity, so daily</t>
  </si>
  <si>
    <t>HydroExisting</t>
  </si>
  <si>
    <t>Characteristics specific to existing interconnected hydroelectric generators with hourly or monthly storage</t>
  </si>
  <si>
    <t>HydroRenewals</t>
  </si>
  <si>
    <t>Characteristics specific to potential future capacity upgrades and pumped storage additions at existing facilities</t>
  </si>
  <si>
    <t>HydroGreenfield</t>
  </si>
  <si>
    <t>Characteristics specific to potential future greenfield hydroelectric projects</t>
  </si>
  <si>
    <t>HydroPS</t>
  </si>
  <si>
    <t>Characteristics specific to potential future pumped storage hydroelectric projects</t>
  </si>
  <si>
    <t>HGWh</t>
  </si>
  <si>
    <t>Provincial historical energy demand, after DSM</t>
  </si>
  <si>
    <t>HMW</t>
  </si>
  <si>
    <t>Provincial historical capacity demand, after DSM</t>
  </si>
  <si>
    <t>FGWh</t>
  </si>
  <si>
    <t>Provincial mid-load energy forecast, before and after DSM</t>
  </si>
  <si>
    <t>FMW</t>
  </si>
  <si>
    <t>Provincial mid-load capacity forecast, before and after DSM</t>
  </si>
  <si>
    <t>Hourly</t>
  </si>
  <si>
    <t>Provincial hourly generation data</t>
  </si>
  <si>
    <t>See the accompanying calculations file and raw data files for additional supporting information</t>
  </si>
  <si>
    <t>See Hourly2018 file in the Hourly-2018 folder</t>
  </si>
  <si>
    <t>Fixed O&amp;M and variable costs estimated using regression curves found in the CA-Inventory dataset</t>
  </si>
  <si>
    <t>Salt/Fresh</t>
  </si>
  <si>
    <t>Reservoir Types</t>
  </si>
  <si>
    <t>Storage Requirement</t>
  </si>
  <si>
    <t>Gross Head</t>
  </si>
  <si>
    <t>H/L Ratio</t>
  </si>
  <si>
    <t>Design Flow (Generation)</t>
  </si>
  <si>
    <t xml:space="preserve">Generation Duration at Peak Output </t>
  </si>
  <si>
    <t>Total Footprint</t>
  </si>
  <si>
    <t>Unit Cost of Capacity</t>
  </si>
  <si>
    <t>Unit Cost of Stored Energy</t>
  </si>
  <si>
    <t>Levelized Cost</t>
  </si>
  <si>
    <t>dd.dddd</t>
  </si>
  <si>
    <t>(MWh)</t>
  </si>
  <si>
    <t>(h)</t>
  </si>
  <si>
    <t>(ha)</t>
  </si>
  <si>
    <t>($2018/MW)</t>
  </si>
  <si>
    <t>($2018/MWh)</t>
  </si>
  <si>
    <t>($2018/kW-year)</t>
  </si>
  <si>
    <t>2019-2030 Rate</t>
  </si>
  <si>
    <t>2019-2050</t>
  </si>
  <si>
    <t>2019 - 2030</t>
  </si>
  <si>
    <t>Capacity Factor</t>
  </si>
  <si>
    <t>diesel</t>
  </si>
  <si>
    <t>hydro_daily</t>
  </si>
  <si>
    <t>hydro_monthly</t>
  </si>
  <si>
    <t>hydro_run</t>
  </si>
  <si>
    <t>wind</t>
  </si>
  <si>
    <t>($/kW-year)</t>
  </si>
  <si>
    <t>Start year indicates the year at which the facilitated was commissioned or refurbished to its current type</t>
  </si>
  <si>
    <t>General Notes:</t>
  </si>
  <si>
    <t>See calculations sheets for sources of values</t>
  </si>
  <si>
    <t>Unless noted otherwise, the wind generating stations are presumed to be connected to the nearest 69 kV substation</t>
  </si>
  <si>
    <t>Churchill Fall (Labrador Corporation)</t>
  </si>
  <si>
    <t>Specific Notes:</t>
  </si>
  <si>
    <t>Total installed capacity at Churchill Falls is 5428 MW; 300 MW at 90% capacity factor and an additional 225 MW (1,970 GWh/y) under the TwinCo block is available to Nalcor; the remainder is sold to Hydro Quebec under the 1969 Power Contract</t>
  </si>
  <si>
    <t>Biomass</t>
  </si>
  <si>
    <t>The WSC# refers to the Water Survey of Canada Hydrometric station</t>
  </si>
  <si>
    <t>Distance to grid is 0 km in all instances but 25 km is used to account for potential grid interconnection and upgrade costs</t>
  </si>
  <si>
    <t>Assume installed capacity of hydroelectric renewals is all dependable capacity, though this should be verified with new studies.</t>
  </si>
  <si>
    <t>Assume Hydro_daily and Hydro_monthly generation has dependable capacity equal to installed capacity</t>
  </si>
  <si>
    <t>Assume Project Definition costs using regression curve found in the CA-Inventory dataset</t>
  </si>
  <si>
    <t>Assume hydroelectric, greenfield and pumped storage facilities have an economic life of 70 years</t>
  </si>
  <si>
    <t>Assume a discount rate of 7% each year</t>
  </si>
  <si>
    <t>Newfoundland and Labrador.a</t>
  </si>
  <si>
    <t>RN_BD8</t>
  </si>
  <si>
    <t>RN_CAT</t>
  </si>
  <si>
    <t>Total Project Cost</t>
  </si>
  <si>
    <t>($/MW-year)</t>
  </si>
  <si>
    <t>Fixed Cost Existing Project</t>
  </si>
  <si>
    <t>Fixed Cost Renewed Project</t>
  </si>
  <si>
    <t>Newfoundland and Labrador.b</t>
  </si>
  <si>
    <t>GF_BDC</t>
  </si>
  <si>
    <t>GF_GIP</t>
  </si>
  <si>
    <t>GF_ISP</t>
  </si>
  <si>
    <t>GF_POC</t>
  </si>
  <si>
    <t>GF_RIF</t>
  </si>
  <si>
    <t>GF_ROP</t>
  </si>
  <si>
    <t>Current</t>
  </si>
  <si>
    <t>Starting Node Code</t>
  </si>
  <si>
    <t>Churchill Falls</t>
  </si>
  <si>
    <t>Bottom Brook (BBK)</t>
  </si>
  <si>
    <t>Churchill Falls (CFP)</t>
  </si>
  <si>
    <t>Muskrat Falls (TS2)</t>
  </si>
  <si>
    <t>Goulds (GOU)</t>
  </si>
  <si>
    <t>Hardwoods (HWD)</t>
  </si>
  <si>
    <t>Mobile (MOB)</t>
  </si>
  <si>
    <t>Kings Bridge (KBR)</t>
  </si>
  <si>
    <t>St Johns Main (SJM)</t>
  </si>
  <si>
    <t>Memorial (MUN)</t>
  </si>
  <si>
    <t>Stamps Lane (SLA)</t>
  </si>
  <si>
    <t>Big Pond (BIG)</t>
  </si>
  <si>
    <t>Ridge Road (RRD)</t>
  </si>
  <si>
    <t>Oxen Pond (OXP)</t>
  </si>
  <si>
    <t>Duffs (DUF)</t>
  </si>
  <si>
    <t>Carbonear (CAR)</t>
  </si>
  <si>
    <t>Hearts Content (HCT)</t>
  </si>
  <si>
    <t>Bay Roberts (BRB)</t>
  </si>
  <si>
    <t>Chamberlains (CHA)</t>
  </si>
  <si>
    <t>Kelligrews (KEL)</t>
  </si>
  <si>
    <t>Kenmount (KEN)</t>
  </si>
  <si>
    <t>Blaketown (BLK)</t>
  </si>
  <si>
    <t>Virginia Waters (VIR)</t>
  </si>
  <si>
    <t>New Chelsea (NCH)</t>
  </si>
  <si>
    <t>Cape Broyle (CAB)</t>
  </si>
  <si>
    <t>Harbour Grace (HGR)</t>
  </si>
  <si>
    <t>Western Avalon (WAV)</t>
  </si>
  <si>
    <t>Riverhead (RVH)</t>
  </si>
  <si>
    <t>Sunnyside (SUN)</t>
  </si>
  <si>
    <t>Grand Falls (GFS)</t>
  </si>
  <si>
    <t>Gander (GAN)</t>
  </si>
  <si>
    <t>Notre Dame Junction (NDJ)</t>
  </si>
  <si>
    <t>Roycefield Mine Tap (RFD)</t>
  </si>
  <si>
    <t>Clarenville (CLV)</t>
  </si>
  <si>
    <t>Lockston (LOK)</t>
  </si>
  <si>
    <t>Gander Bay (GBY)</t>
  </si>
  <si>
    <t>Gambo (GAM)</t>
  </si>
  <si>
    <t>Hare Bay (HBS)</t>
  </si>
  <si>
    <t>Catalina (CAT)</t>
  </si>
  <si>
    <t>Alexander Bay (ALX)</t>
  </si>
  <si>
    <t>Stony Brook (STY)</t>
  </si>
  <si>
    <t>Bishops Falls (BFS)</t>
  </si>
  <si>
    <t>Cobbs Pond (COB)</t>
  </si>
  <si>
    <t>Summerford (SUM)</t>
  </si>
  <si>
    <t>Linton Lake (LLK)</t>
  </si>
  <si>
    <t>Greenhill (GRH)</t>
  </si>
  <si>
    <t>Salt Pond (SPO)</t>
  </si>
  <si>
    <t>Laurentian (LAU)</t>
  </si>
  <si>
    <t>Webbers Cove (WBC)</t>
  </si>
  <si>
    <t>Marystown (MSY)</t>
  </si>
  <si>
    <t>Massey Drive (MAS)</t>
  </si>
  <si>
    <t>Walbournes (WAL)</t>
  </si>
  <si>
    <t>Bayview (BVS)</t>
  </si>
  <si>
    <t>Humber (HUM)</t>
  </si>
  <si>
    <t>Baie Verte Junction (BVJ)</t>
  </si>
  <si>
    <t>Stephenville (STV)</t>
  </si>
  <si>
    <t>St Georges (STG)</t>
  </si>
  <si>
    <t>Wheelers (WHE)</t>
  </si>
  <si>
    <t>Harmon (HAR)</t>
  </si>
  <si>
    <t>Berry Head (BHD)</t>
  </si>
  <si>
    <t>Grand Bay (GBS)</t>
  </si>
  <si>
    <t>Churchill River (TS3)</t>
  </si>
  <si>
    <t>Bay Despoir (BDE)</t>
  </si>
  <si>
    <t>Buchans (BUC)</t>
  </si>
  <si>
    <t>Glenwood (GLN)</t>
  </si>
  <si>
    <t>Bay Largent (BLA)</t>
  </si>
  <si>
    <t>Monkstown (MKS)</t>
  </si>
  <si>
    <t>Doyles (DOY)</t>
  </si>
  <si>
    <t>Holyrood (HOL)</t>
  </si>
  <si>
    <t>Daniels Harbour (DHR)</t>
  </si>
  <si>
    <t>Springdale (SPR)</t>
  </si>
  <si>
    <t>Howley (HOW)</t>
  </si>
  <si>
    <t>Deer Lake (DLK)</t>
  </si>
  <si>
    <t>Berry Hill (BHL)</t>
  </si>
  <si>
    <t>Wiltondale (WDL)</t>
  </si>
  <si>
    <t>Cow Head (CHD)</t>
  </si>
  <si>
    <t>Parsons Pond (PPD)</t>
  </si>
  <si>
    <t>Sallys Cove (SCV)</t>
  </si>
  <si>
    <t>Glenburnie (GLB)</t>
  </si>
  <si>
    <t>Come by Chance (CBC)</t>
  </si>
  <si>
    <t>Plum Point (PPT)</t>
  </si>
  <si>
    <t>Hampden Tap (HDT)</t>
  </si>
  <si>
    <t>Jacksons Arm Tap (JAT)</t>
  </si>
  <si>
    <t>Boyds Cove (BOY)</t>
  </si>
  <si>
    <t>St Anthony Airport (STA)</t>
  </si>
  <si>
    <t>Main Brook (MBK)</t>
  </si>
  <si>
    <t>Seal Cove Road (SCR)</t>
  </si>
  <si>
    <t>Peters Barren (PBN)</t>
  </si>
  <si>
    <t>Upper Salmon (USL)</t>
  </si>
  <si>
    <t>Ending Node Code</t>
  </si>
  <si>
    <t>Petty Harbour (PHR)</t>
  </si>
  <si>
    <t>Broad Cove (BCV)</t>
  </si>
  <si>
    <t>Tors Cove (TCV)</t>
  </si>
  <si>
    <t>Glendale (GDL)</t>
  </si>
  <si>
    <t>Seal Cove (SCV)</t>
  </si>
  <si>
    <t>Victoria (VIC)</t>
  </si>
  <si>
    <t>Pulpit Rock (PUL)</t>
  </si>
  <si>
    <t>Old Perlican (OPL)</t>
  </si>
  <si>
    <t>Fermeuse (FER)</t>
  </si>
  <si>
    <t>Trepassey (TRP)</t>
  </si>
  <si>
    <t>Rattling Brook (RBK)</t>
  </si>
  <si>
    <t>Lewisporte (LEW)</t>
  </si>
  <si>
    <t>Wesleyville (WES)</t>
  </si>
  <si>
    <t>Bonavista (BVA)</t>
  </si>
  <si>
    <t>Glovertown (GLV)</t>
  </si>
  <si>
    <t>Botwood (BOT)</t>
  </si>
  <si>
    <t>Twillingate (TWG)</t>
  </si>
  <si>
    <t>Frenchmans Cove (FRN)</t>
  </si>
  <si>
    <t>Gillams (GIL)</t>
  </si>
  <si>
    <t>Long Lake (LGL)</t>
  </si>
  <si>
    <t>Port Aux Basques (PAB)</t>
  </si>
  <si>
    <t>Long Harbour (LHB)</t>
  </si>
  <si>
    <t>Barachoix (BCX)</t>
  </si>
  <si>
    <t>Hawkes Bay (HBY)</t>
  </si>
  <si>
    <t>Stephenville Crossing (STX)</t>
  </si>
  <si>
    <t>Hinds Lake (HLK)</t>
  </si>
  <si>
    <t>Cat Arm (CAM)</t>
  </si>
  <si>
    <t>Hampden (HDN)</t>
  </si>
  <si>
    <t>Jacksons Arm (JAM)</t>
  </si>
  <si>
    <t>Coney Arm (CAM)</t>
  </si>
  <si>
    <t>Farewell Head (FHD)</t>
  </si>
  <si>
    <t>Roddickton (RCK)</t>
  </si>
  <si>
    <t>Bottom Waters (BWT)</t>
  </si>
  <si>
    <t>St Anthony (SOP)</t>
  </si>
  <si>
    <t>Duck Pond (DKP)</t>
  </si>
  <si>
    <t>Star Lake (SLK)</t>
  </si>
  <si>
    <t>Starting Node Name</t>
  </si>
  <si>
    <t>SOURCES</t>
  </si>
  <si>
    <t>Source</t>
  </si>
  <si>
    <t>Year</t>
  </si>
  <si>
    <t>Name</t>
  </si>
  <si>
    <t>Link</t>
  </si>
  <si>
    <t>Publication</t>
  </si>
  <si>
    <t>Region</t>
  </si>
  <si>
    <t>Environment Canada</t>
  </si>
  <si>
    <t>Historical Hydrometric Data Search</t>
  </si>
  <si>
    <t>https://wateroffice.ec.gc.ca/search/historical_e.html</t>
  </si>
  <si>
    <t>Nova Scotia Power Inc.</t>
  </si>
  <si>
    <t>World Resources Institute</t>
  </si>
  <si>
    <t>Global Power Plant Database</t>
  </si>
  <si>
    <t>http://datasets.wri.org/dataset/globalpowerplantdatabase</t>
  </si>
  <si>
    <t>Google Maps / Google Earth</t>
  </si>
  <si>
    <t>See "Other References" column of the relevant tab</t>
  </si>
  <si>
    <t>Operations</t>
  </si>
  <si>
    <t>https://nlhydro.com/operations/</t>
  </si>
  <si>
    <t>http://www.pub.nf.ca/2018ratemitigation/responses/PUB-NP-037.PDF</t>
  </si>
  <si>
    <t>Power Advisory LLC</t>
  </si>
  <si>
    <t>Review of Newfoundland and Labrador Electricity System</t>
  </si>
  <si>
    <t>https://www.nr.gov.nl.ca/nr/publications/energy/review_of_nl_electricty_system.pdf</t>
  </si>
  <si>
    <t>https://irp.nspower.ca/documents/pre-irp-deliverables/</t>
  </si>
  <si>
    <t>Nova Scotia Power Final Pre-IRP Report</t>
  </si>
  <si>
    <t>Lower Churchill Hydroelectric Generation Project Environmental Impact Statement</t>
  </si>
  <si>
    <t>Response to IR PUB-NP-037. Rate Mitigation Options and Impacts Reference</t>
  </si>
  <si>
    <t>http://www.pub.nf.ca/2018ratemitigation/responses.php</t>
  </si>
  <si>
    <t>Newfoundland and Labrador Hydro</t>
  </si>
  <si>
    <t>Newfoundland and Labrador</t>
  </si>
  <si>
    <t>Reliability and Resource Adequacy Study</t>
  </si>
  <si>
    <t>https://nalcorenergy.com/wp-content/uploads/2019/01/R-Final-Response-PB-947-2018-with-Appendix-1-Reliability-and-Supply-Adequacy-Study-2018-11-16-Low-1.pdf</t>
  </si>
  <si>
    <t>http://www.pub.nf.ca/applications/NP2019GRA/index.htm</t>
  </si>
  <si>
    <t>2006 Capital Budget Application Electrical System Handbook</t>
  </si>
  <si>
    <t>http://www.pub.nf.ca/np2006cap/files/applic/NP2006ApplicationHandbook.pdf</t>
  </si>
  <si>
    <t>Churchill Fall (Labrador) Corporation</t>
  </si>
  <si>
    <t>An Energy Giant: The Churchill Falls Power Development</t>
  </si>
  <si>
    <t>https://www.muskratfallsinquiry.ca/files/P-00017.pdf</t>
  </si>
  <si>
    <t>2013-2014 General Rate Application. Response to Requests for Information CA-NP-036 Attachment A.</t>
  </si>
  <si>
    <t>2013 Amended General Rate Application</t>
  </si>
  <si>
    <t>Generation Planning Issues. System Planning Department.</t>
  </si>
  <si>
    <t>http://www.pub.nl.ca/applications/nlh2014capital/NLHCBSUPP2014/100MWTurbine/files/rfi/GT-DD-NLH-002.pdf</t>
  </si>
  <si>
    <t>Newfoundland and Labrador Hydro GT Inspection Assessment</t>
  </si>
  <si>
    <t>Nalcor's Submission to the Board of Commissioners of Public Utilities with respect to the Reference from the Lieutenant-Governor in Council on the Muskrat Falls Project</t>
  </si>
  <si>
    <t>Capacity Adjustment</t>
  </si>
  <si>
    <t>Effective Capacity</t>
  </si>
  <si>
    <t>Connecting Node Name</t>
  </si>
  <si>
    <t>Connecting Node Code</t>
  </si>
  <si>
    <t>Annual Average Energy</t>
  </si>
  <si>
    <t>Rocky Harbour (RHR)</t>
  </si>
  <si>
    <t>Grandy Brook (GBK)</t>
  </si>
  <si>
    <t>Rattle Brook (RTK)</t>
  </si>
  <si>
    <t>South Brook (SOK)</t>
  </si>
  <si>
    <t>TL258</t>
  </si>
  <si>
    <t>Conne River (CRV)</t>
  </si>
  <si>
    <t>English HR. West (EHW)</t>
  </si>
  <si>
    <t>Paradise River (PRV)</t>
  </si>
  <si>
    <t>Granite Canal (GCL)</t>
  </si>
  <si>
    <t>RTK is used so as not to be confused with Rattling Brook</t>
  </si>
  <si>
    <t>Soldiers Pond (SOL)</t>
  </si>
  <si>
    <t>Happy Valley (HVY)</t>
  </si>
  <si>
    <t>Wabush (WTS)</t>
  </si>
  <si>
    <t>See Hourly2019 file in the Hourly-2019 folder</t>
  </si>
  <si>
    <t>Abraham's Cove (ABC)</t>
  </si>
  <si>
    <t>Colliers (COL)</t>
  </si>
  <si>
    <t>Dunville (DUN)</t>
  </si>
  <si>
    <t>Garnish (GAR)</t>
  </si>
  <si>
    <t>Grand Beach (GBE)</t>
  </si>
  <si>
    <t>Greenspond (GPD)</t>
  </si>
  <si>
    <t>Islington (ISL)</t>
  </si>
  <si>
    <t>Jonathan's Pond (JON)</t>
  </si>
  <si>
    <t>Lethbridge (LET)</t>
  </si>
  <si>
    <t>Marble Mountain (MMT)</t>
  </si>
  <si>
    <t>Milton (MIL)</t>
  </si>
  <si>
    <t>New Harbour (NHR)</t>
  </si>
  <si>
    <t>Northwest Brook (NWB)</t>
  </si>
  <si>
    <t>Pasadena (PAS)</t>
  </si>
  <si>
    <t>Placentia Junction (PJN)</t>
  </si>
  <si>
    <t>Port Blandford (PBD)</t>
  </si>
  <si>
    <t>Quartz (QTZ)</t>
  </si>
  <si>
    <t>Robinsons (ROB)</t>
  </si>
  <si>
    <t>Springfield (SPF)</t>
  </si>
  <si>
    <t>Summerville (SMV)</t>
  </si>
  <si>
    <t>Terra Nova (TNS)</t>
  </si>
  <si>
    <t>Trinity (TRN)</t>
  </si>
  <si>
    <t>Upper Island Cove (ILC)</t>
  </si>
  <si>
    <t>Other Sources</t>
  </si>
  <si>
    <t>Primary Voltage (kV)</t>
  </si>
  <si>
    <t>T1</t>
  </si>
  <si>
    <t>T2</t>
  </si>
  <si>
    <t>T3</t>
  </si>
  <si>
    <t>T5</t>
  </si>
  <si>
    <t>T6</t>
  </si>
  <si>
    <t>L1</t>
  </si>
  <si>
    <t>Robinsons Tap (ROB)</t>
  </si>
  <si>
    <t>Princeton Pond (PRC)</t>
  </si>
  <si>
    <t>Lookout Brook (LBK)</t>
  </si>
  <si>
    <t>Roycefield Mine (RFD)</t>
  </si>
  <si>
    <t>NL_HCP_JCT</t>
  </si>
  <si>
    <t>NL_BDE_GEN</t>
  </si>
  <si>
    <t>NL_PBN_SUB</t>
  </si>
  <si>
    <t>NL_BUC_SUB</t>
  </si>
  <si>
    <t>NL_ALX_JCT</t>
  </si>
  <si>
    <t>NL_MRP_JCT</t>
  </si>
  <si>
    <t>NL_ROB_JCT</t>
  </si>
  <si>
    <t>NL_TS2_SUB</t>
  </si>
  <si>
    <t>NL_CAM_GEN</t>
  </si>
  <si>
    <t>NL_GRC_SUB</t>
  </si>
  <si>
    <t>PP_NSNL1_IPT</t>
  </si>
  <si>
    <t>PP_QBNL1_IPT</t>
  </si>
  <si>
    <t>St Catherines (SCT)</t>
  </si>
  <si>
    <t>Clarkes Pond (CLK)</t>
  </si>
  <si>
    <t>TL270</t>
  </si>
  <si>
    <t>Granite Canal Tap (GCL)</t>
  </si>
  <si>
    <t>NP / Nalcor Energy</t>
  </si>
  <si>
    <t>Kruger</t>
  </si>
  <si>
    <t>Lower Cove Mine (LCV)</t>
  </si>
  <si>
    <t>Rocky Pond Tap (ROP)</t>
  </si>
  <si>
    <t>NL_ROP_JCT</t>
  </si>
  <si>
    <t>Rocky Pond (ROP)</t>
  </si>
  <si>
    <t>Connecting Voltage</t>
  </si>
  <si>
    <t>Characteristics of existing interconnected generators</t>
  </si>
  <si>
    <t>Generation</t>
  </si>
  <si>
    <t>Primary sources for the provincial data</t>
  </si>
  <si>
    <t>NL-Sources</t>
  </si>
  <si>
    <t>Capacity Adjustment (ELCC)</t>
  </si>
  <si>
    <t>Biomass / Biogas</t>
  </si>
  <si>
    <t>Wind</t>
  </si>
  <si>
    <t>Maritime Link Base Energy Imports</t>
  </si>
  <si>
    <t xml:space="preserve">NP Hydro </t>
  </si>
  <si>
    <t>Ending Node Name</t>
  </si>
  <si>
    <t>Summer Rating</t>
  </si>
  <si>
    <t>Winter Rating</t>
  </si>
  <si>
    <t>Winter Capacity</t>
  </si>
  <si>
    <t>Secondary Voltage</t>
  </si>
  <si>
    <t>http://www.pub.nf.ca/applications/IslandInterconnectedSystem/ResponsestoRFIs.htm</t>
  </si>
  <si>
    <t>Investigation and Hearing into Supply Issues and Power Outages on the Island Interconnected System Responses to Information Requests PUB-NP-274</t>
  </si>
  <si>
    <t>Investigation and Hearing into Supply Issues and Power Outages on the Island Interconnected System Responses to Information Requests PUB-NP-177</t>
  </si>
  <si>
    <t>by facility</t>
  </si>
  <si>
    <t>Heavy Fuel Oil</t>
  </si>
  <si>
    <t>Light Fuel Oil CT</t>
  </si>
  <si>
    <t>Base Block of 16 hours/day</t>
  </si>
  <si>
    <t xml:space="preserve">NLH Hydro </t>
  </si>
  <si>
    <t>Forced outage rate for Churchill Falls assumed same as for Muskrat Falls and Hydro quebec facilities (i.e. 1.9%)</t>
  </si>
  <si>
    <t>Port Union (PUN)</t>
  </si>
  <si>
    <t>Clarke's Head (CKH)</t>
  </si>
  <si>
    <t>Wheelers Tap (WHE)</t>
  </si>
  <si>
    <t>NL_WHE_JCT</t>
  </si>
  <si>
    <t xml:space="preserve"> Winter Ampacity</t>
  </si>
  <si>
    <t>Investigation and Hearing into Supply Issues and Power Outages on the Island Interconnected System Responses to Information Requests PUB-NP-275</t>
  </si>
  <si>
    <t>Only applies to Holyrood, based on 2009-2013</t>
  </si>
  <si>
    <t>Investigation and Hearing into Supply Issues and Power Outages on the Island Interconnected System Responses to Information Requests PUB-NLH-148</t>
  </si>
  <si>
    <t>Winter ratings at 0C</t>
  </si>
  <si>
    <t>http://www.pub.nf.ca/applications/NP2013GRA/index.htm</t>
  </si>
  <si>
    <t>Transformer</t>
  </si>
  <si>
    <t>T4</t>
  </si>
  <si>
    <t>Summer Capacity</t>
  </si>
  <si>
    <t>Power Factor</t>
  </si>
  <si>
    <t>Reactance</t>
  </si>
  <si>
    <t>Summer Ampacity</t>
  </si>
  <si>
    <t>COPPER Balancing Area</t>
  </si>
  <si>
    <t>Outage Duration</t>
  </si>
  <si>
    <t>Fuel Costs</t>
  </si>
  <si>
    <t>Other References</t>
  </si>
  <si>
    <t>Renewal Year</t>
  </si>
  <si>
    <t>Annual Average Energy - Plant</t>
  </si>
  <si>
    <t>Generation Type - COPPER</t>
  </si>
  <si>
    <t>Unit Capacity Cost</t>
  </si>
  <si>
    <t>Unit Energy Cost</t>
  </si>
  <si>
    <t>Average Annual Energy - Plant</t>
  </si>
  <si>
    <t>Project Code</t>
  </si>
  <si>
    <t>Reservoir Storage</t>
  </si>
  <si>
    <t>Pump Type</t>
  </si>
  <si>
    <t>Variable Cost</t>
  </si>
  <si>
    <t>Unless already included in total capital costs, a distance of 25 km is added to distance to market grid to account for potential grid interconnection costs</t>
  </si>
  <si>
    <t>Churchill Falls Contracted</t>
  </si>
  <si>
    <t>Churchill Falls split into three parts</t>
  </si>
  <si>
    <t>Location (River)</t>
  </si>
  <si>
    <t>Legend:</t>
  </si>
  <si>
    <t>JCT = Junction</t>
  </si>
  <si>
    <t>(miles)</t>
  </si>
  <si>
    <t>(ohm)</t>
  </si>
  <si>
    <t>Reactance as function of voltage</t>
  </si>
  <si>
    <t>Surge Impedance Loading</t>
  </si>
  <si>
    <t>CPI - Canada (all items)</t>
  </si>
  <si>
    <t>Zc (High)</t>
  </si>
  <si>
    <t>Zc 
(Low)</t>
  </si>
  <si>
    <t>SIL (Low)</t>
  </si>
  <si>
    <t>SIL
(High)</t>
  </si>
  <si>
    <t>(V)</t>
  </si>
  <si>
    <t>(ohm/km)</t>
  </si>
  <si>
    <t>(ohms)</t>
  </si>
  <si>
    <t>SIL (Low) assumed for summer and SIL (High) for winter</t>
  </si>
  <si>
    <t>Values estimated between known values</t>
  </si>
  <si>
    <t>Surge impedance loading (SIL) is the power delivered by a lossless line to a load resistance equal to the surge impedance Zc = (L/C)^0.5</t>
  </si>
  <si>
    <t>L = inductance</t>
  </si>
  <si>
    <t>C = capacitance</t>
  </si>
  <si>
    <t>Overbye et al.</t>
  </si>
  <si>
    <t>Power System Analysis and Design (Sixth Edition). Table 5.2</t>
  </si>
  <si>
    <t xml:space="preserve">Athari, MH and Zhifang, W. </t>
  </si>
  <si>
    <t xml:space="preserve">Interdependence of Transmission Branch Parameters on the Voltage Levels. Electrical Engineering and Systems Science. </t>
  </si>
  <si>
    <t>https://arxiv.org/abs/1709.06930</t>
  </si>
  <si>
    <t>Gutman, R., Marchenko, P.P., and Dunlop, R.D.</t>
  </si>
  <si>
    <t>Analytical Development of Loadability Characteristics for EHV and UHV Transmission Lines</t>
  </si>
  <si>
    <t>http://home.eng.iastate.edu/~jdm/ee552/StClairAEP.pdf</t>
  </si>
  <si>
    <t>Inputs</t>
  </si>
  <si>
    <t>Inputs to the data calculations</t>
  </si>
  <si>
    <t>FORECAST PEAK DEMAND</t>
  </si>
  <si>
    <t>FORECAST ANNUAL ENERGY DEMAND</t>
  </si>
  <si>
    <t>HISTORICAL PEAK DEMAND</t>
  </si>
  <si>
    <t>Transmission line flow ratings</t>
  </si>
  <si>
    <t>Conversions</t>
  </si>
  <si>
    <t>Winter Ampacity</t>
  </si>
  <si>
    <t>MH Values</t>
  </si>
  <si>
    <t>Winter/Summer Tranmission Flow Conversion</t>
  </si>
  <si>
    <t>Winter/Summer Transformer Flow Conversion</t>
  </si>
  <si>
    <t>Index</t>
  </si>
  <si>
    <t>Same values used for 63-72 kV</t>
  </si>
  <si>
    <t>Statistics Canada – TABLE 18-10-0005-01,  annual average, not seasonally adjusted</t>
  </si>
  <si>
    <t>Ampacity estimates made from known ratings on existing lines</t>
  </si>
  <si>
    <t>MH estimates provided by David Jacobson in an email of July 30, 2019</t>
  </si>
  <si>
    <t>When a substation contains two voltage levels, the generator connects at the more appropriate voltage based on generator capacity</t>
  </si>
  <si>
    <t>Effective capacities estimated using the ELCC values in the "System" tab</t>
  </si>
  <si>
    <t>Smax = Loadability in multiples of SIL = 42.40 (Length in Miles)^(−0.6595) (this is a power function interpolation of Figure 7 in Gutman et al.)</t>
  </si>
  <si>
    <t>NP Hydro capacity adjustment deduced from total installed capacity (94.7 MW) and the effective capacity used in the Reliability and Resource Adequacy Study (71.5 MW)</t>
  </si>
  <si>
    <t>Mid-load forecast for use in COPPER</t>
  </si>
  <si>
    <t>Average</t>
  </si>
  <si>
    <t>2008-2018</t>
  </si>
  <si>
    <t>INPUT DATA AND ASSUMPTIONS</t>
  </si>
  <si>
    <t>Maintenance Outage Rate</t>
  </si>
  <si>
    <t>Renewal Project Code</t>
  </si>
  <si>
    <t>Costs</t>
  </si>
  <si>
    <t>Renewal Design</t>
  </si>
  <si>
    <t>Existing Design</t>
  </si>
  <si>
    <t>Buchans</t>
  </si>
  <si>
    <t>Gen Code</t>
  </si>
  <si>
    <t>Churchill River (TS1)</t>
  </si>
  <si>
    <t>Location approximate</t>
  </si>
  <si>
    <t>Gallant (GAL)</t>
  </si>
  <si>
    <t>New Grand Falls (NGF)</t>
  </si>
  <si>
    <t>2019 Capital Budget Application</t>
  </si>
  <si>
    <t>Bear Cove (BRV)</t>
  </si>
  <si>
    <t>Molloys Lane (MOL)</t>
  </si>
  <si>
    <t>Pepperrell (PEP)</t>
  </si>
  <si>
    <t>Deer Lake GS (DLP)</t>
  </si>
  <si>
    <t>Happy Valley Gas</t>
  </si>
  <si>
    <t>NL_BDE_GSS</t>
  </si>
  <si>
    <t>NL_CAM_GSS</t>
  </si>
  <si>
    <t>NL_CFP_GSS</t>
  </si>
  <si>
    <t>NL_DLP_GSS</t>
  </si>
  <si>
    <t>NL_GCL_GSS</t>
  </si>
  <si>
    <t>NL_HBY_GSS</t>
  </si>
  <si>
    <t>NL_HLK_GSS</t>
  </si>
  <si>
    <t>NL_HOL_GSS</t>
  </si>
  <si>
    <t>NL_HCP_GSS</t>
  </si>
  <si>
    <t>NL_MRP_GSS</t>
  </si>
  <si>
    <t>NL_PBK_GSS</t>
  </si>
  <si>
    <t>NL_RTK_GSS</t>
  </si>
  <si>
    <t>NL_STV_GSS</t>
  </si>
  <si>
    <t>NL_SBK_GSS</t>
  </si>
  <si>
    <t>NL_SCV_GSS</t>
  </si>
  <si>
    <t>NL_SOP_GSS</t>
  </si>
  <si>
    <t>NL_SLK_GSS</t>
  </si>
  <si>
    <t>NL_TCV_GSS</t>
  </si>
  <si>
    <t>NL_USL_GSS</t>
  </si>
  <si>
    <t>NL_BBK_TSS</t>
  </si>
  <si>
    <t>NL_GOU_DSS</t>
  </si>
  <si>
    <t>NL_KBR_DSS</t>
  </si>
  <si>
    <t>NL_SJM_DSS</t>
  </si>
  <si>
    <t>NL_MUN_DSS</t>
  </si>
  <si>
    <t>NL_SLA_DSS</t>
  </si>
  <si>
    <t>NL_BIG_DSS</t>
  </si>
  <si>
    <t>NL_RRD_DSS</t>
  </si>
  <si>
    <t>NL_OXP_DSS</t>
  </si>
  <si>
    <t>NL_DUF_DSS</t>
  </si>
  <si>
    <t>NL_SPF_DSS</t>
  </si>
  <si>
    <t>NL_HOL_DSS</t>
  </si>
  <si>
    <t>NL_COL_DSS</t>
  </si>
  <si>
    <t>NL_CAR_DSS</t>
  </si>
  <si>
    <t>NL_BRB_DSS</t>
  </si>
  <si>
    <t>NL_KEL_DSS</t>
  </si>
  <si>
    <t>NL_KEN_DSS</t>
  </si>
  <si>
    <t>NL_DUN_DSS</t>
  </si>
  <si>
    <t>NL_BLK_DSS</t>
  </si>
  <si>
    <t>NL_PJN_DSS</t>
  </si>
  <si>
    <t>NL_ILC_DSS</t>
  </si>
  <si>
    <t>NL_VIR_DSS</t>
  </si>
  <si>
    <t>NL_HGR_DSS</t>
  </si>
  <si>
    <t>NL_WAV_DSS</t>
  </si>
  <si>
    <t>NL_SCT_DSS</t>
  </si>
  <si>
    <t>NL_RVH_DSS</t>
  </si>
  <si>
    <t>NL_NGF_DSS</t>
  </si>
  <si>
    <t>NL_NDJ_DSS</t>
  </si>
  <si>
    <t>NL_GAN_DSS</t>
  </si>
  <si>
    <t>NL_JON_DSS</t>
  </si>
  <si>
    <t>NL_NWB_DSS</t>
  </si>
  <si>
    <t>NL_CLV_DSS</t>
  </si>
  <si>
    <t>NL_PUN_DSS</t>
  </si>
  <si>
    <t>NL_CKH_DSS</t>
  </si>
  <si>
    <t>NL_GBY_DSS</t>
  </si>
  <si>
    <t>NL_BOY_DSS</t>
  </si>
  <si>
    <t>NL_GAM_DSS</t>
  </si>
  <si>
    <t>NL_HBS_DSS</t>
  </si>
  <si>
    <t>NL_CAT_DSS</t>
  </si>
  <si>
    <t>NL_TNS_DSS</t>
  </si>
  <si>
    <t>NL_PBD_DSS</t>
  </si>
  <si>
    <t>NL_COB_DSS</t>
  </si>
  <si>
    <t>NL_SUM_DSS</t>
  </si>
  <si>
    <t>NL_LLK_DSS</t>
  </si>
  <si>
    <t>NL_GBE_DSS</t>
  </si>
  <si>
    <t>NL_GAR_DSS</t>
  </si>
  <si>
    <t>NL_SPO_DSS</t>
  </si>
  <si>
    <t>NL_LAU_DSS</t>
  </si>
  <si>
    <t>NL_MSY_DSS</t>
  </si>
  <si>
    <t>NL_WAL_DSS</t>
  </si>
  <si>
    <t>NL_BVS_DSS</t>
  </si>
  <si>
    <t>NL_HUM_DSS</t>
  </si>
  <si>
    <t>NL_BVJ_DSS</t>
  </si>
  <si>
    <t>NL_GAL_DSS</t>
  </si>
  <si>
    <t>NL_HAR_DSS</t>
  </si>
  <si>
    <t>NL_STX_DSS</t>
  </si>
  <si>
    <t>NL_BHD_DSS</t>
  </si>
  <si>
    <t>NL_ABC_DSS</t>
  </si>
  <si>
    <t>NL_GBS_DSS</t>
  </si>
  <si>
    <t>NL_PAS_DSS</t>
  </si>
  <si>
    <t>NL_MMT_DSS</t>
  </si>
  <si>
    <t>NL_GLN_DSS</t>
  </si>
  <si>
    <t>NL_BLA_DSS</t>
  </si>
  <si>
    <t>NL_DOY_DSS</t>
  </si>
  <si>
    <t>NL_EHW_DSS</t>
  </si>
  <si>
    <t>NL_CRV_DSS</t>
  </si>
  <si>
    <t>NL_DHR_DSS</t>
  </si>
  <si>
    <t>NL_SPR_DSS</t>
  </si>
  <si>
    <t>NL_SOK_DSS</t>
  </si>
  <si>
    <t>NL_HOW_DSS</t>
  </si>
  <si>
    <t>NL_RHR_DSS</t>
  </si>
  <si>
    <t>NL_WDL_DSS</t>
  </si>
  <si>
    <t>NL_SCV_DSS</t>
  </si>
  <si>
    <t>NL_PPD_DSS</t>
  </si>
  <si>
    <t>NL_CHD_DSS</t>
  </si>
  <si>
    <t>NL_BHL_DSS</t>
  </si>
  <si>
    <t>NL_GLB_DSS</t>
  </si>
  <si>
    <t>NL_PPT_DSS</t>
  </si>
  <si>
    <t>NL_BRV_DSS</t>
  </si>
  <si>
    <t>NL_HDT_DSS</t>
  </si>
  <si>
    <t>NL_JAT_DSS</t>
  </si>
  <si>
    <t>NL_STA_DSS</t>
  </si>
  <si>
    <t>NL_MBK_DSS</t>
  </si>
  <si>
    <t>NL_SCR_DSS</t>
  </si>
  <si>
    <t>NL_PBN_DSS</t>
  </si>
  <si>
    <t>NL_BCV_DSS</t>
  </si>
  <si>
    <t>NL_MOL_DSS</t>
  </si>
  <si>
    <t>NL_PEP_DSS</t>
  </si>
  <si>
    <t>NL_GDL_DSS</t>
  </si>
  <si>
    <t>NL_CLK_DSS</t>
  </si>
  <si>
    <t>NL_PUL_DSS</t>
  </si>
  <si>
    <t>NL_OPL_DSS</t>
  </si>
  <si>
    <t>NL_TRP_DSS</t>
  </si>
  <si>
    <t>NL_LEW_DSS</t>
  </si>
  <si>
    <t>NL_BVA_DSS</t>
  </si>
  <si>
    <t>NL_GLV_DSS</t>
  </si>
  <si>
    <t>NL_BOT_DSS</t>
  </si>
  <si>
    <t>NL_TWG_DSS</t>
  </si>
  <si>
    <t>NL_FRN_DSS</t>
  </si>
  <si>
    <t>NL_GIL_DSS</t>
  </si>
  <si>
    <t>NL_WHE_DSS</t>
  </si>
  <si>
    <t>NL_ROB_DSS</t>
  </si>
  <si>
    <t>NL_STG_DSS</t>
  </si>
  <si>
    <t>NL_LCV_DSS</t>
  </si>
  <si>
    <t>NL_WTS_DSS</t>
  </si>
  <si>
    <t>NL_BCX_DSS</t>
  </si>
  <si>
    <t>NL_GBK_DSS</t>
  </si>
  <si>
    <t>NL_HDN_DSS</t>
  </si>
  <si>
    <t>NL_JAM_DSS</t>
  </si>
  <si>
    <t>NL_CAM_DSS</t>
  </si>
  <si>
    <t>NL_FHD_DSS</t>
  </si>
  <si>
    <t>NL_BWT_DSS</t>
  </si>
  <si>
    <t>NL_DKP_DSS</t>
  </si>
  <si>
    <t>Granite Canal TS (GCL)</t>
  </si>
  <si>
    <t>NL_TS1_TSS</t>
  </si>
  <si>
    <t>NL_TS3_TSS</t>
  </si>
  <si>
    <t>NL_GCL_TSS</t>
  </si>
  <si>
    <t>NL_ISL_DSS</t>
  </si>
  <si>
    <t>NL_LET_DSS</t>
  </si>
  <si>
    <t>NL_MAS_TSS</t>
  </si>
  <si>
    <t>NL_MIL_DSS</t>
  </si>
  <si>
    <t>NL_NHR_DSS</t>
  </si>
  <si>
    <t>NL_RFD_JCT</t>
  </si>
  <si>
    <t>NL_SOL_CSS</t>
  </si>
  <si>
    <t>NL_SMV_DSS</t>
  </si>
  <si>
    <t>NL_SUN_TSS</t>
  </si>
  <si>
    <t>NL_TRN_DSS</t>
  </si>
  <si>
    <t>NL_STY_TSS</t>
  </si>
  <si>
    <t>NL_VIC_DSS</t>
  </si>
  <si>
    <t>Labrador</t>
  </si>
  <si>
    <t>Strait of Belle Isle (SBI)</t>
  </si>
  <si>
    <t>NL_SBI_JCT</t>
  </si>
  <si>
    <t>EXISTING DISTRIBUTIONS STATIONS</t>
  </si>
  <si>
    <t>EXISTING NODES</t>
  </si>
  <si>
    <t>GEN = Generating Unit</t>
  </si>
  <si>
    <t>SWS = Switching Station</t>
  </si>
  <si>
    <t>TSS = Terminal Station</t>
  </si>
  <si>
    <t>DSS = Distribution Substation</t>
  </si>
  <si>
    <t>ISS = Industrial Customer Substation</t>
  </si>
  <si>
    <t>GSS = Generating Substation</t>
  </si>
  <si>
    <t>NL_RCK_DSS</t>
  </si>
  <si>
    <t>Sandy Brook (SBK)</t>
  </si>
  <si>
    <t>Horsechops Tap (HCP)</t>
  </si>
  <si>
    <t>Morris Tap (MRP)</t>
  </si>
  <si>
    <t>Horsechops (HCP)</t>
  </si>
  <si>
    <t>Morris (MRP)</t>
  </si>
  <si>
    <t>Pierres Brook (PBK)</t>
  </si>
  <si>
    <t>NL_PRC_DSS</t>
  </si>
  <si>
    <t>QB-NL Border</t>
  </si>
  <si>
    <t>NS-NL Border</t>
  </si>
  <si>
    <t>Length to midpoint across Cabot Strait</t>
  </si>
  <si>
    <t>Midway across Cabot Strait</t>
  </si>
  <si>
    <t>Midway across Strait of Belle Isle</t>
  </si>
  <si>
    <t>NL_CFP10_GEN</t>
  </si>
  <si>
    <t>NL_CFP11_GEN</t>
  </si>
  <si>
    <t>NL_BDE01_GEN</t>
  </si>
  <si>
    <t>NL_BFS01_GEN</t>
  </si>
  <si>
    <t>NL_CAM01_GEN</t>
  </si>
  <si>
    <t>NL_CFP01_GEN</t>
  </si>
  <si>
    <t>NL_DLP01_GEN</t>
  </si>
  <si>
    <t>NL_HOL01_GEN</t>
  </si>
  <si>
    <t>NL_MSF01_GEN</t>
  </si>
  <si>
    <t>NL_BDE02_GEN</t>
  </si>
  <si>
    <t>NL_BFS02_GEN</t>
  </si>
  <si>
    <t>NL_CAM02_GEN</t>
  </si>
  <si>
    <t>NL_CFP02_GEN</t>
  </si>
  <si>
    <t>NL_DLP02_GEN</t>
  </si>
  <si>
    <t>NL_HOL02_GEN</t>
  </si>
  <si>
    <t>NL_MSF02_GEN</t>
  </si>
  <si>
    <t>NL_BDE03_GEN</t>
  </si>
  <si>
    <t>NL_BFS03_GEN</t>
  </si>
  <si>
    <t>NL_CFP03_GEN</t>
  </si>
  <si>
    <t>NL_DLP03_GEN</t>
  </si>
  <si>
    <t>NL_HOL03_GEN</t>
  </si>
  <si>
    <t>NL_MSF03_GEN</t>
  </si>
  <si>
    <t>NL_BDE04_GEN</t>
  </si>
  <si>
    <t>NL_BFS04_GEN</t>
  </si>
  <si>
    <t>NL_CFP04_GEN</t>
  </si>
  <si>
    <t>NL_DLP04_GEN</t>
  </si>
  <si>
    <t>NL_GFS04_GEN</t>
  </si>
  <si>
    <t>NL_HOL04_GEN</t>
  </si>
  <si>
    <t>NL_MSF04_GEN</t>
  </si>
  <si>
    <t>NL_BDE05_GEN</t>
  </si>
  <si>
    <t>NL_BFS05_GEN</t>
  </si>
  <si>
    <t>NL_CFP05_GEN</t>
  </si>
  <si>
    <t>NL_DLP05_GEN</t>
  </si>
  <si>
    <t>NL_GFS05_GEN</t>
  </si>
  <si>
    <t>NL_BDE06_GEN</t>
  </si>
  <si>
    <t>NL_BFS06_GEN</t>
  </si>
  <si>
    <t>NL_CFP06_GEN</t>
  </si>
  <si>
    <t>NL_DLP06_GEN</t>
  </si>
  <si>
    <t>NL_GFS06_GEN</t>
  </si>
  <si>
    <t>NL_BDE07_GEN</t>
  </si>
  <si>
    <t>NL_BFS07_GEN</t>
  </si>
  <si>
    <t>NL_CFP07_GEN</t>
  </si>
  <si>
    <t>NL_DLP07_GEN</t>
  </si>
  <si>
    <t>NL_GFS07_GEN</t>
  </si>
  <si>
    <t>NL_BFS08_GEN</t>
  </si>
  <si>
    <t>NL_CFP08_GEN</t>
  </si>
  <si>
    <t>NL_DLP08_GEN</t>
  </si>
  <si>
    <t>NL_GFS08_GEN</t>
  </si>
  <si>
    <t>NL_BFS09_GEN</t>
  </si>
  <si>
    <t>NL_CFP09_GEN</t>
  </si>
  <si>
    <t>NL_DLP09_GEN</t>
  </si>
  <si>
    <t>NL_GFS09_GEN</t>
  </si>
  <si>
    <t>Muskrat Falls_01</t>
  </si>
  <si>
    <t>Muskrat Falls_02</t>
  </si>
  <si>
    <t>Muskrat Falls_03</t>
  </si>
  <si>
    <t>Muskrat Falls_04</t>
  </si>
  <si>
    <t>Average Annual Energy based on 16 hours per day, or 66.67%</t>
  </si>
  <si>
    <t>NL_CBC_ISS</t>
  </si>
  <si>
    <t>NL_QTZ_ISS</t>
  </si>
  <si>
    <t>NL_RFD_ISS</t>
  </si>
  <si>
    <t>NL_LHB_ISS</t>
  </si>
  <si>
    <t>Distribution</t>
  </si>
  <si>
    <t>NL_MKS_TSS</t>
  </si>
  <si>
    <t>NL_GPD_DSS</t>
  </si>
  <si>
    <t>NL_TS2_CSS</t>
  </si>
  <si>
    <t>DFS = Dual Function Distribution and Generation Substation</t>
  </si>
  <si>
    <t>Smax</t>
  </si>
  <si>
    <t>Node Name</t>
  </si>
  <si>
    <t>Node Code</t>
  </si>
  <si>
    <t>NL_BFS_DFS</t>
  </si>
  <si>
    <t>NL_BUC_DFS</t>
  </si>
  <si>
    <t>NL_CAB_DFS</t>
  </si>
  <si>
    <t>NL_CHA_DFS</t>
  </si>
  <si>
    <t>NL_DLK_DFS</t>
  </si>
  <si>
    <t>NL_FER_DFS</t>
  </si>
  <si>
    <t>NL_GFS_DFS</t>
  </si>
  <si>
    <t>NL_GRH_DFS</t>
  </si>
  <si>
    <t>NL_HVY_DFS</t>
  </si>
  <si>
    <t>NL_HWD_DFS</t>
  </si>
  <si>
    <t>NL_HCT_DFS</t>
  </si>
  <si>
    <t>NL_LOK_DFS</t>
  </si>
  <si>
    <t>NL_LGL_DFS</t>
  </si>
  <si>
    <t>NL_LBK_DFS</t>
  </si>
  <si>
    <t>NL_MOB_DFS</t>
  </si>
  <si>
    <t>NL_NCH_DFS</t>
  </si>
  <si>
    <t>NL_PRV_DFS</t>
  </si>
  <si>
    <t>NL_PHR_DFS</t>
  </si>
  <si>
    <t>NL_PAB_DFS</t>
  </si>
  <si>
    <t>NL_RBK_DFS</t>
  </si>
  <si>
    <t>NL_ROP_DFS</t>
  </si>
  <si>
    <t>NL_SCV_DFS</t>
  </si>
  <si>
    <t>NL_WBC_DFS</t>
  </si>
  <si>
    <t>NL_WES_DFS</t>
  </si>
  <si>
    <t>Teck Resources</t>
  </si>
  <si>
    <t>Generates at 50 Hz so effective capacity reduced</t>
  </si>
  <si>
    <t>Holyrood GS (HOL)</t>
  </si>
  <si>
    <t>Nodes</t>
  </si>
  <si>
    <t>Characteristics of existing transmission system nodes</t>
  </si>
  <si>
    <t>Characteristics of existing distribution substations</t>
  </si>
  <si>
    <t>Storage</t>
  </si>
  <si>
    <t>Characteristics of existing grid-scale storage facilities</t>
  </si>
  <si>
    <t>EXISTING STORAGE</t>
  </si>
  <si>
    <t xml:space="preserve">Technology </t>
  </si>
  <si>
    <t>Storage Capacity</t>
  </si>
  <si>
    <t>Storage Energy</t>
  </si>
  <si>
    <t>Duration</t>
  </si>
  <si>
    <t>Associated Generation</t>
  </si>
  <si>
    <t>Cost</t>
  </si>
  <si>
    <t>Maintenance Days</t>
  </si>
  <si>
    <t>kV</t>
  </si>
  <si>
    <t>(Hours)</t>
  </si>
  <si>
    <t>Storage Code</t>
  </si>
  <si>
    <t>http://www.pub.nf.ca/applications/NP2019Capital/applications/NP%20-%202019%20Capital%20Budget%20Application%20-%202018-07-13.PDF</t>
  </si>
  <si>
    <t>https://ceaa.gc.ca/052/details-eng.cfm?pid=26178</t>
  </si>
  <si>
    <t>http://www.pub.nf.ca/applications/NLH2013GRA/files/application/NLH-2013-GRA-Application-Volume-2-AMENDED-2014-11-10.pdf</t>
  </si>
  <si>
    <t>https://nlhydro.com/wp-content/uploads/2014/11/Generation-Planning-Issues-Report-November-2012-FINAL.pdf</t>
  </si>
  <si>
    <t>https://nalcorenergy.com/wp-content/uploads/2016/12/Final_Submission_to_PUB_for_Muskrat_Falls_Review_2011_11_10_all_Volumes3.pdf</t>
  </si>
  <si>
    <t>Operating Region</t>
  </si>
  <si>
    <t>Newfoundland</t>
  </si>
  <si>
    <t>NONE</t>
  </si>
  <si>
    <t>biomass</t>
  </si>
  <si>
    <t>IPT Montagnais</t>
  </si>
  <si>
    <t>IPT Woodbine</t>
  </si>
  <si>
    <t>CSS = AC/DC Converter Station</t>
  </si>
  <si>
    <t>INT = International Intertie</t>
  </si>
  <si>
    <t>IPT = Interprovincial Intertie</t>
  </si>
  <si>
    <t>MTS = Municipal Transformer Station</t>
  </si>
  <si>
    <t>TS = Transformer Station</t>
  </si>
  <si>
    <t>1969 CFLCo Contract + Guaranteed Winter Availability Contract (GWAC)</t>
  </si>
  <si>
    <t>CONTRACTED - NS-NL</t>
  </si>
  <si>
    <t>CONTRACTED - QB-NL</t>
  </si>
  <si>
    <t>Canada Energy Regulator</t>
  </si>
  <si>
    <t>International Power Lines Dashboard</t>
  </si>
  <si>
    <t>https://www.cer-rec.gc.ca/en/data-analysis/facilities-we-regulate/international-power-lines-dashboard/index.html</t>
  </si>
  <si>
    <t>Canada</t>
  </si>
  <si>
    <t>NL_BUC00_GEN</t>
  </si>
  <si>
    <t>NL_CAB00_GEN</t>
  </si>
  <si>
    <t>NL_CNB00_GEN</t>
  </si>
  <si>
    <t>NL_FER00_GEN</t>
  </si>
  <si>
    <t>NL_GCL00_GEN</t>
  </si>
  <si>
    <t>NL_GRH00_GEN</t>
  </si>
  <si>
    <t>NL_HVG00_GEN</t>
  </si>
  <si>
    <t>NL_HVD00_GEN</t>
  </si>
  <si>
    <t>NL_HWD00_GEN</t>
  </si>
  <si>
    <t>NL_HBY00_GEN</t>
  </si>
  <si>
    <t>NL_HCT00_GEN</t>
  </si>
  <si>
    <t>NL_HLK00_GEN</t>
  </si>
  <si>
    <t>NL_HLD00_GEN</t>
  </si>
  <si>
    <t>NL_HCP00_GEN</t>
  </si>
  <si>
    <t>NL_LOK00_GEN</t>
  </si>
  <si>
    <t>NL_LBK00_GEN</t>
  </si>
  <si>
    <t>NL_MOB00_GEN</t>
  </si>
  <si>
    <t>NL_MRP00_GEN</t>
  </si>
  <si>
    <t>NL_NCH00_GEN</t>
  </si>
  <si>
    <t>NL_PRV00_GEN</t>
  </si>
  <si>
    <t>NL_PHR00_GEN</t>
  </si>
  <si>
    <t>NL_PBK00_GEN</t>
  </si>
  <si>
    <t>NL_PAB00_GEN</t>
  </si>
  <si>
    <t>NL_RTK00_GEN</t>
  </si>
  <si>
    <t>NL_RBK00_GEN</t>
  </si>
  <si>
    <t>NL_ROP00_GEN</t>
  </si>
  <si>
    <t>NL_RBH00_GEN</t>
  </si>
  <si>
    <t>NL_SBK00_GEN</t>
  </si>
  <si>
    <t>NL_SCV00_GEN</t>
  </si>
  <si>
    <t>NL_STL00_GEN</t>
  </si>
  <si>
    <t>NL_SOP00_GEN</t>
  </si>
  <si>
    <t>NL_SLK00_GEN</t>
  </si>
  <si>
    <t>NL_STV00_GEN</t>
  </si>
  <si>
    <t>NL_TOP00_GEN</t>
  </si>
  <si>
    <t>NL_TCV00_GEN</t>
  </si>
  <si>
    <t>NL_USL00_GEN</t>
  </si>
  <si>
    <t>NL_VCA00_GEN</t>
  </si>
  <si>
    <t>NL_WBK00_GEN</t>
  </si>
  <si>
    <t>NL_WES00_GEN</t>
  </si>
  <si>
    <t>NL_NSNL100_GEN</t>
  </si>
  <si>
    <t>NL_QBNL100_GEN</t>
  </si>
  <si>
    <t>Island Interconnection System Supply Issues and Power Outages. PUB-NLH-324</t>
  </si>
  <si>
    <t>Reference to Board on Rate Mitigation Options and Impacts. Nalcor Response to Information Request PUB-Nalcor-129 Attachment 1 Maps</t>
  </si>
  <si>
    <t>Reference to Board on Rate Mitigation Options and Impacts. Nalcor Response to Information Request PUB-Nalcor-057 Attachment 1 Load Forecasts</t>
  </si>
  <si>
    <t>2019/2020 General Rate Application. Volume 2: Supporting Materials</t>
  </si>
  <si>
    <t>Churchill Falls_01</t>
  </si>
  <si>
    <t>Churchill Falls_02</t>
  </si>
  <si>
    <t>Churchill Falls_03</t>
  </si>
  <si>
    <t>Churchill Falls_04</t>
  </si>
  <si>
    <t>Churchill Falls_05</t>
  </si>
  <si>
    <t>Churchill Falls_06</t>
  </si>
  <si>
    <t>Churchill Falls_07</t>
  </si>
  <si>
    <t>Churchill Falls_08</t>
  </si>
  <si>
    <t>Churchill Falls_09</t>
  </si>
  <si>
    <t>Churchill Falls_10</t>
  </si>
  <si>
    <t>Churchill Falls_11</t>
  </si>
  <si>
    <t>Happy Valley North Side Diesel</t>
  </si>
  <si>
    <t>HYDROELECTRIC PUIMPED STORAGE</t>
  </si>
  <si>
    <t>Reservoir Design</t>
  </si>
  <si>
    <t>Pumped Storage Project</t>
  </si>
  <si>
    <t>Estimated Round Trip Efficiency</t>
  </si>
  <si>
    <t>Design Flow (Pumping)</t>
  </si>
  <si>
    <t>Efficient Pumping Capacity Duration</t>
  </si>
  <si>
    <t>Annualized Project Cost per kW</t>
  </si>
  <si>
    <t>NLH does not have DSM programs</t>
  </si>
  <si>
    <t>2019-2050 Rate</t>
  </si>
  <si>
    <t>Assume extended to 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</si>
</sst>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"/>
    <numFmt numFmtId="166" formatCode="#,##0.0_);\(#,##0.0\)"/>
    <numFmt numFmtId="167" formatCode="#,##0.000000"/>
    <numFmt numFmtId="168" formatCode="#,##0.0000"/>
    <numFmt numFmtId="169" formatCode="#,##0.0000000000"/>
  </numFmts>
  <fonts count="3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14"/>
      <name val="Calibri"/>
      <family val="2"/>
    </font>
    <font>
      <sz val="14"/>
      <color theme="1"/>
      <name val="Calibri (Body)"/>
    </font>
    <font>
      <b/>
      <sz val="14"/>
      <color rgb="FFFF0000"/>
      <name val="Calibri"/>
      <family val="2"/>
      <scheme val="minor"/>
    </font>
    <font>
      <sz val="14"/>
      <color theme="1"/>
      <name val="Helvetic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A7D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gray125">
        <fgColor theme="0" tint="-0.149967955565050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497B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rgb="FF000000"/>
      </patternFill>
    </fill>
    <fill>
      <patternFill patternType="solid">
        <fgColor rgb="FF92D05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3" fontId="0" fillId="0" borderId="0">
      <alignment horizontal="right" vertical="center"/>
    </xf>
    <xf numFmtId="0" fontId="8" fillId="0" borderId="0"/>
    <xf numFmtId="0" fontId="5" fillId="0" borderId="0" applyNumberFormat="0" applyFill="0" applyBorder="0" applyAlignment="0" applyProtection="0"/>
    <xf numFmtId="1" fontId="30" fillId="0" borderId="9">
      <alignment horizontal="center" vertical="center" wrapText="1"/>
    </xf>
    <xf numFmtId="1" fontId="15" fillId="11" borderId="9">
      <alignment horizontal="center" vertical="center"/>
    </xf>
    <xf numFmtId="0" fontId="15" fillId="0" borderId="0" applyNumberFormat="0" applyFill="0" applyBorder="0" applyAlignment="0" applyProtection="0"/>
    <xf numFmtId="43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2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13" borderId="0" applyNumberFormat="0" applyBorder="0" applyAlignment="0" applyProtection="0"/>
    <xf numFmtId="0" fontId="23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4" applyNumberFormat="0" applyAlignment="0" applyProtection="0"/>
    <xf numFmtId="0" fontId="26" fillId="17" borderId="5" applyNumberFormat="0" applyAlignment="0" applyProtection="0"/>
    <xf numFmtId="0" fontId="27" fillId="0" borderId="6" applyNumberFormat="0" applyFill="0" applyAlignment="0" applyProtection="0"/>
    <xf numFmtId="0" fontId="4" fillId="56" borderId="9" applyNumberFormat="0" applyAlignment="0" applyProtection="0"/>
    <xf numFmtId="0" fontId="17" fillId="18" borderId="7" applyNumberFormat="0" applyFont="0" applyAlignment="0" applyProtection="0"/>
    <xf numFmtId="0" fontId="28" fillId="0" borderId="0" applyNumberFormat="0" applyFill="0" applyBorder="0" applyAlignment="0" applyProtection="0"/>
    <xf numFmtId="0" fontId="2" fillId="0" borderId="8" applyNumberFormat="0" applyFill="0" applyAlignment="0" applyProtection="0"/>
    <xf numFmtId="0" fontId="2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9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9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10" fontId="31" fillId="0" borderId="9">
      <alignment horizontal="right" vertical="center"/>
    </xf>
    <xf numFmtId="0" fontId="13" fillId="0" borderId="9">
      <alignment horizontal="left" vertical="center" wrapText="1"/>
    </xf>
    <xf numFmtId="0" fontId="13" fillId="0" borderId="9">
      <alignment horizontal="center" vertical="center" wrapText="1"/>
    </xf>
    <xf numFmtId="3" fontId="3" fillId="0" borderId="0">
      <alignment horizontal="left" vertical="center"/>
    </xf>
    <xf numFmtId="0" fontId="5" fillId="0" borderId="0" applyNumberFormat="0" applyFill="0" applyBorder="0" applyAlignment="0" applyProtection="0"/>
    <xf numFmtId="3" fontId="8" fillId="0" borderId="9">
      <alignment horizontal="right" vertical="center"/>
    </xf>
    <xf numFmtId="0" fontId="4" fillId="0" borderId="0">
      <alignment horizontal="left" vertical="center"/>
    </xf>
    <xf numFmtId="0" fontId="13" fillId="0" borderId="9">
      <alignment horizontal="right" vertical="center" wrapText="1"/>
    </xf>
    <xf numFmtId="43" fontId="17" fillId="0" borderId="0" applyFont="0" applyFill="0" applyBorder="0" applyAlignment="0" applyProtection="0"/>
    <xf numFmtId="167" fontId="8" fillId="0" borderId="9">
      <alignment horizontal="right" vertical="center"/>
    </xf>
    <xf numFmtId="4" fontId="8" fillId="0" borderId="9">
      <alignment horizontal="right" vertical="center"/>
    </xf>
    <xf numFmtId="3" fontId="3" fillId="0" borderId="9">
      <alignment horizontal="left" vertical="center"/>
    </xf>
    <xf numFmtId="10" fontId="8" fillId="0" borderId="9" applyFill="0" applyAlignment="0" applyProtection="0"/>
    <xf numFmtId="0" fontId="4" fillId="0" borderId="0">
      <alignment vertical="center"/>
    </xf>
    <xf numFmtId="168" fontId="8" fillId="0" borderId="9">
      <alignment horizontal="right" vertical="center"/>
    </xf>
    <xf numFmtId="2" fontId="15" fillId="11" borderId="9">
      <alignment vertical="center"/>
    </xf>
    <xf numFmtId="165" fontId="8" fillId="0" borderId="9">
      <alignment horizontal="right" vertical="center"/>
    </xf>
    <xf numFmtId="1" fontId="8" fillId="0" borderId="9">
      <alignment horizontal="right" vertical="center"/>
    </xf>
    <xf numFmtId="0" fontId="4" fillId="0" borderId="0">
      <alignment vertical="center"/>
    </xf>
    <xf numFmtId="3" fontId="8" fillId="0" borderId="9">
      <alignment horizontal="right" vertical="center"/>
    </xf>
    <xf numFmtId="1" fontId="15" fillId="11" borderId="9">
      <alignment vertical="center"/>
    </xf>
    <xf numFmtId="169" fontId="8" fillId="0" borderId="9">
      <alignment horizontal="right" vertical="center"/>
    </xf>
    <xf numFmtId="10" fontId="8" fillId="0" borderId="9" applyFill="0" applyAlignment="0" applyProtection="0"/>
    <xf numFmtId="0" fontId="13" fillId="0" borderId="9">
      <alignment horizontal="left" vertical="center" wrapText="1"/>
    </xf>
    <xf numFmtId="0" fontId="13" fillId="0" borderId="9">
      <alignment horizontal="center" vertical="center" wrapText="1"/>
    </xf>
  </cellStyleXfs>
  <cellXfs count="283">
    <xf numFmtId="3" fontId="0" fillId="0" borderId="0" xfId="0">
      <alignment horizontal="right" vertical="center"/>
    </xf>
    <xf numFmtId="0" fontId="4" fillId="0" borderId="0" xfId="68">
      <alignment vertical="center"/>
    </xf>
    <xf numFmtId="10" fontId="8" fillId="0" borderId="9" xfId="62" applyFill="1" applyAlignment="1">
      <alignment horizontal="right" vertical="center"/>
    </xf>
    <xf numFmtId="0" fontId="2" fillId="0" borderId="0" xfId="1" applyFont="1" applyAlignment="1">
      <alignment horizontal="center" vertical="center" wrapText="1"/>
    </xf>
    <xf numFmtId="0" fontId="8" fillId="0" borderId="0" xfId="1"/>
    <xf numFmtId="0" fontId="2" fillId="0" borderId="0" xfId="1" applyFont="1" applyAlignment="1">
      <alignment horizontal="center"/>
    </xf>
    <xf numFmtId="1" fontId="8" fillId="0" borderId="0" xfId="1" applyNumberFormat="1"/>
    <xf numFmtId="0" fontId="8" fillId="0" borderId="0" xfId="1" applyAlignment="1">
      <alignment horizontal="center"/>
    </xf>
    <xf numFmtId="1" fontId="6" fillId="0" borderId="0" xfId="3" applyFont="1" applyBorder="1" applyAlignment="1">
      <alignment horizontal="left" vertical="top" wrapText="1"/>
    </xf>
    <xf numFmtId="0" fontId="2" fillId="0" borderId="0" xfId="1" applyFont="1" applyAlignment="1">
      <alignment horizontal="center" wrapText="1"/>
    </xf>
    <xf numFmtId="3" fontId="0" fillId="0" borderId="0" xfId="0" applyAlignment="1"/>
    <xf numFmtId="1" fontId="13" fillId="0" borderId="0" xfId="3" applyFont="1" applyBorder="1" applyAlignment="1">
      <alignment horizontal="left" vertical="top" wrapText="1"/>
    </xf>
    <xf numFmtId="3" fontId="8" fillId="0" borderId="0" xfId="0" applyFont="1" applyAlignment="1"/>
    <xf numFmtId="1" fontId="15" fillId="11" borderId="9" xfId="4" applyAlignment="1">
      <alignment horizontal="right" vertical="center"/>
    </xf>
    <xf numFmtId="0" fontId="1" fillId="0" borderId="0" xfId="1" applyFont="1" applyFill="1"/>
    <xf numFmtId="0" fontId="1" fillId="0" borderId="0" xfId="1" applyFont="1"/>
    <xf numFmtId="1" fontId="30" fillId="0" borderId="9" xfId="3">
      <alignment horizontal="center" vertical="center" wrapText="1"/>
    </xf>
    <xf numFmtId="0" fontId="13" fillId="0" borderId="9" xfId="51">
      <alignment horizontal="left" vertical="center" wrapText="1"/>
    </xf>
    <xf numFmtId="3" fontId="3" fillId="0" borderId="0" xfId="53">
      <alignment horizontal="left" vertical="center"/>
    </xf>
    <xf numFmtId="1" fontId="30" fillId="4" borderId="9" xfId="3" applyFill="1">
      <alignment horizontal="center" vertical="center" wrapText="1"/>
    </xf>
    <xf numFmtId="0" fontId="3" fillId="0" borderId="0" xfId="1" applyFont="1" applyAlignment="1">
      <alignment horizontal="left" wrapText="1"/>
    </xf>
    <xf numFmtId="0" fontId="1" fillId="0" borderId="0" xfId="1" applyFont="1" applyAlignment="1">
      <alignment horizontal="center"/>
    </xf>
    <xf numFmtId="0" fontId="4" fillId="0" borderId="0" xfId="1" applyFont="1"/>
    <xf numFmtId="3" fontId="0" fillId="0" borderId="0" xfId="0" applyAlignment="1">
      <alignment horizontal="center"/>
    </xf>
    <xf numFmtId="0" fontId="1" fillId="0" borderId="0" xfId="1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3" fontId="2" fillId="0" borderId="0" xfId="0" applyFont="1" applyAlignment="1">
      <alignment horizontal="center"/>
    </xf>
    <xf numFmtId="3" fontId="6" fillId="0" borderId="0" xfId="0" applyFont="1" applyAlignment="1">
      <alignment horizontal="left" vertical="top" wrapText="1"/>
    </xf>
    <xf numFmtId="3" fontId="0" fillId="0" borderId="0" xfId="0">
      <alignment horizontal="right" vertical="center"/>
    </xf>
    <xf numFmtId="1" fontId="7" fillId="0" borderId="0" xfId="0" applyNumberFormat="1" applyFont="1" applyAlignment="1">
      <alignment horizontal="right" vertical="top" shrinkToFit="1"/>
    </xf>
    <xf numFmtId="0" fontId="12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8" fillId="0" borderId="0" xfId="1" applyAlignment="1">
      <alignment horizontal="center" vertical="center"/>
    </xf>
    <xf numFmtId="3" fontId="8" fillId="0" borderId="0" xfId="0" applyFont="1" applyAlignment="1">
      <alignment horizontal="center"/>
    </xf>
    <xf numFmtId="3" fontId="6" fillId="0" borderId="0" xfId="0" applyFont="1" applyAlignment="1">
      <alignment horizontal="center" vertical="top" wrapText="1"/>
    </xf>
    <xf numFmtId="2" fontId="7" fillId="0" borderId="0" xfId="0" applyNumberFormat="1" applyFont="1" applyAlignment="1">
      <alignment horizontal="right" vertical="top" shrinkToFit="1"/>
    </xf>
    <xf numFmtId="164" fontId="7" fillId="0" borderId="0" xfId="0" applyNumberFormat="1" applyFont="1" applyAlignment="1">
      <alignment horizontal="right" vertical="top" shrinkToFit="1"/>
    </xf>
    <xf numFmtId="0" fontId="13" fillId="0" borderId="9" xfId="52">
      <alignment horizontal="center" vertical="center" wrapText="1"/>
    </xf>
    <xf numFmtId="3" fontId="4" fillId="0" borderId="0" xfId="0" applyFont="1">
      <alignment horizontal="right" vertical="center"/>
    </xf>
    <xf numFmtId="3" fontId="0" fillId="0" borderId="0" xfId="0" applyAlignment="1">
      <alignment horizontal="center"/>
    </xf>
    <xf numFmtId="3" fontId="8" fillId="0" borderId="0" xfId="0" applyFont="1">
      <alignment horizontal="right" vertical="center"/>
    </xf>
    <xf numFmtId="3" fontId="8" fillId="3" borderId="0" xfId="0" applyFont="1" applyFill="1">
      <alignment horizontal="right" vertical="center"/>
    </xf>
    <xf numFmtId="3" fontId="0" fillId="0" borderId="0" xfId="0">
      <alignment horizontal="right" vertical="center"/>
    </xf>
    <xf numFmtId="3" fontId="10" fillId="0" borderId="0" xfId="0" applyFont="1" applyAlignment="1">
      <alignment horizontal="center"/>
    </xf>
    <xf numFmtId="3" fontId="10" fillId="0" borderId="0" xfId="0" applyFont="1">
      <alignment horizontal="right" vertical="center"/>
    </xf>
    <xf numFmtId="4" fontId="10" fillId="0" borderId="0" xfId="0" applyNumberFormat="1" applyFont="1">
      <alignment horizontal="right" vertical="center"/>
    </xf>
    <xf numFmtId="10" fontId="0" fillId="0" borderId="0" xfId="0" applyNumberFormat="1">
      <alignment horizontal="right" vertical="center"/>
    </xf>
    <xf numFmtId="164" fontId="16" fillId="0" borderId="0" xfId="0" applyNumberFormat="1" applyFont="1">
      <alignment horizontal="right" vertical="center"/>
    </xf>
    <xf numFmtId="3" fontId="0" fillId="0" borderId="0" xfId="0" applyAlignment="1">
      <alignment horizontal="right"/>
    </xf>
    <xf numFmtId="1" fontId="8" fillId="0" borderId="0" xfId="0" applyNumberFormat="1" applyFont="1">
      <alignment horizontal="right" vertical="center"/>
    </xf>
    <xf numFmtId="3" fontId="14" fillId="0" borderId="0" xfId="0" applyFont="1">
      <alignment horizontal="right" vertical="center"/>
    </xf>
    <xf numFmtId="3" fontId="3" fillId="0" borderId="0" xfId="0" applyFont="1" applyAlignment="1">
      <alignment horizontal="center"/>
    </xf>
    <xf numFmtId="3" fontId="8" fillId="2" borderId="0" xfId="0" applyFont="1" applyFill="1" applyAlignment="1"/>
    <xf numFmtId="3" fontId="8" fillId="4" borderId="0" xfId="0" applyFont="1" applyFill="1" applyAlignment="1"/>
    <xf numFmtId="3" fontId="8" fillId="3" borderId="0" xfId="0" applyFont="1" applyFill="1" applyAlignment="1"/>
    <xf numFmtId="3" fontId="8" fillId="0" borderId="9" xfId="55">
      <alignment horizontal="right" vertical="center"/>
    </xf>
    <xf numFmtId="0" fontId="4" fillId="0" borderId="0" xfId="56">
      <alignment horizontal="left" vertical="center"/>
    </xf>
    <xf numFmtId="3" fontId="8" fillId="0" borderId="9" xfId="55" applyFill="1">
      <alignment horizontal="right" vertical="center"/>
    </xf>
    <xf numFmtId="1" fontId="30" fillId="0" borderId="9" xfId="3" quotePrefix="1">
      <alignment horizontal="center" vertical="center" wrapText="1"/>
    </xf>
    <xf numFmtId="0" fontId="13" fillId="0" borderId="11" xfId="52" applyBorder="1">
      <alignment horizontal="center" vertical="center" wrapText="1"/>
    </xf>
    <xf numFmtId="0" fontId="13" fillId="0" borderId="10" xfId="52" applyBorder="1">
      <alignment horizontal="center" vertical="center" wrapText="1"/>
    </xf>
    <xf numFmtId="10" fontId="31" fillId="0" borderId="9" xfId="50">
      <alignment horizontal="right" vertical="center"/>
    </xf>
    <xf numFmtId="0" fontId="8" fillId="5" borderId="0" xfId="1" applyFill="1"/>
    <xf numFmtId="1" fontId="30" fillId="0" borderId="9" xfId="3" applyFill="1">
      <alignment horizontal="center" vertical="center" wrapText="1"/>
    </xf>
    <xf numFmtId="0" fontId="13" fillId="0" borderId="9" xfId="51" applyFill="1">
      <alignment horizontal="left" vertical="center" wrapText="1"/>
    </xf>
    <xf numFmtId="0" fontId="13" fillId="0" borderId="9" xfId="52" applyFill="1">
      <alignment horizontal="center" vertical="center" wrapText="1"/>
    </xf>
    <xf numFmtId="1" fontId="15" fillId="0" borderId="9" xfId="4" applyFill="1">
      <alignment horizontal="center" vertical="center"/>
    </xf>
    <xf numFmtId="3" fontId="1" fillId="0" borderId="0" xfId="1" applyNumberFormat="1" applyFont="1" applyAlignment="1">
      <alignment horizontal="right" vertical="center"/>
    </xf>
    <xf numFmtId="3" fontId="8" fillId="0" borderId="11" xfId="55" applyFill="1" applyBorder="1">
      <alignment horizontal="right" vertical="center"/>
    </xf>
    <xf numFmtId="3" fontId="8" fillId="8" borderId="9" xfId="55" applyFill="1">
      <alignment horizontal="right" vertical="center"/>
    </xf>
    <xf numFmtId="0" fontId="13" fillId="8" borderId="9" xfId="52" applyFill="1">
      <alignment horizontal="center" vertical="center" wrapText="1"/>
    </xf>
    <xf numFmtId="0" fontId="13" fillId="10" borderId="9" xfId="52" applyFill="1">
      <alignment horizontal="center" vertical="center" wrapText="1"/>
    </xf>
    <xf numFmtId="0" fontId="13" fillId="10" borderId="9" xfId="51" applyFill="1">
      <alignment horizontal="left" vertical="center" wrapText="1"/>
    </xf>
    <xf numFmtId="0" fontId="13" fillId="12" borderId="9" xfId="51" applyFill="1">
      <alignment horizontal="left" vertical="center" wrapText="1"/>
    </xf>
    <xf numFmtId="0" fontId="13" fillId="8" borderId="9" xfId="51" applyFill="1">
      <alignment horizontal="left" vertical="center" wrapText="1"/>
    </xf>
    <xf numFmtId="1" fontId="6" fillId="0" borderId="0" xfId="3" applyFont="1" applyFill="1" applyBorder="1" applyAlignment="1">
      <alignment horizontal="left" vertical="top" wrapText="1"/>
    </xf>
    <xf numFmtId="3" fontId="6" fillId="0" borderId="0" xfId="0" applyFont="1" applyFill="1" applyAlignment="1">
      <alignment horizontal="center" vertical="top" wrapText="1"/>
    </xf>
    <xf numFmtId="0" fontId="13" fillId="12" borderId="9" xfId="52" applyFill="1">
      <alignment horizontal="center" vertical="center" wrapText="1"/>
    </xf>
    <xf numFmtId="0" fontId="13" fillId="9" borderId="9" xfId="51" applyFill="1">
      <alignment horizontal="left" vertical="center" wrapText="1"/>
    </xf>
    <xf numFmtId="0" fontId="13" fillId="9" borderId="9" xfId="52" applyFill="1">
      <alignment horizontal="center" vertical="center" wrapText="1"/>
    </xf>
    <xf numFmtId="164" fontId="8" fillId="9" borderId="9" xfId="55" applyNumberFormat="1" applyFill="1">
      <alignment horizontal="right" vertical="center"/>
    </xf>
    <xf numFmtId="3" fontId="8" fillId="9" borderId="9" xfId="55" applyFill="1">
      <alignment horizontal="right" vertical="center"/>
    </xf>
    <xf numFmtId="165" fontId="8" fillId="0" borderId="9" xfId="55" applyNumberFormat="1" applyFill="1">
      <alignment horizontal="right" vertical="center"/>
    </xf>
    <xf numFmtId="165" fontId="8" fillId="9" borderId="9" xfId="55" applyNumberFormat="1" applyFill="1">
      <alignment horizontal="right" vertical="center"/>
    </xf>
    <xf numFmtId="1" fontId="15" fillId="11" borderId="9" xfId="4">
      <alignment horizontal="center" vertical="center"/>
    </xf>
    <xf numFmtId="3" fontId="8" fillId="5" borderId="9" xfId="55" applyFill="1">
      <alignment horizontal="right" vertical="center"/>
    </xf>
    <xf numFmtId="0" fontId="13" fillId="7" borderId="9" xfId="52" applyFill="1">
      <alignment horizontal="center" vertical="center" wrapText="1"/>
    </xf>
    <xf numFmtId="0" fontId="13" fillId="0" borderId="11" xfId="57" applyBorder="1">
      <alignment horizontal="right" vertical="center" wrapText="1"/>
    </xf>
    <xf numFmtId="0" fontId="13" fillId="0" borderId="9" xfId="57">
      <alignment horizontal="right" vertical="center" wrapText="1"/>
    </xf>
    <xf numFmtId="166" fontId="32" fillId="0" borderId="0" xfId="0" applyNumberFormat="1" applyFont="1" applyAlignment="1">
      <alignment horizontal="center"/>
    </xf>
    <xf numFmtId="3" fontId="8" fillId="0" borderId="10" xfId="55" applyBorder="1">
      <alignment horizontal="right" vertical="center"/>
    </xf>
    <xf numFmtId="1" fontId="30" fillId="0" borderId="11" xfId="3" applyBorder="1">
      <alignment horizontal="center" vertical="center" wrapText="1"/>
    </xf>
    <xf numFmtId="3" fontId="8" fillId="0" borderId="11" xfId="55" applyBorder="1">
      <alignment horizontal="right" vertical="center"/>
    </xf>
    <xf numFmtId="1" fontId="30" fillId="0" borderId="9" xfId="0" applyNumberFormat="1" applyFont="1" applyBorder="1" applyAlignment="1">
      <alignment horizontal="center" vertical="center" wrapText="1"/>
    </xf>
    <xf numFmtId="10" fontId="31" fillId="43" borderId="9" xfId="50" applyFill="1">
      <alignment horizontal="right" vertical="center"/>
    </xf>
    <xf numFmtId="10" fontId="31" fillId="45" borderId="9" xfId="50" applyFill="1">
      <alignment horizontal="right" vertical="center"/>
    </xf>
    <xf numFmtId="0" fontId="13" fillId="46" borderId="9" xfId="52" applyFill="1">
      <alignment horizontal="center" vertical="center" wrapText="1"/>
    </xf>
    <xf numFmtId="3" fontId="8" fillId="46" borderId="9" xfId="55" applyFill="1">
      <alignment horizontal="right" vertical="center"/>
    </xf>
    <xf numFmtId="0" fontId="13" fillId="46" borderId="9" xfId="51" applyFill="1">
      <alignment horizontal="left" vertical="center" wrapText="1"/>
    </xf>
    <xf numFmtId="1" fontId="30" fillId="3" borderId="9" xfId="3" applyFill="1">
      <alignment horizontal="center" vertical="center" wrapText="1"/>
    </xf>
    <xf numFmtId="167" fontId="8" fillId="47" borderId="9" xfId="59" applyFill="1">
      <alignment horizontal="right" vertical="center"/>
    </xf>
    <xf numFmtId="167" fontId="8" fillId="48" borderId="9" xfId="59" applyFill="1">
      <alignment horizontal="right" vertical="center"/>
    </xf>
    <xf numFmtId="3" fontId="0" fillId="0" borderId="0" xfId="0" applyFill="1">
      <alignment horizontal="right" vertical="center"/>
    </xf>
    <xf numFmtId="167" fontId="8" fillId="0" borderId="9" xfId="59" applyFill="1">
      <alignment horizontal="right" vertical="center"/>
    </xf>
    <xf numFmtId="0" fontId="1" fillId="0" borderId="0" xfId="1" applyFont="1" applyFill="1" applyAlignment="1">
      <alignment horizontal="center"/>
    </xf>
    <xf numFmtId="0" fontId="1" fillId="0" borderId="0" xfId="1" applyFont="1" applyFill="1" applyAlignment="1">
      <alignment horizontal="center" vertical="center"/>
    </xf>
    <xf numFmtId="3" fontId="8" fillId="0" borderId="0" xfId="0" applyFont="1" applyFill="1">
      <alignment horizontal="right" vertical="center"/>
    </xf>
    <xf numFmtId="0" fontId="13" fillId="43" borderId="9" xfId="52" applyFill="1">
      <alignment horizontal="center" vertical="center" wrapText="1"/>
    </xf>
    <xf numFmtId="3" fontId="8" fillId="43" borderId="9" xfId="55" applyFill="1">
      <alignment horizontal="right" vertical="center"/>
    </xf>
    <xf numFmtId="0" fontId="8" fillId="0" borderId="0" xfId="1" applyFill="1"/>
    <xf numFmtId="0" fontId="13" fillId="43" borderId="9" xfId="51" applyFill="1">
      <alignment horizontal="left" vertical="center" wrapText="1"/>
    </xf>
    <xf numFmtId="0" fontId="13" fillId="50" borderId="9" xfId="51" applyFill="1">
      <alignment horizontal="left" vertical="center" wrapText="1"/>
    </xf>
    <xf numFmtId="3" fontId="8" fillId="51" borderId="9" xfId="55" applyNumberFormat="1" applyFill="1">
      <alignment horizontal="right" vertical="center"/>
    </xf>
    <xf numFmtId="3" fontId="8" fillId="51" borderId="9" xfId="55" applyFill="1">
      <alignment horizontal="right" vertical="center"/>
    </xf>
    <xf numFmtId="3" fontId="0" fillId="0" borderId="0" xfId="0">
      <alignment horizontal="right" vertical="center"/>
    </xf>
    <xf numFmtId="3" fontId="0" fillId="0" borderId="0" xfId="0" applyAlignment="1">
      <alignment horizontal="right" vertical="center" wrapText="1"/>
    </xf>
    <xf numFmtId="4" fontId="8" fillId="10" borderId="9" xfId="60" applyFill="1">
      <alignment horizontal="right" vertical="center"/>
    </xf>
    <xf numFmtId="4" fontId="8" fillId="8" borderId="9" xfId="60" applyFill="1">
      <alignment horizontal="right" vertical="center"/>
    </xf>
    <xf numFmtId="4" fontId="8" fillId="0" borderId="9" xfId="60">
      <alignment horizontal="right" vertical="center"/>
    </xf>
    <xf numFmtId="3" fontId="1" fillId="0" borderId="0" xfId="0" applyFont="1" applyAlignment="1"/>
    <xf numFmtId="4" fontId="8" fillId="9" borderId="9" xfId="60" applyFill="1">
      <alignment horizontal="right" vertical="center"/>
    </xf>
    <xf numFmtId="4" fontId="8" fillId="0" borderId="9" xfId="60" applyFill="1">
      <alignment horizontal="right" vertical="center"/>
    </xf>
    <xf numFmtId="3" fontId="1" fillId="0" borderId="0" xfId="0" applyFont="1" applyFill="1" applyAlignment="1"/>
    <xf numFmtId="3" fontId="0" fillId="0" borderId="9" xfId="0" applyFill="1" applyBorder="1" applyAlignment="1">
      <alignment horizontal="left" vertical="center" wrapText="1"/>
    </xf>
    <xf numFmtId="4" fontId="8" fillId="51" borderId="9" xfId="60" applyFill="1">
      <alignment horizontal="right" vertical="center"/>
    </xf>
    <xf numFmtId="4" fontId="8" fillId="43" borderId="9" xfId="60" applyFill="1">
      <alignment horizontal="right" vertical="center"/>
    </xf>
    <xf numFmtId="3" fontId="33" fillId="53" borderId="9" xfId="0" applyFont="1" applyFill="1" applyBorder="1">
      <alignment horizontal="right" vertical="center"/>
    </xf>
    <xf numFmtId="4" fontId="8" fillId="12" borderId="9" xfId="60" applyFill="1">
      <alignment horizontal="right" vertical="center"/>
    </xf>
    <xf numFmtId="3" fontId="3" fillId="4" borderId="0" xfId="53" applyFill="1">
      <alignment horizontal="left" vertical="center"/>
    </xf>
    <xf numFmtId="0" fontId="13" fillId="52" borderId="9" xfId="51" applyFill="1">
      <alignment horizontal="left" vertical="center" wrapText="1"/>
    </xf>
    <xf numFmtId="0" fontId="13" fillId="52" borderId="9" xfId="52" applyFill="1">
      <alignment horizontal="center" vertical="center" wrapText="1"/>
    </xf>
    <xf numFmtId="3" fontId="8" fillId="52" borderId="9" xfId="55" applyFill="1">
      <alignment horizontal="right" vertical="center"/>
    </xf>
    <xf numFmtId="0" fontId="3" fillId="0" borderId="0" xfId="1" applyFont="1" applyAlignment="1">
      <alignment horizontal="center" vertical="center"/>
    </xf>
    <xf numFmtId="3" fontId="3" fillId="0" borderId="9" xfId="61">
      <alignment horizontal="left" vertical="center"/>
    </xf>
    <xf numFmtId="10" fontId="8" fillId="0" borderId="9" xfId="62" applyAlignment="1">
      <alignment horizontal="right" vertical="center"/>
    </xf>
    <xf numFmtId="0" fontId="2" fillId="0" borderId="0" xfId="1" applyFont="1" applyAlignment="1">
      <alignment horizontal="center" vertical="center"/>
    </xf>
    <xf numFmtId="3" fontId="8" fillId="10" borderId="9" xfId="55" applyFill="1">
      <alignment horizontal="right" vertical="center"/>
    </xf>
    <xf numFmtId="1" fontId="6" fillId="0" borderId="0" xfId="3" applyFont="1" applyBorder="1" applyAlignment="1">
      <alignment horizontal="center" vertical="top" wrapText="1"/>
    </xf>
    <xf numFmtId="0" fontId="2" fillId="0" borderId="0" xfId="1" applyFont="1" applyFill="1" applyAlignment="1">
      <alignment horizontal="center"/>
    </xf>
    <xf numFmtId="0" fontId="13" fillId="47" borderId="9" xfId="51" applyFill="1">
      <alignment horizontal="left" vertical="center" wrapText="1"/>
    </xf>
    <xf numFmtId="3" fontId="8" fillId="5" borderId="10" xfId="55" applyFill="1" applyBorder="1">
      <alignment horizontal="right" vertical="center"/>
    </xf>
    <xf numFmtId="3" fontId="8" fillId="5" borderId="11" xfId="55" applyFill="1" applyBorder="1">
      <alignment horizontal="right" vertical="center"/>
    </xf>
    <xf numFmtId="3" fontId="0" fillId="5" borderId="0" xfId="0" applyFill="1" applyAlignment="1"/>
    <xf numFmtId="0" fontId="8" fillId="5" borderId="0" xfId="1" quotePrefix="1" applyFill="1"/>
    <xf numFmtId="0" fontId="31" fillId="55" borderId="9" xfId="0" applyNumberFormat="1" applyFont="1" applyFill="1" applyBorder="1" applyAlignment="1">
      <alignment horizontal="left" vertical="center" wrapText="1"/>
    </xf>
    <xf numFmtId="10" fontId="31" fillId="0" borderId="9" xfId="50" applyFill="1">
      <alignment horizontal="right" vertical="center"/>
    </xf>
    <xf numFmtId="3" fontId="8" fillId="0" borderId="9" xfId="55" applyNumberFormat="1" applyFill="1">
      <alignment horizontal="right" vertical="center"/>
    </xf>
    <xf numFmtId="3" fontId="3" fillId="4" borderId="9" xfId="61" applyFill="1">
      <alignment horizontal="left" vertical="center"/>
    </xf>
    <xf numFmtId="0" fontId="4" fillId="0" borderId="0" xfId="63">
      <alignment vertical="center"/>
    </xf>
    <xf numFmtId="3" fontId="0" fillId="0" borderId="0" xfId="0" applyAlignment="1">
      <alignment vertical="center"/>
    </xf>
    <xf numFmtId="164" fontId="7" fillId="0" borderId="0" xfId="0" applyNumberFormat="1" applyFont="1" applyFill="1" applyAlignment="1">
      <alignment horizontal="right" vertical="top" shrinkToFit="1"/>
    </xf>
    <xf numFmtId="2" fontId="7" fillId="0" borderId="0" xfId="0" applyNumberFormat="1" applyFont="1" applyFill="1" applyAlignment="1">
      <alignment horizontal="right" vertical="top" shrinkToFit="1"/>
    </xf>
    <xf numFmtId="1" fontId="7" fillId="0" borderId="0" xfId="0" applyNumberFormat="1" applyFont="1" applyFill="1" applyAlignment="1">
      <alignment horizontal="right" vertical="top" shrinkToFit="1"/>
    </xf>
    <xf numFmtId="1" fontId="13" fillId="0" borderId="0" xfId="3" applyFont="1" applyBorder="1" applyAlignment="1">
      <alignment horizontal="left" vertical="top"/>
    </xf>
    <xf numFmtId="0" fontId="8" fillId="0" borderId="0" xfId="1" applyAlignment="1">
      <alignment horizontal="right" vertical="center"/>
    </xf>
    <xf numFmtId="3" fontId="13" fillId="0" borderId="0" xfId="0" applyFont="1" applyAlignment="1">
      <alignment horizontal="center" vertical="top" wrapText="1"/>
    </xf>
    <xf numFmtId="1" fontId="13" fillId="0" borderId="0" xfId="3" applyFont="1" applyBorder="1" applyAlignment="1">
      <alignment horizontal="center" vertical="top" wrapText="1"/>
    </xf>
    <xf numFmtId="3" fontId="8" fillId="57" borderId="9" xfId="55" applyFill="1">
      <alignment horizontal="right" vertical="center"/>
    </xf>
    <xf numFmtId="0" fontId="13" fillId="6" borderId="9" xfId="51" applyFill="1">
      <alignment horizontal="left" vertical="center" wrapText="1"/>
    </xf>
    <xf numFmtId="0" fontId="13" fillId="6" borderId="9" xfId="52" applyFill="1">
      <alignment horizontal="center" vertical="center" wrapText="1"/>
    </xf>
    <xf numFmtId="3" fontId="11" fillId="0" borderId="0" xfId="0" applyFont="1">
      <alignment horizontal="right" vertical="center"/>
    </xf>
    <xf numFmtId="3" fontId="8" fillId="0" borderId="0" xfId="0" applyFont="1" applyFill="1" applyAlignment="1"/>
    <xf numFmtId="4" fontId="8" fillId="58" borderId="9" xfId="60" applyFill="1">
      <alignment horizontal="right" vertical="center"/>
    </xf>
    <xf numFmtId="3" fontId="8" fillId="59" borderId="9" xfId="55" applyFill="1">
      <alignment horizontal="right" vertical="center"/>
    </xf>
    <xf numFmtId="0" fontId="1" fillId="0" borderId="0" xfId="1" applyFont="1" applyFill="1" applyAlignment="1">
      <alignment horizontal="right" vertical="center"/>
    </xf>
    <xf numFmtId="0" fontId="13" fillId="50" borderId="9" xfId="52" applyFill="1">
      <alignment horizontal="center" vertical="center" wrapText="1"/>
    </xf>
    <xf numFmtId="3" fontId="10" fillId="0" borderId="0" xfId="0" applyFont="1" applyFill="1">
      <alignment horizontal="right" vertical="center"/>
    </xf>
    <xf numFmtId="1" fontId="8" fillId="0" borderId="0" xfId="1" applyNumberFormat="1" applyAlignment="1">
      <alignment horizontal="center"/>
    </xf>
    <xf numFmtId="49" fontId="14" fillId="0" borderId="0" xfId="1" applyNumberFormat="1" applyFont="1" applyAlignment="1">
      <alignment horizontal="left"/>
    </xf>
    <xf numFmtId="0" fontId="14" fillId="0" borderId="0" xfId="1" applyFont="1" applyAlignment="1">
      <alignment horizontal="left"/>
    </xf>
    <xf numFmtId="0" fontId="3" fillId="0" borderId="0" xfId="1" applyFont="1"/>
    <xf numFmtId="3" fontId="34" fillId="0" borderId="0" xfId="0" applyFont="1">
      <alignment horizontal="right" vertical="center"/>
    </xf>
    <xf numFmtId="0" fontId="13" fillId="8" borderId="9" xfId="51" applyFill="1" applyAlignment="1">
      <alignment horizontal="left" vertical="top" wrapText="1"/>
    </xf>
    <xf numFmtId="0" fontId="13" fillId="10" borderId="9" xfId="51" applyFill="1" applyAlignment="1">
      <alignment horizontal="left" vertical="top" wrapText="1"/>
    </xf>
    <xf numFmtId="0" fontId="13" fillId="7" borderId="9" xfId="51" applyFill="1" applyAlignment="1">
      <alignment horizontal="left" vertical="top" wrapText="1"/>
    </xf>
    <xf numFmtId="0" fontId="13" fillId="12" borderId="9" xfId="51" applyFill="1" applyAlignment="1">
      <alignment horizontal="left" vertical="top" wrapText="1"/>
    </xf>
    <xf numFmtId="0" fontId="13" fillId="9" borderId="9" xfId="51" applyFill="1" applyAlignment="1">
      <alignment horizontal="left" vertical="top" wrapText="1"/>
    </xf>
    <xf numFmtId="0" fontId="13" fillId="6" borderId="9" xfId="51" applyFill="1" applyAlignment="1">
      <alignment horizontal="left" vertical="top" wrapText="1"/>
    </xf>
    <xf numFmtId="0" fontId="13" fillId="5" borderId="9" xfId="51" applyFill="1" applyAlignment="1">
      <alignment horizontal="left" vertical="top" wrapText="1"/>
    </xf>
    <xf numFmtId="0" fontId="13" fillId="43" borderId="9" xfId="51" applyFill="1" applyAlignment="1">
      <alignment horizontal="left" vertical="top" wrapText="1"/>
    </xf>
    <xf numFmtId="0" fontId="13" fillId="44" borderId="9" xfId="51" applyFill="1" applyAlignment="1">
      <alignment horizontal="left" vertical="top" wrapText="1"/>
    </xf>
    <xf numFmtId="0" fontId="13" fillId="45" borderId="9" xfId="51" applyFill="1" applyAlignment="1">
      <alignment horizontal="left" vertical="top" wrapText="1"/>
    </xf>
    <xf numFmtId="0" fontId="13" fillId="46" borderId="9" xfId="51" applyFill="1" applyAlignment="1">
      <alignment horizontal="left" vertical="top" wrapText="1"/>
    </xf>
    <xf numFmtId="0" fontId="13" fillId="47" borderId="9" xfId="51" applyFill="1" applyAlignment="1">
      <alignment horizontal="left" vertical="top" wrapText="1"/>
    </xf>
    <xf numFmtId="0" fontId="13" fillId="48" borderId="9" xfId="51" applyFill="1" applyAlignment="1">
      <alignment horizontal="left" vertical="top" wrapText="1"/>
    </xf>
    <xf numFmtId="0" fontId="13" fillId="54" borderId="9" xfId="51" applyFill="1" applyAlignment="1">
      <alignment horizontal="left" vertical="top" wrapText="1"/>
    </xf>
    <xf numFmtId="0" fontId="13" fillId="57" borderId="9" xfId="51" applyFill="1" applyAlignment="1">
      <alignment horizontal="left" vertical="top" wrapText="1"/>
    </xf>
    <xf numFmtId="0" fontId="13" fillId="59" borderId="9" xfId="51" applyFill="1">
      <alignment horizontal="left" vertical="center" wrapText="1"/>
    </xf>
    <xf numFmtId="0" fontId="13" fillId="49" borderId="9" xfId="51" applyFill="1">
      <alignment horizontal="left" vertical="center" wrapText="1"/>
    </xf>
    <xf numFmtId="0" fontId="13" fillId="51" borderId="9" xfId="51" applyFill="1">
      <alignment horizontal="left" vertical="center" wrapText="1"/>
    </xf>
    <xf numFmtId="0" fontId="13" fillId="60" borderId="9" xfId="51" applyFill="1">
      <alignment horizontal="left" vertical="center" wrapText="1"/>
    </xf>
    <xf numFmtId="4" fontId="8" fillId="60" borderId="9" xfId="60" applyFill="1">
      <alignment horizontal="right" vertical="center"/>
    </xf>
    <xf numFmtId="0" fontId="4" fillId="0" borderId="0" xfId="1" applyFont="1" applyFill="1"/>
    <xf numFmtId="3" fontId="1" fillId="0" borderId="0" xfId="1" applyNumberFormat="1" applyFont="1" applyFill="1" applyAlignment="1">
      <alignment horizontal="right" vertical="center"/>
    </xf>
    <xf numFmtId="0" fontId="13" fillId="0" borderId="9" xfId="52" applyBorder="1">
      <alignment horizontal="center" vertical="center" wrapText="1"/>
    </xf>
    <xf numFmtId="3" fontId="0" fillId="0" borderId="0" xfId="0">
      <alignment horizontal="right" vertical="center"/>
    </xf>
    <xf numFmtId="3" fontId="8" fillId="54" borderId="9" xfId="55" applyFill="1">
      <alignment horizontal="right" vertical="center"/>
    </xf>
    <xf numFmtId="165" fontId="8" fillId="0" borderId="9" xfId="66">
      <alignment horizontal="right" vertical="center"/>
    </xf>
    <xf numFmtId="0" fontId="31" fillId="61" borderId="9" xfId="0" applyNumberFormat="1" applyFont="1" applyFill="1" applyBorder="1" applyAlignment="1">
      <alignment horizontal="center" vertical="center" wrapText="1"/>
    </xf>
    <xf numFmtId="0" fontId="31" fillId="0" borderId="9" xfId="0" applyNumberFormat="1" applyFont="1" applyBorder="1" applyAlignment="1">
      <alignment horizontal="center" vertical="center" wrapText="1"/>
    </xf>
    <xf numFmtId="0" fontId="13" fillId="0" borderId="12" xfId="52" applyBorder="1">
      <alignment horizontal="center" vertical="center" wrapText="1"/>
    </xf>
    <xf numFmtId="0" fontId="13" fillId="0" borderId="9" xfId="52" applyFill="1" applyBorder="1">
      <alignment horizontal="center" vertical="center" wrapText="1"/>
    </xf>
    <xf numFmtId="0" fontId="31" fillId="62" borderId="9" xfId="0" applyNumberFormat="1" applyFont="1" applyFill="1" applyBorder="1" applyAlignment="1">
      <alignment horizontal="left" vertical="center" wrapText="1"/>
    </xf>
    <xf numFmtId="0" fontId="13" fillId="0" borderId="9" xfId="51" applyAlignment="1">
      <alignment horizontal="left" vertical="top" wrapText="1"/>
    </xf>
    <xf numFmtId="10" fontId="31" fillId="63" borderId="9" xfId="50" applyFill="1">
      <alignment horizontal="right" vertical="center"/>
    </xf>
    <xf numFmtId="0" fontId="13" fillId="0" borderId="9" xfId="51" applyFill="1" applyAlignment="1">
      <alignment horizontal="left" vertical="top" wrapText="1"/>
    </xf>
    <xf numFmtId="3" fontId="8" fillId="43" borderId="9" xfId="55" applyNumberFormat="1" applyFill="1">
      <alignment horizontal="right" vertical="center"/>
    </xf>
    <xf numFmtId="0" fontId="13" fillId="58" borderId="9" xfId="51" applyFill="1">
      <alignment horizontal="left" vertical="center" wrapText="1"/>
    </xf>
    <xf numFmtId="0" fontId="13" fillId="63" borderId="9" xfId="51" applyFill="1">
      <alignment horizontal="left" vertical="center" wrapText="1"/>
    </xf>
    <xf numFmtId="0" fontId="13" fillId="64" borderId="9" xfId="51" applyFill="1">
      <alignment horizontal="left" vertical="center" wrapText="1"/>
    </xf>
    <xf numFmtId="10" fontId="8" fillId="64" borderId="9" xfId="62" applyFill="1" applyAlignment="1">
      <alignment horizontal="right" vertical="center"/>
    </xf>
    <xf numFmtId="4" fontId="8" fillId="64" borderId="9" xfId="60" applyFill="1">
      <alignment horizontal="right" vertical="center"/>
    </xf>
    <xf numFmtId="10" fontId="31" fillId="65" borderId="9" xfId="50" applyFill="1">
      <alignment horizontal="right" vertical="center"/>
    </xf>
    <xf numFmtId="0" fontId="13" fillId="66" borderId="9" xfId="51" applyFill="1">
      <alignment horizontal="left" vertical="center" wrapText="1"/>
    </xf>
    <xf numFmtId="165" fontId="8" fillId="66" borderId="9" xfId="66" applyFill="1">
      <alignment horizontal="right" vertical="center"/>
    </xf>
    <xf numFmtId="0" fontId="13" fillId="65" borderId="9" xfId="51" applyFill="1">
      <alignment horizontal="left" vertical="center" wrapText="1"/>
    </xf>
    <xf numFmtId="10" fontId="8" fillId="65" borderId="9" xfId="62" applyFill="1" applyAlignment="1">
      <alignment horizontal="right" vertical="center"/>
    </xf>
    <xf numFmtId="3" fontId="8" fillId="65" borderId="9" xfId="55" applyFill="1">
      <alignment horizontal="right" vertical="center"/>
    </xf>
    <xf numFmtId="10" fontId="31" fillId="9" borderId="9" xfId="50" applyFill="1">
      <alignment horizontal="right" vertical="center"/>
    </xf>
    <xf numFmtId="3" fontId="0" fillId="0" borderId="0" xfId="0" applyFill="1">
      <alignment horizontal="right" vertical="center"/>
    </xf>
    <xf numFmtId="3" fontId="0" fillId="0" borderId="0" xfId="0" applyFill="1" applyAlignment="1">
      <alignment horizontal="center"/>
    </xf>
    <xf numFmtId="2" fontId="15" fillId="11" borderId="9" xfId="65">
      <alignment vertical="center"/>
    </xf>
    <xf numFmtId="1" fontId="8" fillId="0" borderId="9" xfId="67">
      <alignment horizontal="right" vertical="center"/>
    </xf>
    <xf numFmtId="2" fontId="15" fillId="0" borderId="9" xfId="65" applyFill="1">
      <alignment vertical="center"/>
    </xf>
    <xf numFmtId="4" fontId="8" fillId="66" borderId="9" xfId="60" applyFill="1">
      <alignment horizontal="right" vertical="center"/>
    </xf>
    <xf numFmtId="164" fontId="8" fillId="43" borderId="9" xfId="55" applyNumberFormat="1" applyFill="1">
      <alignment horizontal="right" vertical="center"/>
    </xf>
    <xf numFmtId="165" fontId="8" fillId="43" borderId="9" xfId="55" applyNumberFormat="1" applyFill="1">
      <alignment horizontal="right" vertical="center"/>
    </xf>
    <xf numFmtId="10" fontId="8" fillId="43" borderId="9" xfId="62" applyFill="1" applyAlignment="1">
      <alignment horizontal="right" vertical="center"/>
    </xf>
    <xf numFmtId="0" fontId="1" fillId="0" borderId="9" xfId="1" applyFont="1" applyFill="1" applyBorder="1"/>
    <xf numFmtId="4" fontId="8" fillId="0" borderId="0" xfId="60" applyFill="1" applyBorder="1">
      <alignment horizontal="right" vertical="center"/>
    </xf>
    <xf numFmtId="4" fontId="8" fillId="67" borderId="9" xfId="60" applyFill="1">
      <alignment horizontal="right" vertical="center"/>
    </xf>
    <xf numFmtId="3" fontId="8" fillId="0" borderId="9" xfId="69">
      <alignment horizontal="right" vertical="center"/>
    </xf>
    <xf numFmtId="168" fontId="8" fillId="67" borderId="9" xfId="64" applyFill="1">
      <alignment horizontal="right" vertical="center"/>
    </xf>
    <xf numFmtId="1" fontId="15" fillId="11" borderId="9" xfId="70">
      <alignment vertical="center"/>
    </xf>
    <xf numFmtId="3" fontId="8" fillId="68" borderId="9" xfId="69" applyFill="1">
      <alignment horizontal="right" vertical="center"/>
    </xf>
    <xf numFmtId="0" fontId="13" fillId="68" borderId="9" xfId="51" applyFill="1">
      <alignment horizontal="left" vertical="center" wrapText="1"/>
    </xf>
    <xf numFmtId="0" fontId="13" fillId="67" borderId="9" xfId="51" applyFill="1">
      <alignment horizontal="left" vertical="center" wrapText="1"/>
    </xf>
    <xf numFmtId="0" fontId="13" fillId="69" borderId="9" xfId="51" applyFill="1">
      <alignment horizontal="left" vertical="center" wrapText="1"/>
    </xf>
    <xf numFmtId="0" fontId="13" fillId="70" borderId="9" xfId="51" applyFill="1">
      <alignment horizontal="left" vertical="center" wrapText="1"/>
    </xf>
    <xf numFmtId="0" fontId="13" fillId="71" borderId="9" xfId="51" applyFill="1">
      <alignment horizontal="left" vertical="center" wrapText="1"/>
    </xf>
    <xf numFmtId="3" fontId="8" fillId="0" borderId="9" xfId="69" quotePrefix="1">
      <alignment horizontal="right" vertical="center"/>
    </xf>
    <xf numFmtId="3" fontId="8" fillId="54" borderId="9" xfId="69" applyFill="1">
      <alignment horizontal="right" vertical="center"/>
    </xf>
    <xf numFmtId="3" fontId="36" fillId="0" borderId="0" xfId="0" applyFont="1" applyAlignment="1">
      <alignment horizontal="left" vertical="top"/>
    </xf>
    <xf numFmtId="10" fontId="8" fillId="9" borderId="9" xfId="62" applyFill="1" applyAlignment="1">
      <alignment horizontal="right" vertical="center"/>
    </xf>
    <xf numFmtId="10" fontId="8" fillId="8" borderId="9" xfId="62" applyFill="1" applyAlignment="1">
      <alignment horizontal="right" vertical="center"/>
    </xf>
    <xf numFmtId="168" fontId="8" fillId="0" borderId="9" xfId="64">
      <alignment horizontal="right" vertical="center"/>
    </xf>
    <xf numFmtId="167" fontId="8" fillId="0" borderId="9" xfId="59">
      <alignment horizontal="right" vertical="center"/>
    </xf>
    <xf numFmtId="3" fontId="3" fillId="0" borderId="0" xfId="53" applyFill="1">
      <alignment horizontal="left" vertical="center"/>
    </xf>
    <xf numFmtId="1" fontId="13" fillId="0" borderId="0" xfId="3" applyFont="1" applyFill="1" applyBorder="1" applyAlignment="1">
      <alignment horizontal="left" vertical="top" wrapText="1"/>
    </xf>
    <xf numFmtId="3" fontId="6" fillId="0" borderId="0" xfId="0" applyFont="1" applyFill="1" applyAlignment="1">
      <alignment horizontal="left" vertical="top" wrapText="1"/>
    </xf>
    <xf numFmtId="3" fontId="0" fillId="0" borderId="9" xfId="0" applyBorder="1">
      <alignment horizontal="right" vertical="center"/>
    </xf>
    <xf numFmtId="0" fontId="13" fillId="0" borderId="0" xfId="52" applyFill="1" applyBorder="1">
      <alignment horizontal="center" vertical="center" wrapText="1"/>
    </xf>
    <xf numFmtId="3" fontId="8" fillId="0" borderId="0" xfId="55" applyFill="1" applyBorder="1">
      <alignment horizontal="right" vertical="center"/>
    </xf>
    <xf numFmtId="0" fontId="8" fillId="0" borderId="9" xfId="1" applyBorder="1"/>
    <xf numFmtId="3" fontId="8" fillId="0" borderId="9" xfId="55" applyFill="1" applyBorder="1">
      <alignment horizontal="right" vertical="center"/>
    </xf>
    <xf numFmtId="0" fontId="13" fillId="44" borderId="9" xfId="52" applyFill="1">
      <alignment horizontal="center" vertical="center" wrapText="1"/>
    </xf>
    <xf numFmtId="3" fontId="10" fillId="0" borderId="0" xfId="0" applyFont="1" applyFill="1" applyAlignment="1">
      <alignment horizontal="center"/>
    </xf>
    <xf numFmtId="0" fontId="13" fillId="0" borderId="9" xfId="51" applyFill="1" applyAlignment="1">
      <alignment horizontal="center" vertical="center" wrapText="1"/>
    </xf>
    <xf numFmtId="14" fontId="37" fillId="0" borderId="0" xfId="0" applyNumberFormat="1" applyFont="1" applyAlignment="1">
      <alignment vertical="center"/>
    </xf>
    <xf numFmtId="1" fontId="37" fillId="0" borderId="0" xfId="0" applyNumberFormat="1" applyFont="1" applyAlignment="1">
      <alignment vertical="center" wrapText="1"/>
    </xf>
    <xf numFmtId="3" fontId="8" fillId="0" borderId="0" xfId="1" applyNumberFormat="1"/>
    <xf numFmtId="3" fontId="4" fillId="0" borderId="0" xfId="0" applyFont="1" applyAlignment="1"/>
    <xf numFmtId="14" fontId="37" fillId="0" borderId="0" xfId="0" applyNumberFormat="1" applyFont="1" applyFill="1" applyAlignment="1">
      <alignment vertical="center"/>
    </xf>
    <xf numFmtId="1" fontId="37" fillId="0" borderId="0" xfId="0" applyNumberFormat="1" applyFont="1" applyFill="1" applyAlignment="1">
      <alignment vertical="center" wrapText="1"/>
    </xf>
    <xf numFmtId="165" fontId="8" fillId="50" borderId="9" xfId="66" applyFill="1">
      <alignment horizontal="right" vertical="center"/>
    </xf>
    <xf numFmtId="169" fontId="8" fillId="0" borderId="9" xfId="71">
      <alignment horizontal="right" vertical="center"/>
    </xf>
    <xf numFmtId="169" fontId="8" fillId="48" borderId="9" xfId="71" applyFill="1">
      <alignment horizontal="right" vertical="center"/>
    </xf>
    <xf numFmtId="165" fontId="8" fillId="59" borderId="9" xfId="66" applyFill="1">
      <alignment horizontal="right" vertical="center"/>
    </xf>
    <xf numFmtId="4" fontId="8" fillId="69" borderId="9" xfId="60" quotePrefix="1" applyFill="1">
      <alignment horizontal="right" vertical="center"/>
    </xf>
    <xf numFmtId="3" fontId="8" fillId="68" borderId="9" xfId="55" applyFill="1">
      <alignment horizontal="right" vertical="center"/>
    </xf>
    <xf numFmtId="4" fontId="8" fillId="0" borderId="9" xfId="60" quotePrefix="1" applyFill="1">
      <alignment horizontal="right" vertical="center"/>
    </xf>
    <xf numFmtId="0" fontId="13" fillId="72" borderId="9" xfId="51" applyFill="1">
      <alignment horizontal="left" vertical="center" wrapText="1"/>
    </xf>
    <xf numFmtId="10" fontId="8" fillId="0" borderId="9" xfId="72" applyAlignment="1">
      <alignment horizontal="right" vertical="center"/>
    </xf>
    <xf numFmtId="1" fontId="30" fillId="4" borderId="9" xfId="3" quotePrefix="1" applyFill="1">
      <alignment horizontal="center" vertical="center" wrapText="1"/>
    </xf>
    <xf numFmtId="0" fontId="13" fillId="0" borderId="9" xfId="73">
      <alignment horizontal="left" vertical="center" wrapText="1"/>
    </xf>
    <xf numFmtId="0" fontId="13" fillId="0" borderId="9" xfId="74">
      <alignment horizontal="center" vertical="center" wrapText="1"/>
    </xf>
    <xf numFmtId="10" fontId="8" fillId="0" borderId="9" xfId="72" applyFill="1" applyAlignment="1">
      <alignment vertical="center"/>
    </xf>
    <xf numFmtId="10" fontId="8" fillId="0" borderId="9" xfId="72" applyFill="1" applyAlignment="1">
      <alignment horizontal="right" vertical="center"/>
    </xf>
    <xf numFmtId="0" fontId="13" fillId="2" borderId="9" xfId="52" applyFill="1">
      <alignment horizontal="center" vertical="center" wrapText="1"/>
    </xf>
    <xf numFmtId="3" fontId="0" fillId="2" borderId="0" xfId="0" applyFill="1">
      <alignment horizontal="right" vertical="center"/>
    </xf>
    <xf numFmtId="0" fontId="13" fillId="2" borderId="9" xfId="51" applyFill="1">
      <alignment horizontal="left" vertical="center" wrapText="1"/>
    </xf>
    <xf numFmtId="10" fontId="31" fillId="2" borderId="9" xfId="50" applyFill="1">
      <alignment horizontal="right" vertical="center"/>
    </xf>
    <xf numFmtId="10" fontId="8" fillId="2" borderId="9" xfId="62" applyFill="1" applyAlignment="1">
      <alignment horizontal="right" vertical="center"/>
    </xf>
  </cellXfs>
  <cellStyles count="75">
    <cellStyle name="20% - Accent1" xfId="27" builtinId="30" hidden="1" customBuiltin="1"/>
    <cellStyle name="20% - Accent2" xfId="31" builtinId="34" hidden="1"/>
    <cellStyle name="20% - Accent3" xfId="35" builtinId="38" hidden="1"/>
    <cellStyle name="20% - Accent4" xfId="39" builtinId="42" hidden="1"/>
    <cellStyle name="20% - Accent5" xfId="43" builtinId="46" hidden="1"/>
    <cellStyle name="20% - Accent6" xfId="47" builtinId="50" hidden="1"/>
    <cellStyle name="40% - Accent1" xfId="28" builtinId="31" hidden="1"/>
    <cellStyle name="40% - Accent2" xfId="32" builtinId="35" hidden="1"/>
    <cellStyle name="40% - Accent3" xfId="36" builtinId="39" hidden="1"/>
    <cellStyle name="40% - Accent4" xfId="40" builtinId="43" hidden="1"/>
    <cellStyle name="40% - Accent5" xfId="44" builtinId="47" hidden="1"/>
    <cellStyle name="40% - Accent6" xfId="48" builtinId="51" hidden="1"/>
    <cellStyle name="60% - Accent1" xfId="29" builtinId="32" hidden="1"/>
    <cellStyle name="60% - Accent2" xfId="33" builtinId="36" hidden="1"/>
    <cellStyle name="60% - Accent3" xfId="37" builtinId="40" hidden="1"/>
    <cellStyle name="60% - Accent4" xfId="41" builtinId="44" hidden="1"/>
    <cellStyle name="60% - Accent5" xfId="45" builtinId="48" hidden="1"/>
    <cellStyle name="60% - Accent6" xfId="49" builtinId="52" hidden="1"/>
    <cellStyle name="Accent1" xfId="26" builtinId="29" hidden="1"/>
    <cellStyle name="Accent2" xfId="30" builtinId="33" hidden="1"/>
    <cellStyle name="Accent3" xfId="34" builtinId="37" hidden="1"/>
    <cellStyle name="Accent4" xfId="38" builtinId="41" hidden="1"/>
    <cellStyle name="Accent5" xfId="42" builtinId="45" hidden="1"/>
    <cellStyle name="Accent6" xfId="46" builtinId="49" hidden="1"/>
    <cellStyle name="Bad" xfId="17" builtinId="27" hidden="1"/>
    <cellStyle name="Check Cell" xfId="22" builtinId="23" customBuiltin="1"/>
    <cellStyle name="Comma" xfId="6" builtinId="3" hidden="1"/>
    <cellStyle name="Comma" xfId="58" builtinId="3" hidden="1"/>
    <cellStyle name="Comma [0]" xfId="7" builtinId="6" hidden="1"/>
    <cellStyle name="Currency" xfId="8" builtinId="4" hidden="1"/>
    <cellStyle name="Currency [0]" xfId="9" builtinId="7" hidden="1"/>
    <cellStyle name="Decimal-1" xfId="66" xr:uid="{A1B76D86-7D76-4D4D-8697-0DB1095B0A57}"/>
    <cellStyle name="Decimal-10" xfId="71" xr:uid="{2CDC62A8-9AFA-B542-9C57-0A09699073F8}"/>
    <cellStyle name="Decimal-2" xfId="60" xr:uid="{855B01A4-58FF-5943-8CE1-6859FC06F1AE}"/>
    <cellStyle name="Decimal-4" xfId="64" xr:uid="{5EFC2444-84A1-8F4F-8003-44E8AF029908}"/>
    <cellStyle name="Decimal-6" xfId="59" xr:uid="{E3E177B6-9788-BA40-86D4-78D1C53772F9}"/>
    <cellStyle name="Estimated" xfId="4" xr:uid="{38062CB6-EF4B-CF41-85AF-D72FF9707668}"/>
    <cellStyle name="Estimated 2" xfId="65" xr:uid="{F40B098B-0731-1746-984E-B50EF2EB18ED}"/>
    <cellStyle name="Estimated 3" xfId="70" xr:uid="{733B1197-AAF9-B642-93C2-CE5358DD2001}"/>
    <cellStyle name="Explanatory Text" xfId="24" builtinId="53" hidden="1"/>
    <cellStyle name="Good" xfId="16" builtinId="26" hidden="1"/>
    <cellStyle name="Heading 1" xfId="12" builtinId="16" hidden="1"/>
    <cellStyle name="Heading 2" xfId="13" builtinId="17" hidden="1"/>
    <cellStyle name="Heading 3" xfId="14" builtinId="18" hidden="1"/>
    <cellStyle name="Heading 4" xfId="15" builtinId="19" hidden="1"/>
    <cellStyle name="Hyperlink" xfId="2" builtinId="8" hidden="1"/>
    <cellStyle name="Hyperlink" xfId="54" builtinId="8" hidden="1"/>
    <cellStyle name="Input" xfId="19" builtinId="20" hidden="1"/>
    <cellStyle name="Linked Cell" xfId="21" builtinId="24" hidden="1"/>
    <cellStyle name="Neutral" xfId="18" builtinId="28" hidden="1"/>
    <cellStyle name="Normal" xfId="0" builtinId="0" customBuiltin="1"/>
    <cellStyle name="Normal 2" xfId="1" xr:uid="{6518068D-7F63-BB47-8624-9E754A647162}"/>
    <cellStyle name="Normal 3" xfId="3" xr:uid="{FD7BBF8A-3A79-CC46-92E9-540F981CCC7D}"/>
    <cellStyle name="Note" xfId="23" builtinId="10" hidden="1"/>
    <cellStyle name="Number" xfId="55" xr:uid="{5C13E065-72F8-3E45-9DB1-A89D31B8B255}"/>
    <cellStyle name="Number 2" xfId="67" xr:uid="{61FED115-451E-6545-B710-C8F1621E2752}"/>
    <cellStyle name="Number 2 2" xfId="69" xr:uid="{DA0BD509-2AF4-2041-BFE6-C31A1C10A53E}"/>
    <cellStyle name="Output" xfId="20" builtinId="21" hidden="1"/>
    <cellStyle name="Percent" xfId="10" builtinId="5" hidden="1" customBuiltin="1"/>
    <cellStyle name="Percent" xfId="50" builtinId="5" customBuiltin="1"/>
    <cellStyle name="Percent-2" xfId="62" xr:uid="{5FB60D26-63C5-5F49-AE7A-C12651BAA4E5}"/>
    <cellStyle name="Percent-2 2" xfId="72" xr:uid="{0EE9329C-6414-0D44-83E9-4EF60655F342}"/>
    <cellStyle name="Sub-title" xfId="56" xr:uid="{515D02F9-C424-0749-A2F2-AE42248D9FF3}"/>
    <cellStyle name="Sub-title 2" xfId="63" xr:uid="{6D6AB7DD-1054-9A4F-8BE7-DD8B8D50FC39}"/>
    <cellStyle name="Sub-title 2 2" xfId="68" xr:uid="{8BB40F19-EF4C-3B4B-8205-D48A85A21C11}"/>
    <cellStyle name="Text Centre" xfId="52" xr:uid="{EF003E5B-098A-5F4E-91C9-5340529FBA44}"/>
    <cellStyle name="Text Centre 2" xfId="74" xr:uid="{040F3A4A-B432-A04A-A7A3-B6B03FA6290F}"/>
    <cellStyle name="Text Left" xfId="51" xr:uid="{4561F0F6-4880-BA48-899A-5D67000CD77E}"/>
    <cellStyle name="Text Left 2" xfId="73" xr:uid="{D618DE6C-9274-9941-B8DF-E90A9DEAC716}"/>
    <cellStyle name="Text Right" xfId="57" xr:uid="{30D929E0-F7E1-414C-82D5-3CF792823DD5}"/>
    <cellStyle name="Title" xfId="11" builtinId="15" hidden="1"/>
    <cellStyle name="Title" xfId="53" builtinId="15" customBuiltin="1"/>
    <cellStyle name="Title 2" xfId="61" xr:uid="{820BF762-80D3-B945-8BA6-863D5E488893}"/>
    <cellStyle name="Total" xfId="25" builtinId="25" hidden="1"/>
    <cellStyle name="Warning Text" xfId="5" builtinId="11" hidden="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247</xdr:row>
      <xdr:rowOff>0</xdr:rowOff>
    </xdr:from>
    <xdr:ext cx="0" cy="169544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B9E5E029-E8A2-8F44-893E-95EBB999B9C0}"/>
            </a:ext>
          </a:extLst>
        </xdr:cNvPr>
        <xdr:cNvSpPr/>
      </xdr:nvSpPr>
      <xdr:spPr>
        <a:xfrm>
          <a:off x="7200900" y="5625719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4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  <xdr:oneCellAnchor>
    <xdr:from>
      <xdr:col>7</xdr:col>
      <xdr:colOff>0</xdr:colOff>
      <xdr:row>247</xdr:row>
      <xdr:rowOff>0</xdr:rowOff>
    </xdr:from>
    <xdr:ext cx="0" cy="169544"/>
    <xdr:sp macro="" textlink="">
      <xdr:nvSpPr>
        <xdr:cNvPr id="3" name="Shape 7">
          <a:extLst>
            <a:ext uri="{FF2B5EF4-FFF2-40B4-BE49-F238E27FC236}">
              <a16:creationId xmlns:a16="http://schemas.microsoft.com/office/drawing/2014/main" id="{A999386D-CFDE-9943-B59F-845E43BBF35E}"/>
            </a:ext>
          </a:extLst>
        </xdr:cNvPr>
        <xdr:cNvSpPr/>
      </xdr:nvSpPr>
      <xdr:spPr>
        <a:xfrm>
          <a:off x="7200900" y="5625719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3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  <xdr:oneCellAnchor>
    <xdr:from>
      <xdr:col>7</xdr:col>
      <xdr:colOff>0</xdr:colOff>
      <xdr:row>247</xdr:row>
      <xdr:rowOff>0</xdr:rowOff>
    </xdr:from>
    <xdr:ext cx="0" cy="169544"/>
    <xdr:sp macro="" textlink="">
      <xdr:nvSpPr>
        <xdr:cNvPr id="4" name="Shape 6">
          <a:extLst>
            <a:ext uri="{FF2B5EF4-FFF2-40B4-BE49-F238E27FC236}">
              <a16:creationId xmlns:a16="http://schemas.microsoft.com/office/drawing/2014/main" id="{7B9A3706-221F-6A4D-A434-DA0348561D58}"/>
            </a:ext>
          </a:extLst>
        </xdr:cNvPr>
        <xdr:cNvSpPr/>
      </xdr:nvSpPr>
      <xdr:spPr>
        <a:xfrm>
          <a:off x="7200900" y="5625719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4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  <xdr:oneCellAnchor>
    <xdr:from>
      <xdr:col>7</xdr:col>
      <xdr:colOff>0</xdr:colOff>
      <xdr:row>247</xdr:row>
      <xdr:rowOff>0</xdr:rowOff>
    </xdr:from>
    <xdr:ext cx="0" cy="169544"/>
    <xdr:sp macro="" textlink="">
      <xdr:nvSpPr>
        <xdr:cNvPr id="5" name="Shape 7">
          <a:extLst>
            <a:ext uri="{FF2B5EF4-FFF2-40B4-BE49-F238E27FC236}">
              <a16:creationId xmlns:a16="http://schemas.microsoft.com/office/drawing/2014/main" id="{31AB2DCB-912C-1A45-BDFB-4A9CCB65B5F8}"/>
            </a:ext>
          </a:extLst>
        </xdr:cNvPr>
        <xdr:cNvSpPr/>
      </xdr:nvSpPr>
      <xdr:spPr>
        <a:xfrm>
          <a:off x="7200900" y="5625719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3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193</xdr:row>
      <xdr:rowOff>0</xdr:rowOff>
    </xdr:from>
    <xdr:ext cx="0" cy="169544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7EACCC3F-4364-BD4C-83DC-E321BD741C33}"/>
            </a:ext>
          </a:extLst>
        </xdr:cNvPr>
        <xdr:cNvSpPr/>
      </xdr:nvSpPr>
      <xdr:spPr>
        <a:xfrm>
          <a:off x="8750300" y="629539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4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  <xdr:oneCellAnchor>
    <xdr:from>
      <xdr:col>7</xdr:col>
      <xdr:colOff>0</xdr:colOff>
      <xdr:row>193</xdr:row>
      <xdr:rowOff>0</xdr:rowOff>
    </xdr:from>
    <xdr:ext cx="0" cy="169544"/>
    <xdr:sp macro="" textlink="">
      <xdr:nvSpPr>
        <xdr:cNvPr id="3" name="Shape 7">
          <a:extLst>
            <a:ext uri="{FF2B5EF4-FFF2-40B4-BE49-F238E27FC236}">
              <a16:creationId xmlns:a16="http://schemas.microsoft.com/office/drawing/2014/main" id="{02AA06B3-8534-F644-BF4C-431F138A3E95}"/>
            </a:ext>
          </a:extLst>
        </xdr:cNvPr>
        <xdr:cNvSpPr/>
      </xdr:nvSpPr>
      <xdr:spPr>
        <a:xfrm>
          <a:off x="8750300" y="629539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3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  <xdr:oneCellAnchor>
    <xdr:from>
      <xdr:col>7</xdr:col>
      <xdr:colOff>0</xdr:colOff>
      <xdr:row>193</xdr:row>
      <xdr:rowOff>0</xdr:rowOff>
    </xdr:from>
    <xdr:ext cx="0" cy="169544"/>
    <xdr:sp macro="" textlink="">
      <xdr:nvSpPr>
        <xdr:cNvPr id="4" name="Shape 6">
          <a:extLst>
            <a:ext uri="{FF2B5EF4-FFF2-40B4-BE49-F238E27FC236}">
              <a16:creationId xmlns:a16="http://schemas.microsoft.com/office/drawing/2014/main" id="{93E2469B-070C-1C47-99D7-2B3E3E2D7D6E}"/>
            </a:ext>
          </a:extLst>
        </xdr:cNvPr>
        <xdr:cNvSpPr/>
      </xdr:nvSpPr>
      <xdr:spPr>
        <a:xfrm>
          <a:off x="8750300" y="629539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4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  <xdr:oneCellAnchor>
    <xdr:from>
      <xdr:col>7</xdr:col>
      <xdr:colOff>0</xdr:colOff>
      <xdr:row>193</xdr:row>
      <xdr:rowOff>0</xdr:rowOff>
    </xdr:from>
    <xdr:ext cx="0" cy="169544"/>
    <xdr:sp macro="" textlink="">
      <xdr:nvSpPr>
        <xdr:cNvPr id="5" name="Shape 7">
          <a:extLst>
            <a:ext uri="{FF2B5EF4-FFF2-40B4-BE49-F238E27FC236}">
              <a16:creationId xmlns:a16="http://schemas.microsoft.com/office/drawing/2014/main" id="{6B2F23B6-C8E8-E447-B2AF-5EE3F2B21B48}"/>
            </a:ext>
          </a:extLst>
        </xdr:cNvPr>
        <xdr:cNvSpPr/>
      </xdr:nvSpPr>
      <xdr:spPr>
        <a:xfrm>
          <a:off x="8750300" y="629539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3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196</xdr:row>
      <xdr:rowOff>0</xdr:rowOff>
    </xdr:from>
    <xdr:ext cx="0" cy="169544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E05D0FBA-F80D-694A-9E15-1513D87FECEC}"/>
            </a:ext>
          </a:extLst>
        </xdr:cNvPr>
        <xdr:cNvSpPr/>
      </xdr:nvSpPr>
      <xdr:spPr>
        <a:xfrm>
          <a:off x="8750300" y="629539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4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  <xdr:oneCellAnchor>
    <xdr:from>
      <xdr:col>7</xdr:col>
      <xdr:colOff>0</xdr:colOff>
      <xdr:row>196</xdr:row>
      <xdr:rowOff>0</xdr:rowOff>
    </xdr:from>
    <xdr:ext cx="0" cy="169544"/>
    <xdr:sp macro="" textlink="">
      <xdr:nvSpPr>
        <xdr:cNvPr id="3" name="Shape 7">
          <a:extLst>
            <a:ext uri="{FF2B5EF4-FFF2-40B4-BE49-F238E27FC236}">
              <a16:creationId xmlns:a16="http://schemas.microsoft.com/office/drawing/2014/main" id="{8B03096D-F64E-D34F-B21D-B0C1D93EF8BA}"/>
            </a:ext>
          </a:extLst>
        </xdr:cNvPr>
        <xdr:cNvSpPr/>
      </xdr:nvSpPr>
      <xdr:spPr>
        <a:xfrm>
          <a:off x="8750300" y="629539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3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  <xdr:oneCellAnchor>
    <xdr:from>
      <xdr:col>7</xdr:col>
      <xdr:colOff>0</xdr:colOff>
      <xdr:row>196</xdr:row>
      <xdr:rowOff>0</xdr:rowOff>
    </xdr:from>
    <xdr:ext cx="0" cy="169544"/>
    <xdr:sp macro="" textlink="">
      <xdr:nvSpPr>
        <xdr:cNvPr id="4" name="Shape 6">
          <a:extLst>
            <a:ext uri="{FF2B5EF4-FFF2-40B4-BE49-F238E27FC236}">
              <a16:creationId xmlns:a16="http://schemas.microsoft.com/office/drawing/2014/main" id="{EDD44590-37D7-C440-8320-6A872B85BF05}"/>
            </a:ext>
          </a:extLst>
        </xdr:cNvPr>
        <xdr:cNvSpPr/>
      </xdr:nvSpPr>
      <xdr:spPr>
        <a:xfrm>
          <a:off x="8750300" y="629539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4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  <xdr:oneCellAnchor>
    <xdr:from>
      <xdr:col>7</xdr:col>
      <xdr:colOff>0</xdr:colOff>
      <xdr:row>196</xdr:row>
      <xdr:rowOff>0</xdr:rowOff>
    </xdr:from>
    <xdr:ext cx="0" cy="169544"/>
    <xdr:sp macro="" textlink="">
      <xdr:nvSpPr>
        <xdr:cNvPr id="5" name="Shape 7">
          <a:extLst>
            <a:ext uri="{FF2B5EF4-FFF2-40B4-BE49-F238E27FC236}">
              <a16:creationId xmlns:a16="http://schemas.microsoft.com/office/drawing/2014/main" id="{8E4186E9-A94B-9F4F-9AFC-3E5A7F6E9AA6}"/>
            </a:ext>
          </a:extLst>
        </xdr:cNvPr>
        <xdr:cNvSpPr/>
      </xdr:nvSpPr>
      <xdr:spPr>
        <a:xfrm>
          <a:off x="8750300" y="62953900"/>
          <a:ext cx="0" cy="169544"/>
        </a:xfrm>
        <a:custGeom>
          <a:avLst/>
          <a:gdLst/>
          <a:ahLst/>
          <a:cxnLst/>
          <a:rect l="0" t="0" r="0" b="0"/>
          <a:pathLst>
            <a:path h="169545">
              <a:moveTo>
                <a:pt x="0" y="0"/>
              </a:moveTo>
              <a:lnTo>
                <a:pt x="0" y="169163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rrected%20-%20LCA%20Round%201%20IRs%20-%20Master%20Ver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me/Files/UoT-PhD/Research/00-References/Alberta/Transmission/SLIVER%20model%20inputs%20-%20AB-4-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Questions"/>
      <sheetName val="Selection"/>
    </sheetNames>
    <sheetDataSet>
      <sheetData sheetId="0"/>
      <sheetData sheetId="1"/>
      <sheetData sheetId="2">
        <row r="2">
          <cell r="A2" t="str">
            <v>Round 1</v>
          </cell>
          <cell r="F2" t="str">
            <v>Yes</v>
          </cell>
          <cell r="I2" t="str">
            <v>aboriginal relations</v>
          </cell>
        </row>
        <row r="3">
          <cell r="A3" t="str">
            <v>Round 2</v>
          </cell>
          <cell r="F3" t="str">
            <v>No</v>
          </cell>
          <cell r="I3" t="str">
            <v>access (transmission)</v>
          </cell>
        </row>
        <row r="4">
          <cell r="I4" t="str">
            <v>biomass</v>
          </cell>
        </row>
        <row r="5">
          <cell r="I5" t="str">
            <v>Bipole III</v>
          </cell>
        </row>
        <row r="6">
          <cell r="I6" t="str">
            <v>capital costs</v>
          </cell>
        </row>
        <row r="7">
          <cell r="I7" t="str">
            <v>carbon/GHG emissions</v>
          </cell>
        </row>
        <row r="8">
          <cell r="I8" t="str">
            <v>caribou</v>
          </cell>
        </row>
        <row r="9">
          <cell r="A9" t="str">
            <v>BF</v>
          </cell>
          <cell r="I9" t="str">
            <v>climate change</v>
          </cell>
        </row>
        <row r="10">
          <cell r="A10" t="str">
            <v>CAC</v>
          </cell>
          <cell r="I10" t="str">
            <v>combined cycle combustion turbine</v>
          </cell>
        </row>
        <row r="11">
          <cell r="A11" t="str">
            <v>CS</v>
          </cell>
          <cell r="I11" t="str">
            <v>Conawapa</v>
          </cell>
        </row>
        <row r="12">
          <cell r="A12" t="str">
            <v>DBP</v>
          </cell>
          <cell r="I12" t="str">
            <v>concerns of First Nations</v>
          </cell>
        </row>
        <row r="13">
          <cell r="A13" t="str">
            <v>DP</v>
          </cell>
          <cell r="I13" t="str">
            <v>cultural effects</v>
          </cell>
        </row>
        <row r="14">
          <cell r="A14" t="str">
            <v>ERA</v>
          </cell>
          <cell r="I14" t="str">
            <v>cumulative effects</v>
          </cell>
        </row>
        <row r="15">
          <cell r="A15" t="str">
            <v>GAC</v>
          </cell>
          <cell r="I15" t="str">
            <v>customers (export markets)</v>
          </cell>
        </row>
        <row r="16">
          <cell r="A16" t="str">
            <v>GD</v>
          </cell>
          <cell r="I16" t="str">
            <v>debt-equity ratio</v>
          </cell>
        </row>
        <row r="17">
          <cell r="A17" t="str">
            <v>JG</v>
          </cell>
          <cell r="I17" t="str">
            <v>demand side management</v>
          </cell>
        </row>
        <row r="18">
          <cell r="A18" t="str">
            <v>JT</v>
          </cell>
          <cell r="I18" t="str">
            <v>drought (risk)</v>
          </cell>
        </row>
        <row r="19">
          <cell r="A19" t="str">
            <v>KP</v>
          </cell>
          <cell r="I19" t="str">
            <v>DSM</v>
          </cell>
        </row>
        <row r="20">
          <cell r="A20" t="str">
            <v>LCA</v>
          </cell>
          <cell r="I20" t="str">
            <v>economics of change (risk)</v>
          </cell>
        </row>
        <row r="21">
          <cell r="A21" t="str">
            <v>MIPUG</v>
          </cell>
          <cell r="I21" t="str">
            <v>emerging energies</v>
          </cell>
        </row>
        <row r="22">
          <cell r="A22" t="str">
            <v>MKO</v>
          </cell>
          <cell r="I22" t="str">
            <v>environmental impacts</v>
          </cell>
        </row>
        <row r="23">
          <cell r="A23" t="str">
            <v>MMF</v>
          </cell>
          <cell r="I23" t="str">
            <v>environmental protection plans</v>
          </cell>
        </row>
        <row r="24">
          <cell r="A24" t="str">
            <v>MNP</v>
          </cell>
          <cell r="I24" t="str">
            <v>export contract</v>
          </cell>
        </row>
        <row r="25">
          <cell r="A25" t="str">
            <v>MPA</v>
          </cell>
          <cell r="I25" t="str">
            <v>export markets</v>
          </cell>
        </row>
        <row r="26">
          <cell r="A26" t="str">
            <v>PE</v>
          </cell>
          <cell r="I26" t="str">
            <v>geothermal</v>
          </cell>
        </row>
        <row r="27">
          <cell r="A27" t="str">
            <v>POT</v>
          </cell>
          <cell r="I27" t="str">
            <v>green house gas</v>
          </cell>
        </row>
        <row r="28">
          <cell r="A28" t="str">
            <v>PUB</v>
          </cell>
          <cell r="I28" t="str">
            <v>hurdle rate policy</v>
          </cell>
        </row>
        <row r="29">
          <cell r="A29" t="str">
            <v>RT</v>
          </cell>
          <cell r="I29" t="str">
            <v>Internal Rate of Return</v>
          </cell>
        </row>
        <row r="30">
          <cell r="A30" t="str">
            <v>TYP</v>
          </cell>
          <cell r="I30" t="str">
            <v>Keeyask</v>
          </cell>
        </row>
        <row r="31">
          <cell r="A31" t="str">
            <v>WK</v>
          </cell>
          <cell r="I31" t="str">
            <v>Kyoto protocol</v>
          </cell>
        </row>
        <row r="32">
          <cell r="I32" t="str">
            <v>Levelized Cost</v>
          </cell>
        </row>
        <row r="33">
          <cell r="I33" t="str">
            <v>levelized cost</v>
          </cell>
        </row>
        <row r="34">
          <cell r="I34" t="str">
            <v>long term contracts</v>
          </cell>
        </row>
        <row r="35">
          <cell r="I35" t="str">
            <v>macro-environmental</v>
          </cell>
        </row>
        <row r="36">
          <cell r="I36" t="str">
            <v>market and transmission risks</v>
          </cell>
        </row>
        <row r="37">
          <cell r="I37" t="str">
            <v>Minnesota-Manitoba Transmission Line</v>
          </cell>
        </row>
        <row r="38">
          <cell r="I38" t="str">
            <v>mitigation of adverse effects</v>
          </cell>
        </row>
        <row r="39">
          <cell r="I39" t="str">
            <v>natural gas</v>
          </cell>
        </row>
        <row r="40">
          <cell r="I40" t="str">
            <v>non-utility generation</v>
          </cell>
        </row>
        <row r="41">
          <cell r="I41" t="str">
            <v>NPV</v>
          </cell>
        </row>
        <row r="42">
          <cell r="I42" t="str">
            <v>O and M costs</v>
          </cell>
        </row>
        <row r="43">
          <cell r="I43" t="str">
            <v>partnership agreements</v>
          </cell>
        </row>
        <row r="44">
          <cell r="I44" t="str">
            <v>price forecasts</v>
          </cell>
        </row>
        <row r="45">
          <cell r="I45" t="str">
            <v>project benefits</v>
          </cell>
        </row>
        <row r="46">
          <cell r="I46" t="str">
            <v>project licensing</v>
          </cell>
        </row>
        <row r="47">
          <cell r="I47" t="str">
            <v>rate impacts</v>
          </cell>
        </row>
        <row r="48">
          <cell r="I48" t="str">
            <v>shale gas</v>
          </cell>
        </row>
        <row r="49">
          <cell r="I49" t="str">
            <v>short term contracts</v>
          </cell>
        </row>
        <row r="50">
          <cell r="I50" t="str">
            <v>socio-economic</v>
          </cell>
        </row>
        <row r="51">
          <cell r="I51" t="str">
            <v>solar</v>
          </cell>
        </row>
        <row r="52">
          <cell r="I52" t="str">
            <v>sturgeon</v>
          </cell>
        </row>
        <row r="53">
          <cell r="I53" t="str">
            <v>sunk costs</v>
          </cell>
        </row>
        <row r="54">
          <cell r="I54" t="str">
            <v>supply side efficiency enhancements</v>
          </cell>
        </row>
        <row r="55">
          <cell r="I55" t="str">
            <v>sustainable development</v>
          </cell>
        </row>
        <row r="56">
          <cell r="I56" t="str">
            <v>transmission reliability</v>
          </cell>
        </row>
        <row r="57">
          <cell r="I57" t="str">
            <v>variability of revenues (export markets)</v>
          </cell>
        </row>
        <row r="58">
          <cell r="I58" t="str">
            <v>wind</v>
          </cell>
        </row>
        <row r="59">
          <cell r="I59" t="str">
            <v>wind costs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F1D4-C66F-B942-A133-91D41A87A96E}">
  <sheetPr codeName="Sheet1"/>
  <dimension ref="A1:D27"/>
  <sheetViews>
    <sheetView topLeftCell="A5" workbookViewId="0">
      <selection activeCell="A10" sqref="A10:XFD12"/>
    </sheetView>
  </sheetViews>
  <sheetFormatPr defaultColWidth="10.83203125" defaultRowHeight="15.7"/>
  <cols>
    <col min="1" max="1" width="4.83203125" style="10" customWidth="1"/>
    <col min="2" max="2" width="21.6640625" style="10" customWidth="1"/>
    <col min="3" max="3" width="10.83203125" style="10"/>
    <col min="4" max="16384" width="10.83203125" style="114"/>
  </cols>
  <sheetData>
    <row r="1" spans="1:4" s="18" customFormat="1" ht="20.7">
      <c r="A1" s="18" t="s">
        <v>97</v>
      </c>
      <c r="B1" s="18" t="s">
        <v>35</v>
      </c>
    </row>
    <row r="2" spans="1:4" s="10" customFormat="1"/>
    <row r="3" spans="1:4" s="10" customFormat="1" ht="18">
      <c r="B3" s="4" t="s">
        <v>865</v>
      </c>
      <c r="C3" s="4" t="s">
        <v>864</v>
      </c>
      <c r="D3" s="12"/>
    </row>
    <row r="4" spans="1:4" s="12" customFormat="1" ht="18">
      <c r="B4" s="4" t="s">
        <v>863</v>
      </c>
      <c r="C4" s="4" t="s">
        <v>862</v>
      </c>
    </row>
    <row r="5" spans="1:4" s="12" customFormat="1" ht="18">
      <c r="B5" s="4" t="s">
        <v>1258</v>
      </c>
      <c r="C5" s="4" t="s">
        <v>1259</v>
      </c>
    </row>
    <row r="6" spans="1:4" s="12" customFormat="1" ht="18">
      <c r="B6" s="4" t="s">
        <v>535</v>
      </c>
      <c r="C6" s="4" t="s">
        <v>536</v>
      </c>
    </row>
    <row r="7" spans="1:4" s="12" customFormat="1" ht="18">
      <c r="B7" s="4" t="s">
        <v>537</v>
      </c>
      <c r="C7" s="4" t="s">
        <v>538</v>
      </c>
    </row>
    <row r="8" spans="1:4" s="12" customFormat="1" ht="18">
      <c r="B8" s="4" t="s">
        <v>539</v>
      </c>
      <c r="C8" s="4" t="s">
        <v>540</v>
      </c>
    </row>
    <row r="9" spans="1:4" s="12" customFormat="1" ht="18">
      <c r="B9" s="4" t="s">
        <v>541</v>
      </c>
      <c r="C9" s="4" t="s">
        <v>542</v>
      </c>
    </row>
    <row r="10" spans="1:4" s="12" customFormat="1" ht="18">
      <c r="B10" s="12" t="s">
        <v>22</v>
      </c>
      <c r="C10" s="12" t="s">
        <v>34</v>
      </c>
    </row>
    <row r="11" spans="1:4" s="12" customFormat="1" ht="18">
      <c r="B11" s="12" t="s">
        <v>1255</v>
      </c>
      <c r="C11" s="12" t="s">
        <v>1256</v>
      </c>
    </row>
    <row r="12" spans="1:4" s="12" customFormat="1" ht="18">
      <c r="B12" s="12" t="s">
        <v>1220</v>
      </c>
      <c r="C12" s="12" t="s">
        <v>1257</v>
      </c>
    </row>
    <row r="13" spans="1:4" s="12" customFormat="1" ht="18">
      <c r="B13" s="12" t="s">
        <v>60</v>
      </c>
      <c r="C13" s="12" t="s">
        <v>61</v>
      </c>
    </row>
    <row r="14" spans="1:4" s="40" customFormat="1" ht="18">
      <c r="A14" s="12"/>
      <c r="B14" s="4" t="s">
        <v>543</v>
      </c>
      <c r="C14" s="4" t="s">
        <v>544</v>
      </c>
    </row>
    <row r="15" spans="1:4" s="40" customFormat="1" ht="18">
      <c r="A15" s="12"/>
      <c r="B15" s="4" t="s">
        <v>545</v>
      </c>
      <c r="C15" s="4" t="s">
        <v>546</v>
      </c>
    </row>
    <row r="16" spans="1:4" s="12" customFormat="1" ht="18">
      <c r="B16" s="12" t="s">
        <v>547</v>
      </c>
      <c r="C16" s="12" t="s">
        <v>548</v>
      </c>
    </row>
    <row r="17" spans="1:3" s="12" customFormat="1" ht="18">
      <c r="B17" s="12" t="s">
        <v>549</v>
      </c>
      <c r="C17" s="12" t="s">
        <v>550</v>
      </c>
    </row>
    <row r="18" spans="1:3" s="12" customFormat="1" ht="18">
      <c r="B18" s="12" t="s">
        <v>551</v>
      </c>
      <c r="C18" s="12" t="s">
        <v>552</v>
      </c>
    </row>
    <row r="19" spans="1:3" s="12" customFormat="1" ht="18">
      <c r="B19" s="12" t="s">
        <v>946</v>
      </c>
      <c r="C19" s="12" t="s">
        <v>947</v>
      </c>
    </row>
    <row r="20" spans="1:3" s="12" customFormat="1" ht="18"/>
    <row r="21" spans="1:3" s="40" customFormat="1" ht="18">
      <c r="A21" s="12"/>
      <c r="B21" s="52"/>
      <c r="C21" s="4" t="s">
        <v>530</v>
      </c>
    </row>
    <row r="22" spans="1:3" s="40" customFormat="1" ht="18">
      <c r="A22" s="12"/>
      <c r="B22" s="54"/>
      <c r="C22" s="4" t="s">
        <v>531</v>
      </c>
    </row>
    <row r="23" spans="1:3" s="40" customFormat="1" ht="18">
      <c r="A23" s="12"/>
      <c r="B23" s="53"/>
      <c r="C23" s="4" t="s">
        <v>532</v>
      </c>
    </row>
    <row r="24" spans="1:3" s="40" customFormat="1" ht="18">
      <c r="A24" s="12"/>
      <c r="B24" s="13">
        <v>27</v>
      </c>
      <c r="C24" s="4" t="s">
        <v>76</v>
      </c>
    </row>
    <row r="25" spans="1:3" s="40" customFormat="1" ht="18">
      <c r="A25" s="12"/>
      <c r="B25" s="12"/>
      <c r="C25" s="4" t="s">
        <v>59</v>
      </c>
    </row>
    <row r="26" spans="1:3" s="12" customFormat="1" ht="18"/>
    <row r="27" spans="1:3" s="40" customFormat="1" ht="18">
      <c r="A27" s="12"/>
      <c r="B27" s="4" t="s">
        <v>553</v>
      </c>
      <c r="C2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9A1F-91B8-BF4A-8AE9-D8996F01BAE2}">
  <dimension ref="A1:AV35"/>
  <sheetViews>
    <sheetView zoomScaleNormal="100" workbookViewId="0">
      <pane xSplit="3" ySplit="3" topLeftCell="D17" activePane="bottomRight" state="frozen"/>
      <selection pane="topRight" activeCell="C1" sqref="C1"/>
      <selection pane="bottomLeft" activeCell="A2" sqref="A2"/>
      <selection pane="bottomRight" activeCell="A24" sqref="A24"/>
    </sheetView>
  </sheetViews>
  <sheetFormatPr defaultColWidth="10.83203125" defaultRowHeight="18"/>
  <cols>
    <col min="1" max="1" width="4.83203125" style="4" customWidth="1"/>
    <col min="2" max="2" width="63.5" style="4" customWidth="1"/>
    <col min="3" max="3" width="13.5" style="167" customWidth="1"/>
    <col min="4" max="4" width="165.83203125" style="168" customWidth="1"/>
    <col min="5" max="5" width="164.5" style="169" customWidth="1"/>
    <col min="6" max="7" width="57.6640625" style="169" customWidth="1"/>
    <col min="8" max="8" width="100.83203125" style="169" customWidth="1"/>
    <col min="9" max="16384" width="10.83203125" style="4"/>
  </cols>
  <sheetData>
    <row r="1" spans="1:48" s="18" customFormat="1" ht="20.7">
      <c r="A1" s="18" t="s">
        <v>97</v>
      </c>
      <c r="B1" s="18" t="s">
        <v>742</v>
      </c>
    </row>
    <row r="2" spans="1:48" s="114" customFormat="1" ht="15.7"/>
    <row r="3" spans="1:48" s="170" customFormat="1" ht="20.7">
      <c r="B3" s="16" t="s">
        <v>743</v>
      </c>
      <c r="C3" s="16" t="s">
        <v>744</v>
      </c>
      <c r="D3" s="16" t="s">
        <v>745</v>
      </c>
      <c r="E3" s="16" t="s">
        <v>746</v>
      </c>
      <c r="F3" s="16" t="s">
        <v>747</v>
      </c>
      <c r="G3" s="16" t="s">
        <v>748</v>
      </c>
      <c r="H3" s="16" t="s">
        <v>47</v>
      </c>
    </row>
    <row r="4" spans="1:48">
      <c r="B4" s="188" t="s">
        <v>123</v>
      </c>
      <c r="C4" s="37">
        <v>2013</v>
      </c>
      <c r="D4" s="17" t="s">
        <v>779</v>
      </c>
      <c r="E4" s="169" t="s">
        <v>894</v>
      </c>
      <c r="F4" s="17"/>
      <c r="G4" s="17" t="s">
        <v>770</v>
      </c>
      <c r="H4" s="17"/>
      <c r="I4" s="114"/>
      <c r="J4" s="114"/>
      <c r="K4" s="34"/>
      <c r="L4" s="25"/>
      <c r="M4" s="34"/>
      <c r="N4" s="76"/>
      <c r="O4" s="76"/>
      <c r="P4" s="76"/>
      <c r="Q4" s="105"/>
      <c r="R4" s="34"/>
      <c r="S4" s="34"/>
      <c r="T4" s="24"/>
      <c r="U4" s="24"/>
      <c r="V4" s="29"/>
      <c r="W4" s="152"/>
      <c r="Y4" s="14"/>
      <c r="AB4" s="114"/>
      <c r="AF4" s="7"/>
      <c r="AJ4" s="50"/>
      <c r="AK4" s="50"/>
      <c r="AS4" s="109"/>
      <c r="AT4" s="114"/>
      <c r="AU4" s="114"/>
      <c r="AV4" s="114"/>
    </row>
    <row r="5" spans="1:48">
      <c r="B5" s="111" t="s">
        <v>769</v>
      </c>
      <c r="C5" s="37">
        <v>2013</v>
      </c>
      <c r="D5" s="17" t="s">
        <v>780</v>
      </c>
      <c r="E5" s="17" t="s">
        <v>1273</v>
      </c>
      <c r="F5" s="17"/>
      <c r="G5" s="17" t="s">
        <v>770</v>
      </c>
      <c r="H5" s="17"/>
      <c r="I5" s="114"/>
      <c r="J5" s="114"/>
      <c r="K5" s="34"/>
      <c r="L5" s="25"/>
      <c r="M5" s="34"/>
      <c r="N5" s="76"/>
      <c r="O5" s="76"/>
      <c r="P5" s="76"/>
      <c r="Q5" s="105"/>
      <c r="R5" s="34"/>
      <c r="S5" s="34"/>
      <c r="T5" s="24"/>
      <c r="U5" s="24"/>
      <c r="V5" s="29"/>
      <c r="W5" s="152"/>
      <c r="Y5" s="14"/>
      <c r="AF5" s="7"/>
      <c r="AJ5" s="50"/>
      <c r="AK5" s="50"/>
      <c r="AS5" s="109"/>
    </row>
    <row r="6" spans="1:48">
      <c r="B6" s="189" t="s">
        <v>769</v>
      </c>
      <c r="C6" s="37">
        <v>2012</v>
      </c>
      <c r="D6" s="17" t="s">
        <v>781</v>
      </c>
      <c r="E6" s="17" t="s">
        <v>1274</v>
      </c>
      <c r="F6" s="17"/>
      <c r="G6" s="17" t="s">
        <v>770</v>
      </c>
      <c r="H6" s="17"/>
      <c r="I6" s="114"/>
      <c r="J6" s="114"/>
      <c r="K6" s="34"/>
      <c r="L6" s="25"/>
      <c r="M6" s="34"/>
      <c r="N6" s="76"/>
      <c r="O6" s="76"/>
      <c r="P6" s="76"/>
      <c r="Q6" s="105"/>
      <c r="R6" s="34"/>
      <c r="S6" s="34"/>
      <c r="T6" s="24"/>
      <c r="U6" s="24"/>
      <c r="V6" s="29"/>
      <c r="W6" s="152"/>
      <c r="Y6" s="14"/>
      <c r="AF6" s="7"/>
      <c r="AJ6" s="40"/>
      <c r="AK6" s="40"/>
      <c r="AS6" s="109"/>
    </row>
    <row r="7" spans="1:48">
      <c r="B7" s="129" t="s">
        <v>101</v>
      </c>
      <c r="C7" s="37">
        <v>2019</v>
      </c>
      <c r="D7" s="17" t="s">
        <v>1336</v>
      </c>
      <c r="E7" s="17" t="s">
        <v>768</v>
      </c>
      <c r="F7" s="17"/>
      <c r="G7" s="17" t="s">
        <v>770</v>
      </c>
      <c r="H7" s="17"/>
      <c r="I7" s="114"/>
      <c r="J7" s="114"/>
      <c r="K7" s="34"/>
      <c r="L7" s="25"/>
      <c r="M7" s="34"/>
      <c r="N7" s="76"/>
      <c r="O7" s="76"/>
      <c r="P7" s="76"/>
      <c r="Q7" s="105"/>
      <c r="R7" s="34"/>
      <c r="S7" s="34"/>
      <c r="T7" s="24"/>
      <c r="U7" s="24"/>
      <c r="V7" s="29"/>
      <c r="W7" s="152"/>
      <c r="Y7" s="14"/>
      <c r="AF7" s="7"/>
      <c r="AJ7" s="114"/>
      <c r="AK7" s="114"/>
      <c r="AS7" s="109"/>
    </row>
    <row r="8" spans="1:48" s="171" customFormat="1">
      <c r="B8" s="183" t="s">
        <v>753</v>
      </c>
      <c r="C8" s="37">
        <v>2019</v>
      </c>
      <c r="D8" s="17" t="s">
        <v>754</v>
      </c>
      <c r="E8" s="17" t="s">
        <v>755</v>
      </c>
      <c r="F8" s="17"/>
      <c r="G8" s="17"/>
      <c r="H8" s="17"/>
    </row>
    <row r="9" spans="1:48">
      <c r="B9" s="184" t="s">
        <v>756</v>
      </c>
      <c r="C9" s="37">
        <v>2020</v>
      </c>
      <c r="D9" s="17"/>
      <c r="E9" s="17"/>
      <c r="F9" s="17"/>
      <c r="G9" s="17"/>
      <c r="H9" s="17"/>
    </row>
    <row r="10" spans="1:48">
      <c r="B10" s="185" t="s">
        <v>757</v>
      </c>
      <c r="C10" s="37"/>
      <c r="D10" s="17"/>
      <c r="E10" s="17"/>
      <c r="F10" s="17"/>
      <c r="G10" s="17"/>
      <c r="H10" s="17"/>
    </row>
    <row r="11" spans="1:48">
      <c r="B11" s="207" t="s">
        <v>769</v>
      </c>
      <c r="C11" s="37">
        <v>2014</v>
      </c>
      <c r="D11" s="17" t="s">
        <v>783</v>
      </c>
      <c r="E11" s="17" t="s">
        <v>782</v>
      </c>
      <c r="F11" s="17"/>
      <c r="G11" s="17" t="s">
        <v>770</v>
      </c>
      <c r="H11" s="17"/>
      <c r="I11" s="114"/>
      <c r="J11" s="114"/>
      <c r="K11" s="34"/>
      <c r="L11" s="25"/>
      <c r="M11" s="34"/>
      <c r="N11" s="76"/>
      <c r="O11" s="76"/>
      <c r="P11" s="76"/>
      <c r="Q11" s="105"/>
      <c r="R11" s="34"/>
      <c r="S11" s="34"/>
      <c r="T11" s="24"/>
      <c r="U11" s="24"/>
      <c r="V11" s="29"/>
      <c r="W11" s="152"/>
      <c r="Y11" s="14"/>
      <c r="AF11" s="7"/>
      <c r="AJ11" s="114"/>
      <c r="AK11" s="114"/>
      <c r="AS11" s="109"/>
    </row>
    <row r="12" spans="1:48">
      <c r="B12" s="187" t="s">
        <v>769</v>
      </c>
      <c r="C12" s="37">
        <v>2016</v>
      </c>
      <c r="D12" s="17" t="s">
        <v>1335</v>
      </c>
      <c r="E12" s="17" t="s">
        <v>876</v>
      </c>
      <c r="F12" s="17"/>
      <c r="G12" s="17" t="s">
        <v>770</v>
      </c>
      <c r="H12" s="17"/>
      <c r="I12" s="114"/>
      <c r="J12" s="114"/>
      <c r="K12" s="34"/>
      <c r="L12" s="25"/>
      <c r="M12" s="34"/>
      <c r="N12" s="76"/>
      <c r="O12" s="76"/>
      <c r="P12" s="76"/>
      <c r="Q12" s="105"/>
      <c r="R12" s="34"/>
      <c r="S12" s="34"/>
      <c r="T12" s="24"/>
      <c r="U12" s="24"/>
      <c r="V12" s="29"/>
      <c r="W12" s="152"/>
      <c r="Y12" s="14"/>
      <c r="AF12" s="7"/>
      <c r="AJ12" s="114"/>
      <c r="AK12" s="114"/>
      <c r="AS12" s="109"/>
    </row>
    <row r="13" spans="1:48">
      <c r="B13" s="190" t="s">
        <v>101</v>
      </c>
      <c r="C13" s="37">
        <v>2011</v>
      </c>
      <c r="D13" s="17" t="s">
        <v>784</v>
      </c>
      <c r="E13" s="17" t="s">
        <v>1275</v>
      </c>
      <c r="F13" s="17"/>
      <c r="G13" s="17" t="s">
        <v>770</v>
      </c>
      <c r="H13" s="17"/>
      <c r="I13" s="114"/>
      <c r="J13" s="114"/>
      <c r="K13" s="34"/>
      <c r="L13" s="25"/>
      <c r="M13" s="34"/>
      <c r="N13" s="76"/>
      <c r="O13" s="76"/>
      <c r="P13" s="76"/>
      <c r="Q13" s="105"/>
      <c r="R13" s="34"/>
      <c r="S13" s="34"/>
      <c r="T13" s="24"/>
      <c r="U13" s="24"/>
      <c r="V13" s="29"/>
      <c r="W13" s="152"/>
      <c r="Y13" s="14"/>
      <c r="AF13" s="7"/>
      <c r="AJ13" s="114"/>
      <c r="AK13" s="114"/>
      <c r="AS13" s="109"/>
    </row>
    <row r="14" spans="1:48">
      <c r="B14" s="208" t="s">
        <v>123</v>
      </c>
      <c r="C14" s="37">
        <v>2014</v>
      </c>
      <c r="D14" s="17" t="s">
        <v>877</v>
      </c>
      <c r="E14" s="17" t="s">
        <v>876</v>
      </c>
      <c r="F14" s="17"/>
      <c r="G14" s="17" t="s">
        <v>770</v>
      </c>
      <c r="H14" s="17"/>
      <c r="I14" s="114"/>
      <c r="J14" s="114"/>
      <c r="K14" s="34"/>
      <c r="L14" s="25"/>
      <c r="M14" s="34"/>
      <c r="N14" s="76"/>
      <c r="O14" s="76"/>
      <c r="P14" s="76"/>
      <c r="Q14" s="105"/>
      <c r="R14" s="34"/>
      <c r="S14" s="34"/>
      <c r="T14" s="24"/>
      <c r="U14" s="24"/>
      <c r="V14" s="29"/>
      <c r="W14" s="152"/>
      <c r="Y14" s="14"/>
      <c r="AF14" s="7"/>
      <c r="AJ14" s="114"/>
      <c r="AK14" s="114"/>
      <c r="AS14" s="109"/>
    </row>
    <row r="15" spans="1:48">
      <c r="B15" s="209" t="s">
        <v>123</v>
      </c>
      <c r="C15" s="37">
        <v>2014</v>
      </c>
      <c r="D15" s="17" t="s">
        <v>878</v>
      </c>
      <c r="E15" s="17" t="s">
        <v>876</v>
      </c>
      <c r="F15" s="17"/>
      <c r="G15" s="17" t="s">
        <v>770</v>
      </c>
      <c r="H15" s="17"/>
      <c r="I15" s="114"/>
      <c r="J15" s="114"/>
      <c r="K15" s="34"/>
      <c r="L15" s="25"/>
      <c r="M15" s="34"/>
      <c r="N15" s="76"/>
      <c r="O15" s="76"/>
      <c r="P15" s="76"/>
      <c r="Q15" s="105"/>
      <c r="R15" s="34"/>
      <c r="S15" s="34"/>
      <c r="T15" s="24"/>
      <c r="U15" s="24"/>
      <c r="V15" s="29"/>
      <c r="W15" s="152"/>
      <c r="Y15" s="14"/>
      <c r="AF15" s="7"/>
      <c r="AJ15" s="114"/>
      <c r="AK15" s="114"/>
      <c r="AS15" s="109"/>
    </row>
    <row r="16" spans="1:48">
      <c r="B16" s="213" t="s">
        <v>123</v>
      </c>
      <c r="C16" s="37">
        <v>2014</v>
      </c>
      <c r="D16" s="17" t="s">
        <v>890</v>
      </c>
      <c r="E16" s="17" t="s">
        <v>876</v>
      </c>
      <c r="F16" s="17"/>
      <c r="G16" s="17" t="s">
        <v>770</v>
      </c>
      <c r="H16" s="17"/>
      <c r="I16" s="114"/>
      <c r="J16" s="114"/>
      <c r="K16" s="34"/>
      <c r="L16" s="25"/>
      <c r="M16" s="34"/>
      <c r="N16" s="76"/>
      <c r="O16" s="76"/>
      <c r="P16" s="76"/>
      <c r="Q16" s="105"/>
      <c r="R16" s="34"/>
      <c r="S16" s="34"/>
      <c r="T16" s="24"/>
      <c r="U16" s="24"/>
      <c r="V16" s="29"/>
      <c r="W16" s="152"/>
      <c r="Y16" s="14"/>
      <c r="AF16" s="7"/>
      <c r="AJ16" s="114"/>
      <c r="AK16" s="114"/>
      <c r="AS16" s="109"/>
    </row>
    <row r="17" spans="1:45">
      <c r="B17" s="215" t="s">
        <v>769</v>
      </c>
      <c r="C17" s="37">
        <v>2014</v>
      </c>
      <c r="D17" s="17" t="s">
        <v>892</v>
      </c>
      <c r="E17" s="17" t="s">
        <v>876</v>
      </c>
      <c r="F17" s="17"/>
      <c r="G17" s="17" t="s">
        <v>770</v>
      </c>
      <c r="H17" s="17"/>
      <c r="I17" s="114"/>
      <c r="J17" s="114"/>
      <c r="K17" s="34"/>
      <c r="L17" s="25"/>
      <c r="M17" s="34"/>
      <c r="N17" s="76"/>
      <c r="O17" s="76"/>
      <c r="P17" s="76"/>
      <c r="Q17" s="105"/>
      <c r="R17" s="34"/>
      <c r="S17" s="34"/>
      <c r="T17" s="24"/>
      <c r="U17" s="24"/>
      <c r="V17" s="29"/>
      <c r="W17" s="152"/>
      <c r="Y17" s="14"/>
      <c r="AF17" s="7"/>
      <c r="AJ17" s="114"/>
      <c r="AK17" s="114"/>
      <c r="AS17" s="109"/>
    </row>
    <row r="18" spans="1:45" s="171" customFormat="1">
      <c r="B18" s="172" t="s">
        <v>101</v>
      </c>
      <c r="C18" s="37">
        <v>2019</v>
      </c>
      <c r="D18" s="17" t="s">
        <v>758</v>
      </c>
      <c r="E18" s="17" t="s">
        <v>759</v>
      </c>
      <c r="F18" s="17"/>
      <c r="G18" s="17" t="s">
        <v>770</v>
      </c>
      <c r="H18" s="17"/>
    </row>
    <row r="19" spans="1:45" s="171" customFormat="1">
      <c r="B19" s="173" t="s">
        <v>101</v>
      </c>
      <c r="C19" s="37">
        <v>2009</v>
      </c>
      <c r="D19" s="17" t="s">
        <v>766</v>
      </c>
      <c r="E19" s="17" t="s">
        <v>1272</v>
      </c>
      <c r="F19" s="17"/>
      <c r="G19" s="17" t="s">
        <v>770</v>
      </c>
      <c r="H19" s="17"/>
    </row>
    <row r="20" spans="1:45">
      <c r="B20" s="174" t="s">
        <v>749</v>
      </c>
      <c r="C20" s="37">
        <v>2019</v>
      </c>
      <c r="D20" s="17" t="s">
        <v>750</v>
      </c>
      <c r="E20" s="17" t="s">
        <v>751</v>
      </c>
      <c r="F20" s="17"/>
      <c r="G20" s="17" t="s">
        <v>1293</v>
      </c>
      <c r="H20" s="17"/>
    </row>
    <row r="21" spans="1:45" s="171" customFormat="1">
      <c r="B21" s="175" t="s">
        <v>123</v>
      </c>
      <c r="C21" s="37">
        <v>2019</v>
      </c>
      <c r="D21" s="17" t="s">
        <v>767</v>
      </c>
      <c r="E21" s="17" t="s">
        <v>760</v>
      </c>
      <c r="F21" s="17"/>
      <c r="G21" s="17" t="s">
        <v>770</v>
      </c>
      <c r="H21" s="17"/>
    </row>
    <row r="22" spans="1:45" s="171" customFormat="1">
      <c r="B22" s="176" t="s">
        <v>761</v>
      </c>
      <c r="C22" s="37">
        <v>2015</v>
      </c>
      <c r="D22" s="17" t="s">
        <v>762</v>
      </c>
      <c r="E22" s="17" t="s">
        <v>763</v>
      </c>
      <c r="F22" s="17"/>
      <c r="G22" s="17" t="s">
        <v>770</v>
      </c>
      <c r="H22" s="17"/>
    </row>
    <row r="23" spans="1:45" s="171" customFormat="1">
      <c r="B23" s="177" t="s">
        <v>752</v>
      </c>
      <c r="C23" s="37">
        <v>2019</v>
      </c>
      <c r="D23" s="17" t="s">
        <v>765</v>
      </c>
      <c r="E23" s="17" t="s">
        <v>764</v>
      </c>
      <c r="F23" s="17"/>
      <c r="G23" s="17" t="s">
        <v>770</v>
      </c>
      <c r="H23" s="17"/>
    </row>
    <row r="24" spans="1:45" s="114" customFormat="1">
      <c r="A24" s="279"/>
      <c r="B24" s="178" t="s">
        <v>101</v>
      </c>
      <c r="C24" s="37">
        <v>2019</v>
      </c>
      <c r="D24" s="17" t="s">
        <v>1337</v>
      </c>
      <c r="E24" s="17" t="s">
        <v>768</v>
      </c>
      <c r="F24" s="17"/>
      <c r="G24" s="17" t="s">
        <v>770</v>
      </c>
      <c r="H24" s="17"/>
      <c r="K24" s="4"/>
      <c r="L24" s="4"/>
      <c r="M24" s="4"/>
      <c r="N24" s="4"/>
      <c r="O24" s="4"/>
      <c r="P24" s="4"/>
      <c r="Q24" s="4"/>
      <c r="R24" s="4"/>
      <c r="S24" s="24"/>
    </row>
    <row r="25" spans="1:45">
      <c r="B25" s="179" t="s">
        <v>769</v>
      </c>
      <c r="C25" s="37">
        <v>2019</v>
      </c>
      <c r="D25" s="17" t="s">
        <v>771</v>
      </c>
      <c r="E25" s="17" t="s">
        <v>772</v>
      </c>
      <c r="F25" s="17"/>
      <c r="G25" s="17" t="s">
        <v>770</v>
      </c>
      <c r="H25" s="17"/>
    </row>
    <row r="26" spans="1:45">
      <c r="B26" s="180" t="s">
        <v>123</v>
      </c>
      <c r="C26" s="37">
        <v>2019</v>
      </c>
      <c r="D26" s="17" t="s">
        <v>981</v>
      </c>
      <c r="E26" s="17" t="s">
        <v>1271</v>
      </c>
      <c r="F26" s="17"/>
      <c r="G26" s="17" t="s">
        <v>770</v>
      </c>
      <c r="H26" s="17"/>
    </row>
    <row r="27" spans="1:45">
      <c r="B27" s="181" t="s">
        <v>123</v>
      </c>
      <c r="C27" s="37">
        <v>2019</v>
      </c>
      <c r="D27" s="17" t="s">
        <v>1338</v>
      </c>
      <c r="E27" s="17" t="s">
        <v>773</v>
      </c>
      <c r="F27" s="17"/>
      <c r="G27" s="17" t="s">
        <v>770</v>
      </c>
      <c r="H27" s="17"/>
    </row>
    <row r="28" spans="1:45">
      <c r="B28" s="182" t="s">
        <v>123</v>
      </c>
      <c r="C28" s="37">
        <v>2005</v>
      </c>
      <c r="D28" s="17" t="s">
        <v>774</v>
      </c>
      <c r="E28" s="17" t="s">
        <v>775</v>
      </c>
      <c r="F28" s="17"/>
      <c r="G28" s="17" t="s">
        <v>770</v>
      </c>
      <c r="H28" s="17"/>
    </row>
    <row r="29" spans="1:45">
      <c r="B29" s="186" t="s">
        <v>776</v>
      </c>
      <c r="C29" s="37">
        <v>1991</v>
      </c>
      <c r="D29" s="17" t="s">
        <v>777</v>
      </c>
      <c r="E29" s="17" t="s">
        <v>778</v>
      </c>
      <c r="F29" s="4"/>
      <c r="G29" s="17" t="s">
        <v>770</v>
      </c>
      <c r="H29" s="4"/>
    </row>
    <row r="30" spans="1:45">
      <c r="B30" s="235" t="s">
        <v>938</v>
      </c>
      <c r="C30" s="37">
        <v>2017</v>
      </c>
      <c r="D30" s="17" t="s">
        <v>939</v>
      </c>
      <c r="E30" s="17"/>
      <c r="F30" s="17"/>
      <c r="G30" s="17"/>
      <c r="H30" s="17"/>
    </row>
    <row r="31" spans="1:45">
      <c r="B31" s="236" t="s">
        <v>940</v>
      </c>
      <c r="C31" s="37">
        <v>2017</v>
      </c>
      <c r="D31" s="17" t="s">
        <v>941</v>
      </c>
      <c r="E31" s="17" t="s">
        <v>942</v>
      </c>
      <c r="F31" s="17"/>
      <c r="G31" s="17"/>
      <c r="H31" s="17"/>
    </row>
    <row r="32" spans="1:45">
      <c r="B32" s="237" t="s">
        <v>943</v>
      </c>
      <c r="C32" s="37">
        <v>1979</v>
      </c>
      <c r="D32" s="17" t="s">
        <v>944</v>
      </c>
      <c r="E32" s="17" t="s">
        <v>945</v>
      </c>
      <c r="F32" s="17"/>
      <c r="G32" s="17"/>
      <c r="H32" s="17"/>
    </row>
    <row r="33" spans="2:37">
      <c r="B33" s="238"/>
      <c r="C33" s="37"/>
      <c r="D33" s="17"/>
      <c r="E33" s="17"/>
      <c r="F33" s="17"/>
      <c r="G33" s="17"/>
      <c r="H33" s="17"/>
    </row>
    <row r="34" spans="2:37">
      <c r="B34" s="271"/>
      <c r="C34" s="37"/>
      <c r="D34" s="17"/>
      <c r="E34" s="17"/>
      <c r="F34" s="17"/>
      <c r="G34" s="17"/>
      <c r="H34" s="17"/>
      <c r="J34" s="195"/>
      <c r="K34" s="34"/>
      <c r="L34" s="25"/>
      <c r="M34" s="34"/>
      <c r="N34" s="34"/>
      <c r="O34" s="34"/>
      <c r="P34" s="34"/>
      <c r="Q34" s="25"/>
      <c r="R34" s="34"/>
      <c r="S34" s="34"/>
      <c r="T34" s="24"/>
      <c r="U34" s="24"/>
      <c r="V34" s="29"/>
      <c r="W34" s="29"/>
      <c r="Y34" s="15"/>
      <c r="AF34" s="7"/>
      <c r="AJ34" s="195"/>
      <c r="AK34" s="195"/>
    </row>
    <row r="35" spans="2:37">
      <c r="B35" s="239" t="s">
        <v>1290</v>
      </c>
      <c r="C35" s="37">
        <v>2021</v>
      </c>
      <c r="D35" s="17" t="s">
        <v>1291</v>
      </c>
      <c r="E35" s="17" t="s">
        <v>1292</v>
      </c>
      <c r="F35" s="17"/>
      <c r="G35" s="17" t="s">
        <v>1293</v>
      </c>
      <c r="H35" s="17"/>
    </row>
  </sheetData>
  <autoFilter ref="B3:H3" xr:uid="{4394770A-2345-D74B-BD81-DB7567B27015}">
    <sortState xmlns:xlrd2="http://schemas.microsoft.com/office/spreadsheetml/2017/richdata2" ref="B4:H206">
      <sortCondition ref="G3:G206"/>
    </sortState>
  </autoFilter>
  <phoneticPr fontId="3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3D4F-D602-E242-9774-97C939555426}">
  <sheetPr codeName="Sheet4"/>
  <dimension ref="A1:BE379"/>
  <sheetViews>
    <sheetView tabSelected="1" workbookViewId="0">
      <pane xSplit="2" ySplit="3" topLeftCell="F4" activePane="bottomRight" state="frozen"/>
      <selection pane="topRight" activeCell="C1" sqref="C1"/>
      <selection pane="bottomLeft" activeCell="A5" sqref="A5"/>
      <selection pane="bottomRight" activeCell="H5" sqref="H5"/>
    </sheetView>
  </sheetViews>
  <sheetFormatPr defaultColWidth="10.83203125" defaultRowHeight="18"/>
  <cols>
    <col min="1" max="1" width="4.83203125" style="4" customWidth="1"/>
    <col min="2" max="2" width="53.5" style="4" customWidth="1"/>
    <col min="3" max="3" width="24.83203125" style="109" customWidth="1"/>
    <col min="4" max="4" width="60.83203125" style="4" customWidth="1"/>
    <col min="5" max="5" width="40.83203125" style="7" customWidth="1"/>
    <col min="6" max="7" width="18.83203125" style="114" customWidth="1"/>
    <col min="8" max="8" width="40.83203125" style="102" customWidth="1"/>
    <col min="9" max="9" width="27.5" style="102" customWidth="1"/>
    <col min="10" max="10" width="36" style="44" customWidth="1"/>
    <col min="11" max="11" width="30.6640625" style="102" customWidth="1"/>
    <col min="12" max="12" width="13.33203125" style="195" customWidth="1"/>
    <col min="13" max="14" width="12.83203125" style="7" customWidth="1"/>
    <col min="15" max="15" width="4.6640625" style="104" customWidth="1"/>
    <col min="16" max="16" width="24.83203125" style="7" customWidth="1"/>
    <col min="17" max="17" width="22.1640625" style="7" customWidth="1"/>
    <col min="18" max="18" width="12.83203125" style="4" customWidth="1"/>
    <col min="19" max="19" width="15.83203125" style="109" customWidth="1"/>
    <col min="20" max="20" width="13.83203125" style="4" customWidth="1"/>
    <col min="21" max="21" width="16.83203125" style="109" customWidth="1"/>
    <col min="22" max="22" width="16.83203125" style="4" customWidth="1"/>
    <col min="23" max="23" width="10.83203125" style="4"/>
    <col min="24" max="24" width="4.83203125" style="14" customWidth="1"/>
    <col min="25" max="25" width="14.33203125" style="4" customWidth="1"/>
    <col min="26" max="26" width="10.83203125" style="4" customWidth="1"/>
    <col min="27" max="29" width="10.83203125" style="4"/>
    <col min="30" max="30" width="10.83203125" style="114"/>
    <col min="31" max="31" width="13.1640625" style="114" customWidth="1"/>
    <col min="32" max="33" width="16.83203125" style="4" customWidth="1"/>
    <col min="34" max="34" width="10.83203125" style="7"/>
    <col min="35" max="36" width="10.83203125" style="4"/>
    <col min="37" max="37" width="17.6640625" style="4" customWidth="1"/>
    <col min="38" max="38" width="19.33203125" style="4" customWidth="1"/>
    <col min="39" max="39" width="4.83203125" style="109" customWidth="1"/>
    <col min="40" max="44" width="10.83203125" style="4"/>
    <col min="45" max="45" width="4.83203125" style="4" customWidth="1"/>
    <col min="46" max="46" width="50.83203125" style="4" customWidth="1"/>
    <col min="47" max="47" width="80.83203125" style="4" customWidth="1"/>
    <col min="48" max="16384" width="10.83203125" style="4"/>
  </cols>
  <sheetData>
    <row r="1" spans="1:47" ht="20.7">
      <c r="A1" s="51" t="s">
        <v>97</v>
      </c>
      <c r="B1" s="18" t="s">
        <v>92</v>
      </c>
      <c r="C1" s="102"/>
      <c r="D1" s="20"/>
      <c r="J1" s="4"/>
      <c r="P1" s="56" t="s">
        <v>40</v>
      </c>
      <c r="Q1" s="56" t="s">
        <v>40</v>
      </c>
      <c r="R1" s="22"/>
      <c r="S1" s="192"/>
      <c r="T1" s="22"/>
      <c r="Y1" s="56" t="s">
        <v>41</v>
      </c>
      <c r="AD1" s="39"/>
      <c r="AE1" s="39"/>
      <c r="AL1" s="22"/>
      <c r="AN1" s="56" t="s">
        <v>51</v>
      </c>
      <c r="AP1" s="104"/>
      <c r="AR1" s="104"/>
      <c r="AS1" s="104"/>
      <c r="AT1" s="104"/>
    </row>
    <row r="2" spans="1:47" s="9" customFormat="1" ht="54">
      <c r="A2" s="5"/>
      <c r="B2" s="19" t="s">
        <v>18</v>
      </c>
      <c r="C2" s="19" t="s">
        <v>976</v>
      </c>
      <c r="D2" s="19" t="s">
        <v>13</v>
      </c>
      <c r="E2" s="19" t="s">
        <v>21</v>
      </c>
      <c r="F2" s="19" t="s">
        <v>14</v>
      </c>
      <c r="G2" s="19" t="s">
        <v>15</v>
      </c>
      <c r="H2" s="19" t="s">
        <v>901</v>
      </c>
      <c r="I2" s="19" t="s">
        <v>1276</v>
      </c>
      <c r="J2" s="19" t="s">
        <v>787</v>
      </c>
      <c r="K2" s="19" t="s">
        <v>788</v>
      </c>
      <c r="L2" s="19" t="s">
        <v>861</v>
      </c>
      <c r="M2" s="19" t="s">
        <v>17</v>
      </c>
      <c r="N2" s="19" t="s">
        <v>81</v>
      </c>
      <c r="O2" s="63"/>
      <c r="P2" s="19" t="s">
        <v>499</v>
      </c>
      <c r="Q2" s="19" t="s">
        <v>907</v>
      </c>
      <c r="R2" s="19" t="s">
        <v>16</v>
      </c>
      <c r="S2" s="19" t="s">
        <v>785</v>
      </c>
      <c r="T2" s="19" t="s">
        <v>786</v>
      </c>
      <c r="U2" s="19" t="s">
        <v>577</v>
      </c>
      <c r="V2" s="19" t="s">
        <v>789</v>
      </c>
      <c r="W2" s="19" t="s">
        <v>44</v>
      </c>
      <c r="X2" s="63"/>
      <c r="Y2" s="99" t="s">
        <v>52</v>
      </c>
      <c r="Z2" s="99" t="s">
        <v>86</v>
      </c>
      <c r="AA2" s="99" t="s">
        <v>87</v>
      </c>
      <c r="AB2" s="99" t="s">
        <v>26</v>
      </c>
      <c r="AC2" s="99" t="s">
        <v>27</v>
      </c>
      <c r="AD2" s="99" t="s">
        <v>74</v>
      </c>
      <c r="AE2" s="99" t="s">
        <v>75</v>
      </c>
      <c r="AF2" s="99" t="s">
        <v>36</v>
      </c>
      <c r="AG2" s="99" t="s">
        <v>29</v>
      </c>
      <c r="AH2" s="99" t="s">
        <v>45</v>
      </c>
      <c r="AI2" s="99" t="s">
        <v>33</v>
      </c>
      <c r="AJ2" s="99" t="s">
        <v>902</v>
      </c>
      <c r="AK2" s="99" t="s">
        <v>54</v>
      </c>
      <c r="AL2" s="99" t="s">
        <v>970</v>
      </c>
      <c r="AM2" s="63"/>
      <c r="AN2" s="99" t="s">
        <v>37</v>
      </c>
      <c r="AO2" s="99" t="s">
        <v>903</v>
      </c>
      <c r="AP2" s="99" t="s">
        <v>28</v>
      </c>
      <c r="AQ2" s="99" t="s">
        <v>24</v>
      </c>
      <c r="AR2" s="99" t="s">
        <v>25</v>
      </c>
      <c r="AS2" s="63"/>
      <c r="AT2" s="19" t="s">
        <v>904</v>
      </c>
      <c r="AU2" s="19" t="s">
        <v>47</v>
      </c>
    </row>
    <row r="3" spans="1:47" s="5" customFormat="1" ht="36">
      <c r="B3" s="16"/>
      <c r="C3" s="63"/>
      <c r="D3" s="16"/>
      <c r="E3" s="16"/>
      <c r="F3" s="114"/>
      <c r="G3" s="114"/>
      <c r="H3" s="63"/>
      <c r="I3" s="63"/>
      <c r="J3" s="16"/>
      <c r="K3" s="64"/>
      <c r="L3" s="16" t="s">
        <v>71</v>
      </c>
      <c r="M3" s="16"/>
      <c r="N3" s="16"/>
      <c r="O3" s="63"/>
      <c r="P3" s="16"/>
      <c r="Q3" s="16"/>
      <c r="R3" s="16" t="s">
        <v>19</v>
      </c>
      <c r="S3" s="16"/>
      <c r="T3" s="16" t="s">
        <v>19</v>
      </c>
      <c r="U3" s="63" t="s">
        <v>32</v>
      </c>
      <c r="V3" s="16" t="s">
        <v>20</v>
      </c>
      <c r="W3" s="16"/>
      <c r="X3" s="63"/>
      <c r="Y3" s="16" t="s">
        <v>53</v>
      </c>
      <c r="Z3" s="16" t="s">
        <v>19</v>
      </c>
      <c r="AA3" s="16" t="s">
        <v>19</v>
      </c>
      <c r="AB3" s="16" t="s">
        <v>31</v>
      </c>
      <c r="AC3" s="16" t="s">
        <v>31</v>
      </c>
      <c r="AD3" s="16" t="s">
        <v>30</v>
      </c>
      <c r="AE3" s="16" t="s">
        <v>30</v>
      </c>
      <c r="AF3" s="16" t="s">
        <v>38</v>
      </c>
      <c r="AG3" s="16" t="s">
        <v>38</v>
      </c>
      <c r="AH3" s="16" t="s">
        <v>46</v>
      </c>
      <c r="AI3" s="58" t="s">
        <v>32</v>
      </c>
      <c r="AJ3" s="16" t="s">
        <v>31</v>
      </c>
      <c r="AK3" s="16" t="s">
        <v>32</v>
      </c>
      <c r="AL3" s="16" t="s">
        <v>338</v>
      </c>
      <c r="AM3" s="63"/>
      <c r="AN3" s="16" t="s">
        <v>39</v>
      </c>
      <c r="AO3" s="16" t="s">
        <v>23</v>
      </c>
      <c r="AP3" s="16" t="s">
        <v>39</v>
      </c>
      <c r="AQ3" s="93" t="s">
        <v>339</v>
      </c>
      <c r="AR3" s="16" t="s">
        <v>23</v>
      </c>
      <c r="AS3" s="16"/>
      <c r="AT3" s="16"/>
      <c r="AU3" s="16"/>
    </row>
    <row r="4" spans="1:47" s="14" customFormat="1">
      <c r="B4" s="139" t="s">
        <v>126</v>
      </c>
      <c r="C4" s="37" t="s">
        <v>1296</v>
      </c>
      <c r="D4" s="139" t="s">
        <v>122</v>
      </c>
      <c r="E4" s="139" t="s">
        <v>127</v>
      </c>
      <c r="F4" s="100">
        <v>48.956137400000003</v>
      </c>
      <c r="G4" s="100">
        <v>-57.949565200000002</v>
      </c>
      <c r="H4" s="37" t="s">
        <v>599</v>
      </c>
      <c r="I4" s="37" t="s">
        <v>1277</v>
      </c>
      <c r="J4" s="165" t="s">
        <v>687</v>
      </c>
      <c r="K4" s="37" t="s">
        <v>1232</v>
      </c>
      <c r="L4" s="55">
        <v>66</v>
      </c>
      <c r="M4" s="79">
        <v>2002</v>
      </c>
      <c r="N4" s="79">
        <v>2023</v>
      </c>
      <c r="O4" s="65"/>
      <c r="P4" s="107" t="s">
        <v>591</v>
      </c>
      <c r="Q4" s="65" t="s">
        <v>1279</v>
      </c>
      <c r="R4" s="125">
        <v>15.3</v>
      </c>
      <c r="S4" s="227">
        <v>0.52</v>
      </c>
      <c r="T4" s="125">
        <f t="shared" ref="T4:T35" si="0">R4*S4</f>
        <v>7.9560000000000004</v>
      </c>
      <c r="U4" s="2">
        <v>0.49989554421464161</v>
      </c>
      <c r="V4" s="108">
        <f t="shared" ref="V4:V35" si="1">R4*24*365*U4/1000</f>
        <v>67</v>
      </c>
      <c r="W4" s="37">
        <v>1</v>
      </c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2"/>
      <c r="AL4" s="57"/>
      <c r="AM4" s="57"/>
      <c r="AN4" s="57"/>
      <c r="AO4" s="57"/>
      <c r="AP4" s="57"/>
      <c r="AQ4" s="57"/>
      <c r="AR4" s="57"/>
      <c r="AS4" s="57"/>
      <c r="AT4" s="57"/>
      <c r="AU4" s="64"/>
    </row>
    <row r="5" spans="1:47" s="14" customFormat="1">
      <c r="B5" s="74" t="s">
        <v>1350</v>
      </c>
      <c r="C5" s="37" t="s">
        <v>1301</v>
      </c>
      <c r="D5" s="74" t="s">
        <v>101</v>
      </c>
      <c r="E5" s="74" t="s">
        <v>164</v>
      </c>
      <c r="F5" s="101">
        <v>53.298647000000003</v>
      </c>
      <c r="G5" s="101">
        <v>-60.379797000000003</v>
      </c>
      <c r="H5" s="37" t="s">
        <v>606</v>
      </c>
      <c r="I5" s="37" t="s">
        <v>1135</v>
      </c>
      <c r="J5" s="130" t="s">
        <v>801</v>
      </c>
      <c r="K5" s="37" t="s">
        <v>1236</v>
      </c>
      <c r="L5" s="55">
        <v>138</v>
      </c>
      <c r="M5" s="65">
        <v>2000</v>
      </c>
      <c r="N5" s="84">
        <v>2100</v>
      </c>
      <c r="O5" s="65"/>
      <c r="P5" s="70" t="s">
        <v>406</v>
      </c>
      <c r="Q5" s="278" t="s">
        <v>578</v>
      </c>
      <c r="R5" s="117">
        <v>11.7</v>
      </c>
      <c r="S5" s="244">
        <v>1</v>
      </c>
      <c r="T5" s="117">
        <f t="shared" si="0"/>
        <v>11.7</v>
      </c>
      <c r="U5" s="216">
        <v>0.01</v>
      </c>
      <c r="V5" s="217">
        <f t="shared" si="1"/>
        <v>1.0249199999999998</v>
      </c>
      <c r="W5" s="37">
        <v>1</v>
      </c>
      <c r="X5" s="57"/>
      <c r="Y5" s="191">
        <v>10.97</v>
      </c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2"/>
      <c r="AL5" s="57"/>
      <c r="AM5" s="57"/>
      <c r="AN5" s="57"/>
      <c r="AO5" s="57"/>
      <c r="AP5" s="57"/>
      <c r="AQ5" s="57"/>
      <c r="AR5" s="57"/>
      <c r="AS5" s="57"/>
      <c r="AT5" s="57"/>
      <c r="AU5" s="64" t="s">
        <v>529</v>
      </c>
    </row>
    <row r="6" spans="1:47" s="14" customFormat="1">
      <c r="B6" s="78" t="s">
        <v>390</v>
      </c>
      <c r="C6" s="37" t="s">
        <v>1303</v>
      </c>
      <c r="D6" s="78" t="s">
        <v>101</v>
      </c>
      <c r="E6" s="78" t="s">
        <v>144</v>
      </c>
      <c r="F6" s="101">
        <v>50.609492000000003</v>
      </c>
      <c r="G6" s="101">
        <v>-57.169114999999998</v>
      </c>
      <c r="H6" s="37" t="s">
        <v>599</v>
      </c>
      <c r="I6" s="37" t="s">
        <v>1277</v>
      </c>
      <c r="J6" s="165" t="s">
        <v>728</v>
      </c>
      <c r="K6" s="37" t="s">
        <v>992</v>
      </c>
      <c r="L6" s="55">
        <v>66</v>
      </c>
      <c r="M6" s="79">
        <v>1971</v>
      </c>
      <c r="N6" s="84">
        <v>2100</v>
      </c>
      <c r="O6" s="65"/>
      <c r="P6" s="107" t="s">
        <v>406</v>
      </c>
      <c r="Q6" s="278" t="s">
        <v>578</v>
      </c>
      <c r="R6" s="125">
        <v>5</v>
      </c>
      <c r="S6" s="227">
        <v>1</v>
      </c>
      <c r="T6" s="125">
        <f t="shared" si="0"/>
        <v>5</v>
      </c>
      <c r="U6" s="216">
        <v>0.01</v>
      </c>
      <c r="V6" s="217">
        <f t="shared" si="1"/>
        <v>0.438</v>
      </c>
      <c r="W6" s="37">
        <v>1</v>
      </c>
      <c r="X6" s="57"/>
      <c r="Y6" s="191">
        <v>10.97</v>
      </c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2"/>
      <c r="AL6" s="57"/>
      <c r="AM6" s="57"/>
      <c r="AN6" s="57"/>
      <c r="AO6" s="57"/>
      <c r="AP6" s="57"/>
      <c r="AQ6" s="57"/>
      <c r="AR6" s="57"/>
      <c r="AS6" s="57"/>
      <c r="AT6" s="57"/>
      <c r="AU6" s="64" t="s">
        <v>529</v>
      </c>
    </row>
    <row r="7" spans="1:47" s="14" customFormat="1">
      <c r="B7" s="78" t="s">
        <v>355</v>
      </c>
      <c r="C7" s="37" t="s">
        <v>1306</v>
      </c>
      <c r="D7" s="78" t="s">
        <v>101</v>
      </c>
      <c r="E7" s="78" t="s">
        <v>138</v>
      </c>
      <c r="F7" s="101">
        <v>47.385809999999999</v>
      </c>
      <c r="G7" s="101">
        <v>-53.127667000000002</v>
      </c>
      <c r="H7" s="37" t="s">
        <v>599</v>
      </c>
      <c r="I7" s="37" t="s">
        <v>1277</v>
      </c>
      <c r="J7" s="165" t="s">
        <v>1254</v>
      </c>
      <c r="K7" s="37" t="s">
        <v>994</v>
      </c>
      <c r="L7" s="55">
        <v>138</v>
      </c>
      <c r="M7" s="79">
        <v>2015</v>
      </c>
      <c r="N7" s="84">
        <v>2100</v>
      </c>
      <c r="O7" s="65"/>
      <c r="P7" s="107" t="s">
        <v>406</v>
      </c>
      <c r="Q7" s="278" t="s">
        <v>578</v>
      </c>
      <c r="R7" s="125">
        <v>12</v>
      </c>
      <c r="S7" s="227">
        <v>0.7</v>
      </c>
      <c r="T7" s="125">
        <f t="shared" si="0"/>
        <v>8.3999999999999986</v>
      </c>
      <c r="U7" s="216">
        <v>0.01</v>
      </c>
      <c r="V7" s="217">
        <f t="shared" si="1"/>
        <v>1.0512000000000001</v>
      </c>
      <c r="W7" s="37">
        <v>1</v>
      </c>
      <c r="X7" s="57"/>
      <c r="Y7" s="191">
        <v>10.97</v>
      </c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2"/>
      <c r="AL7" s="57"/>
      <c r="AM7" s="57"/>
      <c r="AN7" s="57"/>
      <c r="AO7" s="57"/>
      <c r="AP7" s="57"/>
      <c r="AQ7" s="57"/>
      <c r="AR7" s="57"/>
      <c r="AS7" s="57"/>
      <c r="AT7" s="57"/>
      <c r="AU7" s="64" t="s">
        <v>528</v>
      </c>
    </row>
    <row r="8" spans="1:47" s="14" customFormat="1">
      <c r="B8" s="78" t="s">
        <v>146</v>
      </c>
      <c r="C8" s="37" t="s">
        <v>1330</v>
      </c>
      <c r="D8" s="78" t="s">
        <v>147</v>
      </c>
      <c r="E8" s="78" t="s">
        <v>328</v>
      </c>
      <c r="F8" s="101">
        <v>47.466773000000003</v>
      </c>
      <c r="G8" s="101">
        <v>-53.741225</v>
      </c>
      <c r="H8" s="37" t="s">
        <v>599</v>
      </c>
      <c r="I8" s="37" t="s">
        <v>1277</v>
      </c>
      <c r="J8" s="165" t="s">
        <v>726</v>
      </c>
      <c r="K8" s="37" t="s">
        <v>1219</v>
      </c>
      <c r="L8" s="55">
        <v>230</v>
      </c>
      <c r="M8" s="79">
        <v>2015</v>
      </c>
      <c r="N8" s="84">
        <v>2100</v>
      </c>
      <c r="O8" s="65"/>
      <c r="P8" s="79" t="s">
        <v>406</v>
      </c>
      <c r="Q8" s="278" t="s">
        <v>578</v>
      </c>
      <c r="R8" s="120">
        <v>11</v>
      </c>
      <c r="S8" s="243">
        <v>1</v>
      </c>
      <c r="T8" s="120">
        <f t="shared" si="0"/>
        <v>11</v>
      </c>
      <c r="U8" s="2">
        <v>0</v>
      </c>
      <c r="V8" s="221">
        <f t="shared" si="1"/>
        <v>0</v>
      </c>
      <c r="W8" s="37">
        <v>1</v>
      </c>
      <c r="X8" s="57"/>
      <c r="Y8" s="191">
        <v>10.97</v>
      </c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2"/>
      <c r="AL8" s="57"/>
      <c r="AM8" s="57"/>
      <c r="AN8" s="57"/>
      <c r="AO8" s="57"/>
      <c r="AP8" s="57"/>
      <c r="AQ8" s="57"/>
      <c r="AR8" s="57"/>
      <c r="AS8" s="57"/>
      <c r="AT8" s="57"/>
      <c r="AU8" s="64" t="s">
        <v>529</v>
      </c>
    </row>
    <row r="9" spans="1:47" s="14" customFormat="1">
      <c r="B9" s="73" t="s">
        <v>136</v>
      </c>
      <c r="C9" s="37" t="s">
        <v>1316</v>
      </c>
      <c r="D9" s="73" t="s">
        <v>123</v>
      </c>
      <c r="E9" s="73" t="s">
        <v>136</v>
      </c>
      <c r="F9" s="101">
        <v>47.574252000000001</v>
      </c>
      <c r="G9" s="101">
        <v>-59.136960999999999</v>
      </c>
      <c r="H9" s="37" t="s">
        <v>599</v>
      </c>
      <c r="I9" s="37" t="s">
        <v>1277</v>
      </c>
      <c r="J9" s="96" t="s">
        <v>725</v>
      </c>
      <c r="K9" s="37" t="s">
        <v>1246</v>
      </c>
      <c r="L9" s="55">
        <v>66</v>
      </c>
      <c r="M9" s="79">
        <v>1969</v>
      </c>
      <c r="N9" s="84">
        <v>2100</v>
      </c>
      <c r="O9" s="65"/>
      <c r="P9" s="77" t="s">
        <v>406</v>
      </c>
      <c r="Q9" s="278" t="s">
        <v>578</v>
      </c>
      <c r="R9" s="127">
        <v>2.5</v>
      </c>
      <c r="S9" s="227">
        <v>1</v>
      </c>
      <c r="T9" s="125">
        <f t="shared" si="0"/>
        <v>2.5</v>
      </c>
      <c r="U9" s="210">
        <v>3.0000000000000001E-3</v>
      </c>
      <c r="V9" s="211">
        <f t="shared" si="1"/>
        <v>6.5700000000000008E-2</v>
      </c>
      <c r="W9" s="37">
        <v>1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2"/>
      <c r="AL9" s="57"/>
      <c r="AM9" s="57"/>
      <c r="AN9" s="57"/>
      <c r="AO9" s="57"/>
      <c r="AP9" s="57"/>
      <c r="AQ9" s="57"/>
      <c r="AR9" s="57"/>
      <c r="AS9" s="57"/>
      <c r="AT9" s="57"/>
      <c r="AU9" s="66"/>
    </row>
    <row r="10" spans="1:47" s="14" customFormat="1">
      <c r="B10" s="78" t="s">
        <v>143</v>
      </c>
      <c r="C10" s="37" t="s">
        <v>1324</v>
      </c>
      <c r="D10" s="78" t="s">
        <v>101</v>
      </c>
      <c r="E10" s="78" t="s">
        <v>143</v>
      </c>
      <c r="F10" s="101">
        <v>51.371043999999998</v>
      </c>
      <c r="G10" s="101">
        <v>-55.598588999999997</v>
      </c>
      <c r="H10" s="37" t="s">
        <v>599</v>
      </c>
      <c r="I10" s="37" t="s">
        <v>1277</v>
      </c>
      <c r="J10" s="165" t="s">
        <v>738</v>
      </c>
      <c r="K10" s="37" t="s">
        <v>1002</v>
      </c>
      <c r="L10" s="55">
        <v>66</v>
      </c>
      <c r="M10" s="79">
        <v>1982</v>
      </c>
      <c r="N10" s="84">
        <v>2100</v>
      </c>
      <c r="O10" s="65"/>
      <c r="P10" s="107" t="s">
        <v>406</v>
      </c>
      <c r="Q10" s="278" t="s">
        <v>578</v>
      </c>
      <c r="R10" s="125">
        <v>9.6999999999999993</v>
      </c>
      <c r="S10" s="227">
        <v>1</v>
      </c>
      <c r="T10" s="125">
        <f t="shared" si="0"/>
        <v>9.6999999999999993</v>
      </c>
      <c r="U10" s="216">
        <v>0.01</v>
      </c>
      <c r="V10" s="217">
        <f t="shared" si="1"/>
        <v>0.84972000000000003</v>
      </c>
      <c r="W10" s="37">
        <v>1</v>
      </c>
      <c r="X10" s="57"/>
      <c r="Y10" s="191">
        <v>10.97</v>
      </c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2"/>
      <c r="AL10" s="57"/>
      <c r="AM10" s="57"/>
      <c r="AN10" s="57"/>
      <c r="AO10" s="57"/>
      <c r="AP10" s="57"/>
      <c r="AQ10" s="57"/>
      <c r="AR10" s="57"/>
      <c r="AS10" s="57"/>
      <c r="AT10" s="57"/>
      <c r="AU10" s="64" t="s">
        <v>529</v>
      </c>
    </row>
    <row r="11" spans="1:47" s="14" customFormat="1">
      <c r="B11" s="73" t="s">
        <v>134</v>
      </c>
      <c r="C11" s="37" t="s">
        <v>1299</v>
      </c>
      <c r="D11" s="73" t="s">
        <v>123</v>
      </c>
      <c r="E11" s="73" t="s">
        <v>132</v>
      </c>
      <c r="F11" s="101">
        <v>47.101937999999997</v>
      </c>
      <c r="G11" s="101">
        <v>-55.760148999999998</v>
      </c>
      <c r="H11" s="37" t="s">
        <v>599</v>
      </c>
      <c r="I11" s="37" t="s">
        <v>1277</v>
      </c>
      <c r="J11" s="96" t="s">
        <v>660</v>
      </c>
      <c r="K11" s="37" t="s">
        <v>1235</v>
      </c>
      <c r="L11" s="55">
        <v>66</v>
      </c>
      <c r="M11" s="79">
        <v>1975</v>
      </c>
      <c r="N11" s="84">
        <v>2100</v>
      </c>
      <c r="O11" s="65"/>
      <c r="P11" s="77" t="s">
        <v>407</v>
      </c>
      <c r="Q11" s="278" t="s">
        <v>578</v>
      </c>
      <c r="R11" s="127">
        <v>20</v>
      </c>
      <c r="S11" s="227">
        <v>1</v>
      </c>
      <c r="T11" s="125">
        <f t="shared" si="0"/>
        <v>20</v>
      </c>
      <c r="U11" s="210">
        <v>2.3999999999999998E-3</v>
      </c>
      <c r="V11" s="211">
        <f t="shared" si="1"/>
        <v>0.42047999999999996</v>
      </c>
      <c r="W11" s="37">
        <v>1</v>
      </c>
      <c r="X11" s="57"/>
      <c r="Y11" s="191">
        <v>12.26</v>
      </c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2"/>
      <c r="AL11" s="57"/>
      <c r="AM11" s="57"/>
      <c r="AN11" s="57"/>
      <c r="AO11" s="57"/>
      <c r="AP11" s="57"/>
      <c r="AQ11" s="57"/>
      <c r="AR11" s="57"/>
      <c r="AS11" s="57"/>
      <c r="AT11" s="57"/>
      <c r="AU11" s="64" t="s">
        <v>529</v>
      </c>
    </row>
    <row r="12" spans="1:47" s="14" customFormat="1">
      <c r="B12" s="110" t="s">
        <v>986</v>
      </c>
      <c r="C12" s="37" t="s">
        <v>1300</v>
      </c>
      <c r="D12" s="110" t="s">
        <v>101</v>
      </c>
      <c r="E12" s="110" t="s">
        <v>164</v>
      </c>
      <c r="F12" s="101">
        <v>53.298647000000003</v>
      </c>
      <c r="G12" s="101">
        <v>-60.379797000000003</v>
      </c>
      <c r="H12" s="37" t="s">
        <v>606</v>
      </c>
      <c r="I12" s="37" t="s">
        <v>1135</v>
      </c>
      <c r="J12" s="130" t="s">
        <v>801</v>
      </c>
      <c r="K12" s="37" t="s">
        <v>1236</v>
      </c>
      <c r="L12" s="55">
        <v>138</v>
      </c>
      <c r="M12" s="65">
        <v>2000</v>
      </c>
      <c r="N12" s="84">
        <v>2100</v>
      </c>
      <c r="O12" s="65"/>
      <c r="P12" s="107" t="s">
        <v>407</v>
      </c>
      <c r="Q12" s="278" t="s">
        <v>578</v>
      </c>
      <c r="R12" s="125">
        <v>25</v>
      </c>
      <c r="S12" s="227">
        <v>1</v>
      </c>
      <c r="T12" s="125">
        <f t="shared" si="0"/>
        <v>25</v>
      </c>
      <c r="U12" s="216">
        <v>0.01</v>
      </c>
      <c r="V12" s="217">
        <f t="shared" si="1"/>
        <v>2.19</v>
      </c>
      <c r="W12" s="37">
        <v>1</v>
      </c>
      <c r="X12" s="57"/>
      <c r="Y12" s="191">
        <v>12.26</v>
      </c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2"/>
      <c r="AL12" s="57"/>
      <c r="AM12" s="57"/>
      <c r="AN12" s="57"/>
      <c r="AO12" s="57"/>
      <c r="AP12" s="57"/>
      <c r="AQ12" s="57"/>
      <c r="AR12" s="57"/>
      <c r="AS12" s="57"/>
      <c r="AT12" s="57"/>
      <c r="AU12" s="64"/>
    </row>
    <row r="13" spans="1:47" s="14" customFormat="1">
      <c r="B13" s="78" t="s">
        <v>139</v>
      </c>
      <c r="C13" s="37" t="s">
        <v>1302</v>
      </c>
      <c r="D13" s="78" t="s">
        <v>101</v>
      </c>
      <c r="E13" s="78" t="s">
        <v>129</v>
      </c>
      <c r="F13" s="101">
        <v>47.588222000000002</v>
      </c>
      <c r="G13" s="101">
        <v>-52.782322999999998</v>
      </c>
      <c r="H13" s="37" t="s">
        <v>599</v>
      </c>
      <c r="I13" s="37" t="s">
        <v>1277</v>
      </c>
      <c r="J13" s="96" t="s">
        <v>620</v>
      </c>
      <c r="K13" s="37" t="s">
        <v>1237</v>
      </c>
      <c r="L13" s="55">
        <v>66</v>
      </c>
      <c r="M13" s="79">
        <v>1976</v>
      </c>
      <c r="N13" s="84">
        <v>2100</v>
      </c>
      <c r="O13" s="65"/>
      <c r="P13" s="107" t="s">
        <v>407</v>
      </c>
      <c r="Q13" s="278" t="s">
        <v>578</v>
      </c>
      <c r="R13" s="125">
        <v>50</v>
      </c>
      <c r="S13" s="227">
        <v>1</v>
      </c>
      <c r="T13" s="125">
        <f t="shared" si="0"/>
        <v>50</v>
      </c>
      <c r="U13" s="216">
        <v>0.01</v>
      </c>
      <c r="V13" s="217">
        <f t="shared" si="1"/>
        <v>4.38</v>
      </c>
      <c r="W13" s="37">
        <v>1</v>
      </c>
      <c r="X13" s="57"/>
      <c r="Y13" s="191">
        <v>12.26</v>
      </c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2"/>
      <c r="AL13" s="57"/>
      <c r="AM13" s="57"/>
      <c r="AN13" s="57"/>
      <c r="AO13" s="57"/>
      <c r="AP13" s="57"/>
      <c r="AQ13" s="57"/>
      <c r="AR13" s="57"/>
      <c r="AS13" s="57"/>
      <c r="AT13" s="57"/>
      <c r="AU13" s="64" t="s">
        <v>527</v>
      </c>
    </row>
    <row r="14" spans="1:47" s="14" customFormat="1">
      <c r="B14" s="78" t="s">
        <v>354</v>
      </c>
      <c r="C14" s="37" t="s">
        <v>1186</v>
      </c>
      <c r="D14" s="78" t="s">
        <v>101</v>
      </c>
      <c r="E14" s="78" t="s">
        <v>138</v>
      </c>
      <c r="F14" s="101">
        <v>47.385809999999999</v>
      </c>
      <c r="G14" s="101">
        <v>-53.127667000000002</v>
      </c>
      <c r="H14" s="37" t="s">
        <v>599</v>
      </c>
      <c r="I14" s="37" t="s">
        <v>1277</v>
      </c>
      <c r="J14" s="165" t="s">
        <v>1254</v>
      </c>
      <c r="K14" s="37" t="s">
        <v>994</v>
      </c>
      <c r="L14" s="57">
        <v>230</v>
      </c>
      <c r="M14" s="79">
        <v>2014</v>
      </c>
      <c r="N14" s="84">
        <v>2100</v>
      </c>
      <c r="O14" s="65"/>
      <c r="P14" s="107" t="s">
        <v>407</v>
      </c>
      <c r="Q14" s="278" t="s">
        <v>578</v>
      </c>
      <c r="R14" s="125">
        <v>123.5</v>
      </c>
      <c r="S14" s="227">
        <v>1</v>
      </c>
      <c r="T14" s="125">
        <f t="shared" si="0"/>
        <v>123.5</v>
      </c>
      <c r="U14" s="2">
        <v>0</v>
      </c>
      <c r="V14" s="84">
        <f t="shared" si="1"/>
        <v>0</v>
      </c>
      <c r="W14" s="37">
        <v>4</v>
      </c>
      <c r="X14" s="57"/>
      <c r="Y14" s="162">
        <v>10.289</v>
      </c>
      <c r="Z14" s="163">
        <v>5</v>
      </c>
      <c r="AA14" s="163">
        <v>123.5</v>
      </c>
      <c r="AB14" s="57"/>
      <c r="AC14" s="57"/>
      <c r="AD14" s="57"/>
      <c r="AE14" s="57"/>
      <c r="AF14" s="57"/>
      <c r="AG14" s="57"/>
      <c r="AH14" s="57"/>
      <c r="AI14" s="57"/>
      <c r="AJ14" s="57"/>
      <c r="AK14" s="2"/>
      <c r="AL14" s="57"/>
      <c r="AM14" s="57"/>
      <c r="AN14" s="57"/>
      <c r="AO14" s="57"/>
      <c r="AP14" s="57"/>
      <c r="AQ14" s="57"/>
      <c r="AR14" s="57"/>
      <c r="AS14" s="57"/>
      <c r="AT14" s="57"/>
      <c r="AU14" s="64"/>
    </row>
    <row r="15" spans="1:47" s="14" customFormat="1">
      <c r="B15" s="78" t="s">
        <v>135</v>
      </c>
      <c r="C15" s="37" t="s">
        <v>1326</v>
      </c>
      <c r="D15" s="78" t="s">
        <v>101</v>
      </c>
      <c r="E15" s="78" t="s">
        <v>135</v>
      </c>
      <c r="F15" s="101">
        <v>48.548544999999997</v>
      </c>
      <c r="G15" s="101">
        <v>-58.579045000000001</v>
      </c>
      <c r="H15" s="37" t="s">
        <v>599</v>
      </c>
      <c r="I15" s="37" t="s">
        <v>1277</v>
      </c>
      <c r="J15" s="96" t="s">
        <v>670</v>
      </c>
      <c r="K15" s="37" t="s">
        <v>999</v>
      </c>
      <c r="L15" s="55">
        <v>230</v>
      </c>
      <c r="M15" s="79">
        <v>1975</v>
      </c>
      <c r="N15" s="84">
        <v>2100</v>
      </c>
      <c r="O15" s="65"/>
      <c r="P15" s="107" t="s">
        <v>407</v>
      </c>
      <c r="Q15" s="278" t="s">
        <v>578</v>
      </c>
      <c r="R15" s="125">
        <v>50</v>
      </c>
      <c r="S15" s="227">
        <v>1</v>
      </c>
      <c r="T15" s="125">
        <f t="shared" si="0"/>
        <v>50</v>
      </c>
      <c r="U15" s="216">
        <v>0.01</v>
      </c>
      <c r="V15" s="217">
        <f t="shared" si="1"/>
        <v>4.38</v>
      </c>
      <c r="W15" s="37">
        <v>1</v>
      </c>
      <c r="X15" s="57"/>
      <c r="Y15" s="191">
        <v>12.26</v>
      </c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2"/>
      <c r="AL15" s="57"/>
      <c r="AM15" s="57"/>
      <c r="AN15" s="57"/>
      <c r="AO15" s="57"/>
      <c r="AP15" s="57"/>
      <c r="AQ15" s="57"/>
      <c r="AR15" s="57"/>
      <c r="AS15" s="57"/>
      <c r="AT15" s="57"/>
      <c r="AU15" s="64" t="s">
        <v>527</v>
      </c>
    </row>
    <row r="16" spans="1:47" s="14" customFormat="1">
      <c r="B16" s="73" t="s">
        <v>133</v>
      </c>
      <c r="C16" s="37" t="s">
        <v>1332</v>
      </c>
      <c r="D16" s="73" t="s">
        <v>123</v>
      </c>
      <c r="E16" s="73" t="s">
        <v>133</v>
      </c>
      <c r="F16" s="101">
        <v>49.121820999999997</v>
      </c>
      <c r="G16" s="101">
        <v>-53.599342999999998</v>
      </c>
      <c r="H16" s="37" t="s">
        <v>599</v>
      </c>
      <c r="I16" s="37" t="s">
        <v>1277</v>
      </c>
      <c r="J16" s="96" t="s">
        <v>717</v>
      </c>
      <c r="K16" s="37" t="s">
        <v>1251</v>
      </c>
      <c r="L16" s="55">
        <v>66</v>
      </c>
      <c r="M16" s="79">
        <v>1969</v>
      </c>
      <c r="N16" s="84">
        <v>2100</v>
      </c>
      <c r="O16" s="65"/>
      <c r="P16" s="77" t="s">
        <v>407</v>
      </c>
      <c r="Q16" s="278" t="s">
        <v>578</v>
      </c>
      <c r="R16" s="127">
        <v>8</v>
      </c>
      <c r="S16" s="227">
        <v>1</v>
      </c>
      <c r="T16" s="125">
        <f t="shared" si="0"/>
        <v>8</v>
      </c>
      <c r="U16" s="210">
        <v>2.7999999999999995E-3</v>
      </c>
      <c r="V16" s="211">
        <f t="shared" si="1"/>
        <v>0.19622399999999995</v>
      </c>
      <c r="W16" s="37">
        <v>1</v>
      </c>
      <c r="X16" s="57"/>
      <c r="Y16" s="191">
        <v>12.26</v>
      </c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2"/>
      <c r="AL16" s="57"/>
      <c r="AM16" s="57"/>
      <c r="AN16" s="57"/>
      <c r="AO16" s="57"/>
      <c r="AP16" s="57"/>
      <c r="AQ16" s="57"/>
      <c r="AR16" s="57"/>
      <c r="AS16" s="57"/>
      <c r="AT16" s="57"/>
      <c r="AU16" s="64" t="s">
        <v>529</v>
      </c>
    </row>
    <row r="17" spans="2:47" s="14" customFormat="1">
      <c r="B17" s="78" t="s">
        <v>395</v>
      </c>
      <c r="C17" s="37" t="s">
        <v>1162</v>
      </c>
      <c r="D17" s="78" t="s">
        <v>101</v>
      </c>
      <c r="E17" s="78" t="s">
        <v>128</v>
      </c>
      <c r="F17" s="100">
        <v>49.0153611</v>
      </c>
      <c r="G17" s="100">
        <v>-55.472166700000002</v>
      </c>
      <c r="H17" s="37" t="s">
        <v>599</v>
      </c>
      <c r="I17" s="37" t="s">
        <v>1277</v>
      </c>
      <c r="J17" s="96" t="s">
        <v>656</v>
      </c>
      <c r="K17" s="37" t="s">
        <v>1228</v>
      </c>
      <c r="L17" s="55">
        <v>230</v>
      </c>
      <c r="M17" s="107">
        <v>1905</v>
      </c>
      <c r="N17" s="84">
        <v>2100</v>
      </c>
      <c r="O17" s="65"/>
      <c r="P17" s="107" t="s">
        <v>533</v>
      </c>
      <c r="Q17" s="65" t="s">
        <v>579</v>
      </c>
      <c r="R17" s="125">
        <v>3</v>
      </c>
      <c r="S17" s="227">
        <v>0.67</v>
      </c>
      <c r="T17" s="125">
        <f t="shared" si="0"/>
        <v>2.0100000000000002</v>
      </c>
      <c r="U17" s="2">
        <v>0.70049813200498123</v>
      </c>
      <c r="V17" s="108">
        <f t="shared" si="1"/>
        <v>18.409090909090907</v>
      </c>
      <c r="W17" s="37">
        <v>9</v>
      </c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2"/>
      <c r="AL17" s="57"/>
      <c r="AM17" s="57"/>
      <c r="AN17" s="57"/>
      <c r="AO17" s="57"/>
      <c r="AP17" s="57"/>
      <c r="AQ17" s="57"/>
      <c r="AR17" s="57"/>
      <c r="AS17" s="57"/>
      <c r="AT17" s="57"/>
      <c r="AU17" s="64"/>
    </row>
    <row r="18" spans="2:47" s="14" customFormat="1">
      <c r="B18" s="78" t="s">
        <v>396</v>
      </c>
      <c r="C18" s="37" t="s">
        <v>1169</v>
      </c>
      <c r="D18" s="78" t="s">
        <v>101</v>
      </c>
      <c r="E18" s="78" t="s">
        <v>128</v>
      </c>
      <c r="F18" s="100">
        <v>49.0153611</v>
      </c>
      <c r="G18" s="100">
        <v>-55.472166700000002</v>
      </c>
      <c r="H18" s="37" t="s">
        <v>599</v>
      </c>
      <c r="I18" s="37" t="s">
        <v>1277</v>
      </c>
      <c r="J18" s="96" t="s">
        <v>656</v>
      </c>
      <c r="K18" s="37" t="s">
        <v>1228</v>
      </c>
      <c r="L18" s="55">
        <v>230</v>
      </c>
      <c r="M18" s="107">
        <v>1905</v>
      </c>
      <c r="N18" s="84">
        <v>2100</v>
      </c>
      <c r="O18" s="65"/>
      <c r="P18" s="107" t="s">
        <v>533</v>
      </c>
      <c r="Q18" s="65" t="s">
        <v>579</v>
      </c>
      <c r="R18" s="125">
        <v>3</v>
      </c>
      <c r="S18" s="227">
        <v>0.67</v>
      </c>
      <c r="T18" s="125">
        <f t="shared" si="0"/>
        <v>2.0100000000000002</v>
      </c>
      <c r="U18" s="2">
        <v>0.70049813200498123</v>
      </c>
      <c r="V18" s="108">
        <f t="shared" si="1"/>
        <v>18.409090909090907</v>
      </c>
      <c r="W18" s="37">
        <v>9</v>
      </c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2"/>
      <c r="AL18" s="57"/>
      <c r="AM18" s="57"/>
      <c r="AN18" s="57"/>
      <c r="AO18" s="57"/>
      <c r="AP18" s="57"/>
      <c r="AQ18" s="57"/>
      <c r="AR18" s="57"/>
      <c r="AS18" s="57"/>
      <c r="AT18" s="57"/>
      <c r="AU18" s="64"/>
    </row>
    <row r="19" spans="2:47" s="14" customFormat="1">
      <c r="B19" s="78" t="s">
        <v>397</v>
      </c>
      <c r="C19" s="37" t="s">
        <v>1176</v>
      </c>
      <c r="D19" s="78" t="s">
        <v>101</v>
      </c>
      <c r="E19" s="78" t="s">
        <v>128</v>
      </c>
      <c r="F19" s="100">
        <v>49.0153611</v>
      </c>
      <c r="G19" s="100">
        <v>-55.472166700000002</v>
      </c>
      <c r="H19" s="37" t="s">
        <v>599</v>
      </c>
      <c r="I19" s="37" t="s">
        <v>1277</v>
      </c>
      <c r="J19" s="96" t="s">
        <v>656</v>
      </c>
      <c r="K19" s="37" t="s">
        <v>1228</v>
      </c>
      <c r="L19" s="55">
        <v>230</v>
      </c>
      <c r="M19" s="107">
        <v>1905</v>
      </c>
      <c r="N19" s="84">
        <v>2100</v>
      </c>
      <c r="O19" s="65"/>
      <c r="P19" s="107" t="s">
        <v>533</v>
      </c>
      <c r="Q19" s="65" t="s">
        <v>579</v>
      </c>
      <c r="R19" s="125">
        <v>3</v>
      </c>
      <c r="S19" s="227">
        <v>0.67</v>
      </c>
      <c r="T19" s="125">
        <f t="shared" si="0"/>
        <v>2.0100000000000002</v>
      </c>
      <c r="U19" s="2">
        <v>0.70049813200498123</v>
      </c>
      <c r="V19" s="108">
        <f t="shared" si="1"/>
        <v>18.409090909090907</v>
      </c>
      <c r="W19" s="37">
        <v>9</v>
      </c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2"/>
      <c r="AL19" s="57"/>
      <c r="AM19" s="57"/>
      <c r="AN19" s="57"/>
      <c r="AO19" s="57"/>
      <c r="AP19" s="57"/>
      <c r="AQ19" s="57"/>
      <c r="AR19" s="57"/>
      <c r="AS19" s="57"/>
      <c r="AT19" s="57"/>
      <c r="AU19" s="64"/>
    </row>
    <row r="20" spans="2:47" s="14" customFormat="1">
      <c r="B20" s="78" t="s">
        <v>398</v>
      </c>
      <c r="C20" s="37" t="s">
        <v>1182</v>
      </c>
      <c r="D20" s="78" t="s">
        <v>101</v>
      </c>
      <c r="E20" s="78" t="s">
        <v>128</v>
      </c>
      <c r="F20" s="100">
        <v>49.0153611</v>
      </c>
      <c r="G20" s="100">
        <v>-55.472166700000002</v>
      </c>
      <c r="H20" s="37" t="s">
        <v>599</v>
      </c>
      <c r="I20" s="37" t="s">
        <v>1277</v>
      </c>
      <c r="J20" s="96" t="s">
        <v>656</v>
      </c>
      <c r="K20" s="37" t="s">
        <v>1228</v>
      </c>
      <c r="L20" s="55">
        <v>230</v>
      </c>
      <c r="M20" s="107">
        <v>1905</v>
      </c>
      <c r="N20" s="84">
        <v>2100</v>
      </c>
      <c r="O20" s="65"/>
      <c r="P20" s="107" t="s">
        <v>533</v>
      </c>
      <c r="Q20" s="65" t="s">
        <v>579</v>
      </c>
      <c r="R20" s="125">
        <v>3</v>
      </c>
      <c r="S20" s="227">
        <v>0.67</v>
      </c>
      <c r="T20" s="125">
        <f t="shared" si="0"/>
        <v>2.0100000000000002</v>
      </c>
      <c r="U20" s="2">
        <v>0.70049813200498123</v>
      </c>
      <c r="V20" s="108">
        <f t="shared" si="1"/>
        <v>18.409090909090907</v>
      </c>
      <c r="W20" s="37">
        <v>9</v>
      </c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2"/>
      <c r="AL20" s="57"/>
      <c r="AM20" s="57"/>
      <c r="AN20" s="57"/>
      <c r="AO20" s="57"/>
      <c r="AP20" s="57"/>
      <c r="AQ20" s="57"/>
      <c r="AR20" s="57"/>
      <c r="AS20" s="57"/>
      <c r="AT20" s="57"/>
      <c r="AU20" s="64"/>
    </row>
    <row r="21" spans="2:47" s="14" customFormat="1">
      <c r="B21" s="78" t="s">
        <v>399</v>
      </c>
      <c r="C21" s="37" t="s">
        <v>1189</v>
      </c>
      <c r="D21" s="78" t="s">
        <v>101</v>
      </c>
      <c r="E21" s="78" t="s">
        <v>128</v>
      </c>
      <c r="F21" s="100">
        <v>49.0153611</v>
      </c>
      <c r="G21" s="100">
        <v>-55.472166700000002</v>
      </c>
      <c r="H21" s="37" t="s">
        <v>599</v>
      </c>
      <c r="I21" s="37" t="s">
        <v>1277</v>
      </c>
      <c r="J21" s="96" t="s">
        <v>656</v>
      </c>
      <c r="K21" s="37" t="s">
        <v>1228</v>
      </c>
      <c r="L21" s="55">
        <v>230</v>
      </c>
      <c r="M21" s="107">
        <v>1905</v>
      </c>
      <c r="N21" s="84">
        <v>2100</v>
      </c>
      <c r="O21" s="65"/>
      <c r="P21" s="107" t="s">
        <v>533</v>
      </c>
      <c r="Q21" s="65" t="s">
        <v>579</v>
      </c>
      <c r="R21" s="125">
        <v>3</v>
      </c>
      <c r="S21" s="227">
        <v>0.67</v>
      </c>
      <c r="T21" s="125">
        <f t="shared" si="0"/>
        <v>2.0100000000000002</v>
      </c>
      <c r="U21" s="2">
        <v>0.70049813200498123</v>
      </c>
      <c r="V21" s="108">
        <f t="shared" si="1"/>
        <v>18.409090909090907</v>
      </c>
      <c r="W21" s="37">
        <v>9</v>
      </c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2"/>
      <c r="AL21" s="57"/>
      <c r="AM21" s="57"/>
      <c r="AN21" s="57"/>
      <c r="AO21" s="57"/>
      <c r="AP21" s="57"/>
      <c r="AQ21" s="57"/>
      <c r="AR21" s="57"/>
      <c r="AS21" s="57"/>
      <c r="AT21" s="57"/>
      <c r="AU21" s="64"/>
    </row>
    <row r="22" spans="2:47" s="14" customFormat="1">
      <c r="B22" s="78" t="s">
        <v>400</v>
      </c>
      <c r="C22" s="37" t="s">
        <v>1194</v>
      </c>
      <c r="D22" s="78" t="s">
        <v>101</v>
      </c>
      <c r="E22" s="78" t="s">
        <v>128</v>
      </c>
      <c r="F22" s="100">
        <v>49.0153611</v>
      </c>
      <c r="G22" s="100">
        <v>-55.472166700000002</v>
      </c>
      <c r="H22" s="37" t="s">
        <v>599</v>
      </c>
      <c r="I22" s="37" t="s">
        <v>1277</v>
      </c>
      <c r="J22" s="96" t="s">
        <v>656</v>
      </c>
      <c r="K22" s="37" t="s">
        <v>1228</v>
      </c>
      <c r="L22" s="55">
        <v>230</v>
      </c>
      <c r="M22" s="107">
        <v>1905</v>
      </c>
      <c r="N22" s="84">
        <v>2100</v>
      </c>
      <c r="O22" s="65"/>
      <c r="P22" s="107" t="s">
        <v>533</v>
      </c>
      <c r="Q22" s="65" t="s">
        <v>579</v>
      </c>
      <c r="R22" s="125">
        <v>3</v>
      </c>
      <c r="S22" s="227">
        <v>0.67</v>
      </c>
      <c r="T22" s="125">
        <f t="shared" si="0"/>
        <v>2.0100000000000002</v>
      </c>
      <c r="U22" s="2">
        <v>0.70049813200498123</v>
      </c>
      <c r="V22" s="108">
        <f t="shared" si="1"/>
        <v>18.409090909090907</v>
      </c>
      <c r="W22" s="37">
        <v>9</v>
      </c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2"/>
      <c r="AL22" s="57"/>
      <c r="AM22" s="57"/>
      <c r="AN22" s="57"/>
      <c r="AO22" s="57"/>
      <c r="AP22" s="57"/>
      <c r="AQ22" s="57"/>
      <c r="AR22" s="57"/>
      <c r="AS22" s="57"/>
      <c r="AT22" s="57"/>
      <c r="AU22" s="64"/>
    </row>
    <row r="23" spans="2:47" s="14" customFormat="1">
      <c r="B23" s="78" t="s">
        <v>401</v>
      </c>
      <c r="C23" s="37" t="s">
        <v>1199</v>
      </c>
      <c r="D23" s="78" t="s">
        <v>101</v>
      </c>
      <c r="E23" s="78" t="s">
        <v>128</v>
      </c>
      <c r="F23" s="100">
        <v>49.0153611</v>
      </c>
      <c r="G23" s="100">
        <v>-55.472166700000002</v>
      </c>
      <c r="H23" s="37" t="s">
        <v>599</v>
      </c>
      <c r="I23" s="37" t="s">
        <v>1277</v>
      </c>
      <c r="J23" s="96" t="s">
        <v>656</v>
      </c>
      <c r="K23" s="37" t="s">
        <v>1228</v>
      </c>
      <c r="L23" s="55">
        <v>230</v>
      </c>
      <c r="M23" s="107">
        <v>1905</v>
      </c>
      <c r="N23" s="84">
        <v>2100</v>
      </c>
      <c r="O23" s="65"/>
      <c r="P23" s="107" t="s">
        <v>533</v>
      </c>
      <c r="Q23" s="65" t="s">
        <v>579</v>
      </c>
      <c r="R23" s="125">
        <v>2</v>
      </c>
      <c r="S23" s="227">
        <v>0.67</v>
      </c>
      <c r="T23" s="125">
        <f t="shared" si="0"/>
        <v>1.34</v>
      </c>
      <c r="U23" s="2">
        <v>0.70049813200498134</v>
      </c>
      <c r="V23" s="108">
        <f t="shared" si="1"/>
        <v>12.272727272727273</v>
      </c>
      <c r="W23" s="37">
        <v>9</v>
      </c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2"/>
      <c r="AL23" s="57"/>
      <c r="AM23" s="57"/>
      <c r="AN23" s="57"/>
      <c r="AO23" s="57"/>
      <c r="AP23" s="57"/>
      <c r="AQ23" s="57"/>
      <c r="AR23" s="57"/>
      <c r="AS23" s="57"/>
      <c r="AT23" s="57"/>
      <c r="AU23" s="64"/>
    </row>
    <row r="24" spans="2:47" s="14" customFormat="1">
      <c r="B24" s="78" t="s">
        <v>402</v>
      </c>
      <c r="C24" s="37" t="s">
        <v>1203</v>
      </c>
      <c r="D24" s="78" t="s">
        <v>101</v>
      </c>
      <c r="E24" s="78" t="s">
        <v>128</v>
      </c>
      <c r="F24" s="100">
        <v>49.0153611</v>
      </c>
      <c r="G24" s="100">
        <v>-55.472166700000002</v>
      </c>
      <c r="H24" s="37" t="s">
        <v>599</v>
      </c>
      <c r="I24" s="37" t="s">
        <v>1277</v>
      </c>
      <c r="J24" s="96" t="s">
        <v>656</v>
      </c>
      <c r="K24" s="37" t="s">
        <v>1228</v>
      </c>
      <c r="L24" s="55">
        <v>230</v>
      </c>
      <c r="M24" s="107">
        <v>1905</v>
      </c>
      <c r="N24" s="84">
        <v>2100</v>
      </c>
      <c r="O24" s="65"/>
      <c r="P24" s="107" t="s">
        <v>533</v>
      </c>
      <c r="Q24" s="65" t="s">
        <v>579</v>
      </c>
      <c r="R24" s="125">
        <v>1</v>
      </c>
      <c r="S24" s="227">
        <v>0.67</v>
      </c>
      <c r="T24" s="125">
        <f t="shared" si="0"/>
        <v>0.67</v>
      </c>
      <c r="U24" s="2">
        <v>0.70049813200498134</v>
      </c>
      <c r="V24" s="108">
        <f t="shared" si="1"/>
        <v>6.1363636363636367</v>
      </c>
      <c r="W24" s="37">
        <v>9</v>
      </c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2"/>
      <c r="AL24" s="57"/>
      <c r="AM24" s="57"/>
      <c r="AN24" s="57"/>
      <c r="AO24" s="57"/>
      <c r="AP24" s="57"/>
      <c r="AQ24" s="57"/>
      <c r="AR24" s="57"/>
      <c r="AS24" s="57"/>
      <c r="AT24" s="57"/>
      <c r="AU24" s="64"/>
    </row>
    <row r="25" spans="2:47" s="14" customFormat="1">
      <c r="B25" s="78" t="s">
        <v>403</v>
      </c>
      <c r="C25" s="37" t="s">
        <v>1207</v>
      </c>
      <c r="D25" s="78" t="s">
        <v>101</v>
      </c>
      <c r="E25" s="78" t="s">
        <v>128</v>
      </c>
      <c r="F25" s="100">
        <v>49.0153611</v>
      </c>
      <c r="G25" s="100">
        <v>-55.472166700000002</v>
      </c>
      <c r="H25" s="37" t="s">
        <v>599</v>
      </c>
      <c r="I25" s="37" t="s">
        <v>1277</v>
      </c>
      <c r="J25" s="96" t="s">
        <v>656</v>
      </c>
      <c r="K25" s="37" t="s">
        <v>1228</v>
      </c>
      <c r="L25" s="55">
        <v>230</v>
      </c>
      <c r="M25" s="107">
        <v>1905</v>
      </c>
      <c r="N25" s="84">
        <v>2100</v>
      </c>
      <c r="O25" s="65"/>
      <c r="P25" s="107" t="s">
        <v>533</v>
      </c>
      <c r="Q25" s="65" t="s">
        <v>579</v>
      </c>
      <c r="R25" s="125">
        <v>1</v>
      </c>
      <c r="S25" s="227">
        <v>0.67</v>
      </c>
      <c r="T25" s="125">
        <f t="shared" si="0"/>
        <v>0.67</v>
      </c>
      <c r="U25" s="2">
        <v>0.70049813200498134</v>
      </c>
      <c r="V25" s="108">
        <f t="shared" si="1"/>
        <v>6.1363636363636367</v>
      </c>
      <c r="W25" s="37">
        <v>9</v>
      </c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2"/>
      <c r="AL25" s="57"/>
      <c r="AM25" s="57"/>
      <c r="AN25" s="57"/>
      <c r="AO25" s="57"/>
      <c r="AP25" s="57"/>
      <c r="AQ25" s="57"/>
      <c r="AR25" s="57"/>
      <c r="AS25" s="57"/>
      <c r="AT25" s="57"/>
      <c r="AU25" s="64"/>
    </row>
    <row r="26" spans="2:47" s="14" customFormat="1">
      <c r="B26" s="78" t="s">
        <v>340</v>
      </c>
      <c r="C26" s="37" t="s">
        <v>1163</v>
      </c>
      <c r="D26" s="78" t="s">
        <v>101</v>
      </c>
      <c r="E26" s="78" t="s">
        <v>105</v>
      </c>
      <c r="F26" s="100">
        <v>50.025827100000001</v>
      </c>
      <c r="G26" s="100">
        <v>-56.7649598</v>
      </c>
      <c r="H26" s="37" t="s">
        <v>599</v>
      </c>
      <c r="I26" s="37" t="s">
        <v>1277</v>
      </c>
      <c r="J26" s="165" t="s">
        <v>731</v>
      </c>
      <c r="K26" s="37" t="s">
        <v>988</v>
      </c>
      <c r="L26" s="55">
        <v>230</v>
      </c>
      <c r="M26" s="79">
        <v>1985</v>
      </c>
      <c r="N26" s="84">
        <v>2100</v>
      </c>
      <c r="O26" s="65"/>
      <c r="P26" s="107" t="s">
        <v>533</v>
      </c>
      <c r="Q26" s="65" t="s">
        <v>579</v>
      </c>
      <c r="R26" s="125">
        <v>68.5</v>
      </c>
      <c r="S26" s="227">
        <v>0.98</v>
      </c>
      <c r="T26" s="125">
        <f t="shared" si="0"/>
        <v>67.13</v>
      </c>
      <c r="U26" s="2">
        <v>0.62910375629103754</v>
      </c>
      <c r="V26" s="108">
        <f t="shared" si="1"/>
        <v>377.5</v>
      </c>
      <c r="W26" s="37">
        <v>2</v>
      </c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2"/>
      <c r="AL26" s="57"/>
      <c r="AM26" s="57"/>
      <c r="AN26" s="57"/>
      <c r="AO26" s="57"/>
      <c r="AP26" s="57"/>
      <c r="AQ26" s="57"/>
      <c r="AR26" s="57"/>
      <c r="AS26" s="57"/>
      <c r="AT26" s="57"/>
      <c r="AU26" s="64"/>
    </row>
    <row r="27" spans="2:47" s="14" customFormat="1">
      <c r="B27" s="78" t="s">
        <v>341</v>
      </c>
      <c r="C27" s="37" t="s">
        <v>1170</v>
      </c>
      <c r="D27" s="78" t="s">
        <v>101</v>
      </c>
      <c r="E27" s="78" t="s">
        <v>105</v>
      </c>
      <c r="F27" s="100">
        <v>50.025827100000001</v>
      </c>
      <c r="G27" s="100">
        <v>-56.7649598</v>
      </c>
      <c r="H27" s="37" t="s">
        <v>599</v>
      </c>
      <c r="I27" s="37" t="s">
        <v>1277</v>
      </c>
      <c r="J27" s="165" t="s">
        <v>731</v>
      </c>
      <c r="K27" s="37" t="s">
        <v>988</v>
      </c>
      <c r="L27" s="55">
        <v>230</v>
      </c>
      <c r="M27" s="79">
        <v>1985</v>
      </c>
      <c r="N27" s="84">
        <v>2100</v>
      </c>
      <c r="O27" s="65"/>
      <c r="P27" s="107" t="s">
        <v>533</v>
      </c>
      <c r="Q27" s="65" t="s">
        <v>579</v>
      </c>
      <c r="R27" s="125">
        <v>68.5</v>
      </c>
      <c r="S27" s="227">
        <v>0.98</v>
      </c>
      <c r="T27" s="125">
        <f t="shared" si="0"/>
        <v>67.13</v>
      </c>
      <c r="U27" s="2">
        <v>0.62910375629103754</v>
      </c>
      <c r="V27" s="108">
        <f t="shared" si="1"/>
        <v>377.5</v>
      </c>
      <c r="W27" s="37">
        <v>2</v>
      </c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2"/>
      <c r="AL27" s="57"/>
      <c r="AM27" s="57"/>
      <c r="AN27" s="57"/>
      <c r="AO27" s="57"/>
      <c r="AP27" s="57"/>
      <c r="AQ27" s="57"/>
      <c r="AR27" s="57"/>
      <c r="AS27" s="57"/>
      <c r="AT27" s="57"/>
      <c r="AU27" s="64"/>
    </row>
    <row r="28" spans="2:47" s="14" customFormat="1">
      <c r="B28" s="78" t="s">
        <v>327</v>
      </c>
      <c r="C28" s="37" t="s">
        <v>1331</v>
      </c>
      <c r="D28" s="78" t="s">
        <v>122</v>
      </c>
      <c r="E28" s="78" t="s">
        <v>111</v>
      </c>
      <c r="F28" s="100">
        <v>48.941465899999997</v>
      </c>
      <c r="G28" s="100">
        <v>-57.928190800000003</v>
      </c>
      <c r="H28" s="37" t="s">
        <v>599</v>
      </c>
      <c r="I28" s="37" t="s">
        <v>1277</v>
      </c>
      <c r="J28" s="165" t="s">
        <v>687</v>
      </c>
      <c r="K28" s="37" t="s">
        <v>1232</v>
      </c>
      <c r="L28" s="55">
        <v>66</v>
      </c>
      <c r="M28" s="79">
        <v>1925</v>
      </c>
      <c r="N28" s="84">
        <v>2100</v>
      </c>
      <c r="O28" s="65"/>
      <c r="P28" s="79" t="s">
        <v>533</v>
      </c>
      <c r="Q28" s="65" t="s">
        <v>579</v>
      </c>
      <c r="R28" s="120">
        <v>9</v>
      </c>
      <c r="S28" s="243">
        <v>1</v>
      </c>
      <c r="T28" s="120">
        <f t="shared" si="0"/>
        <v>9</v>
      </c>
      <c r="U28" s="2">
        <v>0.82445459157787926</v>
      </c>
      <c r="V28" s="112">
        <f t="shared" si="1"/>
        <v>65</v>
      </c>
      <c r="W28" s="37">
        <v>1</v>
      </c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2"/>
      <c r="AL28" s="57"/>
      <c r="AM28" s="57"/>
      <c r="AN28" s="57"/>
      <c r="AO28" s="57"/>
      <c r="AP28" s="57"/>
      <c r="AQ28" s="57"/>
      <c r="AR28" s="57"/>
      <c r="AS28" s="57"/>
      <c r="AT28" s="57"/>
      <c r="AU28" s="66"/>
    </row>
    <row r="29" spans="2:47" s="14" customFormat="1">
      <c r="B29" s="78" t="s">
        <v>342</v>
      </c>
      <c r="C29" s="37" t="s">
        <v>1165</v>
      </c>
      <c r="D29" s="78" t="s">
        <v>122</v>
      </c>
      <c r="E29" s="78" t="s">
        <v>111</v>
      </c>
      <c r="F29" s="100">
        <v>49.169916700000002</v>
      </c>
      <c r="G29" s="100">
        <v>-57.436250000000001</v>
      </c>
      <c r="H29" s="37" t="s">
        <v>599</v>
      </c>
      <c r="I29" s="37" t="s">
        <v>1277</v>
      </c>
      <c r="J29" s="165" t="s">
        <v>985</v>
      </c>
      <c r="K29" s="37" t="s">
        <v>990</v>
      </c>
      <c r="L29" s="55">
        <v>67</v>
      </c>
      <c r="M29" s="79">
        <v>1925</v>
      </c>
      <c r="N29" s="84">
        <v>2100</v>
      </c>
      <c r="O29" s="65"/>
      <c r="P29" s="107" t="s">
        <v>533</v>
      </c>
      <c r="Q29" s="65" t="s">
        <v>579</v>
      </c>
      <c r="R29" s="120">
        <v>11.5</v>
      </c>
      <c r="S29" s="243">
        <v>1</v>
      </c>
      <c r="T29" s="120">
        <f t="shared" si="0"/>
        <v>11.5</v>
      </c>
      <c r="U29" s="2">
        <v>0.93309509628747267</v>
      </c>
      <c r="V29" s="113">
        <f t="shared" si="1"/>
        <v>94</v>
      </c>
      <c r="W29" s="37">
        <v>9</v>
      </c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2"/>
      <c r="AL29" s="57"/>
      <c r="AM29" s="57"/>
      <c r="AN29" s="57"/>
      <c r="AO29" s="57"/>
      <c r="AP29" s="57"/>
      <c r="AQ29" s="57"/>
      <c r="AR29" s="57"/>
      <c r="AS29" s="57"/>
      <c r="AT29" s="57"/>
      <c r="AU29" s="78" t="s">
        <v>140</v>
      </c>
    </row>
    <row r="30" spans="2:47" s="14" customFormat="1">
      <c r="B30" s="78" t="s">
        <v>343</v>
      </c>
      <c r="C30" s="37" t="s">
        <v>1172</v>
      </c>
      <c r="D30" s="78" t="s">
        <v>122</v>
      </c>
      <c r="E30" s="78" t="s">
        <v>111</v>
      </c>
      <c r="F30" s="100">
        <v>49.169916700000002</v>
      </c>
      <c r="G30" s="100">
        <v>-57.436250000000001</v>
      </c>
      <c r="H30" s="37" t="s">
        <v>599</v>
      </c>
      <c r="I30" s="37" t="s">
        <v>1277</v>
      </c>
      <c r="J30" s="165" t="s">
        <v>985</v>
      </c>
      <c r="K30" s="37" t="s">
        <v>990</v>
      </c>
      <c r="L30" s="55">
        <v>68</v>
      </c>
      <c r="M30" s="79">
        <v>1925</v>
      </c>
      <c r="N30" s="84">
        <v>2100</v>
      </c>
      <c r="O30" s="65"/>
      <c r="P30" s="107" t="s">
        <v>533</v>
      </c>
      <c r="Q30" s="65" t="s">
        <v>579</v>
      </c>
      <c r="R30" s="120">
        <v>11.5</v>
      </c>
      <c r="S30" s="243">
        <v>1</v>
      </c>
      <c r="T30" s="120">
        <f t="shared" si="0"/>
        <v>11.5</v>
      </c>
      <c r="U30" s="2">
        <v>0.93309509628747267</v>
      </c>
      <c r="V30" s="113">
        <f t="shared" si="1"/>
        <v>94</v>
      </c>
      <c r="W30" s="37">
        <v>9</v>
      </c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2"/>
      <c r="AL30" s="57"/>
      <c r="AM30" s="57"/>
      <c r="AN30" s="57"/>
      <c r="AO30" s="57"/>
      <c r="AP30" s="57"/>
      <c r="AQ30" s="57"/>
      <c r="AR30" s="57"/>
      <c r="AS30" s="57"/>
      <c r="AT30" s="57"/>
      <c r="AU30" s="78" t="s">
        <v>140</v>
      </c>
    </row>
    <row r="31" spans="2:47" s="14" customFormat="1">
      <c r="B31" s="78" t="s">
        <v>344</v>
      </c>
      <c r="C31" s="37" t="s">
        <v>1178</v>
      </c>
      <c r="D31" s="78" t="s">
        <v>122</v>
      </c>
      <c r="E31" s="78" t="s">
        <v>111</v>
      </c>
      <c r="F31" s="100">
        <v>49.169916700000002</v>
      </c>
      <c r="G31" s="100">
        <v>-57.436250000000001</v>
      </c>
      <c r="H31" s="37" t="s">
        <v>599</v>
      </c>
      <c r="I31" s="37" t="s">
        <v>1277</v>
      </c>
      <c r="J31" s="165" t="s">
        <v>985</v>
      </c>
      <c r="K31" s="37" t="s">
        <v>990</v>
      </c>
      <c r="L31" s="55">
        <v>69</v>
      </c>
      <c r="M31" s="79">
        <v>1925</v>
      </c>
      <c r="N31" s="84">
        <v>2100</v>
      </c>
      <c r="O31" s="65"/>
      <c r="P31" s="107" t="s">
        <v>533</v>
      </c>
      <c r="Q31" s="65" t="s">
        <v>579</v>
      </c>
      <c r="R31" s="120">
        <v>11.5</v>
      </c>
      <c r="S31" s="243">
        <v>1</v>
      </c>
      <c r="T31" s="120">
        <f t="shared" si="0"/>
        <v>11.5</v>
      </c>
      <c r="U31" s="2">
        <v>0.93309509628747267</v>
      </c>
      <c r="V31" s="113">
        <f t="shared" si="1"/>
        <v>94</v>
      </c>
      <c r="W31" s="37">
        <v>9</v>
      </c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2"/>
      <c r="AL31" s="57"/>
      <c r="AM31" s="57"/>
      <c r="AN31" s="57"/>
      <c r="AO31" s="57"/>
      <c r="AP31" s="57"/>
      <c r="AQ31" s="57"/>
      <c r="AR31" s="57"/>
      <c r="AS31" s="57"/>
      <c r="AT31" s="57"/>
      <c r="AU31" s="78" t="s">
        <v>140</v>
      </c>
    </row>
    <row r="32" spans="2:47" s="14" customFormat="1">
      <c r="B32" s="78" t="s">
        <v>345</v>
      </c>
      <c r="C32" s="37" t="s">
        <v>1184</v>
      </c>
      <c r="D32" s="78" t="s">
        <v>122</v>
      </c>
      <c r="E32" s="78" t="s">
        <v>111</v>
      </c>
      <c r="F32" s="100">
        <v>49.169916700000002</v>
      </c>
      <c r="G32" s="100">
        <v>-57.436250000000001</v>
      </c>
      <c r="H32" s="37" t="s">
        <v>599</v>
      </c>
      <c r="I32" s="37" t="s">
        <v>1277</v>
      </c>
      <c r="J32" s="165" t="s">
        <v>985</v>
      </c>
      <c r="K32" s="37" t="s">
        <v>990</v>
      </c>
      <c r="L32" s="55">
        <v>70</v>
      </c>
      <c r="M32" s="79">
        <v>1925</v>
      </c>
      <c r="N32" s="84">
        <v>2100</v>
      </c>
      <c r="O32" s="65"/>
      <c r="P32" s="107" t="s">
        <v>533</v>
      </c>
      <c r="Q32" s="65" t="s">
        <v>579</v>
      </c>
      <c r="R32" s="120">
        <v>11.5</v>
      </c>
      <c r="S32" s="243">
        <v>1</v>
      </c>
      <c r="T32" s="120">
        <f t="shared" si="0"/>
        <v>11.5</v>
      </c>
      <c r="U32" s="2">
        <v>0.93309509628747267</v>
      </c>
      <c r="V32" s="113">
        <f t="shared" si="1"/>
        <v>94</v>
      </c>
      <c r="W32" s="37">
        <v>9</v>
      </c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2"/>
      <c r="AL32" s="57"/>
      <c r="AM32" s="57"/>
      <c r="AN32" s="57"/>
      <c r="AO32" s="57"/>
      <c r="AP32" s="57"/>
      <c r="AQ32" s="57"/>
      <c r="AR32" s="57"/>
      <c r="AS32" s="57"/>
      <c r="AT32" s="57"/>
      <c r="AU32" s="78" t="s">
        <v>140</v>
      </c>
    </row>
    <row r="33" spans="2:47">
      <c r="B33" s="78" t="s">
        <v>348</v>
      </c>
      <c r="C33" s="37" t="s">
        <v>1191</v>
      </c>
      <c r="D33" s="78" t="s">
        <v>122</v>
      </c>
      <c r="E33" s="78" t="s">
        <v>111</v>
      </c>
      <c r="F33" s="100">
        <v>49.169916700000002</v>
      </c>
      <c r="G33" s="100">
        <v>-57.436250000000001</v>
      </c>
      <c r="H33" s="37" t="s">
        <v>599</v>
      </c>
      <c r="I33" s="37" t="s">
        <v>1277</v>
      </c>
      <c r="J33" s="165" t="s">
        <v>985</v>
      </c>
      <c r="K33" s="37" t="s">
        <v>990</v>
      </c>
      <c r="L33" s="55">
        <v>71</v>
      </c>
      <c r="M33" s="79">
        <v>1925</v>
      </c>
      <c r="N33" s="84">
        <v>2100</v>
      </c>
      <c r="O33" s="251"/>
      <c r="P33" s="107" t="s">
        <v>533</v>
      </c>
      <c r="Q33" s="65" t="s">
        <v>579</v>
      </c>
      <c r="R33" s="120">
        <v>11.5</v>
      </c>
      <c r="S33" s="243">
        <v>1</v>
      </c>
      <c r="T33" s="120">
        <f t="shared" si="0"/>
        <v>11.5</v>
      </c>
      <c r="U33" s="2">
        <v>0.93309509628747267</v>
      </c>
      <c r="V33" s="113">
        <f t="shared" si="1"/>
        <v>94</v>
      </c>
      <c r="W33" s="37">
        <v>9</v>
      </c>
      <c r="X33" s="252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2"/>
      <c r="AL33" s="57"/>
      <c r="AM33" s="252"/>
      <c r="AN33" s="57"/>
      <c r="AO33" s="57"/>
      <c r="AP33" s="57"/>
      <c r="AQ33" s="57"/>
      <c r="AR33" s="57"/>
      <c r="AS33" s="252"/>
      <c r="AT33" s="57"/>
      <c r="AU33" s="78" t="s">
        <v>140</v>
      </c>
    </row>
    <row r="34" spans="2:47" s="14" customFormat="1">
      <c r="B34" s="78" t="s">
        <v>346</v>
      </c>
      <c r="C34" s="37" t="s">
        <v>1196</v>
      </c>
      <c r="D34" s="78" t="s">
        <v>122</v>
      </c>
      <c r="E34" s="78" t="s">
        <v>111</v>
      </c>
      <c r="F34" s="100">
        <v>49.169916700000002</v>
      </c>
      <c r="G34" s="100">
        <v>-57.436250000000001</v>
      </c>
      <c r="H34" s="37" t="s">
        <v>599</v>
      </c>
      <c r="I34" s="37" t="s">
        <v>1277</v>
      </c>
      <c r="J34" s="165" t="s">
        <v>985</v>
      </c>
      <c r="K34" s="37" t="s">
        <v>990</v>
      </c>
      <c r="L34" s="55">
        <v>72</v>
      </c>
      <c r="M34" s="79">
        <v>1925</v>
      </c>
      <c r="N34" s="84">
        <v>2100</v>
      </c>
      <c r="O34" s="65"/>
      <c r="P34" s="107" t="s">
        <v>533</v>
      </c>
      <c r="Q34" s="65" t="s">
        <v>579</v>
      </c>
      <c r="R34" s="120">
        <v>11.5</v>
      </c>
      <c r="S34" s="243">
        <v>1</v>
      </c>
      <c r="T34" s="120">
        <f t="shared" si="0"/>
        <v>11.5</v>
      </c>
      <c r="U34" s="2">
        <v>0.93309509628747267</v>
      </c>
      <c r="V34" s="113">
        <f t="shared" si="1"/>
        <v>94</v>
      </c>
      <c r="W34" s="37">
        <v>9</v>
      </c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2"/>
      <c r="AL34" s="57"/>
      <c r="AM34" s="57"/>
      <c r="AN34" s="57"/>
      <c r="AO34" s="57"/>
      <c r="AP34" s="57"/>
      <c r="AQ34" s="57"/>
      <c r="AR34" s="57"/>
      <c r="AS34" s="57"/>
      <c r="AT34" s="57"/>
      <c r="AU34" s="78" t="s">
        <v>140</v>
      </c>
    </row>
    <row r="35" spans="2:47" s="14" customFormat="1">
      <c r="B35" s="78" t="s">
        <v>347</v>
      </c>
      <c r="C35" s="37" t="s">
        <v>1201</v>
      </c>
      <c r="D35" s="78" t="s">
        <v>122</v>
      </c>
      <c r="E35" s="78" t="s">
        <v>111</v>
      </c>
      <c r="F35" s="100">
        <v>49.169916700000002</v>
      </c>
      <c r="G35" s="100">
        <v>-57.436250000000001</v>
      </c>
      <c r="H35" s="37" t="s">
        <v>599</v>
      </c>
      <c r="I35" s="37" t="s">
        <v>1277</v>
      </c>
      <c r="J35" s="165" t="s">
        <v>985</v>
      </c>
      <c r="K35" s="37" t="s">
        <v>990</v>
      </c>
      <c r="L35" s="55">
        <v>73</v>
      </c>
      <c r="M35" s="79">
        <v>1925</v>
      </c>
      <c r="N35" s="84">
        <v>2100</v>
      </c>
      <c r="O35" s="65"/>
      <c r="P35" s="107" t="s">
        <v>533</v>
      </c>
      <c r="Q35" s="65" t="s">
        <v>579</v>
      </c>
      <c r="R35" s="120">
        <v>11.5</v>
      </c>
      <c r="S35" s="243">
        <v>1</v>
      </c>
      <c r="T35" s="120">
        <f t="shared" si="0"/>
        <v>11.5</v>
      </c>
      <c r="U35" s="2">
        <v>0.93309509628747267</v>
      </c>
      <c r="V35" s="113">
        <f t="shared" si="1"/>
        <v>94</v>
      </c>
      <c r="W35" s="37">
        <v>9</v>
      </c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2"/>
      <c r="AL35" s="57"/>
      <c r="AM35" s="57"/>
      <c r="AN35" s="57"/>
      <c r="AO35" s="57"/>
      <c r="AP35" s="57"/>
      <c r="AQ35" s="57"/>
      <c r="AR35" s="57"/>
      <c r="AS35" s="57"/>
      <c r="AT35" s="57"/>
      <c r="AU35" s="78" t="s">
        <v>140</v>
      </c>
    </row>
    <row r="36" spans="2:47" s="14" customFormat="1">
      <c r="B36" s="78" t="s">
        <v>349</v>
      </c>
      <c r="C36" s="37" t="s">
        <v>1205</v>
      </c>
      <c r="D36" s="78" t="s">
        <v>122</v>
      </c>
      <c r="E36" s="78" t="s">
        <v>111</v>
      </c>
      <c r="F36" s="100">
        <v>49.169916700000002</v>
      </c>
      <c r="G36" s="100">
        <v>-57.436250000000001</v>
      </c>
      <c r="H36" s="37" t="s">
        <v>599</v>
      </c>
      <c r="I36" s="37" t="s">
        <v>1277</v>
      </c>
      <c r="J36" s="165" t="s">
        <v>985</v>
      </c>
      <c r="K36" s="37" t="s">
        <v>990</v>
      </c>
      <c r="L36" s="55">
        <v>74</v>
      </c>
      <c r="M36" s="79">
        <v>1925</v>
      </c>
      <c r="N36" s="84">
        <v>2100</v>
      </c>
      <c r="O36" s="65"/>
      <c r="P36" s="107" t="s">
        <v>533</v>
      </c>
      <c r="Q36" s="65" t="s">
        <v>579</v>
      </c>
      <c r="R36" s="120">
        <v>22.5</v>
      </c>
      <c r="S36" s="243">
        <v>0.4</v>
      </c>
      <c r="T36" s="120">
        <f t="shared" ref="T36:T67" si="2">R36*S36</f>
        <v>9</v>
      </c>
      <c r="U36" s="2">
        <v>0.32978183663115168</v>
      </c>
      <c r="V36" s="113">
        <f t="shared" ref="V36:V67" si="3">R36*24*365*U36/1000</f>
        <v>65</v>
      </c>
      <c r="W36" s="37">
        <v>9</v>
      </c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2"/>
      <c r="AL36" s="57"/>
      <c r="AM36" s="57"/>
      <c r="AN36" s="57"/>
      <c r="AO36" s="57"/>
      <c r="AP36" s="57"/>
      <c r="AQ36" s="57"/>
      <c r="AR36" s="57"/>
      <c r="AS36" s="57"/>
      <c r="AT36" s="57"/>
      <c r="AU36" s="78" t="s">
        <v>1253</v>
      </c>
    </row>
    <row r="37" spans="2:47" s="14" customFormat="1">
      <c r="B37" s="78" t="s">
        <v>350</v>
      </c>
      <c r="C37" s="37" t="s">
        <v>1209</v>
      </c>
      <c r="D37" s="78" t="s">
        <v>122</v>
      </c>
      <c r="E37" s="78" t="s">
        <v>111</v>
      </c>
      <c r="F37" s="100">
        <v>49.169916700000002</v>
      </c>
      <c r="G37" s="100">
        <v>-57.436250000000001</v>
      </c>
      <c r="H37" s="37" t="s">
        <v>599</v>
      </c>
      <c r="I37" s="37" t="s">
        <v>1277</v>
      </c>
      <c r="J37" s="165" t="s">
        <v>985</v>
      </c>
      <c r="K37" s="37" t="s">
        <v>990</v>
      </c>
      <c r="L37" s="55">
        <v>75</v>
      </c>
      <c r="M37" s="79">
        <v>1925</v>
      </c>
      <c r="N37" s="84">
        <v>2100</v>
      </c>
      <c r="O37" s="201"/>
      <c r="P37" s="107" t="s">
        <v>533</v>
      </c>
      <c r="Q37" s="65" t="s">
        <v>579</v>
      </c>
      <c r="R37" s="120">
        <v>22.5</v>
      </c>
      <c r="S37" s="243">
        <v>0.4</v>
      </c>
      <c r="T37" s="120">
        <f t="shared" si="2"/>
        <v>9</v>
      </c>
      <c r="U37" s="2">
        <v>0.32978183663115168</v>
      </c>
      <c r="V37" s="113">
        <f t="shared" si="3"/>
        <v>65</v>
      </c>
      <c r="W37" s="37">
        <v>9</v>
      </c>
      <c r="X37" s="254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2"/>
      <c r="AL37" s="57"/>
      <c r="AM37" s="254"/>
      <c r="AN37" s="57"/>
      <c r="AO37" s="57"/>
      <c r="AP37" s="57"/>
      <c r="AQ37" s="57"/>
      <c r="AR37" s="57"/>
      <c r="AS37" s="254"/>
      <c r="AT37" s="57"/>
      <c r="AU37" s="78" t="s">
        <v>1253</v>
      </c>
    </row>
    <row r="38" spans="2:47" s="14" customFormat="1">
      <c r="B38" s="78" t="s">
        <v>335</v>
      </c>
      <c r="C38" s="37" t="s">
        <v>1185</v>
      </c>
      <c r="D38" s="78" t="s">
        <v>101</v>
      </c>
      <c r="E38" s="78" t="s">
        <v>128</v>
      </c>
      <c r="F38" s="100">
        <v>48.9254167</v>
      </c>
      <c r="G38" s="100">
        <v>-55.667833299999998</v>
      </c>
      <c r="H38" s="37" t="s">
        <v>599</v>
      </c>
      <c r="I38" s="37" t="s">
        <v>1277</v>
      </c>
      <c r="J38" s="96" t="s">
        <v>644</v>
      </c>
      <c r="K38" s="37" t="s">
        <v>1234</v>
      </c>
      <c r="L38" s="55">
        <v>230</v>
      </c>
      <c r="M38" s="107">
        <v>1905</v>
      </c>
      <c r="N38" s="84">
        <v>2100</v>
      </c>
      <c r="O38" s="65"/>
      <c r="P38" s="107" t="s">
        <v>533</v>
      </c>
      <c r="Q38" s="65" t="s">
        <v>579</v>
      </c>
      <c r="R38" s="125">
        <v>29</v>
      </c>
      <c r="S38" s="227">
        <v>0.83</v>
      </c>
      <c r="T38" s="125">
        <f t="shared" si="2"/>
        <v>24.07</v>
      </c>
      <c r="U38" s="2">
        <v>0.73059360730593603</v>
      </c>
      <c r="V38" s="206">
        <f t="shared" si="3"/>
        <v>185.6</v>
      </c>
      <c r="W38" s="37">
        <v>6</v>
      </c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2"/>
      <c r="AL38" s="57"/>
      <c r="AM38" s="57"/>
      <c r="AN38" s="57"/>
      <c r="AO38" s="57"/>
      <c r="AP38" s="57"/>
      <c r="AQ38" s="57"/>
      <c r="AR38" s="57"/>
      <c r="AS38" s="57"/>
      <c r="AT38" s="57"/>
      <c r="AU38" s="64"/>
    </row>
    <row r="39" spans="2:47" s="14" customFormat="1">
      <c r="B39" s="78" t="s">
        <v>336</v>
      </c>
      <c r="C39" s="37" t="s">
        <v>1192</v>
      </c>
      <c r="D39" s="78" t="s">
        <v>101</v>
      </c>
      <c r="E39" s="78" t="s">
        <v>128</v>
      </c>
      <c r="F39" s="100">
        <v>48.9254167</v>
      </c>
      <c r="G39" s="100">
        <v>-55.667833299999998</v>
      </c>
      <c r="H39" s="37" t="s">
        <v>599</v>
      </c>
      <c r="I39" s="37" t="s">
        <v>1277</v>
      </c>
      <c r="J39" s="96" t="s">
        <v>644</v>
      </c>
      <c r="K39" s="37" t="s">
        <v>1234</v>
      </c>
      <c r="L39" s="55">
        <v>230</v>
      </c>
      <c r="M39" s="107">
        <v>1905</v>
      </c>
      <c r="N39" s="84">
        <v>2100</v>
      </c>
      <c r="O39" s="65"/>
      <c r="P39" s="107" t="s">
        <v>533</v>
      </c>
      <c r="Q39" s="65" t="s">
        <v>579</v>
      </c>
      <c r="R39" s="125">
        <v>4</v>
      </c>
      <c r="S39" s="227">
        <v>0.625</v>
      </c>
      <c r="T39" s="125">
        <f t="shared" si="2"/>
        <v>2.5</v>
      </c>
      <c r="U39" s="2">
        <v>0.73059360730593603</v>
      </c>
      <c r="V39" s="206">
        <f t="shared" si="3"/>
        <v>25.6</v>
      </c>
      <c r="W39" s="37">
        <v>6</v>
      </c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2"/>
      <c r="AL39" s="57"/>
      <c r="AM39" s="57"/>
      <c r="AN39" s="57"/>
      <c r="AO39" s="57"/>
      <c r="AP39" s="57"/>
      <c r="AQ39" s="57"/>
      <c r="AR39" s="57"/>
      <c r="AS39" s="57"/>
      <c r="AT39" s="57"/>
      <c r="AU39" s="64"/>
    </row>
    <row r="40" spans="2:47" s="14" customFormat="1">
      <c r="B40" s="78" t="s">
        <v>337</v>
      </c>
      <c r="C40" s="37" t="s">
        <v>1197</v>
      </c>
      <c r="D40" s="78" t="s">
        <v>101</v>
      </c>
      <c r="E40" s="78" t="s">
        <v>128</v>
      </c>
      <c r="F40" s="100">
        <v>48.9254167</v>
      </c>
      <c r="G40" s="100">
        <v>-55.667833299999998</v>
      </c>
      <c r="H40" s="37" t="s">
        <v>599</v>
      </c>
      <c r="I40" s="37" t="s">
        <v>1277</v>
      </c>
      <c r="J40" s="96" t="s">
        <v>644</v>
      </c>
      <c r="K40" s="37" t="s">
        <v>1234</v>
      </c>
      <c r="L40" s="55">
        <v>230</v>
      </c>
      <c r="M40" s="107">
        <v>1905</v>
      </c>
      <c r="N40" s="84">
        <v>2100</v>
      </c>
      <c r="O40" s="65"/>
      <c r="P40" s="107" t="s">
        <v>533</v>
      </c>
      <c r="Q40" s="65" t="s">
        <v>579</v>
      </c>
      <c r="R40" s="125">
        <v>4</v>
      </c>
      <c r="S40" s="227">
        <v>0.625</v>
      </c>
      <c r="T40" s="125">
        <f t="shared" si="2"/>
        <v>2.5</v>
      </c>
      <c r="U40" s="2">
        <v>0.73059360730593603</v>
      </c>
      <c r="V40" s="206">
        <f t="shared" si="3"/>
        <v>25.6</v>
      </c>
      <c r="W40" s="37">
        <v>6</v>
      </c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2"/>
      <c r="AL40" s="57"/>
      <c r="AM40" s="57"/>
      <c r="AN40" s="57"/>
      <c r="AO40" s="57"/>
      <c r="AP40" s="57"/>
      <c r="AQ40" s="57"/>
      <c r="AR40" s="57"/>
      <c r="AS40" s="57"/>
      <c r="AT40" s="57"/>
      <c r="AU40" s="64"/>
    </row>
    <row r="41" spans="2:47" s="14" customFormat="1">
      <c r="B41" s="78" t="s">
        <v>475</v>
      </c>
      <c r="C41" s="37" t="s">
        <v>1202</v>
      </c>
      <c r="D41" s="78" t="s">
        <v>101</v>
      </c>
      <c r="E41" s="78" t="s">
        <v>128</v>
      </c>
      <c r="F41" s="100">
        <v>48.9254167</v>
      </c>
      <c r="G41" s="100">
        <v>-55.667833299999998</v>
      </c>
      <c r="H41" s="37" t="s">
        <v>599</v>
      </c>
      <c r="I41" s="37" t="s">
        <v>1277</v>
      </c>
      <c r="J41" s="96" t="s">
        <v>644</v>
      </c>
      <c r="K41" s="37" t="s">
        <v>1234</v>
      </c>
      <c r="L41" s="55">
        <v>230</v>
      </c>
      <c r="M41" s="107">
        <v>1905</v>
      </c>
      <c r="N41" s="84">
        <v>2100</v>
      </c>
      <c r="O41" s="65"/>
      <c r="P41" s="107" t="s">
        <v>533</v>
      </c>
      <c r="Q41" s="65" t="s">
        <v>579</v>
      </c>
      <c r="R41" s="125">
        <v>4</v>
      </c>
      <c r="S41" s="227">
        <v>0.625</v>
      </c>
      <c r="T41" s="125">
        <f t="shared" si="2"/>
        <v>2.5</v>
      </c>
      <c r="U41" s="2">
        <v>0.73059360730593603</v>
      </c>
      <c r="V41" s="206">
        <f t="shared" si="3"/>
        <v>25.6</v>
      </c>
      <c r="W41" s="37">
        <v>6</v>
      </c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2"/>
      <c r="AL41" s="57"/>
      <c r="AM41" s="57"/>
      <c r="AN41" s="57"/>
      <c r="AO41" s="57"/>
      <c r="AP41" s="57"/>
      <c r="AQ41" s="57"/>
      <c r="AR41" s="57"/>
      <c r="AS41" s="57"/>
      <c r="AT41" s="57"/>
      <c r="AU41" s="64"/>
    </row>
    <row r="42" spans="2:47" s="14" customFormat="1">
      <c r="B42" s="78" t="s">
        <v>476</v>
      </c>
      <c r="C42" s="37" t="s">
        <v>1206</v>
      </c>
      <c r="D42" s="78" t="s">
        <v>101</v>
      </c>
      <c r="E42" s="78" t="s">
        <v>128</v>
      </c>
      <c r="F42" s="100">
        <v>48.9254167</v>
      </c>
      <c r="G42" s="100">
        <v>-55.667833299999998</v>
      </c>
      <c r="H42" s="37" t="s">
        <v>599</v>
      </c>
      <c r="I42" s="37" t="s">
        <v>1277</v>
      </c>
      <c r="J42" s="96" t="s">
        <v>644</v>
      </c>
      <c r="K42" s="37" t="s">
        <v>1234</v>
      </c>
      <c r="L42" s="55">
        <v>230</v>
      </c>
      <c r="M42" s="107">
        <v>1905</v>
      </c>
      <c r="N42" s="84">
        <v>2100</v>
      </c>
      <c r="O42" s="65"/>
      <c r="P42" s="107" t="s">
        <v>533</v>
      </c>
      <c r="Q42" s="65" t="s">
        <v>579</v>
      </c>
      <c r="R42" s="125">
        <v>4</v>
      </c>
      <c r="S42" s="227">
        <v>0.625</v>
      </c>
      <c r="T42" s="125">
        <f t="shared" si="2"/>
        <v>2.5</v>
      </c>
      <c r="U42" s="2">
        <v>0.73059360730593603</v>
      </c>
      <c r="V42" s="206">
        <f t="shared" si="3"/>
        <v>25.6</v>
      </c>
      <c r="W42" s="37">
        <v>6</v>
      </c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2"/>
      <c r="AL42" s="57"/>
      <c r="AM42" s="57"/>
      <c r="AN42" s="57"/>
      <c r="AO42" s="57"/>
      <c r="AP42" s="57"/>
      <c r="AQ42" s="57"/>
      <c r="AR42" s="57"/>
      <c r="AS42" s="57"/>
      <c r="AT42" s="57"/>
      <c r="AU42" s="64"/>
    </row>
    <row r="43" spans="2:47" s="14" customFormat="1">
      <c r="B43" s="78" t="s">
        <v>477</v>
      </c>
      <c r="C43" s="37" t="s">
        <v>1210</v>
      </c>
      <c r="D43" s="78" t="s">
        <v>101</v>
      </c>
      <c r="E43" s="78" t="s">
        <v>128</v>
      </c>
      <c r="F43" s="100">
        <v>48.9254167</v>
      </c>
      <c r="G43" s="100">
        <v>-55.667833299999998</v>
      </c>
      <c r="H43" s="37" t="s">
        <v>599</v>
      </c>
      <c r="I43" s="37" t="s">
        <v>1277</v>
      </c>
      <c r="J43" s="96" t="s">
        <v>644</v>
      </c>
      <c r="K43" s="37" t="s">
        <v>1234</v>
      </c>
      <c r="L43" s="55">
        <v>230</v>
      </c>
      <c r="M43" s="107">
        <v>1905</v>
      </c>
      <c r="N43" s="84">
        <v>2100</v>
      </c>
      <c r="O43" s="65"/>
      <c r="P43" s="107" t="s">
        <v>533</v>
      </c>
      <c r="Q43" s="65" t="s">
        <v>579</v>
      </c>
      <c r="R43" s="125">
        <v>30</v>
      </c>
      <c r="S43" s="227">
        <v>0.8</v>
      </c>
      <c r="T43" s="125">
        <f t="shared" si="2"/>
        <v>24</v>
      </c>
      <c r="U43" s="2">
        <v>0.73059360730593603</v>
      </c>
      <c r="V43" s="206">
        <f t="shared" si="3"/>
        <v>192</v>
      </c>
      <c r="W43" s="37">
        <v>6</v>
      </c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2"/>
      <c r="AL43" s="57"/>
      <c r="AM43" s="57"/>
      <c r="AN43" s="57"/>
      <c r="AO43" s="57"/>
      <c r="AP43" s="57"/>
      <c r="AQ43" s="57"/>
      <c r="AR43" s="57"/>
      <c r="AS43" s="57"/>
      <c r="AT43" s="57"/>
      <c r="AU43" s="64"/>
    </row>
    <row r="44" spans="2:47" s="14" customFormat="1">
      <c r="B44" s="78" t="s">
        <v>102</v>
      </c>
      <c r="C44" s="37" t="s">
        <v>1305</v>
      </c>
      <c r="D44" s="78" t="s">
        <v>101</v>
      </c>
      <c r="E44" s="78" t="s">
        <v>106</v>
      </c>
      <c r="F44" s="100">
        <v>49.082472199999998</v>
      </c>
      <c r="G44" s="100">
        <v>-57.2013611</v>
      </c>
      <c r="H44" s="37" t="s">
        <v>599</v>
      </c>
      <c r="I44" s="37" t="s">
        <v>1277</v>
      </c>
      <c r="J44" s="165" t="s">
        <v>730</v>
      </c>
      <c r="K44" s="37" t="s">
        <v>993</v>
      </c>
      <c r="L44" s="55">
        <v>138</v>
      </c>
      <c r="M44" s="79">
        <v>1980</v>
      </c>
      <c r="N44" s="84">
        <v>2100</v>
      </c>
      <c r="O44" s="65"/>
      <c r="P44" s="107" t="s">
        <v>533</v>
      </c>
      <c r="Q44" s="65" t="s">
        <v>579</v>
      </c>
      <c r="R44" s="125">
        <v>75</v>
      </c>
      <c r="S44" s="227">
        <v>1</v>
      </c>
      <c r="T44" s="125">
        <f t="shared" si="2"/>
        <v>75</v>
      </c>
      <c r="U44" s="2">
        <v>0.53881278538812782</v>
      </c>
      <c r="V44" s="108">
        <f t="shared" si="3"/>
        <v>354</v>
      </c>
      <c r="W44" s="37">
        <v>1</v>
      </c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2"/>
      <c r="AL44" s="57"/>
      <c r="AM44" s="57"/>
      <c r="AN44" s="57"/>
      <c r="AO44" s="57"/>
      <c r="AP44" s="57"/>
      <c r="AQ44" s="57"/>
      <c r="AR44" s="57"/>
      <c r="AS44" s="57"/>
      <c r="AT44" s="57"/>
      <c r="AU44" s="64"/>
    </row>
    <row r="45" spans="2:47" s="14" customFormat="1">
      <c r="B45" s="78" t="s">
        <v>104</v>
      </c>
      <c r="C45" s="37" t="s">
        <v>1313</v>
      </c>
      <c r="D45" s="78" t="s">
        <v>101</v>
      </c>
      <c r="E45" s="78" t="s">
        <v>104</v>
      </c>
      <c r="F45" s="100">
        <v>47.618232200000001</v>
      </c>
      <c r="G45" s="100">
        <v>-54.4314508</v>
      </c>
      <c r="H45" s="37" t="s">
        <v>599</v>
      </c>
      <c r="I45" s="37" t="s">
        <v>1277</v>
      </c>
      <c r="J45" s="165" t="s">
        <v>797</v>
      </c>
      <c r="K45" s="37" t="s">
        <v>1244</v>
      </c>
      <c r="L45" s="55">
        <v>138</v>
      </c>
      <c r="M45" s="79">
        <v>1989</v>
      </c>
      <c r="N45" s="84">
        <v>2100</v>
      </c>
      <c r="O45" s="65"/>
      <c r="P45" s="107" t="s">
        <v>533</v>
      </c>
      <c r="Q45" s="65" t="s">
        <v>579</v>
      </c>
      <c r="R45" s="125">
        <v>8</v>
      </c>
      <c r="S45" s="227">
        <v>1</v>
      </c>
      <c r="T45" s="125">
        <f t="shared" si="2"/>
        <v>8</v>
      </c>
      <c r="U45" s="2">
        <v>0.49942922374429222</v>
      </c>
      <c r="V45" s="108">
        <f t="shared" si="3"/>
        <v>35</v>
      </c>
      <c r="W45" s="37">
        <v>1</v>
      </c>
      <c r="X45" s="82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2"/>
      <c r="AL45" s="57"/>
      <c r="AM45" s="57"/>
      <c r="AN45" s="57"/>
      <c r="AO45" s="57"/>
      <c r="AP45" s="57"/>
      <c r="AQ45" s="57"/>
      <c r="AR45" s="57"/>
      <c r="AS45" s="57"/>
      <c r="AT45" s="57"/>
      <c r="AU45" s="64"/>
    </row>
    <row r="46" spans="2:47" s="14" customFormat="1">
      <c r="B46" s="78" t="s">
        <v>148</v>
      </c>
      <c r="C46" s="37" t="s">
        <v>1317</v>
      </c>
      <c r="D46" s="78" t="s">
        <v>149</v>
      </c>
      <c r="E46" s="78" t="s">
        <v>105</v>
      </c>
      <c r="F46" s="100">
        <v>49.887630600000001</v>
      </c>
      <c r="G46" s="100">
        <v>-56.835880600000003</v>
      </c>
      <c r="H46" s="37" t="s">
        <v>599</v>
      </c>
      <c r="I46" s="37" t="s">
        <v>1277</v>
      </c>
      <c r="J46" s="165" t="s">
        <v>792</v>
      </c>
      <c r="K46" s="37" t="s">
        <v>998</v>
      </c>
      <c r="L46" s="55">
        <v>66</v>
      </c>
      <c r="M46" s="79">
        <v>1998</v>
      </c>
      <c r="N46" s="107">
        <v>2023</v>
      </c>
      <c r="O46" s="65"/>
      <c r="P46" s="107" t="s">
        <v>533</v>
      </c>
      <c r="Q46" s="65" t="s">
        <v>579</v>
      </c>
      <c r="R46" s="125">
        <v>4</v>
      </c>
      <c r="S46" s="227">
        <v>0</v>
      </c>
      <c r="T46" s="125">
        <f t="shared" si="2"/>
        <v>0</v>
      </c>
      <c r="U46" s="2">
        <v>0.42808219178082191</v>
      </c>
      <c r="V46" s="108">
        <f t="shared" si="3"/>
        <v>15</v>
      </c>
      <c r="W46" s="37">
        <v>1</v>
      </c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2"/>
      <c r="AL46" s="57"/>
      <c r="AM46" s="57"/>
      <c r="AN46" s="57"/>
      <c r="AO46" s="57"/>
      <c r="AP46" s="57"/>
      <c r="AQ46" s="57"/>
      <c r="AR46" s="57"/>
      <c r="AS46" s="57"/>
      <c r="AT46" s="57"/>
      <c r="AU46" s="64"/>
    </row>
    <row r="47" spans="2:47" s="14" customFormat="1">
      <c r="B47" s="78" t="s">
        <v>108</v>
      </c>
      <c r="C47" s="37" t="s">
        <v>1325</v>
      </c>
      <c r="D47" s="78" t="s">
        <v>101</v>
      </c>
      <c r="E47" s="78" t="s">
        <v>111</v>
      </c>
      <c r="F47" s="100">
        <v>48.552250000000001</v>
      </c>
      <c r="G47" s="100">
        <v>-57.205666700000002</v>
      </c>
      <c r="H47" s="37" t="s">
        <v>599</v>
      </c>
      <c r="I47" s="37" t="s">
        <v>1277</v>
      </c>
      <c r="J47" s="165" t="s">
        <v>740</v>
      </c>
      <c r="K47" s="37" t="s">
        <v>1003</v>
      </c>
      <c r="L47" s="55">
        <v>66</v>
      </c>
      <c r="M47" s="79">
        <v>1998</v>
      </c>
      <c r="N47" s="84">
        <v>2100</v>
      </c>
      <c r="O47" s="65"/>
      <c r="P47" s="107" t="s">
        <v>533</v>
      </c>
      <c r="Q47" s="65" t="s">
        <v>579</v>
      </c>
      <c r="R47" s="125">
        <v>18</v>
      </c>
      <c r="S47" s="227">
        <v>1</v>
      </c>
      <c r="T47" s="125">
        <f t="shared" si="2"/>
        <v>18</v>
      </c>
      <c r="U47" s="2">
        <v>0.89421613394216137</v>
      </c>
      <c r="V47" s="108">
        <f t="shared" si="3"/>
        <v>141</v>
      </c>
      <c r="W47" s="37">
        <v>1</v>
      </c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2"/>
      <c r="AL47" s="57"/>
      <c r="AM47" s="57"/>
      <c r="AN47" s="57"/>
      <c r="AO47" s="57"/>
      <c r="AP47" s="57"/>
      <c r="AQ47" s="57"/>
      <c r="AR47" s="57"/>
      <c r="AS47" s="57"/>
      <c r="AT47" s="57"/>
      <c r="AU47" s="64"/>
    </row>
    <row r="48" spans="2:47" s="14" customFormat="1">
      <c r="B48" s="78" t="s">
        <v>391</v>
      </c>
      <c r="C48" s="37" t="s">
        <v>1161</v>
      </c>
      <c r="D48" s="78" t="s">
        <v>101</v>
      </c>
      <c r="E48" s="78" t="s">
        <v>389</v>
      </c>
      <c r="F48" s="100">
        <v>47.990138299999998</v>
      </c>
      <c r="G48" s="100">
        <v>-55.799748100000002</v>
      </c>
      <c r="H48" s="37" t="s">
        <v>599</v>
      </c>
      <c r="I48" s="37" t="s">
        <v>1277</v>
      </c>
      <c r="J48" s="165" t="s">
        <v>677</v>
      </c>
      <c r="K48" s="37" t="s">
        <v>987</v>
      </c>
      <c r="L48" s="55">
        <v>230</v>
      </c>
      <c r="M48" s="79">
        <v>1967</v>
      </c>
      <c r="N48" s="84">
        <v>2100</v>
      </c>
      <c r="O48" s="65"/>
      <c r="P48" s="107" t="s">
        <v>333</v>
      </c>
      <c r="Q48" s="65" t="s">
        <v>580</v>
      </c>
      <c r="R48" s="125">
        <v>76.5</v>
      </c>
      <c r="S48" s="227">
        <v>1</v>
      </c>
      <c r="T48" s="125">
        <f t="shared" si="2"/>
        <v>76.5</v>
      </c>
      <c r="U48" s="2">
        <v>0.49392664219416837</v>
      </c>
      <c r="V48" s="108">
        <f t="shared" si="3"/>
        <v>331</v>
      </c>
      <c r="W48" s="37">
        <v>7</v>
      </c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2"/>
      <c r="AL48" s="57"/>
      <c r="AM48" s="57"/>
      <c r="AN48" s="57"/>
      <c r="AO48" s="57"/>
      <c r="AP48" s="57"/>
      <c r="AQ48" s="57"/>
      <c r="AR48" s="57"/>
      <c r="AS48" s="57"/>
      <c r="AT48" s="57"/>
      <c r="AU48" s="64"/>
    </row>
    <row r="49" spans="2:47" s="14" customFormat="1">
      <c r="B49" s="78" t="s">
        <v>392</v>
      </c>
      <c r="C49" s="37" t="s">
        <v>1168</v>
      </c>
      <c r="D49" s="78" t="s">
        <v>101</v>
      </c>
      <c r="E49" s="78" t="s">
        <v>389</v>
      </c>
      <c r="F49" s="100">
        <v>47.990138299999998</v>
      </c>
      <c r="G49" s="100">
        <v>-55.799748100000002</v>
      </c>
      <c r="H49" s="37" t="s">
        <v>599</v>
      </c>
      <c r="I49" s="37" t="s">
        <v>1277</v>
      </c>
      <c r="J49" s="165" t="s">
        <v>677</v>
      </c>
      <c r="K49" s="37" t="s">
        <v>987</v>
      </c>
      <c r="L49" s="55">
        <v>230</v>
      </c>
      <c r="M49" s="79">
        <v>1967</v>
      </c>
      <c r="N49" s="84">
        <v>2100</v>
      </c>
      <c r="O49" s="65"/>
      <c r="P49" s="107" t="s">
        <v>333</v>
      </c>
      <c r="Q49" s="65" t="s">
        <v>580</v>
      </c>
      <c r="R49" s="125">
        <v>76.5</v>
      </c>
      <c r="S49" s="227">
        <v>1</v>
      </c>
      <c r="T49" s="125">
        <f t="shared" si="2"/>
        <v>76.5</v>
      </c>
      <c r="U49" s="2">
        <v>0.49392664219416837</v>
      </c>
      <c r="V49" s="108">
        <f t="shared" si="3"/>
        <v>331</v>
      </c>
      <c r="W49" s="37">
        <v>7</v>
      </c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2"/>
      <c r="AL49" s="57"/>
      <c r="AM49" s="57"/>
      <c r="AN49" s="57"/>
      <c r="AO49" s="57"/>
      <c r="AP49" s="57"/>
      <c r="AQ49" s="57"/>
      <c r="AR49" s="57"/>
      <c r="AS49" s="57"/>
      <c r="AT49" s="57"/>
      <c r="AU49" s="64"/>
    </row>
    <row r="50" spans="2:47" s="14" customFormat="1">
      <c r="B50" s="78" t="s">
        <v>393</v>
      </c>
      <c r="C50" s="37" t="s">
        <v>1175</v>
      </c>
      <c r="D50" s="78" t="s">
        <v>101</v>
      </c>
      <c r="E50" s="78" t="s">
        <v>389</v>
      </c>
      <c r="F50" s="100">
        <v>47.990138299999998</v>
      </c>
      <c r="G50" s="100">
        <v>-55.799748100000002</v>
      </c>
      <c r="H50" s="37" t="s">
        <v>599</v>
      </c>
      <c r="I50" s="37" t="s">
        <v>1277</v>
      </c>
      <c r="J50" s="165" t="s">
        <v>677</v>
      </c>
      <c r="K50" s="37" t="s">
        <v>987</v>
      </c>
      <c r="L50" s="55">
        <v>230</v>
      </c>
      <c r="M50" s="79">
        <v>1967</v>
      </c>
      <c r="N50" s="84">
        <v>2100</v>
      </c>
      <c r="O50" s="65"/>
      <c r="P50" s="107" t="s">
        <v>333</v>
      </c>
      <c r="Q50" s="65" t="s">
        <v>580</v>
      </c>
      <c r="R50" s="125">
        <v>76.5</v>
      </c>
      <c r="S50" s="227">
        <v>1</v>
      </c>
      <c r="T50" s="125">
        <f t="shared" si="2"/>
        <v>76.5</v>
      </c>
      <c r="U50" s="2">
        <v>0.49392664219416837</v>
      </c>
      <c r="V50" s="108">
        <f t="shared" si="3"/>
        <v>331</v>
      </c>
      <c r="W50" s="37">
        <v>7</v>
      </c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2"/>
      <c r="AL50" s="57"/>
      <c r="AM50" s="57"/>
      <c r="AN50" s="57"/>
      <c r="AO50" s="57"/>
      <c r="AP50" s="57"/>
      <c r="AQ50" s="57"/>
      <c r="AR50" s="57"/>
      <c r="AS50" s="57"/>
      <c r="AT50" s="57"/>
      <c r="AU50" s="64"/>
    </row>
    <row r="51" spans="2:47" s="14" customFormat="1">
      <c r="B51" s="78" t="s">
        <v>394</v>
      </c>
      <c r="C51" s="37" t="s">
        <v>1181</v>
      </c>
      <c r="D51" s="78" t="s">
        <v>101</v>
      </c>
      <c r="E51" s="78" t="s">
        <v>389</v>
      </c>
      <c r="F51" s="100">
        <v>47.990138299999998</v>
      </c>
      <c r="G51" s="100">
        <v>-55.799748100000002</v>
      </c>
      <c r="H51" s="37" t="s">
        <v>599</v>
      </c>
      <c r="I51" s="37" t="s">
        <v>1277</v>
      </c>
      <c r="J51" s="165" t="s">
        <v>677</v>
      </c>
      <c r="K51" s="37" t="s">
        <v>987</v>
      </c>
      <c r="L51" s="55">
        <v>230</v>
      </c>
      <c r="M51" s="79">
        <v>1968</v>
      </c>
      <c r="N51" s="84">
        <v>2100</v>
      </c>
      <c r="O51" s="65"/>
      <c r="P51" s="107" t="s">
        <v>333</v>
      </c>
      <c r="Q51" s="65" t="s">
        <v>580</v>
      </c>
      <c r="R51" s="125">
        <v>76.5</v>
      </c>
      <c r="S51" s="227">
        <v>1</v>
      </c>
      <c r="T51" s="125">
        <f t="shared" si="2"/>
        <v>76.5</v>
      </c>
      <c r="U51" s="2">
        <v>0.49392664219416837</v>
      </c>
      <c r="V51" s="108">
        <f t="shared" si="3"/>
        <v>331</v>
      </c>
      <c r="W51" s="37">
        <v>7</v>
      </c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2"/>
      <c r="AL51" s="57"/>
      <c r="AM51" s="57"/>
      <c r="AN51" s="57"/>
      <c r="AO51" s="57"/>
      <c r="AP51" s="57"/>
      <c r="AQ51" s="57"/>
      <c r="AR51" s="57"/>
      <c r="AS51" s="57"/>
      <c r="AT51" s="57"/>
      <c r="AU51" s="64"/>
    </row>
    <row r="52" spans="2:47" s="14" customFormat="1">
      <c r="B52" s="78" t="s">
        <v>511</v>
      </c>
      <c r="C52" s="37" t="s">
        <v>1188</v>
      </c>
      <c r="D52" s="78" t="s">
        <v>101</v>
      </c>
      <c r="E52" s="78" t="s">
        <v>389</v>
      </c>
      <c r="F52" s="100">
        <v>47.990138299999998</v>
      </c>
      <c r="G52" s="100">
        <v>-55.799748100000002</v>
      </c>
      <c r="H52" s="37" t="s">
        <v>599</v>
      </c>
      <c r="I52" s="37" t="s">
        <v>1277</v>
      </c>
      <c r="J52" s="165" t="s">
        <v>677</v>
      </c>
      <c r="K52" s="37" t="s">
        <v>987</v>
      </c>
      <c r="L52" s="55">
        <v>230</v>
      </c>
      <c r="M52" s="79">
        <v>1970</v>
      </c>
      <c r="N52" s="84">
        <v>2100</v>
      </c>
      <c r="O52" s="65"/>
      <c r="P52" s="107" t="s">
        <v>333</v>
      </c>
      <c r="Q52" s="65" t="s">
        <v>580</v>
      </c>
      <c r="R52" s="125">
        <v>76.5</v>
      </c>
      <c r="S52" s="227">
        <v>1</v>
      </c>
      <c r="T52" s="125">
        <f t="shared" si="2"/>
        <v>76.5</v>
      </c>
      <c r="U52" s="2">
        <v>0.49392664219416837</v>
      </c>
      <c r="V52" s="108">
        <f t="shared" si="3"/>
        <v>331</v>
      </c>
      <c r="W52" s="37">
        <v>7</v>
      </c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2"/>
      <c r="AL52" s="57"/>
      <c r="AM52" s="57"/>
      <c r="AN52" s="57"/>
      <c r="AO52" s="57"/>
      <c r="AP52" s="57"/>
      <c r="AQ52" s="57"/>
      <c r="AR52" s="57"/>
      <c r="AS52" s="57"/>
      <c r="AT52" s="57"/>
      <c r="AU52" s="64"/>
    </row>
    <row r="53" spans="2:47" s="14" customFormat="1">
      <c r="B53" s="78" t="s">
        <v>512</v>
      </c>
      <c r="C53" s="37" t="s">
        <v>1193</v>
      </c>
      <c r="D53" s="78" t="s">
        <v>101</v>
      </c>
      <c r="E53" s="78" t="s">
        <v>389</v>
      </c>
      <c r="F53" s="100">
        <v>47.990138299999998</v>
      </c>
      <c r="G53" s="100">
        <v>-55.799748100000002</v>
      </c>
      <c r="H53" s="37" t="s">
        <v>599</v>
      </c>
      <c r="I53" s="37" t="s">
        <v>1277</v>
      </c>
      <c r="J53" s="165" t="s">
        <v>677</v>
      </c>
      <c r="K53" s="37" t="s">
        <v>987</v>
      </c>
      <c r="L53" s="55">
        <v>230</v>
      </c>
      <c r="M53" s="79">
        <v>1970</v>
      </c>
      <c r="N53" s="84">
        <v>2100</v>
      </c>
      <c r="O53" s="65"/>
      <c r="P53" s="107" t="s">
        <v>333</v>
      </c>
      <c r="Q53" s="65" t="s">
        <v>580</v>
      </c>
      <c r="R53" s="125">
        <v>76.5</v>
      </c>
      <c r="S53" s="227">
        <v>1</v>
      </c>
      <c r="T53" s="125">
        <f t="shared" si="2"/>
        <v>76.5</v>
      </c>
      <c r="U53" s="2">
        <v>0.49392664219416837</v>
      </c>
      <c r="V53" s="108">
        <f t="shared" si="3"/>
        <v>331</v>
      </c>
      <c r="W53" s="37">
        <v>7</v>
      </c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2"/>
      <c r="AL53" s="57"/>
      <c r="AM53" s="57"/>
      <c r="AN53" s="57"/>
      <c r="AO53" s="57"/>
      <c r="AP53" s="57"/>
      <c r="AQ53" s="57"/>
      <c r="AR53" s="57"/>
      <c r="AS53" s="57"/>
      <c r="AT53" s="57"/>
      <c r="AU53" s="64"/>
    </row>
    <row r="54" spans="2:47" s="14" customFormat="1">
      <c r="B54" s="78" t="s">
        <v>513</v>
      </c>
      <c r="C54" s="37" t="s">
        <v>1198</v>
      </c>
      <c r="D54" s="78" t="s">
        <v>101</v>
      </c>
      <c r="E54" s="78" t="s">
        <v>389</v>
      </c>
      <c r="F54" s="100">
        <v>47.990138299999998</v>
      </c>
      <c r="G54" s="100">
        <v>-55.799748100000002</v>
      </c>
      <c r="H54" s="37" t="s">
        <v>599</v>
      </c>
      <c r="I54" s="37" t="s">
        <v>1277</v>
      </c>
      <c r="J54" s="165" t="s">
        <v>677</v>
      </c>
      <c r="K54" s="37" t="s">
        <v>987</v>
      </c>
      <c r="L54" s="55">
        <v>230</v>
      </c>
      <c r="M54" s="79">
        <v>1977</v>
      </c>
      <c r="N54" s="84">
        <v>2100</v>
      </c>
      <c r="O54" s="65"/>
      <c r="P54" s="107" t="s">
        <v>333</v>
      </c>
      <c r="Q54" s="65" t="s">
        <v>580</v>
      </c>
      <c r="R54" s="125">
        <v>154.4</v>
      </c>
      <c r="S54" s="227">
        <v>1</v>
      </c>
      <c r="T54" s="125">
        <f t="shared" si="2"/>
        <v>154.4</v>
      </c>
      <c r="U54" s="2">
        <v>0.4901873802257079</v>
      </c>
      <c r="V54" s="108">
        <f t="shared" si="3"/>
        <v>663</v>
      </c>
      <c r="W54" s="37">
        <v>7</v>
      </c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2"/>
      <c r="AL54" s="57"/>
      <c r="AM54" s="57"/>
      <c r="AN54" s="57"/>
      <c r="AO54" s="57"/>
      <c r="AP54" s="57"/>
      <c r="AQ54" s="57"/>
      <c r="AR54" s="57"/>
      <c r="AS54" s="57"/>
      <c r="AT54" s="57"/>
      <c r="AU54" s="64"/>
    </row>
    <row r="55" spans="2:47" s="14" customFormat="1">
      <c r="B55" s="78" t="s">
        <v>1339</v>
      </c>
      <c r="C55" s="37" t="s">
        <v>1164</v>
      </c>
      <c r="D55" s="78" t="s">
        <v>588</v>
      </c>
      <c r="E55" s="78" t="s">
        <v>124</v>
      </c>
      <c r="F55" s="100">
        <v>53.5294132</v>
      </c>
      <c r="G55" s="100">
        <v>-63.965085299999998</v>
      </c>
      <c r="H55" s="37" t="s">
        <v>606</v>
      </c>
      <c r="I55" s="37" t="s">
        <v>1135</v>
      </c>
      <c r="J55" s="130" t="s">
        <v>617</v>
      </c>
      <c r="K55" s="37" t="s">
        <v>989</v>
      </c>
      <c r="L55" s="55">
        <v>230</v>
      </c>
      <c r="M55" s="79">
        <v>1969</v>
      </c>
      <c r="N55" s="84">
        <v>2100</v>
      </c>
      <c r="O55" s="65"/>
      <c r="P55" s="79" t="s">
        <v>333</v>
      </c>
      <c r="Q55" s="65" t="s">
        <v>580</v>
      </c>
      <c r="R55" s="120">
        <v>493.45</v>
      </c>
      <c r="S55" s="227">
        <f>System!$C$9</f>
        <v>0.98099999999999998</v>
      </c>
      <c r="T55" s="125">
        <f t="shared" si="2"/>
        <v>484.07444999999996</v>
      </c>
      <c r="U55" s="2">
        <v>0.69402321091226571</v>
      </c>
      <c r="V55" s="81">
        <f t="shared" si="3"/>
        <v>3000</v>
      </c>
      <c r="W55" s="37">
        <v>11</v>
      </c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2"/>
      <c r="AL55" s="57"/>
      <c r="AM55" s="57"/>
      <c r="AN55" s="57"/>
      <c r="AO55" s="57"/>
      <c r="AP55" s="57"/>
      <c r="AQ55" s="57"/>
      <c r="AR55" s="57"/>
      <c r="AS55" s="57"/>
      <c r="AT55" s="57"/>
      <c r="AU55" s="64"/>
    </row>
    <row r="56" spans="2:47" s="14" customFormat="1">
      <c r="B56" s="78" t="s">
        <v>1340</v>
      </c>
      <c r="C56" s="37" t="s">
        <v>1171</v>
      </c>
      <c r="D56" s="78" t="s">
        <v>588</v>
      </c>
      <c r="E56" s="78" t="s">
        <v>124</v>
      </c>
      <c r="F56" s="100">
        <v>53.5294132</v>
      </c>
      <c r="G56" s="100">
        <v>-63.965085299999998</v>
      </c>
      <c r="H56" s="37" t="s">
        <v>606</v>
      </c>
      <c r="I56" s="37" t="s">
        <v>1135</v>
      </c>
      <c r="J56" s="130" t="s">
        <v>617</v>
      </c>
      <c r="K56" s="37" t="s">
        <v>989</v>
      </c>
      <c r="L56" s="55">
        <v>230</v>
      </c>
      <c r="M56" s="79">
        <v>1969</v>
      </c>
      <c r="N56" s="84">
        <v>2100</v>
      </c>
      <c r="O56" s="65"/>
      <c r="P56" s="79" t="s">
        <v>333</v>
      </c>
      <c r="Q56" s="65" t="s">
        <v>580</v>
      </c>
      <c r="R56" s="120">
        <v>493.45</v>
      </c>
      <c r="S56" s="227">
        <f>System!$C$9</f>
        <v>0.98099999999999998</v>
      </c>
      <c r="T56" s="125">
        <f t="shared" si="2"/>
        <v>484.07444999999996</v>
      </c>
      <c r="U56" s="2">
        <v>0.69402321091226571</v>
      </c>
      <c r="V56" s="81">
        <f t="shared" si="3"/>
        <v>3000</v>
      </c>
      <c r="W56" s="37">
        <v>11</v>
      </c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2"/>
      <c r="AL56" s="57"/>
      <c r="AM56" s="57"/>
      <c r="AN56" s="57"/>
      <c r="AO56" s="57"/>
      <c r="AP56" s="57"/>
      <c r="AQ56" s="57"/>
      <c r="AR56" s="57"/>
      <c r="AS56" s="57"/>
      <c r="AT56" s="57"/>
      <c r="AU56" s="64"/>
    </row>
    <row r="57" spans="2:47" s="14" customFormat="1">
      <c r="B57" s="78" t="s">
        <v>1341</v>
      </c>
      <c r="C57" s="37" t="s">
        <v>1177</v>
      </c>
      <c r="D57" s="78" t="s">
        <v>588</v>
      </c>
      <c r="E57" s="78" t="s">
        <v>124</v>
      </c>
      <c r="F57" s="100">
        <v>53.5294132</v>
      </c>
      <c r="G57" s="100">
        <v>-63.965085299999998</v>
      </c>
      <c r="H57" s="37" t="s">
        <v>606</v>
      </c>
      <c r="I57" s="37" t="s">
        <v>1135</v>
      </c>
      <c r="J57" s="130" t="s">
        <v>617</v>
      </c>
      <c r="K57" s="37" t="s">
        <v>989</v>
      </c>
      <c r="L57" s="55">
        <v>230</v>
      </c>
      <c r="M57" s="79">
        <v>1969</v>
      </c>
      <c r="N57" s="84">
        <v>2100</v>
      </c>
      <c r="O57" s="65"/>
      <c r="P57" s="79" t="s">
        <v>333</v>
      </c>
      <c r="Q57" s="65" t="s">
        <v>580</v>
      </c>
      <c r="R57" s="120">
        <v>493.45</v>
      </c>
      <c r="S57" s="227">
        <f>System!$C$9</f>
        <v>0.98099999999999998</v>
      </c>
      <c r="T57" s="125">
        <f t="shared" si="2"/>
        <v>484.07444999999996</v>
      </c>
      <c r="U57" s="2">
        <v>0.69402321091226571</v>
      </c>
      <c r="V57" s="81">
        <f t="shared" si="3"/>
        <v>3000</v>
      </c>
      <c r="W57" s="37">
        <v>11</v>
      </c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2"/>
      <c r="AL57" s="57"/>
      <c r="AM57" s="57"/>
      <c r="AN57" s="57"/>
      <c r="AO57" s="57"/>
      <c r="AP57" s="57"/>
      <c r="AQ57" s="57"/>
      <c r="AR57" s="57"/>
      <c r="AS57" s="57"/>
      <c r="AT57" s="57"/>
      <c r="AU57" s="64"/>
    </row>
    <row r="58" spans="2:47" s="14" customFormat="1">
      <c r="B58" s="78" t="s">
        <v>1342</v>
      </c>
      <c r="C58" s="37" t="s">
        <v>1183</v>
      </c>
      <c r="D58" s="78" t="s">
        <v>588</v>
      </c>
      <c r="E58" s="78" t="s">
        <v>124</v>
      </c>
      <c r="F58" s="100">
        <v>53.5294132</v>
      </c>
      <c r="G58" s="100">
        <v>-63.965085299999998</v>
      </c>
      <c r="H58" s="37" t="s">
        <v>606</v>
      </c>
      <c r="I58" s="37" t="s">
        <v>1135</v>
      </c>
      <c r="J58" s="130" t="s">
        <v>617</v>
      </c>
      <c r="K58" s="37" t="s">
        <v>989</v>
      </c>
      <c r="L58" s="55">
        <v>230</v>
      </c>
      <c r="M58" s="79">
        <v>1969</v>
      </c>
      <c r="N58" s="84">
        <v>2100</v>
      </c>
      <c r="O58" s="65"/>
      <c r="P58" s="79" t="s">
        <v>333</v>
      </c>
      <c r="Q58" s="65" t="s">
        <v>580</v>
      </c>
      <c r="R58" s="120">
        <v>493.45</v>
      </c>
      <c r="S58" s="227">
        <f>System!$C$9</f>
        <v>0.98099999999999998</v>
      </c>
      <c r="T58" s="125">
        <f t="shared" si="2"/>
        <v>484.07444999999996</v>
      </c>
      <c r="U58" s="2">
        <v>0.69402321091226571</v>
      </c>
      <c r="V58" s="81">
        <f t="shared" si="3"/>
        <v>3000</v>
      </c>
      <c r="W58" s="37">
        <v>11</v>
      </c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2"/>
      <c r="AL58" s="57"/>
      <c r="AM58" s="57"/>
      <c r="AN58" s="57"/>
      <c r="AO58" s="57"/>
      <c r="AP58" s="57"/>
      <c r="AQ58" s="57"/>
      <c r="AR58" s="57"/>
      <c r="AS58" s="57"/>
      <c r="AT58" s="57"/>
      <c r="AU58" s="64"/>
    </row>
    <row r="59" spans="2:47" s="14" customFormat="1">
      <c r="B59" s="78" t="s">
        <v>1343</v>
      </c>
      <c r="C59" s="37" t="s">
        <v>1190</v>
      </c>
      <c r="D59" s="78" t="s">
        <v>588</v>
      </c>
      <c r="E59" s="78" t="s">
        <v>124</v>
      </c>
      <c r="F59" s="100">
        <v>53.5294132</v>
      </c>
      <c r="G59" s="100">
        <v>-63.965085299999998</v>
      </c>
      <c r="H59" s="37" t="s">
        <v>606</v>
      </c>
      <c r="I59" s="37" t="s">
        <v>1135</v>
      </c>
      <c r="J59" s="130" t="s">
        <v>617</v>
      </c>
      <c r="K59" s="37" t="s">
        <v>989</v>
      </c>
      <c r="L59" s="55">
        <v>230</v>
      </c>
      <c r="M59" s="79">
        <v>1969</v>
      </c>
      <c r="N59" s="84">
        <v>2100</v>
      </c>
      <c r="O59" s="65"/>
      <c r="P59" s="79" t="s">
        <v>333</v>
      </c>
      <c r="Q59" s="65" t="s">
        <v>580</v>
      </c>
      <c r="R59" s="120">
        <v>493.45</v>
      </c>
      <c r="S59" s="227">
        <f>System!$C$9</f>
        <v>0.98099999999999998</v>
      </c>
      <c r="T59" s="125">
        <f t="shared" si="2"/>
        <v>484.07444999999996</v>
      </c>
      <c r="U59" s="2">
        <v>0.69402321091226571</v>
      </c>
      <c r="V59" s="81">
        <f t="shared" si="3"/>
        <v>3000</v>
      </c>
      <c r="W59" s="37">
        <v>11</v>
      </c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2"/>
      <c r="AL59" s="57"/>
      <c r="AM59" s="57"/>
      <c r="AN59" s="57"/>
      <c r="AO59" s="57"/>
      <c r="AP59" s="57"/>
      <c r="AQ59" s="57"/>
      <c r="AR59" s="57"/>
      <c r="AS59" s="57"/>
      <c r="AT59" s="57"/>
      <c r="AU59" s="64"/>
    </row>
    <row r="60" spans="2:47" s="14" customFormat="1">
      <c r="B60" s="78" t="s">
        <v>1344</v>
      </c>
      <c r="C60" s="37" t="s">
        <v>1195</v>
      </c>
      <c r="D60" s="78" t="s">
        <v>588</v>
      </c>
      <c r="E60" s="78" t="s">
        <v>124</v>
      </c>
      <c r="F60" s="100">
        <v>53.5294132</v>
      </c>
      <c r="G60" s="100">
        <v>-63.965085299999998</v>
      </c>
      <c r="H60" s="37" t="s">
        <v>606</v>
      </c>
      <c r="I60" s="37" t="s">
        <v>1135</v>
      </c>
      <c r="J60" s="130" t="s">
        <v>617</v>
      </c>
      <c r="K60" s="37" t="s">
        <v>989</v>
      </c>
      <c r="L60" s="55">
        <v>230</v>
      </c>
      <c r="M60" s="79">
        <v>1969</v>
      </c>
      <c r="N60" s="84">
        <v>2100</v>
      </c>
      <c r="O60" s="65"/>
      <c r="P60" s="79" t="s">
        <v>333</v>
      </c>
      <c r="Q60" s="65" t="s">
        <v>580</v>
      </c>
      <c r="R60" s="120">
        <v>493.45</v>
      </c>
      <c r="S60" s="227">
        <f>System!$C$9</f>
        <v>0.98099999999999998</v>
      </c>
      <c r="T60" s="125">
        <f t="shared" si="2"/>
        <v>484.07444999999996</v>
      </c>
      <c r="U60" s="2">
        <v>0.69402321091226571</v>
      </c>
      <c r="V60" s="81">
        <f t="shared" si="3"/>
        <v>3000</v>
      </c>
      <c r="W60" s="37">
        <v>11</v>
      </c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2"/>
      <c r="AL60" s="57"/>
      <c r="AM60" s="57"/>
      <c r="AN60" s="57"/>
      <c r="AO60" s="57"/>
      <c r="AP60" s="57"/>
      <c r="AQ60" s="57"/>
      <c r="AR60" s="57"/>
      <c r="AS60" s="57"/>
      <c r="AT60" s="57"/>
      <c r="AU60" s="64"/>
    </row>
    <row r="61" spans="2:47" s="14" customFormat="1">
      <c r="B61" s="78" t="s">
        <v>1345</v>
      </c>
      <c r="C61" s="37" t="s">
        <v>1200</v>
      </c>
      <c r="D61" s="78" t="s">
        <v>588</v>
      </c>
      <c r="E61" s="78" t="s">
        <v>124</v>
      </c>
      <c r="F61" s="100">
        <v>53.5294132</v>
      </c>
      <c r="G61" s="100">
        <v>-63.965085299999998</v>
      </c>
      <c r="H61" s="37" t="s">
        <v>606</v>
      </c>
      <c r="I61" s="37" t="s">
        <v>1135</v>
      </c>
      <c r="J61" s="130" t="s">
        <v>617</v>
      </c>
      <c r="K61" s="37" t="s">
        <v>989</v>
      </c>
      <c r="L61" s="55">
        <v>230</v>
      </c>
      <c r="M61" s="79">
        <v>1969</v>
      </c>
      <c r="N61" s="84">
        <v>2100</v>
      </c>
      <c r="O61" s="65"/>
      <c r="P61" s="79" t="s">
        <v>333</v>
      </c>
      <c r="Q61" s="65" t="s">
        <v>580</v>
      </c>
      <c r="R61" s="120">
        <v>493.45</v>
      </c>
      <c r="S61" s="227">
        <f>System!$C$9</f>
        <v>0.98099999999999998</v>
      </c>
      <c r="T61" s="125">
        <f t="shared" si="2"/>
        <v>484.07444999999996</v>
      </c>
      <c r="U61" s="2">
        <v>0.69402321091226571</v>
      </c>
      <c r="V61" s="81">
        <f t="shared" si="3"/>
        <v>3000</v>
      </c>
      <c r="W61" s="37">
        <v>11</v>
      </c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2"/>
      <c r="AL61" s="57"/>
      <c r="AM61" s="57"/>
      <c r="AN61" s="57"/>
      <c r="AO61" s="57"/>
      <c r="AP61" s="57"/>
      <c r="AQ61" s="57"/>
      <c r="AR61" s="57"/>
      <c r="AS61" s="57"/>
      <c r="AT61" s="57"/>
      <c r="AU61" s="64"/>
    </row>
    <row r="62" spans="2:47" s="14" customFormat="1">
      <c r="B62" s="78" t="s">
        <v>1346</v>
      </c>
      <c r="C62" s="37" t="s">
        <v>1204</v>
      </c>
      <c r="D62" s="78" t="s">
        <v>588</v>
      </c>
      <c r="E62" s="78" t="s">
        <v>124</v>
      </c>
      <c r="F62" s="100">
        <v>53.5294132</v>
      </c>
      <c r="G62" s="100">
        <v>-63.965085299999998</v>
      </c>
      <c r="H62" s="37" t="s">
        <v>606</v>
      </c>
      <c r="I62" s="37" t="s">
        <v>1135</v>
      </c>
      <c r="J62" s="130" t="s">
        <v>617</v>
      </c>
      <c r="K62" s="37" t="s">
        <v>989</v>
      </c>
      <c r="L62" s="55">
        <v>230</v>
      </c>
      <c r="M62" s="79">
        <v>1969</v>
      </c>
      <c r="N62" s="84">
        <v>2100</v>
      </c>
      <c r="O62" s="201"/>
      <c r="P62" s="79" t="s">
        <v>333</v>
      </c>
      <c r="Q62" s="65" t="s">
        <v>580</v>
      </c>
      <c r="R62" s="120">
        <v>493.45</v>
      </c>
      <c r="S62" s="227">
        <f>System!$C$9</f>
        <v>0.98099999999999998</v>
      </c>
      <c r="T62" s="125">
        <f t="shared" si="2"/>
        <v>484.07444999999996</v>
      </c>
      <c r="U62" s="2">
        <v>0.69402321091226571</v>
      </c>
      <c r="V62" s="81">
        <f t="shared" si="3"/>
        <v>3000</v>
      </c>
      <c r="W62" s="37">
        <v>11</v>
      </c>
      <c r="X62" s="254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2"/>
      <c r="AL62" s="57"/>
      <c r="AM62" s="254"/>
      <c r="AN62" s="57"/>
      <c r="AO62" s="57"/>
      <c r="AP62" s="57"/>
      <c r="AQ62" s="57"/>
      <c r="AR62" s="57"/>
      <c r="AS62" s="254"/>
      <c r="AT62" s="57"/>
      <c r="AU62" s="64"/>
    </row>
    <row r="63" spans="2:47" s="14" customFormat="1">
      <c r="B63" s="78" t="s">
        <v>1347</v>
      </c>
      <c r="C63" s="37" t="s">
        <v>1208</v>
      </c>
      <c r="D63" s="78" t="s">
        <v>588</v>
      </c>
      <c r="E63" s="78" t="s">
        <v>124</v>
      </c>
      <c r="F63" s="100">
        <v>53.5294132</v>
      </c>
      <c r="G63" s="100">
        <v>-63.965085299999998</v>
      </c>
      <c r="H63" s="37" t="s">
        <v>606</v>
      </c>
      <c r="I63" s="37" t="s">
        <v>1135</v>
      </c>
      <c r="J63" s="130" t="s">
        <v>617</v>
      </c>
      <c r="K63" s="37" t="s">
        <v>989</v>
      </c>
      <c r="L63" s="55">
        <v>230</v>
      </c>
      <c r="M63" s="79">
        <v>1969</v>
      </c>
      <c r="N63" s="84">
        <v>2100</v>
      </c>
      <c r="O63" s="201"/>
      <c r="P63" s="79" t="s">
        <v>333</v>
      </c>
      <c r="Q63" s="65" t="s">
        <v>580</v>
      </c>
      <c r="R63" s="120">
        <v>493.45</v>
      </c>
      <c r="S63" s="227">
        <f>System!$C$9</f>
        <v>0.98099999999999998</v>
      </c>
      <c r="T63" s="125">
        <f t="shared" si="2"/>
        <v>484.07444999999996</v>
      </c>
      <c r="U63" s="2">
        <v>0.69402321091226571</v>
      </c>
      <c r="V63" s="81">
        <f t="shared" si="3"/>
        <v>3000</v>
      </c>
      <c r="W63" s="37">
        <v>11</v>
      </c>
      <c r="X63" s="254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2"/>
      <c r="AL63" s="57"/>
      <c r="AM63" s="254"/>
      <c r="AN63" s="57"/>
      <c r="AO63" s="57"/>
      <c r="AP63" s="57"/>
      <c r="AQ63" s="57"/>
      <c r="AR63" s="57"/>
      <c r="AS63" s="254"/>
      <c r="AT63" s="57"/>
      <c r="AU63" s="64"/>
    </row>
    <row r="64" spans="2:47" s="14" customFormat="1">
      <c r="B64" s="78" t="s">
        <v>1348</v>
      </c>
      <c r="C64" s="37" t="s">
        <v>1159</v>
      </c>
      <c r="D64" s="78" t="s">
        <v>588</v>
      </c>
      <c r="E64" s="78" t="s">
        <v>124</v>
      </c>
      <c r="F64" s="100">
        <v>53.5294132</v>
      </c>
      <c r="G64" s="100">
        <v>-63.965085299999998</v>
      </c>
      <c r="H64" s="37" t="s">
        <v>606</v>
      </c>
      <c r="I64" s="37" t="s">
        <v>1135</v>
      </c>
      <c r="J64" s="130" t="s">
        <v>617</v>
      </c>
      <c r="K64" s="37" t="s">
        <v>989</v>
      </c>
      <c r="L64" s="55">
        <v>230</v>
      </c>
      <c r="M64" s="79">
        <v>1969</v>
      </c>
      <c r="N64" s="84">
        <v>2100</v>
      </c>
      <c r="O64" s="201"/>
      <c r="P64" s="79" t="s">
        <v>333</v>
      </c>
      <c r="Q64" s="65" t="s">
        <v>580</v>
      </c>
      <c r="R64" s="120">
        <v>493.45</v>
      </c>
      <c r="S64" s="227">
        <f>System!$C$9</f>
        <v>0.98099999999999998</v>
      </c>
      <c r="T64" s="125">
        <f t="shared" si="2"/>
        <v>484.07444999999996</v>
      </c>
      <c r="U64" s="2">
        <v>0.69402321091226571</v>
      </c>
      <c r="V64" s="81">
        <f t="shared" si="3"/>
        <v>3000</v>
      </c>
      <c r="W64" s="37">
        <v>11</v>
      </c>
      <c r="X64" s="254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2"/>
      <c r="AL64" s="57"/>
      <c r="AM64" s="254"/>
      <c r="AN64" s="57"/>
      <c r="AO64" s="57"/>
      <c r="AP64" s="57"/>
      <c r="AQ64" s="57"/>
      <c r="AR64" s="57"/>
      <c r="AS64" s="254"/>
      <c r="AT64" s="57"/>
      <c r="AU64" s="64"/>
    </row>
    <row r="65" spans="2:47" s="14" customFormat="1">
      <c r="B65" s="78" t="s">
        <v>1349</v>
      </c>
      <c r="C65" s="37" t="s">
        <v>1160</v>
      </c>
      <c r="D65" s="78" t="s">
        <v>588</v>
      </c>
      <c r="E65" s="78" t="s">
        <v>124</v>
      </c>
      <c r="F65" s="100">
        <v>53.5294132</v>
      </c>
      <c r="G65" s="100">
        <v>-63.965085299999998</v>
      </c>
      <c r="H65" s="37" t="s">
        <v>606</v>
      </c>
      <c r="I65" s="37" t="s">
        <v>1135</v>
      </c>
      <c r="J65" s="130" t="s">
        <v>617</v>
      </c>
      <c r="K65" s="37" t="s">
        <v>989</v>
      </c>
      <c r="L65" s="55">
        <v>230</v>
      </c>
      <c r="M65" s="79">
        <v>1969</v>
      </c>
      <c r="N65" s="84">
        <v>2100</v>
      </c>
      <c r="O65" s="65"/>
      <c r="P65" s="79" t="s">
        <v>333</v>
      </c>
      <c r="Q65" s="65" t="s">
        <v>580</v>
      </c>
      <c r="R65" s="120">
        <v>493.45</v>
      </c>
      <c r="S65" s="227">
        <f>System!$C$9</f>
        <v>0.98099999999999998</v>
      </c>
      <c r="T65" s="125">
        <f t="shared" si="2"/>
        <v>484.07444999999996</v>
      </c>
      <c r="U65" s="2">
        <v>0.69402321091226571</v>
      </c>
      <c r="V65" s="81">
        <f t="shared" si="3"/>
        <v>3000</v>
      </c>
      <c r="W65" s="37">
        <v>11</v>
      </c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2"/>
      <c r="AL65" s="57"/>
      <c r="AM65" s="57"/>
      <c r="AN65" s="57"/>
      <c r="AO65" s="57"/>
      <c r="AP65" s="57"/>
      <c r="AQ65" s="57"/>
      <c r="AR65" s="57"/>
      <c r="AS65" s="57"/>
      <c r="AT65" s="57"/>
      <c r="AU65" s="64"/>
    </row>
    <row r="66" spans="2:47" s="14" customFormat="1">
      <c r="B66" s="78" t="s">
        <v>103</v>
      </c>
      <c r="C66" s="37" t="s">
        <v>1298</v>
      </c>
      <c r="D66" s="78" t="s">
        <v>101</v>
      </c>
      <c r="E66" s="78" t="s">
        <v>107</v>
      </c>
      <c r="F66" s="100">
        <v>48.196555600000003</v>
      </c>
      <c r="G66" s="100">
        <v>-56.815249999999999</v>
      </c>
      <c r="H66" s="37" t="s">
        <v>599</v>
      </c>
      <c r="I66" s="37" t="s">
        <v>1277</v>
      </c>
      <c r="J66" s="130" t="s">
        <v>798</v>
      </c>
      <c r="K66" s="37" t="s">
        <v>991</v>
      </c>
      <c r="L66" s="55">
        <v>230</v>
      </c>
      <c r="M66" s="79">
        <v>2003</v>
      </c>
      <c r="N66" s="84">
        <v>2100</v>
      </c>
      <c r="O66" s="65"/>
      <c r="P66" s="107" t="s">
        <v>333</v>
      </c>
      <c r="Q66" s="65" t="s">
        <v>580</v>
      </c>
      <c r="R66" s="125">
        <v>40</v>
      </c>
      <c r="S66" s="227">
        <v>1</v>
      </c>
      <c r="T66" s="125">
        <f t="shared" si="2"/>
        <v>40</v>
      </c>
      <c r="U66" s="2">
        <v>0.70205479452054798</v>
      </c>
      <c r="V66" s="108">
        <f t="shared" si="3"/>
        <v>246</v>
      </c>
      <c r="W66" s="37">
        <v>1</v>
      </c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2"/>
      <c r="AL66" s="57"/>
      <c r="AM66" s="57"/>
      <c r="AN66" s="57"/>
      <c r="AO66" s="57"/>
      <c r="AP66" s="57"/>
      <c r="AQ66" s="57"/>
      <c r="AR66" s="57"/>
      <c r="AS66" s="57"/>
      <c r="AT66" s="57"/>
      <c r="AU66" s="64"/>
    </row>
    <row r="67" spans="2:47" s="14" customFormat="1">
      <c r="B67" s="78" t="s">
        <v>1289</v>
      </c>
      <c r="C67" s="37" t="s">
        <v>1334</v>
      </c>
      <c r="D67" s="78" t="s">
        <v>776</v>
      </c>
      <c r="E67" s="78" t="s">
        <v>1154</v>
      </c>
      <c r="F67" s="266">
        <v>52.102140134512702</v>
      </c>
      <c r="G67" s="266">
        <v>-65.693195248410206</v>
      </c>
      <c r="H67" s="37" t="s">
        <v>606</v>
      </c>
      <c r="I67" s="37" t="s">
        <v>1135</v>
      </c>
      <c r="J67" s="130" t="s">
        <v>1280</v>
      </c>
      <c r="K67" s="37" t="s">
        <v>850</v>
      </c>
      <c r="L67" s="55">
        <v>735</v>
      </c>
      <c r="M67" s="79">
        <v>1969</v>
      </c>
      <c r="N67" s="107">
        <v>2041</v>
      </c>
      <c r="O67" s="65"/>
      <c r="P67" s="79" t="s">
        <v>333</v>
      </c>
      <c r="Q67" s="65" t="s">
        <v>580</v>
      </c>
      <c r="R67" s="120">
        <v>-4903</v>
      </c>
      <c r="S67" s="243">
        <v>1</v>
      </c>
      <c r="T67" s="120">
        <f t="shared" si="2"/>
        <v>-4903</v>
      </c>
      <c r="U67" s="2">
        <v>0.66739960717369018</v>
      </c>
      <c r="V67" s="81">
        <f t="shared" si="3"/>
        <v>-28665</v>
      </c>
      <c r="W67" s="3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2"/>
      <c r="AL67" s="57"/>
      <c r="AM67" s="57"/>
      <c r="AN67" s="57"/>
      <c r="AO67" s="57"/>
      <c r="AP67" s="57"/>
      <c r="AQ67" s="57"/>
      <c r="AR67" s="57"/>
      <c r="AS67" s="57"/>
      <c r="AT67" s="57"/>
      <c r="AU67" s="17" t="s">
        <v>1287</v>
      </c>
    </row>
    <row r="68" spans="2:47" s="14" customFormat="1">
      <c r="B68" s="158" t="s">
        <v>1288</v>
      </c>
      <c r="C68" s="37" t="s">
        <v>1333</v>
      </c>
      <c r="D68" s="158" t="s">
        <v>101</v>
      </c>
      <c r="E68" s="158" t="s">
        <v>1155</v>
      </c>
      <c r="F68" s="101">
        <v>46.996523881836502</v>
      </c>
      <c r="G68" s="101">
        <v>-59.439957623950697</v>
      </c>
      <c r="H68" s="37" t="s">
        <v>599</v>
      </c>
      <c r="I68" s="37" t="s">
        <v>1277</v>
      </c>
      <c r="J68" s="130" t="s">
        <v>1281</v>
      </c>
      <c r="K68" s="37" t="s">
        <v>849</v>
      </c>
      <c r="L68" s="55">
        <v>230</v>
      </c>
      <c r="M68" s="159">
        <v>2020</v>
      </c>
      <c r="N68" s="159">
        <v>2055</v>
      </c>
      <c r="O68" s="65"/>
      <c r="P68" s="159" t="s">
        <v>333</v>
      </c>
      <c r="Q68" s="65" t="s">
        <v>580</v>
      </c>
      <c r="R68" s="125">
        <v>-170</v>
      </c>
      <c r="S68" s="227">
        <v>1</v>
      </c>
      <c r="T68" s="125">
        <f t="shared" ref="T68:T96" si="4">R68*S68</f>
        <v>-170</v>
      </c>
      <c r="U68" s="2">
        <v>0.65807144775718507</v>
      </c>
      <c r="V68" s="108">
        <f t="shared" ref="V68:V96" si="5">R68*24*365*U68/1000</f>
        <v>-980</v>
      </c>
      <c r="W68" s="37">
        <v>1</v>
      </c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2"/>
      <c r="AL68" s="57"/>
      <c r="AM68" s="57"/>
      <c r="AN68" s="57"/>
      <c r="AO68" s="57"/>
      <c r="AP68" s="57"/>
      <c r="AQ68" s="57"/>
      <c r="AR68" s="57"/>
      <c r="AS68" s="57"/>
      <c r="AT68" s="57"/>
      <c r="AU68" s="64" t="s">
        <v>1215</v>
      </c>
    </row>
    <row r="69" spans="2:47" s="14" customFormat="1">
      <c r="B69" s="110" t="s">
        <v>1211</v>
      </c>
      <c r="C69" s="37" t="s">
        <v>1167</v>
      </c>
      <c r="D69" s="110" t="s">
        <v>101</v>
      </c>
      <c r="E69" s="110" t="s">
        <v>125</v>
      </c>
      <c r="F69" s="101">
        <v>53.247579000000002</v>
      </c>
      <c r="G69" s="101">
        <v>-60.772782999999997</v>
      </c>
      <c r="H69" s="37" t="s">
        <v>606</v>
      </c>
      <c r="I69" s="37" t="s">
        <v>1135</v>
      </c>
      <c r="J69" s="130" t="s">
        <v>618</v>
      </c>
      <c r="K69" s="37" t="s">
        <v>1223</v>
      </c>
      <c r="L69" s="55">
        <v>315</v>
      </c>
      <c r="M69" s="107">
        <v>2020</v>
      </c>
      <c r="N69" s="107">
        <v>2070</v>
      </c>
      <c r="O69" s="65"/>
      <c r="P69" s="107" t="s">
        <v>333</v>
      </c>
      <c r="Q69" s="65" t="s">
        <v>580</v>
      </c>
      <c r="R69" s="125">
        <v>206</v>
      </c>
      <c r="S69" s="227">
        <v>0.96</v>
      </c>
      <c r="T69" s="125">
        <f t="shared" si="4"/>
        <v>197.76</v>
      </c>
      <c r="U69" s="2">
        <v>0.68022121736046459</v>
      </c>
      <c r="V69" s="108">
        <f t="shared" si="5"/>
        <v>1227.5</v>
      </c>
      <c r="W69" s="37">
        <v>4</v>
      </c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2"/>
      <c r="AL69" s="57"/>
      <c r="AM69" s="57"/>
      <c r="AN69" s="57"/>
      <c r="AO69" s="57"/>
      <c r="AP69" s="57"/>
      <c r="AQ69" s="57"/>
      <c r="AR69" s="57"/>
      <c r="AS69" s="57"/>
      <c r="AT69" s="57"/>
      <c r="AU69" s="64"/>
    </row>
    <row r="70" spans="2:47" s="14" customFormat="1">
      <c r="B70" s="110" t="s">
        <v>1212</v>
      </c>
      <c r="C70" s="37" t="s">
        <v>1174</v>
      </c>
      <c r="D70" s="110" t="s">
        <v>101</v>
      </c>
      <c r="E70" s="110" t="s">
        <v>125</v>
      </c>
      <c r="F70" s="101">
        <v>53.247579000000002</v>
      </c>
      <c r="G70" s="101">
        <v>-60.772782999999997</v>
      </c>
      <c r="H70" s="37" t="s">
        <v>606</v>
      </c>
      <c r="I70" s="37" t="s">
        <v>1135</v>
      </c>
      <c r="J70" s="130" t="s">
        <v>618</v>
      </c>
      <c r="K70" s="37" t="s">
        <v>1223</v>
      </c>
      <c r="L70" s="55">
        <v>315</v>
      </c>
      <c r="M70" s="107">
        <v>2020</v>
      </c>
      <c r="N70" s="107">
        <v>2070</v>
      </c>
      <c r="O70" s="65"/>
      <c r="P70" s="107" t="s">
        <v>333</v>
      </c>
      <c r="Q70" s="65" t="s">
        <v>580</v>
      </c>
      <c r="R70" s="125">
        <v>206</v>
      </c>
      <c r="S70" s="227">
        <v>0.96</v>
      </c>
      <c r="T70" s="125">
        <f t="shared" si="4"/>
        <v>197.76</v>
      </c>
      <c r="U70" s="2">
        <v>0.68022121736046459</v>
      </c>
      <c r="V70" s="108">
        <f t="shared" si="5"/>
        <v>1227.5</v>
      </c>
      <c r="W70" s="37">
        <v>4</v>
      </c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2"/>
      <c r="AL70" s="57"/>
      <c r="AM70" s="57"/>
      <c r="AN70" s="57"/>
      <c r="AO70" s="57"/>
      <c r="AP70" s="57"/>
      <c r="AQ70" s="57"/>
      <c r="AR70" s="57"/>
      <c r="AS70" s="57"/>
      <c r="AT70" s="57"/>
      <c r="AU70" s="64"/>
    </row>
    <row r="71" spans="2:47" s="14" customFormat="1">
      <c r="B71" s="110" t="s">
        <v>1213</v>
      </c>
      <c r="C71" s="37" t="s">
        <v>1180</v>
      </c>
      <c r="D71" s="110" t="s">
        <v>101</v>
      </c>
      <c r="E71" s="110" t="s">
        <v>125</v>
      </c>
      <c r="F71" s="101">
        <v>53.247579000000002</v>
      </c>
      <c r="G71" s="101">
        <v>-60.772782999999997</v>
      </c>
      <c r="H71" s="37" t="s">
        <v>606</v>
      </c>
      <c r="I71" s="37" t="s">
        <v>1135</v>
      </c>
      <c r="J71" s="130" t="s">
        <v>618</v>
      </c>
      <c r="K71" s="37" t="s">
        <v>1223</v>
      </c>
      <c r="L71" s="55">
        <v>315</v>
      </c>
      <c r="M71" s="107">
        <v>2020</v>
      </c>
      <c r="N71" s="107">
        <v>2070</v>
      </c>
      <c r="O71" s="65"/>
      <c r="P71" s="107" t="s">
        <v>333</v>
      </c>
      <c r="Q71" s="65" t="s">
        <v>580</v>
      </c>
      <c r="R71" s="125">
        <v>206</v>
      </c>
      <c r="S71" s="227">
        <v>0.96</v>
      </c>
      <c r="T71" s="125">
        <f t="shared" si="4"/>
        <v>197.76</v>
      </c>
      <c r="U71" s="2">
        <v>0.68022121736046459</v>
      </c>
      <c r="V71" s="108">
        <f t="shared" si="5"/>
        <v>1227.5</v>
      </c>
      <c r="W71" s="37">
        <v>4</v>
      </c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2"/>
      <c r="AL71" s="57"/>
      <c r="AM71" s="57"/>
      <c r="AN71" s="57"/>
      <c r="AO71" s="57"/>
      <c r="AP71" s="57"/>
      <c r="AQ71" s="57"/>
      <c r="AR71" s="57"/>
      <c r="AS71" s="57"/>
      <c r="AT71" s="57"/>
      <c r="AU71" s="64"/>
    </row>
    <row r="72" spans="2:47" s="14" customFormat="1">
      <c r="B72" s="110" t="s">
        <v>1214</v>
      </c>
      <c r="C72" s="37" t="s">
        <v>1187</v>
      </c>
      <c r="D72" s="110" t="s">
        <v>101</v>
      </c>
      <c r="E72" s="110" t="s">
        <v>125</v>
      </c>
      <c r="F72" s="101">
        <v>53.247579000000002</v>
      </c>
      <c r="G72" s="101">
        <v>-60.772782999999997</v>
      </c>
      <c r="H72" s="37" t="s">
        <v>606</v>
      </c>
      <c r="I72" s="37" t="s">
        <v>1135</v>
      </c>
      <c r="J72" s="130" t="s">
        <v>618</v>
      </c>
      <c r="K72" s="37" t="s">
        <v>1223</v>
      </c>
      <c r="L72" s="55">
        <v>315</v>
      </c>
      <c r="M72" s="107">
        <v>2020</v>
      </c>
      <c r="N72" s="107">
        <v>2070</v>
      </c>
      <c r="O72" s="65"/>
      <c r="P72" s="107" t="s">
        <v>333</v>
      </c>
      <c r="Q72" s="65" t="s">
        <v>580</v>
      </c>
      <c r="R72" s="125">
        <v>206</v>
      </c>
      <c r="S72" s="227">
        <v>0.96</v>
      </c>
      <c r="T72" s="125">
        <f t="shared" si="4"/>
        <v>197.76</v>
      </c>
      <c r="U72" s="2">
        <v>0.68022121736046459</v>
      </c>
      <c r="V72" s="108">
        <f t="shared" si="5"/>
        <v>1227.5</v>
      </c>
      <c r="W72" s="37">
        <v>4</v>
      </c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2"/>
      <c r="AL72" s="57"/>
      <c r="AM72" s="57"/>
      <c r="AN72" s="57"/>
      <c r="AO72" s="57"/>
      <c r="AP72" s="57"/>
      <c r="AQ72" s="57"/>
      <c r="AR72" s="57"/>
      <c r="AS72" s="57"/>
      <c r="AT72" s="57"/>
      <c r="AU72" s="64"/>
    </row>
    <row r="73" spans="2:47" s="14" customFormat="1">
      <c r="B73" s="78" t="s">
        <v>145</v>
      </c>
      <c r="C73" s="37" t="s">
        <v>1329</v>
      </c>
      <c r="D73" s="78" t="s">
        <v>101</v>
      </c>
      <c r="E73" s="78" t="s">
        <v>107</v>
      </c>
      <c r="F73" s="100">
        <v>48.183489700000003</v>
      </c>
      <c r="G73" s="100">
        <v>-56.172486399999997</v>
      </c>
      <c r="H73" s="37" t="s">
        <v>599</v>
      </c>
      <c r="I73" s="37" t="s">
        <v>1277</v>
      </c>
      <c r="J73" s="165" t="s">
        <v>703</v>
      </c>
      <c r="K73" s="37" t="s">
        <v>1005</v>
      </c>
      <c r="L73" s="55">
        <v>230</v>
      </c>
      <c r="M73" s="79">
        <v>1983</v>
      </c>
      <c r="N73" s="84">
        <v>2100</v>
      </c>
      <c r="O73" s="65"/>
      <c r="P73" s="107" t="s">
        <v>333</v>
      </c>
      <c r="Q73" s="65" t="s">
        <v>580</v>
      </c>
      <c r="R73" s="125">
        <v>84</v>
      </c>
      <c r="S73" s="227">
        <v>1</v>
      </c>
      <c r="T73" s="125">
        <f t="shared" si="4"/>
        <v>84</v>
      </c>
      <c r="U73" s="2">
        <v>0.75559904327027616</v>
      </c>
      <c r="V73" s="108">
        <f t="shared" si="5"/>
        <v>556</v>
      </c>
      <c r="W73" s="37">
        <v>1</v>
      </c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2"/>
      <c r="AL73" s="57"/>
      <c r="AM73" s="57"/>
      <c r="AN73" s="57"/>
      <c r="AO73" s="57"/>
      <c r="AP73" s="57"/>
      <c r="AQ73" s="57"/>
      <c r="AR73" s="57"/>
      <c r="AS73" s="57"/>
      <c r="AT73" s="57"/>
      <c r="AU73" s="64"/>
    </row>
    <row r="74" spans="2:47" s="14" customFormat="1">
      <c r="B74" s="78" t="s">
        <v>975</v>
      </c>
      <c r="C74" s="37" t="s">
        <v>1294</v>
      </c>
      <c r="D74" s="78" t="s">
        <v>101</v>
      </c>
      <c r="E74" s="78" t="s">
        <v>128</v>
      </c>
      <c r="F74" s="100">
        <v>48.822014500000002</v>
      </c>
      <c r="G74" s="100">
        <v>-56.831409800000003</v>
      </c>
      <c r="H74" s="37" t="s">
        <v>599</v>
      </c>
      <c r="I74" s="37" t="s">
        <v>1277</v>
      </c>
      <c r="J74" s="165" t="s">
        <v>678</v>
      </c>
      <c r="K74" s="37" t="s">
        <v>1229</v>
      </c>
      <c r="L74" s="55">
        <v>230</v>
      </c>
      <c r="M74" s="79">
        <v>1987</v>
      </c>
      <c r="N74" s="84">
        <v>2100</v>
      </c>
      <c r="O74" s="250"/>
      <c r="P74" s="79" t="s">
        <v>329</v>
      </c>
      <c r="Q74" s="37" t="s">
        <v>581</v>
      </c>
      <c r="R74" s="120">
        <v>2</v>
      </c>
      <c r="S74" s="227">
        <f>System!$C$7</f>
        <v>0.75</v>
      </c>
      <c r="T74" s="120">
        <f t="shared" si="4"/>
        <v>1.5</v>
      </c>
      <c r="U74" s="2">
        <v>0.70049813200498134</v>
      </c>
      <c r="V74" s="108">
        <f t="shared" si="5"/>
        <v>12.272727272727273</v>
      </c>
      <c r="W74" s="37">
        <v>1</v>
      </c>
      <c r="X74" s="250"/>
      <c r="Y74" s="245"/>
      <c r="Z74" s="118"/>
      <c r="AA74" s="118"/>
      <c r="AB74" s="222"/>
      <c r="AC74" s="222"/>
      <c r="AD74" s="118"/>
      <c r="AE74" s="118"/>
      <c r="AF74" s="118"/>
      <c r="AG74" s="118"/>
      <c r="AH74" s="37"/>
      <c r="AI74" s="118"/>
      <c r="AJ74" s="222"/>
      <c r="AK74" s="118"/>
      <c r="AL74" s="222"/>
      <c r="AM74" s="253"/>
      <c r="AN74" s="245"/>
      <c r="AO74" s="246"/>
      <c r="AP74" s="118"/>
      <c r="AQ74" s="118"/>
      <c r="AR74" s="246"/>
      <c r="AS74" s="250"/>
      <c r="AT74" s="231"/>
      <c r="AU74" s="64"/>
    </row>
    <row r="75" spans="2:47" s="14" customFormat="1">
      <c r="B75" s="73" t="s">
        <v>110</v>
      </c>
      <c r="C75" s="37" t="s">
        <v>1295</v>
      </c>
      <c r="D75" s="73" t="s">
        <v>123</v>
      </c>
      <c r="E75" s="73" t="s">
        <v>110</v>
      </c>
      <c r="F75" s="100">
        <v>47.0958623</v>
      </c>
      <c r="G75" s="100">
        <v>-52.9371814</v>
      </c>
      <c r="H75" s="37" t="s">
        <v>599</v>
      </c>
      <c r="I75" s="37" t="s">
        <v>1277</v>
      </c>
      <c r="J75" s="96" t="s">
        <v>639</v>
      </c>
      <c r="K75" s="37" t="s">
        <v>1230</v>
      </c>
      <c r="L75" s="55">
        <v>66</v>
      </c>
      <c r="M75" s="79">
        <v>1953</v>
      </c>
      <c r="N75" s="84">
        <v>2100</v>
      </c>
      <c r="O75" s="65"/>
      <c r="P75" s="77" t="s">
        <v>329</v>
      </c>
      <c r="Q75" s="65" t="s">
        <v>581</v>
      </c>
      <c r="R75" s="127">
        <v>6.26</v>
      </c>
      <c r="S75" s="227">
        <f>System!$C$7</f>
        <v>0.75</v>
      </c>
      <c r="T75" s="127">
        <f t="shared" si="4"/>
        <v>4.6950000000000003</v>
      </c>
      <c r="U75" s="210">
        <v>0.57640000000000002</v>
      </c>
      <c r="V75" s="211">
        <f t="shared" si="5"/>
        <v>31.608392640000005</v>
      </c>
      <c r="W75" s="37">
        <v>1</v>
      </c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2"/>
      <c r="AL75" s="57"/>
      <c r="AM75" s="57"/>
      <c r="AN75" s="57"/>
      <c r="AO75" s="57"/>
      <c r="AP75" s="57"/>
      <c r="AQ75" s="57"/>
      <c r="AR75" s="57"/>
      <c r="AS75" s="57"/>
      <c r="AT75" s="57"/>
      <c r="AU75" s="64"/>
    </row>
    <row r="76" spans="2:47" s="14" customFormat="1">
      <c r="B76" s="73" t="s">
        <v>120</v>
      </c>
      <c r="C76" s="37" t="s">
        <v>1327</v>
      </c>
      <c r="D76" s="73" t="s">
        <v>123</v>
      </c>
      <c r="E76" s="73" t="s">
        <v>129</v>
      </c>
      <c r="F76" s="100">
        <v>47.539496499999998</v>
      </c>
      <c r="G76" s="100">
        <v>-52.919056099999999</v>
      </c>
      <c r="H76" s="37" t="s">
        <v>599</v>
      </c>
      <c r="I76" s="37" t="s">
        <v>1277</v>
      </c>
      <c r="J76" s="96" t="s">
        <v>633</v>
      </c>
      <c r="K76" s="37" t="s">
        <v>1231</v>
      </c>
      <c r="L76" s="55">
        <v>66</v>
      </c>
      <c r="M76" s="79">
        <v>1932</v>
      </c>
      <c r="N76" s="84">
        <v>2100</v>
      </c>
      <c r="O76" s="65"/>
      <c r="P76" s="77" t="s">
        <v>329</v>
      </c>
      <c r="Q76" s="65" t="s">
        <v>581</v>
      </c>
      <c r="R76" s="127">
        <v>2.5499999999999998</v>
      </c>
      <c r="S76" s="227">
        <f>System!$C$7</f>
        <v>0.75</v>
      </c>
      <c r="T76" s="127">
        <f t="shared" si="4"/>
        <v>1.9124999999999999</v>
      </c>
      <c r="U76" s="210">
        <v>0.52079999999999993</v>
      </c>
      <c r="V76" s="211">
        <f t="shared" si="5"/>
        <v>11.633630399999998</v>
      </c>
      <c r="W76" s="37">
        <v>1</v>
      </c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2"/>
      <c r="AL76" s="57"/>
      <c r="AM76" s="57"/>
      <c r="AN76" s="57"/>
      <c r="AO76" s="57"/>
      <c r="AP76" s="57"/>
      <c r="AQ76" s="57"/>
      <c r="AR76" s="57"/>
      <c r="AS76" s="57"/>
      <c r="AT76" s="57"/>
      <c r="AU76" s="64"/>
    </row>
    <row r="77" spans="2:47" s="14" customFormat="1">
      <c r="B77" s="73" t="s">
        <v>113</v>
      </c>
      <c r="C77" s="37" t="s">
        <v>1304</v>
      </c>
      <c r="D77" s="73" t="s">
        <v>123</v>
      </c>
      <c r="E77" s="73" t="s">
        <v>130</v>
      </c>
      <c r="F77" s="100">
        <v>47.862778800000001</v>
      </c>
      <c r="G77" s="100">
        <v>-53.3757625</v>
      </c>
      <c r="H77" s="37" t="s">
        <v>599</v>
      </c>
      <c r="I77" s="37" t="s">
        <v>1277</v>
      </c>
      <c r="J77" s="96" t="s">
        <v>631</v>
      </c>
      <c r="K77" s="37" t="s">
        <v>1238</v>
      </c>
      <c r="L77" s="55">
        <v>66</v>
      </c>
      <c r="M77" s="79">
        <v>1960</v>
      </c>
      <c r="N77" s="84">
        <v>2100</v>
      </c>
      <c r="O77" s="65"/>
      <c r="P77" s="77" t="s">
        <v>329</v>
      </c>
      <c r="Q77" s="65" t="s">
        <v>581</v>
      </c>
      <c r="R77" s="127">
        <v>2.37</v>
      </c>
      <c r="S77" s="227">
        <f>System!$C$7</f>
        <v>0.75</v>
      </c>
      <c r="T77" s="127">
        <f t="shared" si="4"/>
        <v>1.7775000000000001</v>
      </c>
      <c r="U77" s="210">
        <v>0.39879999999999993</v>
      </c>
      <c r="V77" s="211">
        <f t="shared" si="5"/>
        <v>8.2795665599999992</v>
      </c>
      <c r="W77" s="37">
        <v>1</v>
      </c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2"/>
      <c r="AL77" s="57"/>
      <c r="AM77" s="57"/>
      <c r="AN77" s="57"/>
      <c r="AO77" s="57"/>
      <c r="AP77" s="57"/>
      <c r="AQ77" s="57"/>
      <c r="AR77" s="57"/>
      <c r="AS77" s="57"/>
      <c r="AT77" s="57"/>
      <c r="AU77" s="64"/>
    </row>
    <row r="78" spans="2:47" s="14" customFormat="1">
      <c r="B78" s="73" t="s">
        <v>114</v>
      </c>
      <c r="C78" s="37" t="s">
        <v>1307</v>
      </c>
      <c r="D78" s="73" t="s">
        <v>123</v>
      </c>
      <c r="E78" s="73" t="s">
        <v>129</v>
      </c>
      <c r="F78" s="100">
        <v>47.131957700000001</v>
      </c>
      <c r="G78" s="100">
        <v>-52.981625000000001</v>
      </c>
      <c r="H78" s="37" t="s">
        <v>599</v>
      </c>
      <c r="I78" s="37" t="s">
        <v>1277</v>
      </c>
      <c r="J78" s="96" t="s">
        <v>1150</v>
      </c>
      <c r="K78" s="37" t="s">
        <v>995</v>
      </c>
      <c r="L78" s="55">
        <v>66</v>
      </c>
      <c r="M78" s="79">
        <v>1953</v>
      </c>
      <c r="N78" s="84">
        <v>2100</v>
      </c>
      <c r="O78" s="65"/>
      <c r="P78" s="77" t="s">
        <v>329</v>
      </c>
      <c r="Q78" s="65" t="s">
        <v>581</v>
      </c>
      <c r="R78" s="127">
        <v>8.3000000000000007</v>
      </c>
      <c r="S78" s="227">
        <f>System!$C$7</f>
        <v>0.75</v>
      </c>
      <c r="T78" s="127">
        <f t="shared" si="4"/>
        <v>6.2250000000000005</v>
      </c>
      <c r="U78" s="210">
        <v>0.55000000000000004</v>
      </c>
      <c r="V78" s="211">
        <f t="shared" si="5"/>
        <v>39.989400000000003</v>
      </c>
      <c r="W78" s="37">
        <v>1</v>
      </c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2"/>
      <c r="AL78" s="57"/>
      <c r="AM78" s="57"/>
      <c r="AN78" s="57"/>
      <c r="AO78" s="57"/>
      <c r="AP78" s="57"/>
      <c r="AQ78" s="57"/>
      <c r="AR78" s="57"/>
      <c r="AS78" s="57"/>
      <c r="AT78" s="57"/>
      <c r="AU78" s="64"/>
    </row>
    <row r="79" spans="2:47" s="14" customFormat="1">
      <c r="B79" s="73" t="s">
        <v>322</v>
      </c>
      <c r="C79" s="37" t="s">
        <v>1308</v>
      </c>
      <c r="D79" s="73" t="s">
        <v>123</v>
      </c>
      <c r="E79" s="73" t="s">
        <v>131</v>
      </c>
      <c r="F79" s="100">
        <v>48.4008477</v>
      </c>
      <c r="G79" s="100">
        <v>-53.378628499999998</v>
      </c>
      <c r="H79" s="37" t="s">
        <v>599</v>
      </c>
      <c r="I79" s="37" t="s">
        <v>1277</v>
      </c>
      <c r="J79" s="96" t="s">
        <v>649</v>
      </c>
      <c r="K79" s="37" t="s">
        <v>1239</v>
      </c>
      <c r="L79" s="55">
        <v>66</v>
      </c>
      <c r="M79" s="79">
        <v>1956</v>
      </c>
      <c r="N79" s="84">
        <v>2100</v>
      </c>
      <c r="O79" s="65"/>
      <c r="P79" s="77" t="s">
        <v>329</v>
      </c>
      <c r="Q79" s="65" t="s">
        <v>581</v>
      </c>
      <c r="R79" s="127">
        <v>3.38</v>
      </c>
      <c r="S79" s="227">
        <f>System!$C$7</f>
        <v>0.75</v>
      </c>
      <c r="T79" s="127">
        <f t="shared" si="4"/>
        <v>2.5350000000000001</v>
      </c>
      <c r="U79" s="210">
        <v>0.37219999999999998</v>
      </c>
      <c r="V79" s="211">
        <f t="shared" si="5"/>
        <v>11.02039536</v>
      </c>
      <c r="W79" s="37">
        <v>2</v>
      </c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2"/>
      <c r="AL79" s="57"/>
      <c r="AM79" s="57"/>
      <c r="AN79" s="57"/>
      <c r="AO79" s="57"/>
      <c r="AP79" s="57"/>
      <c r="AQ79" s="57"/>
      <c r="AR79" s="57"/>
      <c r="AS79" s="57"/>
      <c r="AT79" s="57"/>
      <c r="AU79" s="64"/>
    </row>
    <row r="80" spans="2:47" s="14" customFormat="1">
      <c r="B80" s="73" t="s">
        <v>118</v>
      </c>
      <c r="C80" s="37" t="s">
        <v>1320</v>
      </c>
      <c r="D80" s="73" t="s">
        <v>123</v>
      </c>
      <c r="E80" s="73" t="s">
        <v>135</v>
      </c>
      <c r="F80" s="100">
        <v>47.651885900000003</v>
      </c>
      <c r="G80" s="100">
        <v>-58.713026399999997</v>
      </c>
      <c r="H80" s="37" t="s">
        <v>599</v>
      </c>
      <c r="I80" s="37" t="s">
        <v>1277</v>
      </c>
      <c r="J80" s="96" t="s">
        <v>724</v>
      </c>
      <c r="K80" s="37" t="s">
        <v>1240</v>
      </c>
      <c r="L80" s="55">
        <v>69</v>
      </c>
      <c r="M80" s="79">
        <v>1998</v>
      </c>
      <c r="N80" s="84">
        <v>2100</v>
      </c>
      <c r="O80" s="65"/>
      <c r="P80" s="77" t="s">
        <v>329</v>
      </c>
      <c r="Q80" s="65" t="s">
        <v>581</v>
      </c>
      <c r="R80" s="127">
        <v>5.96</v>
      </c>
      <c r="S80" s="227">
        <f>System!$C$7</f>
        <v>0.75</v>
      </c>
      <c r="T80" s="127">
        <f t="shared" si="4"/>
        <v>4.47</v>
      </c>
      <c r="U80" s="210">
        <v>0.52500000000000002</v>
      </c>
      <c r="V80" s="211">
        <f t="shared" si="5"/>
        <v>27.410040000000002</v>
      </c>
      <c r="W80" s="37">
        <v>1</v>
      </c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2"/>
      <c r="AL80" s="57"/>
      <c r="AM80" s="57"/>
      <c r="AN80" s="57"/>
      <c r="AO80" s="57"/>
      <c r="AP80" s="57"/>
      <c r="AQ80" s="57"/>
      <c r="AR80" s="57"/>
      <c r="AS80" s="57"/>
      <c r="AT80" s="57"/>
      <c r="AU80" s="64"/>
    </row>
    <row r="81" spans="1:47" s="14" customFormat="1">
      <c r="B81" s="73" t="s">
        <v>323</v>
      </c>
      <c r="C81" s="37" t="s">
        <v>1309</v>
      </c>
      <c r="D81" s="73" t="s">
        <v>123</v>
      </c>
      <c r="E81" s="73" t="s">
        <v>135</v>
      </c>
      <c r="F81" s="100">
        <v>48.366162699999997</v>
      </c>
      <c r="G81" s="100">
        <v>-58.293936600000002</v>
      </c>
      <c r="H81" s="37" t="s">
        <v>599</v>
      </c>
      <c r="I81" s="37" t="s">
        <v>1277</v>
      </c>
      <c r="J81" s="96" t="s">
        <v>837</v>
      </c>
      <c r="K81" s="37" t="s">
        <v>1241</v>
      </c>
      <c r="L81" s="55">
        <v>69</v>
      </c>
      <c r="M81" s="79">
        <v>1945</v>
      </c>
      <c r="N81" s="84">
        <v>2100</v>
      </c>
      <c r="O81" s="65"/>
      <c r="P81" s="77" t="s">
        <v>329</v>
      </c>
      <c r="Q81" s="65" t="s">
        <v>581</v>
      </c>
      <c r="R81" s="127">
        <v>6.15</v>
      </c>
      <c r="S81" s="227">
        <f>System!$C$7</f>
        <v>0.75</v>
      </c>
      <c r="T81" s="127">
        <f t="shared" si="4"/>
        <v>4.6125000000000007</v>
      </c>
      <c r="U81" s="210">
        <v>0.57059999999999989</v>
      </c>
      <c r="V81" s="211">
        <f t="shared" si="5"/>
        <v>30.740504399999999</v>
      </c>
      <c r="W81" s="37">
        <v>2</v>
      </c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2"/>
      <c r="AL81" s="57"/>
      <c r="AM81" s="57"/>
      <c r="AN81" s="57"/>
      <c r="AO81" s="57"/>
      <c r="AP81" s="57"/>
      <c r="AQ81" s="57"/>
      <c r="AR81" s="57"/>
      <c r="AS81" s="57"/>
      <c r="AT81" s="57"/>
      <c r="AU81" s="64"/>
    </row>
    <row r="82" spans="1:47" s="14" customFormat="1">
      <c r="B82" s="73" t="s">
        <v>115</v>
      </c>
      <c r="C82" s="37" t="s">
        <v>1310</v>
      </c>
      <c r="D82" s="73" t="s">
        <v>123</v>
      </c>
      <c r="E82" s="73" t="s">
        <v>115</v>
      </c>
      <c r="F82" s="100">
        <v>47.247861100000001</v>
      </c>
      <c r="G82" s="100">
        <v>-52.841805600000001</v>
      </c>
      <c r="H82" s="37" t="s">
        <v>599</v>
      </c>
      <c r="I82" s="37" t="s">
        <v>1277</v>
      </c>
      <c r="J82" s="96" t="s">
        <v>621</v>
      </c>
      <c r="K82" s="37" t="s">
        <v>1242</v>
      </c>
      <c r="L82" s="55">
        <v>66</v>
      </c>
      <c r="M82" s="79">
        <v>1950</v>
      </c>
      <c r="N82" s="84">
        <v>2100</v>
      </c>
      <c r="O82" s="65"/>
      <c r="P82" s="77" t="s">
        <v>329</v>
      </c>
      <c r="Q82" s="65" t="s">
        <v>581</v>
      </c>
      <c r="R82" s="127">
        <v>11.97</v>
      </c>
      <c r="S82" s="227">
        <f>System!$C$7</f>
        <v>0.75</v>
      </c>
      <c r="T82" s="127">
        <f t="shared" si="4"/>
        <v>8.9775000000000009</v>
      </c>
      <c r="U82" s="210">
        <v>0.45879999999999993</v>
      </c>
      <c r="V82" s="211">
        <f t="shared" si="5"/>
        <v>48.108483360000001</v>
      </c>
      <c r="W82" s="37">
        <v>1</v>
      </c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2"/>
      <c r="AL82" s="57"/>
      <c r="AM82" s="57"/>
      <c r="AN82" s="57"/>
      <c r="AO82" s="57"/>
      <c r="AP82" s="57"/>
      <c r="AQ82" s="57"/>
      <c r="AR82" s="57"/>
      <c r="AS82" s="57"/>
      <c r="AT82" s="57"/>
      <c r="AU82" s="64"/>
    </row>
    <row r="83" spans="1:47" s="14" customFormat="1">
      <c r="B83" s="73" t="s">
        <v>137</v>
      </c>
      <c r="C83" s="37" t="s">
        <v>1311</v>
      </c>
      <c r="D83" s="73" t="s">
        <v>123</v>
      </c>
      <c r="E83" s="73" t="s">
        <v>129</v>
      </c>
      <c r="F83" s="100">
        <v>47.253706999999999</v>
      </c>
      <c r="G83" s="100">
        <v>-52.935815699999999</v>
      </c>
      <c r="H83" s="37" t="s">
        <v>599</v>
      </c>
      <c r="I83" s="37" t="s">
        <v>1277</v>
      </c>
      <c r="J83" s="96" t="s">
        <v>1151</v>
      </c>
      <c r="K83" s="37" t="s">
        <v>996</v>
      </c>
      <c r="L83" s="55">
        <v>66</v>
      </c>
      <c r="M83" s="79">
        <v>1983</v>
      </c>
      <c r="N83" s="84">
        <v>2100</v>
      </c>
      <c r="O83" s="65"/>
      <c r="P83" s="77" t="s">
        <v>329</v>
      </c>
      <c r="Q83" s="65" t="s">
        <v>581</v>
      </c>
      <c r="R83" s="127">
        <v>1.1399999999999999</v>
      </c>
      <c r="S83" s="227">
        <f>System!$C$7</f>
        <v>0.75</v>
      </c>
      <c r="T83" s="127">
        <f t="shared" si="4"/>
        <v>0.85499999999999998</v>
      </c>
      <c r="U83" s="210">
        <v>0.5252</v>
      </c>
      <c r="V83" s="211">
        <f t="shared" si="5"/>
        <v>5.2448572799999997</v>
      </c>
      <c r="W83" s="37">
        <v>1</v>
      </c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2"/>
      <c r="AL83" s="57"/>
      <c r="AM83" s="57"/>
      <c r="AN83" s="57"/>
      <c r="AO83" s="57"/>
      <c r="AP83" s="57"/>
      <c r="AQ83" s="57"/>
      <c r="AR83" s="57"/>
      <c r="AS83" s="57"/>
      <c r="AT83" s="57"/>
      <c r="AU83" s="64"/>
    </row>
    <row r="84" spans="1:47" s="14" customFormat="1">
      <c r="B84" s="73" t="s">
        <v>116</v>
      </c>
      <c r="C84" s="37" t="s">
        <v>1312</v>
      </c>
      <c r="D84" s="73" t="s">
        <v>123</v>
      </c>
      <c r="E84" s="73" t="s">
        <v>130</v>
      </c>
      <c r="F84" s="100">
        <v>48.029186500000002</v>
      </c>
      <c r="G84" s="100">
        <v>-53.210363000000001</v>
      </c>
      <c r="H84" s="37" t="s">
        <v>599</v>
      </c>
      <c r="I84" s="37" t="s">
        <v>1277</v>
      </c>
      <c r="J84" s="96" t="s">
        <v>638</v>
      </c>
      <c r="K84" s="37" t="s">
        <v>1243</v>
      </c>
      <c r="L84" s="55">
        <v>66</v>
      </c>
      <c r="M84" s="79">
        <v>1956</v>
      </c>
      <c r="N84" s="84">
        <v>2100</v>
      </c>
      <c r="O84" s="65"/>
      <c r="P84" s="77" t="s">
        <v>329</v>
      </c>
      <c r="Q84" s="65" t="s">
        <v>581</v>
      </c>
      <c r="R84" s="127">
        <v>3.7</v>
      </c>
      <c r="S84" s="227">
        <f>System!$C$7</f>
        <v>0.75</v>
      </c>
      <c r="T84" s="127">
        <f t="shared" si="4"/>
        <v>2.7750000000000004</v>
      </c>
      <c r="U84" s="210">
        <v>0.44780000000000009</v>
      </c>
      <c r="V84" s="211">
        <f t="shared" si="5"/>
        <v>14.514093600000004</v>
      </c>
      <c r="W84" s="37">
        <v>1</v>
      </c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2"/>
      <c r="AL84" s="57"/>
      <c r="AM84" s="57"/>
      <c r="AN84" s="57"/>
      <c r="AO84" s="57"/>
      <c r="AP84" s="57"/>
      <c r="AQ84" s="57"/>
      <c r="AR84" s="57"/>
      <c r="AS84" s="57"/>
      <c r="AT84" s="57"/>
      <c r="AU84" s="64"/>
    </row>
    <row r="85" spans="1:47" s="14" customFormat="1">
      <c r="B85" s="73" t="s">
        <v>324</v>
      </c>
      <c r="C85" s="37" t="s">
        <v>1314</v>
      </c>
      <c r="D85" s="73" t="s">
        <v>123</v>
      </c>
      <c r="E85" s="73" t="s">
        <v>129</v>
      </c>
      <c r="F85" s="100">
        <v>47.465395000000001</v>
      </c>
      <c r="G85" s="100">
        <v>-52.712262199999998</v>
      </c>
      <c r="H85" s="37" t="s">
        <v>599</v>
      </c>
      <c r="I85" s="37" t="s">
        <v>1277</v>
      </c>
      <c r="J85" s="96" t="s">
        <v>705</v>
      </c>
      <c r="K85" s="37" t="s">
        <v>1245</v>
      </c>
      <c r="L85" s="55">
        <v>66</v>
      </c>
      <c r="M85" s="79">
        <v>1900</v>
      </c>
      <c r="N85" s="84">
        <v>2100</v>
      </c>
      <c r="O85" s="65"/>
      <c r="P85" s="77" t="s">
        <v>329</v>
      </c>
      <c r="Q85" s="65" t="s">
        <v>581</v>
      </c>
      <c r="R85" s="127">
        <v>5.31</v>
      </c>
      <c r="S85" s="227">
        <f>System!$C$7</f>
        <v>0.75</v>
      </c>
      <c r="T85" s="127">
        <f t="shared" si="4"/>
        <v>3.9824999999999999</v>
      </c>
      <c r="U85" s="210">
        <v>0.33299999999999996</v>
      </c>
      <c r="V85" s="211">
        <f t="shared" si="5"/>
        <v>15.489694799999997</v>
      </c>
      <c r="W85" s="37">
        <v>3</v>
      </c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2"/>
      <c r="AL85" s="57"/>
      <c r="AM85" s="57"/>
      <c r="AN85" s="57"/>
      <c r="AO85" s="57"/>
      <c r="AP85" s="57"/>
      <c r="AQ85" s="57"/>
      <c r="AR85" s="57"/>
      <c r="AS85" s="57"/>
      <c r="AT85" s="57"/>
      <c r="AU85" s="64"/>
    </row>
    <row r="86" spans="1:47">
      <c r="A86" s="14"/>
      <c r="B86" s="73" t="s">
        <v>325</v>
      </c>
      <c r="C86" s="37" t="s">
        <v>1315</v>
      </c>
      <c r="D86" s="73" t="s">
        <v>123</v>
      </c>
      <c r="E86" s="73" t="s">
        <v>129</v>
      </c>
      <c r="F86" s="100">
        <v>47.288375600000002</v>
      </c>
      <c r="G86" s="100">
        <v>-52.821027700000002</v>
      </c>
      <c r="H86" s="37" t="s">
        <v>599</v>
      </c>
      <c r="I86" s="37" t="s">
        <v>1277</v>
      </c>
      <c r="J86" s="96" t="s">
        <v>1152</v>
      </c>
      <c r="K86" s="37" t="s">
        <v>997</v>
      </c>
      <c r="L86" s="55">
        <v>66</v>
      </c>
      <c r="M86" s="79">
        <v>1931</v>
      </c>
      <c r="N86" s="84">
        <v>2100</v>
      </c>
      <c r="O86" s="65"/>
      <c r="P86" s="77" t="s">
        <v>329</v>
      </c>
      <c r="Q86" s="65" t="s">
        <v>581</v>
      </c>
      <c r="R86" s="127">
        <v>4.3</v>
      </c>
      <c r="S86" s="227">
        <f>System!$C$7</f>
        <v>0.75</v>
      </c>
      <c r="T86" s="127">
        <f t="shared" si="4"/>
        <v>3.2249999999999996</v>
      </c>
      <c r="U86" s="210">
        <v>0.6986</v>
      </c>
      <c r="V86" s="211">
        <f t="shared" si="5"/>
        <v>26.314864799999995</v>
      </c>
      <c r="W86" s="37">
        <v>1</v>
      </c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2"/>
      <c r="AL86" s="57"/>
      <c r="AM86" s="57"/>
      <c r="AN86" s="57"/>
      <c r="AO86" s="57"/>
      <c r="AP86" s="57"/>
      <c r="AQ86" s="57"/>
      <c r="AR86" s="57"/>
      <c r="AS86" s="57"/>
      <c r="AT86" s="57"/>
      <c r="AU86" s="64"/>
    </row>
    <row r="87" spans="1:47">
      <c r="A87" s="14"/>
      <c r="B87" s="73" t="s">
        <v>326</v>
      </c>
      <c r="C87" s="37" t="s">
        <v>1318</v>
      </c>
      <c r="D87" s="73" t="s">
        <v>123</v>
      </c>
      <c r="E87" s="73" t="s">
        <v>112</v>
      </c>
      <c r="F87" s="100">
        <v>49.067535700000001</v>
      </c>
      <c r="G87" s="100">
        <v>-55.298002400000001</v>
      </c>
      <c r="H87" s="37" t="s">
        <v>599</v>
      </c>
      <c r="I87" s="37" t="s">
        <v>1277</v>
      </c>
      <c r="J87" s="96" t="s">
        <v>715</v>
      </c>
      <c r="K87" s="37" t="s">
        <v>1247</v>
      </c>
      <c r="L87" s="55">
        <v>66</v>
      </c>
      <c r="M87" s="79">
        <v>1958</v>
      </c>
      <c r="N87" s="84">
        <v>2100</v>
      </c>
      <c r="O87" s="65"/>
      <c r="P87" s="77" t="s">
        <v>329</v>
      </c>
      <c r="Q87" s="65" t="s">
        <v>581</v>
      </c>
      <c r="R87" s="127">
        <v>11.1</v>
      </c>
      <c r="S87" s="227">
        <f>System!$C$7</f>
        <v>0.75</v>
      </c>
      <c r="T87" s="127">
        <f t="shared" si="4"/>
        <v>8.3249999999999993</v>
      </c>
      <c r="U87" s="210">
        <v>0.6502</v>
      </c>
      <c r="V87" s="211">
        <f t="shared" si="5"/>
        <v>63.22284719999999</v>
      </c>
      <c r="W87" s="37">
        <v>2</v>
      </c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2"/>
      <c r="AL87" s="57"/>
      <c r="AM87" s="57"/>
      <c r="AN87" s="57"/>
      <c r="AO87" s="57"/>
      <c r="AP87" s="57"/>
      <c r="AQ87" s="57"/>
      <c r="AR87" s="57"/>
      <c r="AS87" s="57"/>
      <c r="AT87" s="57"/>
      <c r="AU87" s="64"/>
    </row>
    <row r="88" spans="1:47" s="114" customFormat="1">
      <c r="A88" s="14"/>
      <c r="B88" s="73" t="s">
        <v>117</v>
      </c>
      <c r="C88" s="37" t="s">
        <v>1319</v>
      </c>
      <c r="D88" s="73" t="s">
        <v>123</v>
      </c>
      <c r="E88" s="73" t="s">
        <v>129</v>
      </c>
      <c r="F88" s="100">
        <v>47.210427099999997</v>
      </c>
      <c r="G88" s="100">
        <v>-52.895043100000002</v>
      </c>
      <c r="H88" s="37" t="s">
        <v>599</v>
      </c>
      <c r="I88" s="37" t="s">
        <v>1277</v>
      </c>
      <c r="J88" s="198" t="s">
        <v>860</v>
      </c>
      <c r="K88" s="37" t="s">
        <v>1248</v>
      </c>
      <c r="L88" s="55">
        <v>66</v>
      </c>
      <c r="M88" s="79">
        <v>1943</v>
      </c>
      <c r="N88" s="84">
        <v>2100</v>
      </c>
      <c r="O88" s="65"/>
      <c r="P88" s="77" t="s">
        <v>329</v>
      </c>
      <c r="Q88" s="65" t="s">
        <v>581</v>
      </c>
      <c r="R88" s="127">
        <v>3.25</v>
      </c>
      <c r="S88" s="227">
        <f>System!$C$7</f>
        <v>0.75</v>
      </c>
      <c r="T88" s="127">
        <f t="shared" si="4"/>
        <v>2.4375</v>
      </c>
      <c r="U88" s="210">
        <v>0.42159999999999997</v>
      </c>
      <c r="V88" s="211">
        <f t="shared" si="5"/>
        <v>12.002951999999999</v>
      </c>
      <c r="W88" s="37">
        <v>1</v>
      </c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2"/>
      <c r="AL88" s="57"/>
      <c r="AM88" s="57"/>
      <c r="AN88" s="57"/>
      <c r="AO88" s="57"/>
      <c r="AP88" s="57"/>
      <c r="AQ88" s="57"/>
      <c r="AR88" s="57"/>
      <c r="AS88" s="57"/>
      <c r="AT88" s="57"/>
      <c r="AU88" s="64"/>
    </row>
    <row r="89" spans="1:47">
      <c r="A89" s="14"/>
      <c r="B89" s="73" t="s">
        <v>119</v>
      </c>
      <c r="C89" s="37" t="s">
        <v>1321</v>
      </c>
      <c r="D89" s="73" t="s">
        <v>123</v>
      </c>
      <c r="E89" s="73" t="s">
        <v>112</v>
      </c>
      <c r="F89" s="100">
        <v>48.890993999999999</v>
      </c>
      <c r="G89" s="100">
        <v>-55.822780199999997</v>
      </c>
      <c r="H89" s="37" t="s">
        <v>599</v>
      </c>
      <c r="I89" s="37" t="s">
        <v>1277</v>
      </c>
      <c r="J89" s="96" t="s">
        <v>1147</v>
      </c>
      <c r="K89" s="37" t="s">
        <v>1000</v>
      </c>
      <c r="L89" s="55">
        <v>66</v>
      </c>
      <c r="M89" s="79">
        <v>1963</v>
      </c>
      <c r="N89" s="84">
        <v>2100</v>
      </c>
      <c r="O89" s="65"/>
      <c r="P89" s="77" t="s">
        <v>329</v>
      </c>
      <c r="Q89" s="65" t="s">
        <v>581</v>
      </c>
      <c r="R89" s="127">
        <v>5.53</v>
      </c>
      <c r="S89" s="227">
        <f>System!$C$7</f>
        <v>0.75</v>
      </c>
      <c r="T89" s="127">
        <f t="shared" si="4"/>
        <v>4.1475</v>
      </c>
      <c r="U89" s="210">
        <v>0.54940000000000011</v>
      </c>
      <c r="V89" s="211">
        <f t="shared" si="5"/>
        <v>26.61447432000001</v>
      </c>
      <c r="W89" s="37">
        <v>1</v>
      </c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2"/>
      <c r="AL89" s="57"/>
      <c r="AM89" s="57"/>
      <c r="AN89" s="57"/>
      <c r="AO89" s="57"/>
      <c r="AP89" s="57"/>
      <c r="AQ89" s="57"/>
      <c r="AR89" s="57"/>
      <c r="AS89" s="57"/>
      <c r="AT89" s="57"/>
      <c r="AU89" s="64"/>
    </row>
    <row r="90" spans="1:47">
      <c r="A90" s="14"/>
      <c r="B90" s="73" t="s">
        <v>258</v>
      </c>
      <c r="C90" s="37" t="s">
        <v>1322</v>
      </c>
      <c r="D90" s="73" t="s">
        <v>123</v>
      </c>
      <c r="E90" s="73" t="s">
        <v>129</v>
      </c>
      <c r="F90" s="100">
        <v>47.457432900000001</v>
      </c>
      <c r="G90" s="100">
        <v>-53.0678166</v>
      </c>
      <c r="H90" s="37" t="s">
        <v>599</v>
      </c>
      <c r="I90" s="37" t="s">
        <v>1277</v>
      </c>
      <c r="J90" s="96" t="s">
        <v>709</v>
      </c>
      <c r="K90" s="37" t="s">
        <v>1249</v>
      </c>
      <c r="L90" s="55">
        <v>66</v>
      </c>
      <c r="M90" s="79">
        <v>1924</v>
      </c>
      <c r="N90" s="84">
        <v>2100</v>
      </c>
      <c r="O90" s="65"/>
      <c r="P90" s="77" t="s">
        <v>329</v>
      </c>
      <c r="Q90" s="65" t="s">
        <v>581</v>
      </c>
      <c r="R90" s="127">
        <v>3.5</v>
      </c>
      <c r="S90" s="227">
        <f>System!$C$7</f>
        <v>0.75</v>
      </c>
      <c r="T90" s="127">
        <f t="shared" si="4"/>
        <v>2.625</v>
      </c>
      <c r="U90" s="210">
        <v>0.29320000000000002</v>
      </c>
      <c r="V90" s="211">
        <f t="shared" si="5"/>
        <v>8.9895120000000013</v>
      </c>
      <c r="W90" s="37">
        <v>2</v>
      </c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2"/>
      <c r="AL90" s="57"/>
      <c r="AM90" s="57"/>
      <c r="AN90" s="57"/>
      <c r="AO90" s="57"/>
      <c r="AP90" s="57"/>
      <c r="AQ90" s="57"/>
      <c r="AR90" s="57"/>
      <c r="AS90" s="57"/>
      <c r="AT90" s="57"/>
      <c r="AU90" s="64"/>
    </row>
    <row r="91" spans="1:47">
      <c r="A91" s="14"/>
      <c r="B91" s="73" t="s">
        <v>121</v>
      </c>
      <c r="C91" s="37" t="s">
        <v>1328</v>
      </c>
      <c r="D91" s="73" t="s">
        <v>123</v>
      </c>
      <c r="E91" s="73" t="s">
        <v>121</v>
      </c>
      <c r="F91" s="100">
        <v>47.210652600000003</v>
      </c>
      <c r="G91" s="100">
        <v>-52.848292999999998</v>
      </c>
      <c r="H91" s="37" t="s">
        <v>599</v>
      </c>
      <c r="I91" s="37" t="s">
        <v>1277</v>
      </c>
      <c r="J91" s="96" t="s">
        <v>707</v>
      </c>
      <c r="K91" s="37" t="s">
        <v>1004</v>
      </c>
      <c r="L91" s="55">
        <v>66</v>
      </c>
      <c r="M91" s="79">
        <v>1942</v>
      </c>
      <c r="N91" s="84">
        <v>2100</v>
      </c>
      <c r="O91" s="65"/>
      <c r="P91" s="77" t="s">
        <v>329</v>
      </c>
      <c r="Q91" s="65" t="s">
        <v>581</v>
      </c>
      <c r="R91" s="127">
        <v>6.5</v>
      </c>
      <c r="S91" s="227">
        <f>System!$C$7</f>
        <v>0.75</v>
      </c>
      <c r="T91" s="127">
        <f t="shared" si="4"/>
        <v>4.875</v>
      </c>
      <c r="U91" s="210">
        <v>0.43340000000000012</v>
      </c>
      <c r="V91" s="211">
        <f t="shared" si="5"/>
        <v>24.677796000000004</v>
      </c>
      <c r="W91" s="37">
        <v>3</v>
      </c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2"/>
      <c r="AL91" s="57"/>
      <c r="AM91" s="57"/>
      <c r="AN91" s="57"/>
      <c r="AO91" s="57"/>
      <c r="AP91" s="57"/>
      <c r="AQ91" s="57"/>
      <c r="AR91" s="57"/>
      <c r="AS91" s="57"/>
      <c r="AT91" s="57"/>
      <c r="AU91" s="64"/>
    </row>
    <row r="92" spans="1:47">
      <c r="A92" s="14"/>
      <c r="B92" s="78" t="s">
        <v>351</v>
      </c>
      <c r="C92" s="37" t="s">
        <v>1166</v>
      </c>
      <c r="D92" s="78" t="s">
        <v>101</v>
      </c>
      <c r="E92" s="78" t="s">
        <v>138</v>
      </c>
      <c r="F92" s="101">
        <v>47.385809999999999</v>
      </c>
      <c r="G92" s="101">
        <v>-53.127667000000002</v>
      </c>
      <c r="H92" s="37" t="s">
        <v>599</v>
      </c>
      <c r="I92" s="37" t="s">
        <v>1277</v>
      </c>
      <c r="J92" s="165" t="s">
        <v>1254</v>
      </c>
      <c r="K92" s="37" t="s">
        <v>994</v>
      </c>
      <c r="L92" s="57">
        <v>230</v>
      </c>
      <c r="M92" s="79">
        <v>1970</v>
      </c>
      <c r="N92" s="107">
        <v>2020</v>
      </c>
      <c r="O92" s="65"/>
      <c r="P92" s="107" t="s">
        <v>405</v>
      </c>
      <c r="Q92" s="65" t="s">
        <v>578</v>
      </c>
      <c r="R92" s="125">
        <v>170</v>
      </c>
      <c r="S92" s="227">
        <v>1</v>
      </c>
      <c r="T92" s="125">
        <f t="shared" si="4"/>
        <v>170</v>
      </c>
      <c r="U92" s="216">
        <v>0.25</v>
      </c>
      <c r="V92" s="217">
        <f t="shared" si="5"/>
        <v>372.3</v>
      </c>
      <c r="W92" s="37">
        <v>4</v>
      </c>
      <c r="X92" s="57"/>
      <c r="Y92" s="191">
        <v>10.39</v>
      </c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216">
        <v>0.1</v>
      </c>
      <c r="AL92" s="217">
        <v>8</v>
      </c>
      <c r="AM92" s="57"/>
      <c r="AN92" s="57"/>
      <c r="AO92" s="57"/>
      <c r="AP92" s="57"/>
      <c r="AQ92" s="57"/>
      <c r="AR92" s="57"/>
      <c r="AS92" s="57"/>
      <c r="AT92" s="57"/>
      <c r="AU92" s="64"/>
    </row>
    <row r="93" spans="1:47">
      <c r="A93" s="14"/>
      <c r="B93" s="78" t="s">
        <v>352</v>
      </c>
      <c r="C93" s="37" t="s">
        <v>1173</v>
      </c>
      <c r="D93" s="78" t="s">
        <v>101</v>
      </c>
      <c r="E93" s="78" t="s">
        <v>138</v>
      </c>
      <c r="F93" s="101">
        <v>47.385809999999999</v>
      </c>
      <c r="G93" s="101">
        <v>-53.127667000000002</v>
      </c>
      <c r="H93" s="37" t="s">
        <v>599</v>
      </c>
      <c r="I93" s="37" t="s">
        <v>1277</v>
      </c>
      <c r="J93" s="165" t="s">
        <v>1254</v>
      </c>
      <c r="K93" s="37" t="s">
        <v>994</v>
      </c>
      <c r="L93" s="57">
        <v>230</v>
      </c>
      <c r="M93" s="79">
        <v>1971</v>
      </c>
      <c r="N93" s="107">
        <v>2020</v>
      </c>
      <c r="O93" s="65"/>
      <c r="P93" s="107" t="s">
        <v>405</v>
      </c>
      <c r="Q93" s="65" t="s">
        <v>578</v>
      </c>
      <c r="R93" s="125">
        <v>170</v>
      </c>
      <c r="S93" s="227">
        <v>1</v>
      </c>
      <c r="T93" s="125">
        <f t="shared" si="4"/>
        <v>170</v>
      </c>
      <c r="U93" s="216">
        <v>0.25</v>
      </c>
      <c r="V93" s="217">
        <f t="shared" si="5"/>
        <v>372.3</v>
      </c>
      <c r="W93" s="37">
        <v>4</v>
      </c>
      <c r="X93" s="57"/>
      <c r="Y93" s="191">
        <v>10.39</v>
      </c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216">
        <v>0.05</v>
      </c>
      <c r="AL93" s="217">
        <v>8</v>
      </c>
      <c r="AM93" s="57"/>
      <c r="AN93" s="57"/>
      <c r="AO93" s="57"/>
      <c r="AP93" s="57"/>
      <c r="AQ93" s="57"/>
      <c r="AR93" s="57"/>
      <c r="AS93" s="57"/>
      <c r="AT93" s="57"/>
      <c r="AU93" s="64"/>
    </row>
    <row r="94" spans="1:47">
      <c r="A94" s="14"/>
      <c r="B94" s="78" t="s">
        <v>353</v>
      </c>
      <c r="C94" s="37" t="s">
        <v>1179</v>
      </c>
      <c r="D94" s="78" t="s">
        <v>101</v>
      </c>
      <c r="E94" s="78" t="s">
        <v>138</v>
      </c>
      <c r="F94" s="101">
        <v>47.385809999999999</v>
      </c>
      <c r="G94" s="101">
        <v>-53.127667000000002</v>
      </c>
      <c r="H94" s="37" t="s">
        <v>599</v>
      </c>
      <c r="I94" s="37" t="s">
        <v>1277</v>
      </c>
      <c r="J94" s="165" t="s">
        <v>1254</v>
      </c>
      <c r="K94" s="37" t="s">
        <v>994</v>
      </c>
      <c r="L94" s="57">
        <v>230</v>
      </c>
      <c r="M94" s="79">
        <v>1980</v>
      </c>
      <c r="N94" s="107">
        <v>2020</v>
      </c>
      <c r="O94" s="65"/>
      <c r="P94" s="107" t="s">
        <v>405</v>
      </c>
      <c r="Q94" s="65" t="s">
        <v>578</v>
      </c>
      <c r="R94" s="125">
        <v>150</v>
      </c>
      <c r="S94" s="227">
        <v>1</v>
      </c>
      <c r="T94" s="125">
        <f t="shared" si="4"/>
        <v>150</v>
      </c>
      <c r="U94" s="216">
        <v>0.25</v>
      </c>
      <c r="V94" s="217">
        <f t="shared" si="5"/>
        <v>328.5</v>
      </c>
      <c r="W94" s="37">
        <v>4</v>
      </c>
      <c r="X94" s="57"/>
      <c r="Y94" s="191">
        <v>10.39</v>
      </c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216">
        <v>7.0000000000000007E-2</v>
      </c>
      <c r="AL94" s="217">
        <v>8</v>
      </c>
      <c r="AM94" s="57"/>
      <c r="AN94" s="57"/>
      <c r="AO94" s="57"/>
      <c r="AP94" s="57"/>
      <c r="AQ94" s="57"/>
      <c r="AR94" s="57"/>
      <c r="AS94" s="57"/>
      <c r="AT94" s="57"/>
      <c r="AU94" s="64"/>
    </row>
    <row r="95" spans="1:47">
      <c r="A95" s="14"/>
      <c r="B95" s="110" t="s">
        <v>98</v>
      </c>
      <c r="C95" s="37" t="s">
        <v>1297</v>
      </c>
      <c r="D95" s="110" t="s">
        <v>99</v>
      </c>
      <c r="E95" s="110" t="s">
        <v>98</v>
      </c>
      <c r="F95" s="100">
        <v>46.969920399999999</v>
      </c>
      <c r="G95" s="100">
        <v>-52.970032799999998</v>
      </c>
      <c r="H95" s="37" t="s">
        <v>599</v>
      </c>
      <c r="I95" s="37" t="s">
        <v>1277</v>
      </c>
      <c r="J95" s="96" t="s">
        <v>713</v>
      </c>
      <c r="K95" s="37" t="s">
        <v>1233</v>
      </c>
      <c r="L95" s="55">
        <v>66</v>
      </c>
      <c r="M95" s="70">
        <v>2008</v>
      </c>
      <c r="N95" s="107">
        <v>2028</v>
      </c>
      <c r="O95" s="65"/>
      <c r="P95" s="107" t="s">
        <v>334</v>
      </c>
      <c r="Q95" s="65" t="s">
        <v>582</v>
      </c>
      <c r="R95" s="125">
        <v>27</v>
      </c>
      <c r="S95" s="227">
        <f>System!$C$10</f>
        <v>0.22</v>
      </c>
      <c r="T95" s="125">
        <f t="shared" si="4"/>
        <v>5.94</v>
      </c>
      <c r="U95" s="2">
        <v>0.35514967021816335</v>
      </c>
      <c r="V95" s="206">
        <f t="shared" si="5"/>
        <v>84</v>
      </c>
      <c r="W95" s="3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2"/>
      <c r="AL95" s="57"/>
      <c r="AM95" s="57"/>
      <c r="AN95" s="57"/>
      <c r="AO95" s="57"/>
      <c r="AP95" s="57"/>
      <c r="AQ95" s="57"/>
      <c r="AR95" s="57"/>
      <c r="AS95" s="57"/>
      <c r="AT95" s="57"/>
      <c r="AU95" s="64"/>
    </row>
    <row r="96" spans="1:47">
      <c r="A96" s="14"/>
      <c r="B96" s="110" t="s">
        <v>404</v>
      </c>
      <c r="C96" s="37" t="s">
        <v>1323</v>
      </c>
      <c r="D96" s="110" t="s">
        <v>141</v>
      </c>
      <c r="E96" s="110" t="s">
        <v>100</v>
      </c>
      <c r="F96" s="100">
        <v>46.950024900000003</v>
      </c>
      <c r="G96" s="100">
        <v>-55.429331099999999</v>
      </c>
      <c r="H96" s="37" t="s">
        <v>599</v>
      </c>
      <c r="I96" s="37" t="s">
        <v>1277</v>
      </c>
      <c r="J96" s="96" t="s">
        <v>663</v>
      </c>
      <c r="K96" s="37" t="s">
        <v>1250</v>
      </c>
      <c r="L96" s="55">
        <v>66</v>
      </c>
      <c r="M96" s="107">
        <v>2008</v>
      </c>
      <c r="N96" s="107">
        <v>2028</v>
      </c>
      <c r="O96" s="65"/>
      <c r="P96" s="107" t="s">
        <v>334</v>
      </c>
      <c r="Q96" s="65" t="s">
        <v>582</v>
      </c>
      <c r="R96" s="125">
        <v>27</v>
      </c>
      <c r="S96" s="227">
        <f>System!$C$10</f>
        <v>0.22</v>
      </c>
      <c r="T96" s="125">
        <f t="shared" si="4"/>
        <v>5.94</v>
      </c>
      <c r="U96" s="2">
        <v>0.44393708777270419</v>
      </c>
      <c r="V96" s="206">
        <f t="shared" si="5"/>
        <v>105</v>
      </c>
      <c r="W96" s="3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2"/>
      <c r="AL96" s="57"/>
      <c r="AM96" s="57"/>
      <c r="AN96" s="57"/>
      <c r="AO96" s="57"/>
      <c r="AP96" s="57"/>
      <c r="AQ96" s="57"/>
      <c r="AR96" s="57"/>
      <c r="AS96" s="57"/>
      <c r="AT96" s="57"/>
      <c r="AU96" s="66"/>
    </row>
    <row r="97" spans="1:57" s="40" customFormat="1">
      <c r="A97" s="14"/>
      <c r="B97" s="64"/>
      <c r="C97" s="64"/>
      <c r="D97" s="64"/>
      <c r="E97" s="64"/>
      <c r="F97" s="103"/>
      <c r="G97" s="103"/>
      <c r="H97" s="103"/>
      <c r="I97" s="103"/>
      <c r="J97" s="65"/>
      <c r="K97" s="65"/>
      <c r="L97" s="57"/>
      <c r="M97" s="65"/>
      <c r="N97" s="65"/>
      <c r="O97" s="65"/>
      <c r="P97" s="65"/>
      <c r="Q97" s="65"/>
      <c r="R97" s="121"/>
      <c r="S97" s="121"/>
      <c r="T97" s="121"/>
      <c r="U97" s="146"/>
      <c r="V97" s="146"/>
      <c r="W97" s="66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2"/>
      <c r="AL97" s="57"/>
      <c r="AM97" s="57"/>
      <c r="AN97" s="57"/>
      <c r="AO97" s="57"/>
      <c r="AP97" s="57"/>
      <c r="AQ97" s="57"/>
      <c r="AR97" s="57"/>
      <c r="AS97" s="57"/>
      <c r="AT97" s="57"/>
      <c r="AU97" s="66"/>
    </row>
    <row r="98" spans="1:57">
      <c r="A98" s="15"/>
      <c r="B98" s="75"/>
      <c r="C98" s="75"/>
      <c r="D98" s="75"/>
      <c r="E98" s="76"/>
      <c r="J98" s="114"/>
      <c r="K98" s="114"/>
      <c r="L98" s="114"/>
      <c r="M98" s="34"/>
      <c r="N98" s="34"/>
      <c r="O98" s="105"/>
      <c r="P98" s="34"/>
      <c r="Q98" s="34"/>
      <c r="R98" s="67"/>
      <c r="S98" s="193"/>
      <c r="T98" s="67"/>
      <c r="U98" s="150"/>
      <c r="V98" s="36"/>
      <c r="X98" s="31"/>
      <c r="Y98" s="114"/>
      <c r="Z98" s="24"/>
      <c r="AA98" s="114"/>
      <c r="AC98" s="114"/>
      <c r="AD98" s="4"/>
      <c r="AE98" s="4"/>
      <c r="AH98" s="114"/>
      <c r="AI98" s="114"/>
      <c r="AL98" s="109"/>
      <c r="AM98" s="4"/>
    </row>
    <row r="99" spans="1:57">
      <c r="A99" s="56" t="s">
        <v>589</v>
      </c>
      <c r="B99" s="75"/>
      <c r="C99" s="75"/>
      <c r="D99" s="75"/>
      <c r="E99" s="76"/>
      <c r="J99" s="114"/>
      <c r="K99" s="114"/>
      <c r="L99" s="114"/>
      <c r="M99" s="34"/>
      <c r="N99" s="34"/>
      <c r="O99" s="105"/>
      <c r="P99" s="34"/>
      <c r="Q99" s="34"/>
      <c r="R99" s="67"/>
      <c r="S99" s="193"/>
      <c r="T99" s="67"/>
      <c r="U99" s="150"/>
      <c r="V99" s="36"/>
      <c r="X99" s="31"/>
      <c r="Y99" s="114"/>
      <c r="Z99" s="24"/>
      <c r="AA99" s="114"/>
      <c r="AC99" s="114"/>
      <c r="AD99" s="4"/>
      <c r="AE99" s="4"/>
      <c r="AH99" s="114"/>
      <c r="AI99" s="114"/>
      <c r="AL99" s="109"/>
      <c r="AM99" s="4"/>
    </row>
    <row r="100" spans="1:57">
      <c r="A100" s="4" t="s">
        <v>590</v>
      </c>
      <c r="B100" s="75"/>
      <c r="C100" s="75"/>
      <c r="D100" s="75"/>
      <c r="E100" s="76"/>
      <c r="J100" s="114"/>
      <c r="K100" s="114"/>
      <c r="L100" s="114"/>
      <c r="M100" s="34"/>
      <c r="N100" s="34"/>
      <c r="O100" s="105"/>
      <c r="P100" s="34"/>
      <c r="Q100" s="34"/>
      <c r="R100" s="67"/>
      <c r="S100" s="193"/>
      <c r="T100" s="67"/>
      <c r="U100" s="150"/>
      <c r="V100" s="36"/>
      <c r="X100" s="31"/>
      <c r="Y100" s="114"/>
      <c r="Z100" s="24"/>
      <c r="AA100" s="114"/>
      <c r="AC100" s="114"/>
      <c r="AD100" s="4"/>
      <c r="AE100" s="4"/>
      <c r="AH100" s="114"/>
      <c r="AI100" s="114"/>
      <c r="AL100" s="109"/>
      <c r="AM100" s="4"/>
    </row>
    <row r="101" spans="1:57">
      <c r="B101" s="8"/>
      <c r="C101" s="75"/>
      <c r="D101" s="8"/>
      <c r="E101" s="34"/>
      <c r="F101" s="34"/>
      <c r="G101" s="34"/>
      <c r="H101" s="76"/>
      <c r="I101" s="76"/>
      <c r="J101" s="114"/>
      <c r="K101" s="114"/>
      <c r="L101" s="114"/>
      <c r="M101" s="34"/>
      <c r="N101" s="34"/>
      <c r="O101" s="114"/>
      <c r="P101" s="34"/>
      <c r="Q101" s="24"/>
      <c r="R101" s="24"/>
      <c r="S101" s="164"/>
      <c r="T101" s="36"/>
      <c r="U101" s="36"/>
      <c r="V101" s="36"/>
      <c r="W101" s="114"/>
      <c r="X101" s="31"/>
      <c r="Y101" s="114"/>
      <c r="Z101" s="24"/>
      <c r="AA101" s="114"/>
      <c r="AC101" s="114"/>
      <c r="AD101" s="4"/>
      <c r="AE101" s="4"/>
      <c r="AH101" s="114"/>
      <c r="AI101" s="114"/>
      <c r="AL101" s="109"/>
      <c r="AM101" s="6"/>
      <c r="AU101" s="7"/>
    </row>
    <row r="102" spans="1:57">
      <c r="A102" s="15"/>
      <c r="B102" s="75"/>
      <c r="C102" s="75"/>
      <c r="D102" s="75"/>
      <c r="E102" s="76"/>
      <c r="J102" s="114"/>
      <c r="K102" s="114"/>
      <c r="L102" s="114"/>
      <c r="M102" s="34"/>
      <c r="N102" s="34"/>
      <c r="O102" s="105"/>
      <c r="P102" s="34"/>
      <c r="Q102" s="34"/>
      <c r="R102" s="67"/>
      <c r="S102" s="193"/>
      <c r="T102" s="67"/>
      <c r="U102" s="150"/>
      <c r="V102" s="36"/>
      <c r="X102" s="31"/>
      <c r="Y102" s="114"/>
      <c r="Z102" s="24"/>
      <c r="AA102" s="114"/>
      <c r="AC102" s="114"/>
      <c r="AD102" s="4"/>
      <c r="AE102" s="4"/>
      <c r="AH102" s="114"/>
      <c r="AI102" s="114"/>
      <c r="AL102" s="109"/>
      <c r="AM102" s="6"/>
    </row>
    <row r="103" spans="1:57">
      <c r="A103" s="148" t="s">
        <v>585</v>
      </c>
      <c r="B103" s="11"/>
      <c r="C103" s="248"/>
      <c r="D103" s="11"/>
      <c r="E103" s="34"/>
      <c r="F103" s="34"/>
      <c r="G103" s="34"/>
      <c r="H103" s="34"/>
      <c r="I103" s="34"/>
      <c r="J103" s="114"/>
      <c r="K103" s="114"/>
      <c r="L103" s="114"/>
      <c r="M103" s="114"/>
      <c r="N103" s="34"/>
      <c r="O103" s="34"/>
      <c r="P103" s="34"/>
      <c r="Q103" s="34"/>
      <c r="R103" s="34"/>
      <c r="S103" s="114"/>
      <c r="T103" s="114"/>
      <c r="U103" s="34"/>
      <c r="V103" s="24"/>
      <c r="W103" s="34"/>
      <c r="X103" s="24"/>
      <c r="Y103" s="35"/>
      <c r="AD103" s="4"/>
      <c r="AE103" s="4"/>
      <c r="AH103" s="4"/>
      <c r="AM103" s="4"/>
    </row>
    <row r="104" spans="1:57" s="114" customFormat="1">
      <c r="A104" s="4" t="s">
        <v>586</v>
      </c>
      <c r="C104" s="102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</row>
    <row r="105" spans="1:57">
      <c r="A105" s="4" t="s">
        <v>584</v>
      </c>
      <c r="B105" s="8"/>
      <c r="C105" s="75"/>
      <c r="D105" s="8"/>
      <c r="E105" s="34"/>
      <c r="F105" s="34"/>
      <c r="G105" s="34"/>
      <c r="H105" s="34"/>
      <c r="I105" s="34"/>
      <c r="J105" s="114"/>
      <c r="K105" s="114"/>
      <c r="L105" s="114"/>
      <c r="M105" s="114"/>
      <c r="N105" s="34"/>
      <c r="O105" s="34"/>
      <c r="P105" s="34"/>
      <c r="Q105" s="34"/>
      <c r="R105" s="34"/>
      <c r="S105" s="114"/>
      <c r="T105" s="114"/>
      <c r="U105" s="34"/>
      <c r="V105" s="24"/>
      <c r="W105" s="34"/>
      <c r="X105" s="24"/>
      <c r="Y105" s="36"/>
      <c r="AD105" s="4"/>
      <c r="AE105" s="4"/>
      <c r="AH105" s="4"/>
      <c r="AM105" s="4"/>
    </row>
    <row r="106" spans="1:57">
      <c r="A106" s="4" t="s">
        <v>962</v>
      </c>
      <c r="B106" s="8"/>
      <c r="C106" s="75"/>
      <c r="D106" s="8"/>
      <c r="E106" s="34"/>
      <c r="F106" s="34"/>
      <c r="G106" s="34"/>
      <c r="H106" s="34"/>
      <c r="I106" s="34"/>
      <c r="J106" s="114"/>
      <c r="K106" s="114"/>
      <c r="L106" s="114"/>
      <c r="M106" s="114"/>
      <c r="N106" s="34"/>
      <c r="O106" s="34"/>
      <c r="P106" s="34"/>
      <c r="Q106" s="34"/>
      <c r="R106" s="34"/>
      <c r="S106" s="114"/>
      <c r="T106" s="114"/>
      <c r="U106" s="34"/>
      <c r="V106" s="24"/>
      <c r="W106" s="34"/>
      <c r="X106" s="24"/>
      <c r="Y106" s="36"/>
      <c r="AD106" s="4"/>
      <c r="AE106" s="4"/>
      <c r="AH106" s="4"/>
      <c r="AM106" s="4"/>
    </row>
    <row r="107" spans="1:57">
      <c r="A107" s="4" t="s">
        <v>587</v>
      </c>
      <c r="B107" s="8"/>
      <c r="C107" s="75"/>
      <c r="D107" s="8"/>
      <c r="E107" s="34"/>
      <c r="F107" s="34"/>
      <c r="G107" s="34"/>
      <c r="H107" s="34"/>
      <c r="I107" s="34"/>
      <c r="J107" s="114"/>
      <c r="K107" s="114"/>
      <c r="L107" s="114"/>
      <c r="M107" s="114"/>
      <c r="N107" s="34"/>
      <c r="O107" s="34"/>
      <c r="P107" s="34"/>
      <c r="Q107" s="34"/>
      <c r="R107" s="34"/>
      <c r="S107" s="114"/>
      <c r="T107" s="114"/>
      <c r="U107" s="34"/>
      <c r="V107" s="24"/>
      <c r="W107" s="34"/>
      <c r="X107" s="24"/>
      <c r="Y107" s="36"/>
      <c r="AD107" s="4"/>
      <c r="AE107" s="4"/>
      <c r="AH107" s="4"/>
      <c r="AM107" s="4"/>
    </row>
    <row r="108" spans="1:57">
      <c r="A108" s="153" t="s">
        <v>963</v>
      </c>
      <c r="D108" s="11"/>
      <c r="E108" s="11"/>
      <c r="F108" s="154"/>
      <c r="G108" s="4"/>
      <c r="H108" s="4"/>
      <c r="I108" s="4"/>
      <c r="J108" s="4"/>
      <c r="K108" s="114"/>
      <c r="L108" s="114"/>
      <c r="M108" s="114"/>
      <c r="N108" s="155"/>
      <c r="O108" s="32"/>
      <c r="P108" s="155"/>
      <c r="Q108" s="32"/>
      <c r="R108" s="32"/>
      <c r="S108" s="32"/>
      <c r="T108" s="32"/>
      <c r="U108" s="156"/>
      <c r="V108" s="156"/>
      <c r="W108" s="156"/>
      <c r="X108" s="156"/>
      <c r="Y108" s="154"/>
      <c r="AD108" s="4"/>
      <c r="AE108" s="4"/>
      <c r="AH108" s="4"/>
      <c r="AM108" s="4"/>
    </row>
    <row r="109" spans="1:57">
      <c r="A109" s="4" t="s">
        <v>375</v>
      </c>
      <c r="B109" s="12"/>
      <c r="C109" s="161"/>
      <c r="D109" s="12"/>
      <c r="E109" s="12"/>
      <c r="F109" s="12"/>
      <c r="G109" s="33"/>
      <c r="H109" s="33"/>
      <c r="I109" s="33"/>
      <c r="J109" s="33"/>
      <c r="K109" s="114"/>
      <c r="L109" s="114"/>
      <c r="M109" s="114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AD109" s="4"/>
      <c r="AE109" s="4"/>
      <c r="AH109" s="4"/>
      <c r="AM109" s="4"/>
    </row>
    <row r="110" spans="1:57">
      <c r="E110" s="4"/>
      <c r="F110" s="4"/>
      <c r="G110" s="4"/>
      <c r="H110" s="4"/>
      <c r="I110" s="4"/>
      <c r="J110" s="4"/>
      <c r="K110" s="114"/>
      <c r="L110" s="114"/>
      <c r="M110" s="114"/>
      <c r="N110" s="4"/>
      <c r="O110" s="4"/>
      <c r="Q110" s="12"/>
      <c r="S110" s="4"/>
      <c r="U110" s="4"/>
      <c r="X110" s="114"/>
      <c r="Y110" s="114"/>
      <c r="AD110" s="4"/>
      <c r="AE110" s="4"/>
      <c r="AH110" s="4"/>
      <c r="AM110" s="4"/>
    </row>
    <row r="111" spans="1:57">
      <c r="B111" s="27"/>
      <c r="C111" s="249"/>
      <c r="D111" s="27"/>
      <c r="E111" s="34"/>
      <c r="F111" s="24"/>
      <c r="G111" s="4"/>
      <c r="H111" s="4"/>
      <c r="I111" s="4"/>
      <c r="J111" s="4"/>
      <c r="K111" s="114"/>
      <c r="L111" s="114"/>
      <c r="M111" s="114"/>
      <c r="N111" s="34"/>
      <c r="O111" s="34"/>
      <c r="P111" s="25"/>
      <c r="Q111" s="4"/>
      <c r="S111" s="4"/>
      <c r="U111" s="4"/>
      <c r="X111" s="4"/>
      <c r="Z111" s="160"/>
      <c r="AA111" s="114"/>
      <c r="AB111" s="24"/>
      <c r="AE111" s="4"/>
      <c r="AH111" s="4"/>
      <c r="AI111" s="114"/>
      <c r="AJ111" s="114"/>
      <c r="AM111" s="4"/>
    </row>
    <row r="112" spans="1:57">
      <c r="B112" s="27"/>
      <c r="C112" s="249"/>
      <c r="D112" s="27"/>
      <c r="F112" s="24"/>
      <c r="G112" s="4"/>
      <c r="H112" s="4"/>
      <c r="I112" s="4"/>
      <c r="J112" s="4"/>
      <c r="K112" s="114"/>
      <c r="L112" s="114"/>
      <c r="M112" s="114"/>
      <c r="N112" s="34"/>
      <c r="O112" s="34"/>
      <c r="P112" s="25"/>
      <c r="Q112" s="4"/>
      <c r="S112" s="4"/>
      <c r="U112" s="4"/>
      <c r="X112" s="4"/>
      <c r="Z112" s="160"/>
      <c r="AA112" s="114"/>
      <c r="AB112" s="24"/>
      <c r="AE112" s="4"/>
      <c r="AH112" s="4"/>
      <c r="AI112" s="114"/>
      <c r="AJ112" s="114"/>
      <c r="AM112" s="4"/>
    </row>
    <row r="113" spans="1:46">
      <c r="B113" s="27"/>
      <c r="C113" s="249"/>
      <c r="D113" s="27"/>
      <c r="F113" s="24"/>
      <c r="G113" s="4"/>
      <c r="H113" s="4"/>
      <c r="I113" s="4"/>
      <c r="J113" s="4"/>
      <c r="K113" s="114"/>
      <c r="L113" s="114"/>
      <c r="M113" s="114"/>
      <c r="O113" s="7"/>
      <c r="P113" s="25"/>
      <c r="Q113" s="4"/>
      <c r="S113" s="4"/>
      <c r="U113" s="4"/>
      <c r="X113" s="4"/>
      <c r="Y113" s="29"/>
      <c r="Z113" s="160"/>
      <c r="AA113" s="114"/>
      <c r="AB113" s="24"/>
      <c r="AE113" s="4"/>
      <c r="AH113" s="4"/>
      <c r="AI113" s="114"/>
      <c r="AJ113" s="114"/>
      <c r="AK113" s="6"/>
      <c r="AM113" s="4"/>
      <c r="AN113" s="6"/>
    </row>
    <row r="114" spans="1:46">
      <c r="B114" s="27"/>
      <c r="C114" s="249"/>
      <c r="D114" s="27"/>
      <c r="E114" s="34"/>
      <c r="F114" s="24"/>
      <c r="G114" s="4"/>
      <c r="H114" s="4"/>
      <c r="I114" s="4"/>
      <c r="J114" s="4"/>
      <c r="K114" s="114"/>
      <c r="L114" s="114"/>
      <c r="M114" s="114"/>
      <c r="O114" s="7"/>
      <c r="P114" s="25"/>
      <c r="Q114" s="4"/>
      <c r="S114" s="4"/>
      <c r="U114" s="4"/>
      <c r="X114" s="4"/>
      <c r="Z114" s="160"/>
      <c r="AA114" s="114"/>
      <c r="AB114" s="24"/>
      <c r="AE114" s="4"/>
      <c r="AH114" s="4"/>
      <c r="AI114" s="114"/>
      <c r="AJ114" s="114"/>
      <c r="AK114" s="6"/>
      <c r="AM114" s="4"/>
      <c r="AN114" s="6"/>
    </row>
    <row r="115" spans="1:46">
      <c r="B115" s="27"/>
      <c r="C115" s="249"/>
      <c r="D115" s="27"/>
      <c r="E115" s="34"/>
      <c r="F115" s="7"/>
      <c r="G115" s="7"/>
      <c r="H115" s="7"/>
      <c r="I115" s="114"/>
      <c r="J115" s="114"/>
      <c r="K115" s="114"/>
      <c r="L115" s="114"/>
      <c r="M115" s="34"/>
      <c r="N115" s="34"/>
      <c r="O115" s="114"/>
      <c r="P115" s="34"/>
      <c r="R115" s="35"/>
      <c r="S115" s="35"/>
      <c r="T115" s="35"/>
      <c r="U115" s="35"/>
      <c r="V115" s="35"/>
      <c r="W115" s="35"/>
      <c r="X115" s="4"/>
      <c r="Z115" s="7"/>
      <c r="AC115" s="40"/>
      <c r="AD115" s="4"/>
      <c r="AE115" s="4"/>
      <c r="AH115" s="4"/>
      <c r="AI115" s="40"/>
      <c r="AL115" s="114"/>
      <c r="AM115" s="4"/>
      <c r="AN115" s="6"/>
    </row>
    <row r="116" spans="1:46" s="114" customFormat="1">
      <c r="A116" s="4"/>
      <c r="B116" s="27"/>
      <c r="C116" s="249"/>
      <c r="D116" s="27"/>
      <c r="E116" s="39"/>
      <c r="F116" s="7"/>
      <c r="G116" s="7"/>
      <c r="H116" s="7"/>
      <c r="M116" s="34"/>
      <c r="N116" s="34"/>
      <c r="Q116" s="34"/>
      <c r="Z116" s="39"/>
      <c r="AC116" s="40"/>
      <c r="AI116" s="40"/>
      <c r="AN116" s="4"/>
      <c r="AR116" s="4"/>
      <c r="AS116" s="4"/>
      <c r="AT116" s="4"/>
    </row>
    <row r="117" spans="1:46" s="114" customFormat="1">
      <c r="A117" s="4"/>
      <c r="B117" s="27"/>
      <c r="C117" s="249"/>
      <c r="D117" s="27"/>
      <c r="E117" s="39"/>
      <c r="F117" s="7"/>
      <c r="G117" s="7"/>
      <c r="H117" s="7"/>
      <c r="Q117" s="34"/>
      <c r="Z117" s="39"/>
      <c r="AC117" s="40"/>
      <c r="AI117" s="40"/>
      <c r="AN117" s="4"/>
      <c r="AR117" s="4"/>
      <c r="AS117" s="4"/>
      <c r="AT117" s="4"/>
    </row>
    <row r="118" spans="1:46" s="114" customFormat="1">
      <c r="A118" s="4"/>
      <c r="B118" s="27"/>
      <c r="C118" s="249"/>
      <c r="D118" s="27"/>
      <c r="E118" s="39"/>
      <c r="F118" s="7"/>
      <c r="G118" s="7"/>
      <c r="H118" s="7"/>
      <c r="Z118" s="39"/>
      <c r="AC118" s="40"/>
      <c r="AI118" s="40"/>
      <c r="AN118" s="4"/>
      <c r="AR118" s="4"/>
      <c r="AS118" s="4"/>
      <c r="AT118" s="4"/>
    </row>
    <row r="119" spans="1:46" s="114" customFormat="1">
      <c r="A119" s="4"/>
      <c r="B119" s="27"/>
      <c r="C119" s="249"/>
      <c r="D119" s="27"/>
      <c r="E119" s="39"/>
      <c r="F119" s="7"/>
      <c r="G119" s="7"/>
      <c r="H119" s="7"/>
      <c r="Z119" s="39"/>
      <c r="AN119" s="15"/>
      <c r="AR119" s="15"/>
      <c r="AS119" s="15"/>
      <c r="AT119" s="15"/>
    </row>
    <row r="120" spans="1:46" s="114" customFormat="1">
      <c r="A120" s="4"/>
      <c r="B120" s="27"/>
      <c r="C120" s="249"/>
      <c r="D120" s="27"/>
      <c r="E120" s="39"/>
      <c r="F120" s="7"/>
      <c r="G120" s="7"/>
      <c r="H120" s="7"/>
      <c r="Z120" s="39"/>
      <c r="AC120" s="40"/>
      <c r="AI120" s="40"/>
    </row>
    <row r="121" spans="1:46">
      <c r="B121" s="15"/>
      <c r="C121" s="14"/>
      <c r="F121" s="7"/>
      <c r="G121" s="7"/>
      <c r="H121" s="7"/>
      <c r="I121" s="114"/>
      <c r="J121" s="114"/>
      <c r="K121" s="114"/>
      <c r="L121" s="114"/>
      <c r="M121" s="114"/>
      <c r="N121" s="114"/>
      <c r="O121" s="114"/>
      <c r="Q121" s="114"/>
      <c r="S121" s="4"/>
      <c r="U121" s="4"/>
      <c r="X121" s="4"/>
      <c r="Z121" s="7"/>
      <c r="AC121" s="40"/>
      <c r="AD121" s="4"/>
      <c r="AE121" s="4"/>
      <c r="AH121" s="4"/>
      <c r="AI121" s="40"/>
      <c r="AL121" s="114"/>
      <c r="AM121" s="4"/>
      <c r="AN121" s="114"/>
      <c r="AR121" s="114"/>
      <c r="AS121" s="114"/>
      <c r="AT121" s="114"/>
    </row>
    <row r="122" spans="1:46">
      <c r="B122" s="27"/>
      <c r="C122" s="249"/>
      <c r="D122" s="27"/>
      <c r="F122" s="7"/>
      <c r="G122" s="7"/>
      <c r="H122" s="7"/>
      <c r="I122" s="114"/>
      <c r="J122" s="114"/>
      <c r="K122" s="114"/>
      <c r="L122" s="114"/>
      <c r="O122" s="114"/>
      <c r="Q122" s="114"/>
      <c r="S122" s="4"/>
      <c r="U122" s="4"/>
      <c r="X122" s="4"/>
      <c r="Z122" s="7"/>
      <c r="AC122" s="50"/>
      <c r="AD122" s="4"/>
      <c r="AE122" s="4"/>
      <c r="AH122" s="4"/>
      <c r="AI122" s="50"/>
      <c r="AL122" s="114"/>
      <c r="AM122" s="4"/>
      <c r="AN122" s="114"/>
      <c r="AR122" s="114"/>
      <c r="AS122" s="114"/>
      <c r="AT122" s="114"/>
    </row>
    <row r="123" spans="1:46">
      <c r="B123" s="27"/>
      <c r="C123" s="249"/>
      <c r="D123" s="27"/>
      <c r="F123" s="7"/>
      <c r="G123" s="7"/>
      <c r="H123" s="7"/>
      <c r="I123" s="114"/>
      <c r="J123" s="114"/>
      <c r="K123" s="114"/>
      <c r="L123" s="114"/>
      <c r="O123" s="114"/>
      <c r="S123" s="4"/>
      <c r="U123" s="4"/>
      <c r="X123" s="4"/>
      <c r="Z123" s="7"/>
      <c r="AC123" s="50"/>
      <c r="AD123" s="4"/>
      <c r="AE123" s="4"/>
      <c r="AH123" s="4"/>
      <c r="AI123" s="50"/>
      <c r="AL123" s="114"/>
      <c r="AM123" s="4"/>
    </row>
    <row r="124" spans="1:46">
      <c r="B124" s="27"/>
      <c r="C124" s="249"/>
      <c r="D124" s="27"/>
      <c r="F124" s="7"/>
      <c r="G124" s="7"/>
      <c r="H124" s="7"/>
      <c r="I124" s="114"/>
      <c r="J124" s="114"/>
      <c r="K124" s="114"/>
      <c r="L124" s="114"/>
      <c r="O124" s="114"/>
      <c r="S124" s="4"/>
      <c r="U124" s="4"/>
      <c r="X124" s="4"/>
      <c r="Z124" s="7"/>
      <c r="AC124" s="40"/>
      <c r="AD124" s="4"/>
      <c r="AE124" s="4"/>
      <c r="AH124" s="4"/>
      <c r="AI124" s="40"/>
      <c r="AL124" s="114"/>
      <c r="AM124" s="4"/>
    </row>
    <row r="125" spans="1:46">
      <c r="B125" s="27"/>
      <c r="C125" s="249"/>
      <c r="D125" s="27"/>
      <c r="F125" s="7"/>
      <c r="G125" s="7"/>
      <c r="H125" s="7"/>
      <c r="I125" s="114"/>
      <c r="J125" s="114"/>
      <c r="K125" s="114"/>
      <c r="L125" s="114"/>
      <c r="O125" s="114"/>
      <c r="S125" s="4"/>
      <c r="U125" s="4"/>
      <c r="X125" s="4"/>
      <c r="Z125" s="7"/>
      <c r="AC125" s="114"/>
      <c r="AD125" s="4"/>
      <c r="AE125" s="4"/>
      <c r="AH125" s="4"/>
      <c r="AI125" s="114"/>
      <c r="AL125" s="114"/>
      <c r="AM125" s="4"/>
    </row>
    <row r="126" spans="1:46">
      <c r="B126" s="27"/>
      <c r="C126" s="249"/>
      <c r="D126" s="27"/>
      <c r="F126" s="7"/>
      <c r="G126" s="7"/>
      <c r="H126" s="7"/>
      <c r="I126" s="114"/>
      <c r="J126" s="114"/>
      <c r="K126" s="114"/>
      <c r="L126" s="114"/>
      <c r="O126" s="114"/>
      <c r="S126" s="4"/>
      <c r="U126" s="4"/>
      <c r="X126" s="4"/>
      <c r="Z126" s="7"/>
      <c r="AC126" s="114"/>
      <c r="AD126" s="4"/>
      <c r="AE126" s="4"/>
      <c r="AH126" s="4"/>
      <c r="AI126" s="114"/>
      <c r="AL126" s="114"/>
      <c r="AM126" s="4"/>
    </row>
    <row r="127" spans="1:46">
      <c r="J127" s="114"/>
      <c r="K127" s="114"/>
      <c r="L127" s="114"/>
    </row>
    <row r="128" spans="1:46">
      <c r="J128" s="114"/>
      <c r="K128" s="114"/>
      <c r="L128" s="114"/>
    </row>
    <row r="129" spans="1:47">
      <c r="J129" s="114"/>
      <c r="K129" s="114"/>
      <c r="L129" s="114"/>
    </row>
    <row r="130" spans="1:47">
      <c r="J130" s="114"/>
      <c r="K130" s="114"/>
      <c r="L130" s="114"/>
    </row>
    <row r="131" spans="1:47">
      <c r="J131" s="114"/>
      <c r="K131" s="114"/>
      <c r="L131" s="114"/>
    </row>
    <row r="132" spans="1:47">
      <c r="J132" s="114"/>
      <c r="K132" s="114"/>
      <c r="L132" s="114"/>
    </row>
    <row r="133" spans="1:47">
      <c r="J133" s="114"/>
      <c r="K133" s="114"/>
      <c r="L133" s="114"/>
    </row>
    <row r="134" spans="1:47">
      <c r="J134" s="114"/>
      <c r="K134" s="114"/>
      <c r="L134" s="114"/>
    </row>
    <row r="135" spans="1:47">
      <c r="J135" s="114"/>
      <c r="K135" s="114"/>
      <c r="L135" s="114"/>
    </row>
    <row r="136" spans="1:47">
      <c r="J136" s="114"/>
      <c r="K136" s="114"/>
      <c r="L136" s="114"/>
    </row>
    <row r="137" spans="1:47">
      <c r="J137" s="114"/>
      <c r="K137" s="114"/>
      <c r="L137" s="114"/>
    </row>
    <row r="138" spans="1:47">
      <c r="A138" s="114"/>
      <c r="B138" s="114"/>
      <c r="C138" s="102"/>
      <c r="D138" s="114"/>
      <c r="E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02"/>
      <c r="T138" s="114"/>
      <c r="U138" s="102"/>
      <c r="V138" s="114"/>
      <c r="W138" s="114"/>
      <c r="AU138" s="114"/>
    </row>
    <row r="139" spans="1:47" s="7" customFormat="1">
      <c r="A139" s="114"/>
      <c r="B139" s="114"/>
      <c r="C139" s="102"/>
      <c r="D139" s="114"/>
      <c r="E139" s="114"/>
      <c r="F139" s="114"/>
      <c r="G139" s="114"/>
      <c r="H139" s="102"/>
      <c r="I139" s="102"/>
      <c r="J139" s="114"/>
      <c r="K139" s="114"/>
      <c r="L139" s="114"/>
      <c r="M139" s="114"/>
      <c r="N139" s="114"/>
      <c r="O139" s="114"/>
      <c r="P139" s="114"/>
      <c r="Q139" s="114"/>
      <c r="R139" s="114"/>
      <c r="S139" s="102"/>
      <c r="T139" s="114"/>
      <c r="U139" s="102"/>
      <c r="V139" s="114"/>
      <c r="W139" s="114"/>
      <c r="X139" s="14"/>
      <c r="Y139" s="4"/>
      <c r="Z139" s="4"/>
      <c r="AA139" s="4"/>
      <c r="AB139" s="4"/>
      <c r="AC139" s="4"/>
      <c r="AD139" s="114"/>
      <c r="AE139" s="114"/>
      <c r="AF139" s="4"/>
      <c r="AG139" s="4"/>
      <c r="AI139" s="4"/>
      <c r="AJ139" s="4"/>
      <c r="AK139" s="4"/>
      <c r="AL139" s="4"/>
      <c r="AM139" s="109"/>
      <c r="AN139" s="4"/>
      <c r="AO139" s="4"/>
      <c r="AP139" s="4"/>
      <c r="AQ139" s="4"/>
      <c r="AR139" s="4"/>
      <c r="AS139" s="4"/>
      <c r="AT139" s="4"/>
      <c r="AU139" s="114"/>
    </row>
    <row r="140" spans="1:47" s="7" customFormat="1">
      <c r="A140" s="4"/>
      <c r="B140" s="27"/>
      <c r="C140" s="249"/>
      <c r="D140" s="27"/>
      <c r="F140" s="114"/>
      <c r="G140" s="114"/>
      <c r="H140" s="102"/>
      <c r="I140" s="102"/>
      <c r="J140" s="114"/>
      <c r="K140" s="114"/>
      <c r="L140" s="114"/>
      <c r="O140" s="105"/>
      <c r="R140" s="24"/>
      <c r="S140" s="164"/>
      <c r="T140" s="24"/>
      <c r="U140" s="109"/>
      <c r="V140" s="4"/>
      <c r="W140" s="4"/>
      <c r="X140" s="14"/>
      <c r="Y140" s="4"/>
      <c r="Z140" s="4"/>
      <c r="AA140" s="4"/>
      <c r="AB140" s="4"/>
      <c r="AC140" s="4"/>
      <c r="AD140" s="114"/>
      <c r="AE140" s="114"/>
      <c r="AF140" s="4"/>
      <c r="AG140" s="4"/>
      <c r="AI140" s="4"/>
      <c r="AJ140" s="4"/>
      <c r="AK140" s="4"/>
      <c r="AL140" s="4"/>
      <c r="AM140" s="109"/>
      <c r="AN140" s="4"/>
      <c r="AO140" s="4"/>
      <c r="AP140" s="4"/>
      <c r="AQ140" s="4"/>
      <c r="AR140" s="4"/>
      <c r="AS140" s="4"/>
      <c r="AT140" s="4"/>
      <c r="AU140" s="4"/>
    </row>
    <row r="141" spans="1:47" s="7" customFormat="1">
      <c r="A141" s="4"/>
      <c r="B141" s="27"/>
      <c r="C141" s="249"/>
      <c r="D141" s="27"/>
      <c r="E141" s="34"/>
      <c r="F141" s="114"/>
      <c r="G141" s="114"/>
      <c r="H141" s="102"/>
      <c r="I141" s="102"/>
      <c r="J141" s="114"/>
      <c r="K141" s="114"/>
      <c r="L141" s="114"/>
      <c r="O141" s="105"/>
      <c r="P141" s="34"/>
      <c r="Q141" s="34"/>
      <c r="R141" s="24"/>
      <c r="S141" s="164"/>
      <c r="T141" s="24"/>
      <c r="U141" s="152"/>
      <c r="V141" s="29"/>
      <c r="W141" s="4"/>
      <c r="X141" s="14"/>
      <c r="Y141" s="4"/>
      <c r="Z141" s="4"/>
      <c r="AA141" s="4"/>
      <c r="AB141" s="4"/>
      <c r="AC141" s="4"/>
      <c r="AD141" s="114"/>
      <c r="AE141" s="114"/>
      <c r="AF141" s="4"/>
      <c r="AG141" s="4"/>
      <c r="AI141" s="4"/>
      <c r="AJ141" s="4"/>
      <c r="AK141" s="4"/>
      <c r="AL141" s="4"/>
      <c r="AM141" s="109"/>
      <c r="AN141" s="4"/>
      <c r="AO141" s="4"/>
      <c r="AP141" s="4"/>
      <c r="AQ141" s="4"/>
      <c r="AR141" s="4"/>
      <c r="AS141" s="4"/>
      <c r="AT141" s="4"/>
      <c r="AU141" s="4"/>
    </row>
    <row r="142" spans="1:47" s="7" customFormat="1">
      <c r="A142" s="4"/>
      <c r="B142" s="114"/>
      <c r="C142" s="102"/>
      <c r="D142" s="4"/>
      <c r="F142" s="114"/>
      <c r="G142" s="114"/>
      <c r="H142" s="102"/>
      <c r="I142" s="102"/>
      <c r="J142" s="114"/>
      <c r="K142" s="114"/>
      <c r="L142" s="114"/>
      <c r="M142" s="34"/>
      <c r="N142" s="34"/>
      <c r="O142" s="105"/>
      <c r="R142" s="24"/>
      <c r="S142" s="164"/>
      <c r="T142" s="24"/>
      <c r="U142" s="109"/>
      <c r="V142" s="4"/>
      <c r="W142" s="4"/>
      <c r="X142" s="14"/>
      <c r="Y142" s="4"/>
      <c r="Z142" s="4"/>
      <c r="AA142" s="4"/>
      <c r="AB142" s="4"/>
      <c r="AC142" s="4"/>
      <c r="AD142" s="114"/>
      <c r="AE142" s="114"/>
      <c r="AF142" s="4"/>
      <c r="AG142" s="4"/>
      <c r="AI142" s="4"/>
      <c r="AJ142" s="4"/>
      <c r="AK142" s="4"/>
      <c r="AL142" s="4"/>
      <c r="AM142" s="109"/>
      <c r="AN142" s="4"/>
      <c r="AO142" s="4"/>
      <c r="AP142" s="4"/>
      <c r="AQ142" s="4"/>
      <c r="AR142" s="4"/>
      <c r="AS142" s="4"/>
      <c r="AT142" s="4"/>
      <c r="AU142" s="4"/>
    </row>
    <row r="143" spans="1:47" s="7" customFormat="1">
      <c r="A143" s="4"/>
      <c r="B143" s="15"/>
      <c r="C143" s="14"/>
      <c r="D143" s="4"/>
      <c r="E143" s="34"/>
      <c r="F143" s="114"/>
      <c r="G143" s="114"/>
      <c r="H143" s="102"/>
      <c r="I143" s="102"/>
      <c r="J143" s="114"/>
      <c r="K143" s="114"/>
      <c r="L143" s="114"/>
      <c r="O143" s="105"/>
      <c r="P143" s="34"/>
      <c r="Q143" s="34"/>
      <c r="R143" s="24"/>
      <c r="S143" s="164"/>
      <c r="T143" s="24"/>
      <c r="U143" s="151"/>
      <c r="V143" s="35"/>
      <c r="W143" s="4"/>
      <c r="X143" s="14"/>
      <c r="Y143" s="4"/>
      <c r="Z143" s="4"/>
      <c r="AA143" s="4"/>
      <c r="AB143" s="4"/>
      <c r="AC143" s="4"/>
      <c r="AD143" s="114"/>
      <c r="AE143" s="114"/>
      <c r="AF143" s="4"/>
      <c r="AG143" s="4"/>
      <c r="AI143" s="4"/>
      <c r="AJ143" s="4"/>
      <c r="AK143" s="4"/>
      <c r="AL143" s="4"/>
      <c r="AM143" s="109"/>
      <c r="AN143" s="4"/>
      <c r="AO143" s="4"/>
      <c r="AP143" s="4"/>
      <c r="AQ143" s="4"/>
      <c r="AR143" s="4"/>
      <c r="AS143" s="4"/>
      <c r="AT143" s="4"/>
      <c r="AU143" s="4"/>
    </row>
    <row r="144" spans="1:47" s="7" customFormat="1">
      <c r="A144" s="4"/>
      <c r="B144" s="27"/>
      <c r="C144" s="249"/>
      <c r="D144" s="27"/>
      <c r="F144" s="114"/>
      <c r="G144" s="114"/>
      <c r="H144" s="102"/>
      <c r="I144" s="102"/>
      <c r="J144" s="114"/>
      <c r="K144" s="114"/>
      <c r="L144" s="114"/>
      <c r="M144" s="34"/>
      <c r="N144" s="34"/>
      <c r="O144" s="105"/>
      <c r="R144" s="24"/>
      <c r="S144" s="164"/>
      <c r="T144" s="24"/>
      <c r="U144" s="109"/>
      <c r="V144" s="4"/>
      <c r="W144" s="4"/>
      <c r="X144" s="14"/>
      <c r="Y144" s="4"/>
      <c r="Z144" s="4"/>
      <c r="AA144" s="4"/>
      <c r="AB144" s="4"/>
      <c r="AC144" s="4"/>
      <c r="AD144" s="114"/>
      <c r="AE144" s="114"/>
      <c r="AF144" s="4"/>
      <c r="AG144" s="4"/>
      <c r="AI144" s="4"/>
      <c r="AJ144" s="4"/>
      <c r="AK144" s="4"/>
      <c r="AL144" s="4"/>
      <c r="AM144" s="109"/>
      <c r="AN144" s="4"/>
      <c r="AO144" s="4"/>
      <c r="AP144" s="4"/>
      <c r="AQ144" s="4"/>
      <c r="AR144" s="4"/>
      <c r="AS144" s="4"/>
      <c r="AT144" s="4"/>
      <c r="AU144" s="4"/>
    </row>
    <row r="145" spans="1:47" s="7" customFormat="1">
      <c r="A145" s="4"/>
      <c r="B145" s="27"/>
      <c r="C145" s="249"/>
      <c r="D145" s="27"/>
      <c r="E145" s="34"/>
      <c r="F145" s="114"/>
      <c r="G145" s="114"/>
      <c r="H145" s="102"/>
      <c r="I145" s="102"/>
      <c r="J145" s="114"/>
      <c r="K145" s="114"/>
      <c r="L145" s="114"/>
      <c r="O145" s="105"/>
      <c r="P145" s="34"/>
      <c r="Q145" s="34"/>
      <c r="R145" s="24"/>
      <c r="S145" s="164"/>
      <c r="T145" s="24"/>
      <c r="U145" s="151"/>
      <c r="V145" s="35"/>
      <c r="W145" s="4"/>
      <c r="X145" s="14"/>
      <c r="Y145" s="4"/>
      <c r="Z145" s="4"/>
      <c r="AA145" s="4"/>
      <c r="AB145" s="4"/>
      <c r="AC145" s="4"/>
      <c r="AD145" s="114"/>
      <c r="AE145" s="114"/>
      <c r="AF145" s="4"/>
      <c r="AG145" s="4"/>
      <c r="AI145" s="4"/>
      <c r="AJ145" s="4"/>
      <c r="AK145" s="4"/>
      <c r="AL145" s="4"/>
      <c r="AM145" s="109"/>
      <c r="AN145" s="4"/>
      <c r="AO145" s="4"/>
      <c r="AP145" s="4"/>
      <c r="AQ145" s="4"/>
      <c r="AR145" s="4"/>
      <c r="AS145" s="4"/>
      <c r="AT145" s="4"/>
      <c r="AU145" s="4"/>
    </row>
    <row r="146" spans="1:47" s="7" customFormat="1">
      <c r="A146" s="4"/>
      <c r="B146" s="27"/>
      <c r="C146" s="249"/>
      <c r="D146" s="27"/>
      <c r="E146" s="34"/>
      <c r="F146" s="114"/>
      <c r="G146" s="114"/>
      <c r="H146" s="102"/>
      <c r="I146" s="102"/>
      <c r="J146" s="114"/>
      <c r="K146" s="114"/>
      <c r="L146" s="114"/>
      <c r="M146" s="34"/>
      <c r="N146" s="34"/>
      <c r="O146" s="104"/>
      <c r="P146" s="34"/>
      <c r="Q146" s="34"/>
      <c r="R146" s="35"/>
      <c r="S146" s="151"/>
      <c r="T146" s="35"/>
      <c r="U146" s="151"/>
      <c r="V146" s="35"/>
      <c r="W146" s="4"/>
      <c r="X146" s="14"/>
      <c r="Y146" s="4"/>
      <c r="Z146" s="4"/>
      <c r="AA146" s="4"/>
      <c r="AB146" s="4"/>
      <c r="AC146" s="4"/>
      <c r="AD146" s="114"/>
      <c r="AE146" s="114"/>
      <c r="AF146" s="4"/>
      <c r="AG146" s="4"/>
      <c r="AI146" s="4"/>
      <c r="AJ146" s="4"/>
      <c r="AK146" s="4"/>
      <c r="AL146" s="4"/>
      <c r="AM146" s="109"/>
      <c r="AN146" s="4"/>
      <c r="AO146" s="4"/>
      <c r="AP146" s="4"/>
      <c r="AQ146" s="4"/>
      <c r="AR146" s="4"/>
      <c r="AS146" s="4"/>
      <c r="AT146" s="4"/>
      <c r="AU146" s="4"/>
    </row>
    <row r="147" spans="1:47" s="7" customFormat="1">
      <c r="A147" s="4"/>
      <c r="B147" s="27"/>
      <c r="C147" s="249"/>
      <c r="D147" s="27"/>
      <c r="E147" s="39"/>
      <c r="F147" s="114"/>
      <c r="G147" s="114"/>
      <c r="H147" s="102"/>
      <c r="I147" s="102"/>
      <c r="J147" s="114"/>
      <c r="K147" s="114"/>
      <c r="L147" s="114"/>
      <c r="M147" s="34"/>
      <c r="N147" s="34"/>
      <c r="O147" s="102"/>
      <c r="P147" s="114"/>
      <c r="Q147" s="114"/>
      <c r="R147" s="114"/>
      <c r="S147" s="102"/>
      <c r="T147" s="114"/>
      <c r="U147" s="102"/>
      <c r="V147" s="114"/>
      <c r="W147" s="114"/>
      <c r="X147" s="14"/>
      <c r="Y147" s="4"/>
      <c r="Z147" s="4"/>
      <c r="AA147" s="4"/>
      <c r="AB147" s="4"/>
      <c r="AC147" s="4"/>
      <c r="AD147" s="114"/>
      <c r="AE147" s="114"/>
      <c r="AF147" s="4"/>
      <c r="AG147" s="4"/>
      <c r="AI147" s="4"/>
      <c r="AJ147" s="4"/>
      <c r="AK147" s="4"/>
      <c r="AL147" s="4"/>
      <c r="AM147" s="109"/>
      <c r="AN147" s="4"/>
      <c r="AO147" s="4"/>
      <c r="AP147" s="4"/>
      <c r="AQ147" s="4"/>
      <c r="AR147" s="4"/>
      <c r="AS147" s="4"/>
      <c r="AT147" s="4"/>
      <c r="AU147" s="114"/>
    </row>
    <row r="148" spans="1:47" s="7" customFormat="1">
      <c r="A148" s="4"/>
      <c r="B148" s="27"/>
      <c r="C148" s="249"/>
      <c r="D148" s="27"/>
      <c r="E148" s="39"/>
      <c r="F148" s="114"/>
      <c r="G148" s="114"/>
      <c r="H148" s="102"/>
      <c r="I148" s="102"/>
      <c r="J148" s="114"/>
      <c r="K148" s="114"/>
      <c r="L148" s="114"/>
      <c r="M148" s="114"/>
      <c r="N148" s="114"/>
      <c r="O148" s="102"/>
      <c r="P148" s="114"/>
      <c r="Q148" s="114"/>
      <c r="R148" s="114"/>
      <c r="S148" s="102"/>
      <c r="T148" s="114"/>
      <c r="U148" s="102"/>
      <c r="V148" s="114"/>
      <c r="W148" s="114"/>
      <c r="X148" s="14"/>
      <c r="Y148" s="4"/>
      <c r="Z148" s="4"/>
      <c r="AA148" s="4"/>
      <c r="AB148" s="4"/>
      <c r="AC148" s="4"/>
      <c r="AD148" s="114"/>
      <c r="AE148" s="114"/>
      <c r="AF148" s="4"/>
      <c r="AG148" s="4"/>
      <c r="AI148" s="4"/>
      <c r="AJ148" s="4"/>
      <c r="AK148" s="4"/>
      <c r="AL148" s="4"/>
      <c r="AM148" s="109"/>
      <c r="AN148" s="4"/>
      <c r="AO148" s="4"/>
      <c r="AP148" s="4"/>
      <c r="AQ148" s="4"/>
      <c r="AR148" s="4"/>
      <c r="AS148" s="4"/>
      <c r="AT148" s="4"/>
      <c r="AU148" s="114"/>
    </row>
    <row r="149" spans="1:47" s="7" customFormat="1">
      <c r="A149" s="4"/>
      <c r="B149" s="27"/>
      <c r="C149" s="249"/>
      <c r="D149" s="27"/>
      <c r="E149" s="39"/>
      <c r="F149" s="114"/>
      <c r="G149" s="114"/>
      <c r="H149" s="102"/>
      <c r="I149" s="102"/>
      <c r="J149" s="114"/>
      <c r="K149" s="114"/>
      <c r="L149" s="114"/>
      <c r="M149" s="114"/>
      <c r="N149" s="114"/>
      <c r="O149" s="102"/>
      <c r="P149" s="114"/>
      <c r="Q149" s="114"/>
      <c r="R149" s="114"/>
      <c r="S149" s="102"/>
      <c r="T149" s="114"/>
      <c r="U149" s="102"/>
      <c r="V149" s="114"/>
      <c r="W149" s="114"/>
      <c r="X149" s="14"/>
      <c r="Y149" s="4"/>
      <c r="Z149" s="4"/>
      <c r="AA149" s="4"/>
      <c r="AB149" s="4"/>
      <c r="AC149" s="4"/>
      <c r="AD149" s="114"/>
      <c r="AE149" s="114"/>
      <c r="AF149" s="4"/>
      <c r="AG149" s="4"/>
      <c r="AI149" s="4"/>
      <c r="AJ149" s="4"/>
      <c r="AK149" s="4"/>
      <c r="AL149" s="4"/>
      <c r="AM149" s="109"/>
      <c r="AN149" s="4"/>
      <c r="AO149" s="4"/>
      <c r="AP149" s="4"/>
      <c r="AQ149" s="4"/>
      <c r="AR149" s="4"/>
      <c r="AS149" s="4"/>
      <c r="AT149" s="4"/>
      <c r="AU149" s="114"/>
    </row>
    <row r="150" spans="1:47" s="7" customFormat="1">
      <c r="A150" s="4"/>
      <c r="B150" s="27"/>
      <c r="C150" s="249"/>
      <c r="D150" s="27"/>
      <c r="E150" s="39"/>
      <c r="F150" s="114"/>
      <c r="G150" s="114"/>
      <c r="H150" s="102"/>
      <c r="I150" s="102"/>
      <c r="J150" s="114"/>
      <c r="K150" s="114"/>
      <c r="L150" s="114"/>
      <c r="M150" s="114"/>
      <c r="N150" s="114"/>
      <c r="O150" s="102"/>
      <c r="P150" s="114"/>
      <c r="Q150" s="114"/>
      <c r="R150" s="114"/>
      <c r="S150" s="102"/>
      <c r="T150" s="114"/>
      <c r="U150" s="102"/>
      <c r="V150" s="114"/>
      <c r="W150" s="114"/>
      <c r="X150" s="14"/>
      <c r="Y150" s="4"/>
      <c r="Z150" s="4"/>
      <c r="AA150" s="4"/>
      <c r="AB150" s="4"/>
      <c r="AC150" s="4"/>
      <c r="AD150" s="114"/>
      <c r="AE150" s="114"/>
      <c r="AF150" s="4"/>
      <c r="AG150" s="4"/>
      <c r="AI150" s="4"/>
      <c r="AJ150" s="4"/>
      <c r="AK150" s="4"/>
      <c r="AL150" s="4"/>
      <c r="AM150" s="109"/>
      <c r="AN150" s="4"/>
      <c r="AO150" s="4"/>
      <c r="AP150" s="4"/>
      <c r="AQ150" s="4"/>
      <c r="AR150" s="4"/>
      <c r="AS150" s="4"/>
      <c r="AT150" s="4"/>
      <c r="AU150" s="114"/>
    </row>
    <row r="151" spans="1:47" s="7" customFormat="1">
      <c r="A151" s="4"/>
      <c r="B151" s="27"/>
      <c r="C151" s="249"/>
      <c r="D151" s="27"/>
      <c r="E151" s="39"/>
      <c r="F151" s="114"/>
      <c r="G151" s="114"/>
      <c r="H151" s="102"/>
      <c r="I151" s="102"/>
      <c r="J151" s="114"/>
      <c r="K151" s="114"/>
      <c r="L151" s="114"/>
      <c r="M151" s="114"/>
      <c r="N151" s="114"/>
      <c r="O151" s="102"/>
      <c r="P151" s="114"/>
      <c r="Q151" s="114"/>
      <c r="R151" s="114"/>
      <c r="S151" s="102"/>
      <c r="T151" s="114"/>
      <c r="U151" s="102"/>
      <c r="V151" s="114"/>
      <c r="W151" s="114"/>
      <c r="X151" s="14"/>
      <c r="Y151" s="4"/>
      <c r="Z151" s="4"/>
      <c r="AA151" s="4"/>
      <c r="AB151" s="4"/>
      <c r="AC151" s="4"/>
      <c r="AD151" s="114"/>
      <c r="AE151" s="114"/>
      <c r="AF151" s="4"/>
      <c r="AG151" s="4"/>
      <c r="AI151" s="4"/>
      <c r="AJ151" s="4"/>
      <c r="AK151" s="4"/>
      <c r="AL151" s="4"/>
      <c r="AM151" s="109"/>
      <c r="AN151" s="4"/>
      <c r="AO151" s="4"/>
      <c r="AP151" s="4"/>
      <c r="AQ151" s="4"/>
      <c r="AR151" s="4"/>
      <c r="AS151" s="4"/>
      <c r="AT151" s="4"/>
      <c r="AU151" s="114"/>
    </row>
    <row r="152" spans="1:47" s="7" customFormat="1">
      <c r="A152" s="4"/>
      <c r="B152" s="15"/>
      <c r="C152" s="14"/>
      <c r="D152" s="4"/>
      <c r="F152" s="114"/>
      <c r="G152" s="114"/>
      <c r="H152" s="102"/>
      <c r="I152" s="102"/>
      <c r="J152" s="114"/>
      <c r="K152" s="114"/>
      <c r="L152" s="114"/>
      <c r="M152" s="114"/>
      <c r="N152" s="114"/>
      <c r="O152" s="104"/>
      <c r="R152" s="4"/>
      <c r="S152" s="109"/>
      <c r="T152" s="4"/>
      <c r="U152" s="109"/>
      <c r="V152" s="4"/>
      <c r="W152" s="4"/>
      <c r="X152" s="14"/>
      <c r="Y152" s="4"/>
      <c r="Z152" s="4"/>
      <c r="AA152" s="4"/>
      <c r="AB152" s="4"/>
      <c r="AC152" s="4"/>
      <c r="AD152" s="114"/>
      <c r="AE152" s="114"/>
      <c r="AF152" s="4"/>
      <c r="AG152" s="4"/>
      <c r="AI152" s="4"/>
      <c r="AJ152" s="4"/>
      <c r="AK152" s="4"/>
      <c r="AL152" s="4"/>
      <c r="AM152" s="109"/>
      <c r="AN152" s="4"/>
      <c r="AO152" s="4"/>
      <c r="AP152" s="4"/>
      <c r="AQ152" s="4"/>
      <c r="AR152" s="4"/>
      <c r="AS152" s="4"/>
      <c r="AT152" s="4"/>
      <c r="AU152" s="4"/>
    </row>
    <row r="153" spans="1:47" s="7" customFormat="1">
      <c r="A153" s="4"/>
      <c r="B153" s="27"/>
      <c r="C153" s="249"/>
      <c r="D153" s="27"/>
      <c r="F153" s="114"/>
      <c r="G153" s="114"/>
      <c r="H153" s="102"/>
      <c r="I153" s="102"/>
      <c r="J153" s="114"/>
      <c r="K153" s="114"/>
      <c r="L153" s="114"/>
      <c r="O153" s="104"/>
      <c r="R153" s="4"/>
      <c r="S153" s="109"/>
      <c r="T153" s="4"/>
      <c r="U153" s="109"/>
      <c r="V153" s="4"/>
      <c r="W153" s="4"/>
      <c r="X153" s="14"/>
      <c r="Y153" s="4"/>
      <c r="Z153" s="4"/>
      <c r="AA153" s="4"/>
      <c r="AB153" s="4"/>
      <c r="AC153" s="4"/>
      <c r="AD153" s="114"/>
      <c r="AE153" s="114"/>
      <c r="AF153" s="4"/>
      <c r="AG153" s="4"/>
      <c r="AI153" s="4"/>
      <c r="AJ153" s="4"/>
      <c r="AK153" s="4"/>
      <c r="AL153" s="4"/>
      <c r="AM153" s="109"/>
      <c r="AN153" s="4"/>
      <c r="AO153" s="4"/>
      <c r="AP153" s="4"/>
      <c r="AQ153" s="4"/>
      <c r="AR153" s="4"/>
      <c r="AS153" s="4"/>
      <c r="AT153" s="4"/>
      <c r="AU153" s="4"/>
    </row>
    <row r="154" spans="1:47" s="7" customFormat="1">
      <c r="A154" s="4"/>
      <c r="B154" s="27"/>
      <c r="C154" s="249"/>
      <c r="D154" s="27"/>
      <c r="F154" s="114"/>
      <c r="G154" s="114"/>
      <c r="H154" s="102"/>
      <c r="I154" s="102"/>
      <c r="J154" s="114"/>
      <c r="K154" s="114"/>
      <c r="L154" s="114"/>
      <c r="O154" s="104"/>
      <c r="R154" s="4"/>
      <c r="S154" s="109"/>
      <c r="T154" s="4"/>
      <c r="U154" s="109"/>
      <c r="V154" s="4"/>
      <c r="W154" s="4"/>
      <c r="X154" s="14"/>
      <c r="Y154" s="4"/>
      <c r="Z154" s="4"/>
      <c r="AA154" s="4"/>
      <c r="AB154" s="4"/>
      <c r="AC154" s="4"/>
      <c r="AD154" s="114"/>
      <c r="AE154" s="114"/>
      <c r="AF154" s="4"/>
      <c r="AG154" s="4"/>
      <c r="AI154" s="4"/>
      <c r="AJ154" s="4"/>
      <c r="AK154" s="4"/>
      <c r="AL154" s="4"/>
      <c r="AM154" s="109"/>
      <c r="AN154" s="4"/>
      <c r="AO154" s="4"/>
      <c r="AP154" s="4"/>
      <c r="AQ154" s="4"/>
      <c r="AR154" s="4"/>
      <c r="AS154" s="4"/>
      <c r="AT154" s="4"/>
      <c r="AU154" s="4"/>
    </row>
    <row r="155" spans="1:47" s="7" customFormat="1">
      <c r="A155" s="4"/>
      <c r="B155" s="27"/>
      <c r="C155" s="249"/>
      <c r="D155" s="27"/>
      <c r="F155" s="114"/>
      <c r="G155" s="114"/>
      <c r="H155" s="102"/>
      <c r="I155" s="102"/>
      <c r="J155" s="114"/>
      <c r="K155" s="114"/>
      <c r="L155" s="114"/>
      <c r="O155" s="104"/>
      <c r="R155" s="4"/>
      <c r="S155" s="109"/>
      <c r="T155" s="4"/>
      <c r="U155" s="109"/>
      <c r="V155" s="4"/>
      <c r="W155" s="4"/>
      <c r="X155" s="14"/>
      <c r="Y155" s="4"/>
      <c r="Z155" s="4"/>
      <c r="AA155" s="4"/>
      <c r="AB155" s="4"/>
      <c r="AC155" s="4"/>
      <c r="AD155" s="114"/>
      <c r="AE155" s="114"/>
      <c r="AF155" s="4"/>
      <c r="AG155" s="4"/>
      <c r="AI155" s="4"/>
      <c r="AJ155" s="4"/>
      <c r="AK155" s="4"/>
      <c r="AL155" s="4"/>
      <c r="AM155" s="109"/>
      <c r="AN155" s="4"/>
      <c r="AO155" s="4"/>
      <c r="AP155" s="4"/>
      <c r="AQ155" s="4"/>
      <c r="AR155" s="4"/>
      <c r="AS155" s="4"/>
      <c r="AT155" s="4"/>
      <c r="AU155" s="4"/>
    </row>
    <row r="156" spans="1:47" s="7" customFormat="1">
      <c r="A156" s="4"/>
      <c r="B156" s="27"/>
      <c r="C156" s="249"/>
      <c r="D156" s="27"/>
      <c r="F156" s="114"/>
      <c r="G156" s="114"/>
      <c r="H156" s="102"/>
      <c r="I156" s="102"/>
      <c r="J156" s="114"/>
      <c r="K156" s="114"/>
      <c r="L156" s="114"/>
      <c r="O156" s="104"/>
      <c r="R156" s="4"/>
      <c r="S156" s="109"/>
      <c r="T156" s="4"/>
      <c r="U156" s="109"/>
      <c r="V156" s="4"/>
      <c r="W156" s="4"/>
      <c r="X156" s="14"/>
      <c r="Y156" s="4"/>
      <c r="Z156" s="4"/>
      <c r="AA156" s="4"/>
      <c r="AB156" s="4"/>
      <c r="AC156" s="4"/>
      <c r="AD156" s="114"/>
      <c r="AE156" s="114"/>
      <c r="AF156" s="4"/>
      <c r="AG156" s="4"/>
      <c r="AI156" s="4"/>
      <c r="AJ156" s="4"/>
      <c r="AK156" s="4"/>
      <c r="AL156" s="4"/>
      <c r="AM156" s="109"/>
      <c r="AN156" s="4"/>
      <c r="AO156" s="4"/>
      <c r="AP156" s="4"/>
      <c r="AQ156" s="4"/>
      <c r="AR156" s="4"/>
      <c r="AS156" s="4"/>
      <c r="AT156" s="4"/>
      <c r="AU156" s="4"/>
    </row>
    <row r="157" spans="1:47" s="7" customFormat="1">
      <c r="A157" s="4"/>
      <c r="B157" s="27"/>
      <c r="C157" s="249"/>
      <c r="D157" s="27"/>
      <c r="F157" s="114"/>
      <c r="G157" s="114"/>
      <c r="H157" s="102"/>
      <c r="I157" s="102"/>
      <c r="J157" s="114"/>
      <c r="K157" s="114"/>
      <c r="L157" s="114"/>
      <c r="O157" s="104"/>
      <c r="R157" s="4"/>
      <c r="S157" s="109"/>
      <c r="T157" s="4"/>
      <c r="U157" s="109"/>
      <c r="V157" s="4"/>
      <c r="W157" s="4"/>
      <c r="X157" s="14"/>
      <c r="Y157" s="4"/>
      <c r="Z157" s="4"/>
      <c r="AA157" s="4"/>
      <c r="AB157" s="4"/>
      <c r="AC157" s="4"/>
      <c r="AD157" s="114"/>
      <c r="AE157" s="114"/>
      <c r="AF157" s="4"/>
      <c r="AG157" s="4"/>
      <c r="AI157" s="4"/>
      <c r="AJ157" s="4"/>
      <c r="AK157" s="4"/>
      <c r="AL157" s="4"/>
      <c r="AM157" s="109"/>
      <c r="AN157" s="4"/>
      <c r="AO157" s="4"/>
      <c r="AP157" s="4"/>
      <c r="AQ157" s="4"/>
      <c r="AR157" s="4"/>
      <c r="AS157" s="4"/>
      <c r="AT157" s="4"/>
      <c r="AU157" s="4"/>
    </row>
    <row r="158" spans="1:47" s="7" customFormat="1">
      <c r="A158" s="4"/>
      <c r="B158" s="27"/>
      <c r="C158" s="249"/>
      <c r="D158" s="27"/>
      <c r="F158" s="114"/>
      <c r="G158" s="114"/>
      <c r="H158" s="102"/>
      <c r="I158" s="102"/>
      <c r="J158" s="114"/>
      <c r="K158" s="114"/>
      <c r="L158" s="114"/>
      <c r="O158" s="104"/>
      <c r="R158" s="4"/>
      <c r="S158" s="109"/>
      <c r="T158" s="4"/>
      <c r="U158" s="109"/>
      <c r="V158" s="4"/>
      <c r="W158" s="4"/>
      <c r="X158" s="14"/>
      <c r="Y158" s="4"/>
      <c r="Z158" s="4"/>
      <c r="AA158" s="4"/>
      <c r="AB158" s="4"/>
      <c r="AC158" s="4"/>
      <c r="AD158" s="114"/>
      <c r="AE158" s="114"/>
      <c r="AF158" s="4"/>
      <c r="AG158" s="4"/>
      <c r="AI158" s="4"/>
      <c r="AJ158" s="4"/>
      <c r="AK158" s="4"/>
      <c r="AL158" s="4"/>
      <c r="AM158" s="109"/>
      <c r="AN158" s="4"/>
      <c r="AO158" s="4"/>
      <c r="AP158" s="4"/>
      <c r="AQ158" s="4"/>
      <c r="AR158" s="4"/>
      <c r="AS158" s="4"/>
      <c r="AT158" s="4"/>
      <c r="AU158" s="4"/>
    </row>
    <row r="159" spans="1:47" s="7" customFormat="1">
      <c r="A159" s="4"/>
      <c r="B159" s="27"/>
      <c r="C159" s="249"/>
      <c r="D159" s="27"/>
      <c r="F159" s="114"/>
      <c r="G159" s="114"/>
      <c r="H159" s="102"/>
      <c r="I159" s="102"/>
      <c r="J159" s="114"/>
      <c r="K159" s="114"/>
      <c r="L159" s="114"/>
      <c r="O159" s="104"/>
      <c r="R159" s="4"/>
      <c r="S159" s="109"/>
      <c r="T159" s="4"/>
      <c r="U159" s="109"/>
      <c r="V159" s="4"/>
      <c r="W159" s="4"/>
      <c r="X159" s="14"/>
      <c r="Y159" s="4"/>
      <c r="Z159" s="4"/>
      <c r="AA159" s="4"/>
      <c r="AB159" s="4"/>
      <c r="AC159" s="4"/>
      <c r="AD159" s="114"/>
      <c r="AE159" s="114"/>
      <c r="AF159" s="4"/>
      <c r="AG159" s="4"/>
      <c r="AI159" s="4"/>
      <c r="AJ159" s="4"/>
      <c r="AK159" s="4"/>
      <c r="AL159" s="4"/>
      <c r="AM159" s="109"/>
      <c r="AN159" s="4"/>
      <c r="AO159" s="4"/>
      <c r="AP159" s="4"/>
      <c r="AQ159" s="4"/>
      <c r="AR159" s="4"/>
      <c r="AS159" s="4"/>
      <c r="AT159" s="4"/>
      <c r="AU159" s="4"/>
    </row>
    <row r="160" spans="1:47" s="7" customFormat="1">
      <c r="A160" s="4"/>
      <c r="B160" s="27"/>
      <c r="C160" s="249"/>
      <c r="D160" s="27"/>
      <c r="F160" s="114"/>
      <c r="G160" s="114"/>
      <c r="H160" s="102"/>
      <c r="I160" s="102"/>
      <c r="J160" s="114"/>
      <c r="K160" s="114"/>
      <c r="L160" s="114"/>
      <c r="O160" s="104"/>
      <c r="R160" s="4"/>
      <c r="S160" s="109"/>
      <c r="T160" s="4"/>
      <c r="U160" s="109"/>
      <c r="V160" s="4"/>
      <c r="W160" s="4"/>
      <c r="X160" s="14"/>
      <c r="Y160" s="4"/>
      <c r="Z160" s="4"/>
      <c r="AA160" s="4"/>
      <c r="AB160" s="4"/>
      <c r="AC160" s="4"/>
      <c r="AD160" s="114"/>
      <c r="AE160" s="114"/>
      <c r="AF160" s="4"/>
      <c r="AG160" s="4"/>
      <c r="AI160" s="4"/>
      <c r="AJ160" s="4"/>
      <c r="AK160" s="4"/>
      <c r="AL160" s="4"/>
      <c r="AM160" s="109"/>
      <c r="AN160" s="4"/>
      <c r="AO160" s="4"/>
      <c r="AP160" s="4"/>
      <c r="AQ160" s="4"/>
      <c r="AR160" s="4"/>
      <c r="AS160" s="4"/>
      <c r="AT160" s="4"/>
      <c r="AU160" s="4"/>
    </row>
    <row r="161" spans="1:47" s="7" customFormat="1">
      <c r="A161" s="4"/>
      <c r="B161" s="27"/>
      <c r="C161" s="249"/>
      <c r="D161" s="27"/>
      <c r="F161" s="114"/>
      <c r="G161" s="114"/>
      <c r="H161" s="102"/>
      <c r="I161" s="102"/>
      <c r="J161" s="114"/>
      <c r="K161" s="114"/>
      <c r="L161" s="114"/>
      <c r="O161" s="104"/>
      <c r="R161" s="4"/>
      <c r="S161" s="109"/>
      <c r="T161" s="4"/>
      <c r="U161" s="109"/>
      <c r="V161" s="4"/>
      <c r="W161" s="4"/>
      <c r="X161" s="14"/>
      <c r="Y161" s="4"/>
      <c r="Z161" s="4"/>
      <c r="AA161" s="4"/>
      <c r="AB161" s="4"/>
      <c r="AC161" s="4"/>
      <c r="AD161" s="114"/>
      <c r="AE161" s="114"/>
      <c r="AF161" s="4"/>
      <c r="AG161" s="4"/>
      <c r="AI161" s="4"/>
      <c r="AJ161" s="4"/>
      <c r="AK161" s="4"/>
      <c r="AL161" s="4"/>
      <c r="AM161" s="109"/>
      <c r="AN161" s="4"/>
      <c r="AO161" s="4"/>
      <c r="AP161" s="4"/>
      <c r="AQ161" s="4"/>
      <c r="AR161" s="4"/>
      <c r="AS161" s="4"/>
      <c r="AT161" s="4"/>
      <c r="AU161" s="4"/>
    </row>
    <row r="162" spans="1:47" s="7" customFormat="1">
      <c r="A162" s="4"/>
      <c r="B162" s="27"/>
      <c r="C162" s="249"/>
      <c r="D162" s="27"/>
      <c r="F162" s="114"/>
      <c r="G162" s="114"/>
      <c r="H162" s="102"/>
      <c r="I162" s="102"/>
      <c r="J162" s="114"/>
      <c r="K162" s="114"/>
      <c r="L162" s="114"/>
      <c r="O162" s="104"/>
      <c r="R162" s="4"/>
      <c r="S162" s="109"/>
      <c r="T162" s="4"/>
      <c r="U162" s="109"/>
      <c r="V162" s="4"/>
      <c r="W162" s="4"/>
      <c r="X162" s="14"/>
      <c r="Y162" s="4"/>
      <c r="Z162" s="4"/>
      <c r="AA162" s="4"/>
      <c r="AB162" s="4"/>
      <c r="AC162" s="4"/>
      <c r="AD162" s="114"/>
      <c r="AE162" s="114"/>
      <c r="AF162" s="4"/>
      <c r="AG162" s="4"/>
      <c r="AI162" s="4"/>
      <c r="AJ162" s="4"/>
      <c r="AK162" s="4"/>
      <c r="AL162" s="4"/>
      <c r="AM162" s="109"/>
      <c r="AN162" s="4"/>
      <c r="AO162" s="4"/>
      <c r="AP162" s="4"/>
      <c r="AQ162" s="4"/>
      <c r="AR162" s="4"/>
      <c r="AS162" s="4"/>
      <c r="AT162" s="4"/>
      <c r="AU162" s="4"/>
    </row>
    <row r="163" spans="1:47" s="7" customFormat="1">
      <c r="A163" s="4"/>
      <c r="B163" s="27"/>
      <c r="C163" s="249"/>
      <c r="D163" s="27"/>
      <c r="F163" s="114"/>
      <c r="G163" s="114"/>
      <c r="H163" s="102"/>
      <c r="I163" s="102"/>
      <c r="J163" s="114"/>
      <c r="K163" s="114"/>
      <c r="L163" s="114"/>
      <c r="O163" s="104"/>
      <c r="R163" s="4"/>
      <c r="S163" s="109"/>
      <c r="T163" s="4"/>
      <c r="U163" s="109"/>
      <c r="V163" s="4"/>
      <c r="W163" s="4"/>
      <c r="X163" s="14"/>
      <c r="Y163" s="4"/>
      <c r="Z163" s="4"/>
      <c r="AA163" s="4"/>
      <c r="AB163" s="4"/>
      <c r="AC163" s="4"/>
      <c r="AD163" s="114"/>
      <c r="AE163" s="114"/>
      <c r="AF163" s="4"/>
      <c r="AG163" s="4"/>
      <c r="AI163" s="4"/>
      <c r="AJ163" s="4"/>
      <c r="AK163" s="4"/>
      <c r="AL163" s="4"/>
      <c r="AM163" s="109"/>
      <c r="AN163" s="4"/>
      <c r="AO163" s="4"/>
      <c r="AP163" s="4"/>
      <c r="AQ163" s="4"/>
      <c r="AR163" s="4"/>
      <c r="AS163" s="4"/>
      <c r="AT163" s="4"/>
      <c r="AU163" s="4"/>
    </row>
    <row r="164" spans="1:47" s="7" customFormat="1">
      <c r="A164" s="4"/>
      <c r="B164" s="27"/>
      <c r="C164" s="249"/>
      <c r="D164" s="27"/>
      <c r="F164" s="114"/>
      <c r="G164" s="114"/>
      <c r="H164" s="102"/>
      <c r="I164" s="102"/>
      <c r="J164" s="114"/>
      <c r="K164" s="114"/>
      <c r="L164" s="114"/>
      <c r="O164" s="104"/>
      <c r="R164" s="4"/>
      <c r="S164" s="109"/>
      <c r="T164" s="4"/>
      <c r="U164" s="109"/>
      <c r="V164" s="4"/>
      <c r="W164" s="4"/>
      <c r="X164" s="14"/>
      <c r="Y164" s="4"/>
      <c r="Z164" s="4"/>
      <c r="AA164" s="4"/>
      <c r="AB164" s="4"/>
      <c r="AC164" s="4"/>
      <c r="AD164" s="114"/>
      <c r="AE164" s="114"/>
      <c r="AF164" s="4"/>
      <c r="AG164" s="4"/>
      <c r="AI164" s="4"/>
      <c r="AJ164" s="4"/>
      <c r="AK164" s="4"/>
      <c r="AL164" s="4"/>
      <c r="AM164" s="109"/>
      <c r="AN164" s="4"/>
      <c r="AO164" s="4"/>
      <c r="AP164" s="4"/>
      <c r="AQ164" s="4"/>
      <c r="AR164" s="4"/>
      <c r="AS164" s="4"/>
      <c r="AT164" s="4"/>
      <c r="AU164" s="4"/>
    </row>
    <row r="165" spans="1:47" s="7" customFormat="1">
      <c r="A165" s="4"/>
      <c r="B165" s="27"/>
      <c r="C165" s="249"/>
      <c r="D165" s="27"/>
      <c r="F165" s="114"/>
      <c r="G165" s="114"/>
      <c r="H165" s="102"/>
      <c r="I165" s="102"/>
      <c r="J165" s="114"/>
      <c r="K165" s="114"/>
      <c r="L165" s="114"/>
      <c r="O165" s="104"/>
      <c r="R165" s="4"/>
      <c r="S165" s="109"/>
      <c r="T165" s="4"/>
      <c r="U165" s="109"/>
      <c r="V165" s="4"/>
      <c r="W165" s="4"/>
      <c r="X165" s="14"/>
      <c r="Y165" s="4"/>
      <c r="Z165" s="4"/>
      <c r="AA165" s="4"/>
      <c r="AB165" s="4"/>
      <c r="AC165" s="4"/>
      <c r="AD165" s="114"/>
      <c r="AE165" s="114"/>
      <c r="AF165" s="4"/>
      <c r="AG165" s="4"/>
      <c r="AI165" s="4"/>
      <c r="AJ165" s="4"/>
      <c r="AK165" s="4"/>
      <c r="AL165" s="4"/>
      <c r="AM165" s="109"/>
      <c r="AN165" s="4"/>
      <c r="AO165" s="4"/>
      <c r="AP165" s="4"/>
      <c r="AQ165" s="4"/>
      <c r="AR165" s="4"/>
      <c r="AS165" s="4"/>
      <c r="AT165" s="4"/>
      <c r="AU165" s="4"/>
    </row>
    <row r="166" spans="1:47" s="7" customFormat="1">
      <c r="A166" s="4"/>
      <c r="B166" s="114"/>
      <c r="C166" s="102"/>
      <c r="D166" s="4"/>
      <c r="F166" s="114"/>
      <c r="G166" s="114"/>
      <c r="H166" s="102"/>
      <c r="I166" s="102"/>
      <c r="J166" s="114"/>
      <c r="K166" s="114"/>
      <c r="L166" s="114"/>
      <c r="O166" s="104"/>
      <c r="R166" s="4"/>
      <c r="S166" s="109"/>
      <c r="T166" s="4"/>
      <c r="U166" s="109"/>
      <c r="V166" s="4"/>
      <c r="W166" s="4"/>
      <c r="X166" s="14"/>
      <c r="Y166" s="4"/>
      <c r="Z166" s="4"/>
      <c r="AA166" s="4"/>
      <c r="AB166" s="4"/>
      <c r="AC166" s="4"/>
      <c r="AD166" s="114"/>
      <c r="AE166" s="114"/>
      <c r="AF166" s="4"/>
      <c r="AG166" s="4"/>
      <c r="AI166" s="4"/>
      <c r="AJ166" s="4"/>
      <c r="AK166" s="4"/>
      <c r="AL166" s="4"/>
      <c r="AM166" s="109"/>
      <c r="AN166" s="4"/>
      <c r="AO166" s="4"/>
      <c r="AP166" s="4"/>
      <c r="AQ166" s="4"/>
      <c r="AR166" s="4"/>
      <c r="AS166" s="4"/>
      <c r="AT166" s="4"/>
      <c r="AU166" s="4"/>
    </row>
    <row r="167" spans="1:47" s="7" customFormat="1">
      <c r="A167" s="4"/>
      <c r="B167" s="114"/>
      <c r="C167" s="102"/>
      <c r="D167" s="4"/>
      <c r="F167" s="114"/>
      <c r="G167" s="114"/>
      <c r="H167" s="102"/>
      <c r="I167" s="102"/>
      <c r="J167" s="114"/>
      <c r="K167" s="114"/>
      <c r="L167" s="114"/>
      <c r="O167" s="104"/>
      <c r="R167" s="4"/>
      <c r="S167" s="109"/>
      <c r="T167" s="4"/>
      <c r="U167" s="109"/>
      <c r="V167" s="4"/>
      <c r="W167" s="4"/>
      <c r="X167" s="14"/>
      <c r="Y167" s="4"/>
      <c r="Z167" s="4"/>
      <c r="AA167" s="4"/>
      <c r="AB167" s="4"/>
      <c r="AC167" s="4"/>
      <c r="AD167" s="114"/>
      <c r="AE167" s="114"/>
      <c r="AF167" s="4"/>
      <c r="AG167" s="4"/>
      <c r="AI167" s="4"/>
      <c r="AJ167" s="4"/>
      <c r="AK167" s="4"/>
      <c r="AL167" s="4"/>
      <c r="AM167" s="109"/>
      <c r="AN167" s="4"/>
      <c r="AO167" s="4"/>
      <c r="AP167" s="4"/>
      <c r="AQ167" s="4"/>
      <c r="AR167" s="4"/>
      <c r="AS167" s="4"/>
      <c r="AT167" s="4"/>
      <c r="AU167" s="4"/>
    </row>
    <row r="168" spans="1:47" s="7" customFormat="1">
      <c r="A168" s="4"/>
      <c r="B168" s="27"/>
      <c r="C168" s="249"/>
      <c r="D168" s="27"/>
      <c r="F168" s="114"/>
      <c r="G168" s="114"/>
      <c r="H168" s="102"/>
      <c r="I168" s="102"/>
      <c r="J168" s="114"/>
      <c r="K168" s="114"/>
      <c r="L168" s="114"/>
      <c r="O168" s="104"/>
      <c r="R168" s="4"/>
      <c r="S168" s="109"/>
      <c r="T168" s="4"/>
      <c r="U168" s="109"/>
      <c r="V168" s="4"/>
      <c r="W168" s="4"/>
      <c r="X168" s="14"/>
      <c r="Y168" s="4"/>
      <c r="Z168" s="4"/>
      <c r="AA168" s="4"/>
      <c r="AB168" s="4"/>
      <c r="AC168" s="4"/>
      <c r="AD168" s="114"/>
      <c r="AE168" s="114"/>
      <c r="AF168" s="4"/>
      <c r="AG168" s="4"/>
      <c r="AI168" s="4"/>
      <c r="AJ168" s="4"/>
      <c r="AK168" s="4"/>
      <c r="AL168" s="4"/>
      <c r="AM168" s="109"/>
      <c r="AN168" s="4"/>
      <c r="AO168" s="4"/>
      <c r="AP168" s="4"/>
      <c r="AQ168" s="4"/>
      <c r="AR168" s="4"/>
      <c r="AS168" s="4"/>
      <c r="AT168" s="4"/>
      <c r="AU168" s="4"/>
    </row>
    <row r="169" spans="1:47" s="7" customFormat="1">
      <c r="A169" s="4"/>
      <c r="B169" s="27"/>
      <c r="C169" s="249"/>
      <c r="D169" s="27"/>
      <c r="F169" s="114"/>
      <c r="G169" s="114"/>
      <c r="H169" s="102"/>
      <c r="I169" s="102"/>
      <c r="J169" s="114"/>
      <c r="K169" s="114"/>
      <c r="L169" s="114"/>
      <c r="O169" s="104"/>
      <c r="R169" s="4"/>
      <c r="S169" s="109"/>
      <c r="T169" s="4"/>
      <c r="U169" s="109"/>
      <c r="V169" s="4"/>
      <c r="W169" s="4"/>
      <c r="X169" s="14"/>
      <c r="Y169" s="4"/>
      <c r="Z169" s="4"/>
      <c r="AA169" s="4"/>
      <c r="AB169" s="4"/>
      <c r="AC169" s="4"/>
      <c r="AD169" s="114"/>
      <c r="AE169" s="114"/>
      <c r="AF169" s="4"/>
      <c r="AG169" s="4"/>
      <c r="AI169" s="4"/>
      <c r="AJ169" s="4"/>
      <c r="AK169" s="4"/>
      <c r="AL169" s="4"/>
      <c r="AM169" s="109"/>
      <c r="AN169" s="4"/>
      <c r="AO169" s="4"/>
      <c r="AP169" s="4"/>
      <c r="AQ169" s="4"/>
      <c r="AR169" s="4"/>
      <c r="AS169" s="4"/>
      <c r="AT169" s="4"/>
      <c r="AU169" s="4"/>
    </row>
    <row r="170" spans="1:47" s="7" customFormat="1">
      <c r="A170" s="4"/>
      <c r="B170" s="27"/>
      <c r="C170" s="249"/>
      <c r="D170" s="27"/>
      <c r="F170" s="114"/>
      <c r="G170" s="114"/>
      <c r="H170" s="102"/>
      <c r="I170" s="102"/>
      <c r="J170" s="114"/>
      <c r="K170" s="114"/>
      <c r="L170" s="114"/>
      <c r="O170" s="104"/>
      <c r="R170" s="4"/>
      <c r="S170" s="109"/>
      <c r="T170" s="4"/>
      <c r="U170" s="109"/>
      <c r="V170" s="4"/>
      <c r="W170" s="4"/>
      <c r="X170" s="14"/>
      <c r="Y170" s="4"/>
      <c r="Z170" s="4"/>
      <c r="AA170" s="4"/>
      <c r="AB170" s="4"/>
      <c r="AC170" s="4"/>
      <c r="AD170" s="114"/>
      <c r="AE170" s="114"/>
      <c r="AF170" s="4"/>
      <c r="AG170" s="4"/>
      <c r="AI170" s="4"/>
      <c r="AJ170" s="4"/>
      <c r="AK170" s="4"/>
      <c r="AL170" s="4"/>
      <c r="AM170" s="109"/>
      <c r="AN170" s="4"/>
      <c r="AO170" s="4"/>
      <c r="AP170" s="4"/>
      <c r="AQ170" s="4"/>
      <c r="AR170" s="4"/>
      <c r="AS170" s="4"/>
      <c r="AT170" s="4"/>
      <c r="AU170" s="4"/>
    </row>
    <row r="171" spans="1:47" s="7" customFormat="1">
      <c r="A171" s="4"/>
      <c r="B171" s="15"/>
      <c r="C171" s="14"/>
      <c r="D171" s="4"/>
      <c r="F171" s="114"/>
      <c r="G171" s="114"/>
      <c r="H171" s="102"/>
      <c r="I171" s="102"/>
      <c r="J171" s="114"/>
      <c r="K171" s="114"/>
      <c r="L171" s="114"/>
      <c r="O171" s="104"/>
      <c r="R171" s="4"/>
      <c r="S171" s="109"/>
      <c r="T171" s="4"/>
      <c r="U171" s="109"/>
      <c r="V171" s="4"/>
      <c r="W171" s="4"/>
      <c r="X171" s="14"/>
      <c r="Y171" s="4"/>
      <c r="Z171" s="4"/>
      <c r="AA171" s="4"/>
      <c r="AB171" s="4"/>
      <c r="AC171" s="4"/>
      <c r="AD171" s="114"/>
      <c r="AE171" s="114"/>
      <c r="AF171" s="4"/>
      <c r="AG171" s="4"/>
      <c r="AI171" s="4"/>
      <c r="AJ171" s="4"/>
      <c r="AK171" s="4"/>
      <c r="AL171" s="4"/>
      <c r="AM171" s="109"/>
      <c r="AN171" s="4"/>
      <c r="AO171" s="4"/>
      <c r="AP171" s="4"/>
      <c r="AQ171" s="4"/>
      <c r="AR171" s="4"/>
      <c r="AS171" s="4"/>
      <c r="AT171" s="4"/>
      <c r="AU171" s="4"/>
    </row>
    <row r="172" spans="1:47" s="7" customFormat="1">
      <c r="A172" s="4"/>
      <c r="B172" s="27"/>
      <c r="C172" s="249"/>
      <c r="D172" s="27"/>
      <c r="F172" s="114"/>
      <c r="G172" s="114"/>
      <c r="H172" s="102"/>
      <c r="I172" s="102"/>
      <c r="J172" s="114"/>
      <c r="K172" s="114"/>
      <c r="L172" s="114"/>
      <c r="O172" s="104"/>
      <c r="R172" s="4"/>
      <c r="S172" s="109"/>
      <c r="T172" s="4"/>
      <c r="U172" s="109"/>
      <c r="V172" s="4"/>
      <c r="W172" s="4"/>
      <c r="X172" s="14"/>
      <c r="Y172" s="4"/>
      <c r="Z172" s="4"/>
      <c r="AA172" s="4"/>
      <c r="AB172" s="4"/>
      <c r="AC172" s="4"/>
      <c r="AD172" s="114"/>
      <c r="AE172" s="114"/>
      <c r="AF172" s="4"/>
      <c r="AG172" s="4"/>
      <c r="AI172" s="4"/>
      <c r="AJ172" s="4"/>
      <c r="AK172" s="4"/>
      <c r="AL172" s="4"/>
      <c r="AM172" s="109"/>
      <c r="AN172" s="4"/>
      <c r="AO172" s="4"/>
      <c r="AP172" s="4"/>
      <c r="AQ172" s="4"/>
      <c r="AR172" s="4"/>
      <c r="AS172" s="4"/>
      <c r="AT172" s="4"/>
      <c r="AU172" s="4"/>
    </row>
    <row r="173" spans="1:47" s="7" customFormat="1">
      <c r="A173" s="4"/>
      <c r="B173" s="114"/>
      <c r="C173" s="102"/>
      <c r="D173" s="4"/>
      <c r="F173" s="114"/>
      <c r="G173" s="114"/>
      <c r="H173" s="102"/>
      <c r="I173" s="102"/>
      <c r="J173" s="114"/>
      <c r="K173" s="114"/>
      <c r="L173" s="114"/>
      <c r="O173" s="104"/>
      <c r="R173" s="4"/>
      <c r="S173" s="109"/>
      <c r="T173" s="4"/>
      <c r="U173" s="109"/>
      <c r="V173" s="4"/>
      <c r="W173" s="4"/>
      <c r="X173" s="14"/>
      <c r="Y173" s="4"/>
      <c r="Z173" s="4"/>
      <c r="AA173" s="4"/>
      <c r="AB173" s="4"/>
      <c r="AC173" s="4"/>
      <c r="AD173" s="114"/>
      <c r="AE173" s="114"/>
      <c r="AF173" s="4"/>
      <c r="AG173" s="4"/>
      <c r="AI173" s="4"/>
      <c r="AJ173" s="4"/>
      <c r="AK173" s="4"/>
      <c r="AL173" s="4"/>
      <c r="AM173" s="109"/>
      <c r="AN173" s="4"/>
      <c r="AO173" s="4"/>
      <c r="AP173" s="4"/>
      <c r="AQ173" s="4"/>
      <c r="AR173" s="4"/>
      <c r="AS173" s="4"/>
      <c r="AT173" s="4"/>
      <c r="AU173" s="4"/>
    </row>
    <row r="174" spans="1:47" s="7" customFormat="1">
      <c r="A174" s="4"/>
      <c r="B174" s="114"/>
      <c r="C174" s="102"/>
      <c r="D174" s="4"/>
      <c r="F174" s="114"/>
      <c r="G174" s="114"/>
      <c r="H174" s="102"/>
      <c r="I174" s="102"/>
      <c r="J174" s="114"/>
      <c r="K174" s="114"/>
      <c r="L174" s="114"/>
      <c r="O174" s="104"/>
      <c r="R174" s="4"/>
      <c r="S174" s="109"/>
      <c r="T174" s="4"/>
      <c r="U174" s="109"/>
      <c r="V174" s="4"/>
      <c r="W174" s="4"/>
      <c r="X174" s="14"/>
      <c r="Y174" s="4"/>
      <c r="Z174" s="4"/>
      <c r="AA174" s="4"/>
      <c r="AB174" s="4"/>
      <c r="AC174" s="4"/>
      <c r="AD174" s="114"/>
      <c r="AE174" s="114"/>
      <c r="AF174" s="4"/>
      <c r="AG174" s="4"/>
      <c r="AI174" s="4"/>
      <c r="AJ174" s="4"/>
      <c r="AK174" s="4"/>
      <c r="AL174" s="4"/>
      <c r="AM174" s="109"/>
      <c r="AN174" s="4"/>
      <c r="AO174" s="4"/>
      <c r="AP174" s="4"/>
      <c r="AQ174" s="4"/>
      <c r="AR174" s="4"/>
      <c r="AS174" s="4"/>
      <c r="AT174" s="4"/>
      <c r="AU174" s="4"/>
    </row>
    <row r="175" spans="1:47" s="7" customFormat="1">
      <c r="A175" s="4"/>
      <c r="B175" s="114"/>
      <c r="C175" s="102"/>
      <c r="D175" s="4"/>
      <c r="F175" s="114"/>
      <c r="G175" s="114"/>
      <c r="H175" s="102"/>
      <c r="I175" s="102"/>
      <c r="J175" s="114"/>
      <c r="K175" s="114"/>
      <c r="L175" s="114"/>
      <c r="O175" s="104"/>
      <c r="R175" s="4"/>
      <c r="S175" s="109"/>
      <c r="T175" s="4"/>
      <c r="U175" s="109"/>
      <c r="V175" s="4"/>
      <c r="W175" s="4"/>
      <c r="X175" s="14"/>
      <c r="Y175" s="4"/>
      <c r="Z175" s="4"/>
      <c r="AA175" s="4"/>
      <c r="AB175" s="4"/>
      <c r="AC175" s="4"/>
      <c r="AD175" s="114"/>
      <c r="AE175" s="114"/>
      <c r="AF175" s="4"/>
      <c r="AG175" s="4"/>
      <c r="AI175" s="4"/>
      <c r="AJ175" s="4"/>
      <c r="AK175" s="4"/>
      <c r="AL175" s="4"/>
      <c r="AM175" s="109"/>
      <c r="AN175" s="4"/>
      <c r="AO175" s="4"/>
      <c r="AP175" s="4"/>
      <c r="AQ175" s="4"/>
      <c r="AR175" s="4"/>
      <c r="AS175" s="4"/>
      <c r="AT175" s="4"/>
      <c r="AU175" s="4"/>
    </row>
    <row r="176" spans="1:47" s="7" customFormat="1">
      <c r="A176" s="4"/>
      <c r="B176" s="27"/>
      <c r="C176" s="249"/>
      <c r="D176" s="27"/>
      <c r="F176" s="114"/>
      <c r="G176" s="114"/>
      <c r="H176" s="102"/>
      <c r="I176" s="102"/>
      <c r="J176" s="114"/>
      <c r="K176" s="114"/>
      <c r="L176" s="114"/>
      <c r="O176" s="104"/>
      <c r="R176" s="4"/>
      <c r="S176" s="109"/>
      <c r="T176" s="4"/>
      <c r="U176" s="109"/>
      <c r="V176" s="4"/>
      <c r="W176" s="4"/>
      <c r="X176" s="14"/>
      <c r="Y176" s="4"/>
      <c r="Z176" s="4"/>
      <c r="AA176" s="4"/>
      <c r="AB176" s="4"/>
      <c r="AC176" s="4"/>
      <c r="AD176" s="114"/>
      <c r="AE176" s="114"/>
      <c r="AF176" s="4"/>
      <c r="AG176" s="4"/>
      <c r="AI176" s="4"/>
      <c r="AJ176" s="4"/>
      <c r="AK176" s="4"/>
      <c r="AL176" s="4"/>
      <c r="AM176" s="109"/>
      <c r="AN176" s="4"/>
      <c r="AO176" s="4"/>
      <c r="AP176" s="4"/>
      <c r="AQ176" s="4"/>
      <c r="AR176" s="4"/>
      <c r="AS176" s="4"/>
      <c r="AT176" s="4"/>
      <c r="AU176" s="4"/>
    </row>
    <row r="177" spans="1:47" s="7" customFormat="1">
      <c r="A177" s="4"/>
      <c r="B177" s="27"/>
      <c r="C177" s="249"/>
      <c r="D177" s="27"/>
      <c r="F177" s="114"/>
      <c r="G177" s="114"/>
      <c r="H177" s="102"/>
      <c r="I177" s="102"/>
      <c r="J177" s="114"/>
      <c r="K177" s="114"/>
      <c r="L177" s="114"/>
      <c r="O177" s="104"/>
      <c r="R177" s="4"/>
      <c r="S177" s="109"/>
      <c r="T177" s="4"/>
      <c r="U177" s="109"/>
      <c r="V177" s="4"/>
      <c r="W177" s="4"/>
      <c r="X177" s="14"/>
      <c r="Y177" s="4"/>
      <c r="Z177" s="4"/>
      <c r="AA177" s="4"/>
      <c r="AB177" s="4"/>
      <c r="AC177" s="4"/>
      <c r="AD177" s="114"/>
      <c r="AE177" s="114"/>
      <c r="AF177" s="4"/>
      <c r="AG177" s="4"/>
      <c r="AI177" s="4"/>
      <c r="AJ177" s="4"/>
      <c r="AK177" s="4"/>
      <c r="AL177" s="4"/>
      <c r="AM177" s="109"/>
      <c r="AN177" s="4"/>
      <c r="AO177" s="4"/>
      <c r="AP177" s="4"/>
      <c r="AQ177" s="4"/>
      <c r="AR177" s="4"/>
      <c r="AS177" s="4"/>
      <c r="AT177" s="4"/>
      <c r="AU177" s="4"/>
    </row>
    <row r="178" spans="1:47" s="7" customFormat="1">
      <c r="A178" s="4"/>
      <c r="B178" s="27"/>
      <c r="C178" s="249"/>
      <c r="D178" s="27"/>
      <c r="F178" s="114"/>
      <c r="G178" s="114"/>
      <c r="H178" s="102"/>
      <c r="I178" s="102"/>
      <c r="J178" s="114"/>
      <c r="K178" s="114"/>
      <c r="L178" s="114"/>
      <c r="O178" s="104"/>
      <c r="R178" s="4"/>
      <c r="S178" s="109"/>
      <c r="T178" s="4"/>
      <c r="U178" s="109"/>
      <c r="V178" s="4"/>
      <c r="W178" s="4"/>
      <c r="X178" s="14"/>
      <c r="Y178" s="4"/>
      <c r="Z178" s="4"/>
      <c r="AA178" s="4"/>
      <c r="AB178" s="4"/>
      <c r="AC178" s="4"/>
      <c r="AD178" s="114"/>
      <c r="AE178" s="114"/>
      <c r="AF178" s="4"/>
      <c r="AG178" s="4"/>
      <c r="AI178" s="4"/>
      <c r="AJ178" s="4"/>
      <c r="AK178" s="4"/>
      <c r="AL178" s="4"/>
      <c r="AM178" s="109"/>
      <c r="AN178" s="4"/>
      <c r="AO178" s="4"/>
      <c r="AP178" s="4"/>
      <c r="AQ178" s="4"/>
      <c r="AR178" s="4"/>
      <c r="AS178" s="4"/>
      <c r="AT178" s="4"/>
      <c r="AU178" s="4"/>
    </row>
    <row r="179" spans="1:47" s="7" customFormat="1">
      <c r="A179" s="4"/>
      <c r="B179" s="27"/>
      <c r="C179" s="249"/>
      <c r="D179" s="27"/>
      <c r="F179" s="114"/>
      <c r="G179" s="114"/>
      <c r="H179" s="102"/>
      <c r="I179" s="102"/>
      <c r="J179" s="114"/>
      <c r="K179" s="114"/>
      <c r="L179" s="114"/>
      <c r="O179" s="104"/>
      <c r="R179" s="4"/>
      <c r="S179" s="109"/>
      <c r="T179" s="4"/>
      <c r="U179" s="109"/>
      <c r="V179" s="4"/>
      <c r="W179" s="4"/>
      <c r="X179" s="14"/>
      <c r="Y179" s="4"/>
      <c r="Z179" s="4"/>
      <c r="AA179" s="4"/>
      <c r="AB179" s="4"/>
      <c r="AC179" s="4"/>
      <c r="AD179" s="114"/>
      <c r="AE179" s="114"/>
      <c r="AF179" s="4"/>
      <c r="AG179" s="4"/>
      <c r="AI179" s="4"/>
      <c r="AJ179" s="4"/>
      <c r="AK179" s="4"/>
      <c r="AL179" s="4"/>
      <c r="AM179" s="109"/>
      <c r="AN179" s="4"/>
      <c r="AO179" s="4"/>
      <c r="AP179" s="4"/>
      <c r="AQ179" s="4"/>
      <c r="AR179" s="4"/>
      <c r="AS179" s="4"/>
      <c r="AT179" s="4"/>
      <c r="AU179" s="4"/>
    </row>
    <row r="180" spans="1:47" s="7" customFormat="1">
      <c r="A180" s="4"/>
      <c r="B180" s="27"/>
      <c r="C180" s="249"/>
      <c r="D180" s="27"/>
      <c r="F180" s="114"/>
      <c r="G180" s="114"/>
      <c r="H180" s="102"/>
      <c r="I180" s="102"/>
      <c r="J180" s="114"/>
      <c r="K180" s="114"/>
      <c r="L180" s="114"/>
      <c r="O180" s="104"/>
      <c r="R180" s="4"/>
      <c r="S180" s="109"/>
      <c r="T180" s="4"/>
      <c r="U180" s="109"/>
      <c r="V180" s="4"/>
      <c r="W180" s="4"/>
      <c r="X180" s="14"/>
      <c r="Y180" s="4"/>
      <c r="Z180" s="4"/>
      <c r="AA180" s="4"/>
      <c r="AB180" s="4"/>
      <c r="AC180" s="4"/>
      <c r="AD180" s="114"/>
      <c r="AE180" s="114"/>
      <c r="AF180" s="4"/>
      <c r="AG180" s="4"/>
      <c r="AI180" s="4"/>
      <c r="AJ180" s="4"/>
      <c r="AK180" s="4"/>
      <c r="AL180" s="4"/>
      <c r="AM180" s="109"/>
      <c r="AN180" s="4"/>
      <c r="AO180" s="4"/>
      <c r="AP180" s="4"/>
      <c r="AQ180" s="4"/>
      <c r="AR180" s="4"/>
      <c r="AS180" s="4"/>
      <c r="AT180" s="4"/>
      <c r="AU180" s="4"/>
    </row>
    <row r="181" spans="1:47" s="7" customFormat="1">
      <c r="A181" s="4"/>
      <c r="B181" s="27"/>
      <c r="C181" s="249"/>
      <c r="D181" s="27"/>
      <c r="F181" s="114"/>
      <c r="G181" s="114"/>
      <c r="H181" s="102"/>
      <c r="I181" s="102"/>
      <c r="J181" s="114"/>
      <c r="K181" s="114"/>
      <c r="L181" s="114"/>
      <c r="O181" s="104"/>
      <c r="R181" s="4"/>
      <c r="S181" s="109"/>
      <c r="T181" s="4"/>
      <c r="U181" s="109"/>
      <c r="V181" s="4"/>
      <c r="W181" s="4"/>
      <c r="X181" s="14"/>
      <c r="Y181" s="4"/>
      <c r="Z181" s="4"/>
      <c r="AA181" s="4"/>
      <c r="AB181" s="4"/>
      <c r="AC181" s="4"/>
      <c r="AD181" s="114"/>
      <c r="AE181" s="114"/>
      <c r="AF181" s="4"/>
      <c r="AG181" s="4"/>
      <c r="AI181" s="4"/>
      <c r="AJ181" s="4"/>
      <c r="AK181" s="4"/>
      <c r="AL181" s="4"/>
      <c r="AM181" s="109"/>
      <c r="AN181" s="4"/>
      <c r="AO181" s="4"/>
      <c r="AP181" s="4"/>
      <c r="AQ181" s="4"/>
      <c r="AR181" s="4"/>
      <c r="AS181" s="4"/>
      <c r="AT181" s="4"/>
      <c r="AU181" s="4"/>
    </row>
    <row r="182" spans="1:47" s="7" customFormat="1">
      <c r="A182" s="4"/>
      <c r="B182" s="27"/>
      <c r="C182" s="249"/>
      <c r="D182" s="27"/>
      <c r="F182" s="114"/>
      <c r="G182" s="114"/>
      <c r="H182" s="102"/>
      <c r="I182" s="102"/>
      <c r="J182" s="114"/>
      <c r="K182" s="114"/>
      <c r="L182" s="114"/>
      <c r="O182" s="104"/>
      <c r="R182" s="4"/>
      <c r="S182" s="109"/>
      <c r="T182" s="4"/>
      <c r="U182" s="109"/>
      <c r="V182" s="4"/>
      <c r="W182" s="4"/>
      <c r="X182" s="14"/>
      <c r="Y182" s="4"/>
      <c r="Z182" s="4"/>
      <c r="AA182" s="4"/>
      <c r="AB182" s="4"/>
      <c r="AC182" s="4"/>
      <c r="AD182" s="114"/>
      <c r="AE182" s="114"/>
      <c r="AF182" s="4"/>
      <c r="AG182" s="4"/>
      <c r="AI182" s="4"/>
      <c r="AJ182" s="4"/>
      <c r="AK182" s="4"/>
      <c r="AL182" s="4"/>
      <c r="AM182" s="109"/>
      <c r="AN182" s="4"/>
      <c r="AO182" s="4"/>
      <c r="AP182" s="4"/>
      <c r="AQ182" s="4"/>
      <c r="AR182" s="4"/>
      <c r="AS182" s="4"/>
      <c r="AT182" s="4"/>
      <c r="AU182" s="4"/>
    </row>
    <row r="183" spans="1:47" s="7" customFormat="1">
      <c r="A183" s="4"/>
      <c r="B183" s="27"/>
      <c r="C183" s="249"/>
      <c r="D183" s="27"/>
      <c r="F183" s="114"/>
      <c r="G183" s="114"/>
      <c r="H183" s="102"/>
      <c r="I183" s="102"/>
      <c r="J183" s="114"/>
      <c r="K183" s="114"/>
      <c r="L183" s="114"/>
      <c r="O183" s="104"/>
      <c r="R183" s="4"/>
      <c r="S183" s="109"/>
      <c r="T183" s="4"/>
      <c r="U183" s="109"/>
      <c r="V183" s="4"/>
      <c r="W183" s="4"/>
      <c r="X183" s="14"/>
      <c r="Y183" s="4"/>
      <c r="Z183" s="4"/>
      <c r="AA183" s="4"/>
      <c r="AB183" s="4"/>
      <c r="AC183" s="4"/>
      <c r="AD183" s="114"/>
      <c r="AE183" s="114"/>
      <c r="AF183" s="4"/>
      <c r="AG183" s="4"/>
      <c r="AI183" s="4"/>
      <c r="AJ183" s="4"/>
      <c r="AK183" s="4"/>
      <c r="AL183" s="4"/>
      <c r="AM183" s="109"/>
      <c r="AN183" s="4"/>
      <c r="AO183" s="4"/>
      <c r="AP183" s="4"/>
      <c r="AQ183" s="4"/>
      <c r="AR183" s="4"/>
      <c r="AS183" s="4"/>
      <c r="AT183" s="4"/>
      <c r="AU183" s="4"/>
    </row>
    <row r="184" spans="1:47" s="7" customFormat="1">
      <c r="A184" s="4"/>
      <c r="B184" s="27"/>
      <c r="C184" s="249"/>
      <c r="D184" s="27"/>
      <c r="F184" s="114"/>
      <c r="G184" s="114"/>
      <c r="H184" s="102"/>
      <c r="I184" s="102"/>
      <c r="J184" s="114"/>
      <c r="K184" s="114"/>
      <c r="L184" s="114"/>
      <c r="O184" s="104"/>
      <c r="R184" s="4"/>
      <c r="S184" s="109"/>
      <c r="T184" s="4"/>
      <c r="U184" s="109"/>
      <c r="V184" s="4"/>
      <c r="W184" s="4"/>
      <c r="X184" s="14"/>
      <c r="Y184" s="4"/>
      <c r="Z184" s="4"/>
      <c r="AA184" s="4"/>
      <c r="AB184" s="4"/>
      <c r="AC184" s="4"/>
      <c r="AD184" s="114"/>
      <c r="AE184" s="114"/>
      <c r="AF184" s="4"/>
      <c r="AG184" s="4"/>
      <c r="AI184" s="4"/>
      <c r="AJ184" s="4"/>
      <c r="AK184" s="4"/>
      <c r="AL184" s="4"/>
      <c r="AM184" s="109"/>
      <c r="AN184" s="4"/>
      <c r="AO184" s="4"/>
      <c r="AP184" s="4"/>
      <c r="AQ184" s="4"/>
      <c r="AR184" s="4"/>
      <c r="AS184" s="4"/>
      <c r="AT184" s="4"/>
      <c r="AU184" s="4"/>
    </row>
    <row r="185" spans="1:47" s="7" customFormat="1">
      <c r="A185" s="4"/>
      <c r="B185" s="27"/>
      <c r="C185" s="249"/>
      <c r="D185" s="27"/>
      <c r="F185" s="114"/>
      <c r="G185" s="114"/>
      <c r="H185" s="102"/>
      <c r="I185" s="102"/>
      <c r="J185" s="114"/>
      <c r="K185" s="114"/>
      <c r="L185" s="114"/>
      <c r="O185" s="104"/>
      <c r="R185" s="4"/>
      <c r="S185" s="109"/>
      <c r="T185" s="4"/>
      <c r="U185" s="109"/>
      <c r="V185" s="4"/>
      <c r="W185" s="4"/>
      <c r="X185" s="14"/>
      <c r="Y185" s="4"/>
      <c r="Z185" s="4"/>
      <c r="AA185" s="4"/>
      <c r="AB185" s="4"/>
      <c r="AC185" s="4"/>
      <c r="AD185" s="114"/>
      <c r="AE185" s="114"/>
      <c r="AF185" s="4"/>
      <c r="AG185" s="4"/>
      <c r="AI185" s="4"/>
      <c r="AJ185" s="4"/>
      <c r="AK185" s="4"/>
      <c r="AL185" s="4"/>
      <c r="AM185" s="109"/>
      <c r="AN185" s="4"/>
      <c r="AO185" s="4"/>
      <c r="AP185" s="4"/>
      <c r="AQ185" s="4"/>
      <c r="AR185" s="4"/>
      <c r="AS185" s="4"/>
      <c r="AT185" s="4"/>
      <c r="AU185" s="4"/>
    </row>
    <row r="186" spans="1:47" s="7" customFormat="1">
      <c r="A186" s="4"/>
      <c r="B186" s="27"/>
      <c r="C186" s="249"/>
      <c r="D186" s="27"/>
      <c r="F186" s="114"/>
      <c r="G186" s="114"/>
      <c r="H186" s="102"/>
      <c r="I186" s="102"/>
      <c r="J186" s="114"/>
      <c r="K186" s="114"/>
      <c r="L186" s="114"/>
      <c r="O186" s="104"/>
      <c r="R186" s="4"/>
      <c r="S186" s="109"/>
      <c r="T186" s="4"/>
      <c r="U186" s="109"/>
      <c r="V186" s="4"/>
      <c r="W186" s="4"/>
      <c r="X186" s="14"/>
      <c r="Y186" s="4"/>
      <c r="Z186" s="4"/>
      <c r="AA186" s="4"/>
      <c r="AB186" s="4"/>
      <c r="AC186" s="4"/>
      <c r="AD186" s="114"/>
      <c r="AE186" s="114"/>
      <c r="AF186" s="4"/>
      <c r="AG186" s="4"/>
      <c r="AI186" s="4"/>
      <c r="AJ186" s="4"/>
      <c r="AK186" s="4"/>
      <c r="AL186" s="4"/>
      <c r="AM186" s="109"/>
      <c r="AN186" s="4"/>
      <c r="AO186" s="4"/>
      <c r="AP186" s="4"/>
      <c r="AQ186" s="4"/>
      <c r="AR186" s="4"/>
      <c r="AS186" s="4"/>
      <c r="AT186" s="4"/>
      <c r="AU186" s="4"/>
    </row>
    <row r="187" spans="1:47" s="7" customFormat="1">
      <c r="A187" s="4"/>
      <c r="B187" s="27"/>
      <c r="C187" s="249"/>
      <c r="D187" s="27"/>
      <c r="F187" s="114"/>
      <c r="G187" s="114"/>
      <c r="H187" s="102"/>
      <c r="I187" s="102"/>
      <c r="J187" s="114"/>
      <c r="K187" s="114"/>
      <c r="L187" s="114"/>
      <c r="O187" s="104"/>
      <c r="R187" s="4"/>
      <c r="S187" s="109"/>
      <c r="T187" s="4"/>
      <c r="U187" s="109"/>
      <c r="V187" s="4"/>
      <c r="W187" s="4"/>
      <c r="X187" s="14"/>
      <c r="Y187" s="4"/>
      <c r="Z187" s="4"/>
      <c r="AA187" s="4"/>
      <c r="AB187" s="4"/>
      <c r="AC187" s="4"/>
      <c r="AD187" s="114"/>
      <c r="AE187" s="114"/>
      <c r="AF187" s="4"/>
      <c r="AG187" s="4"/>
      <c r="AI187" s="4"/>
      <c r="AJ187" s="4"/>
      <c r="AK187" s="4"/>
      <c r="AL187" s="4"/>
      <c r="AM187" s="109"/>
      <c r="AN187" s="4"/>
      <c r="AO187" s="4"/>
      <c r="AP187" s="4"/>
      <c r="AQ187" s="4"/>
      <c r="AR187" s="4"/>
      <c r="AS187" s="4"/>
      <c r="AT187" s="4"/>
      <c r="AU187" s="4"/>
    </row>
    <row r="188" spans="1:47" s="7" customFormat="1">
      <c r="A188" s="4"/>
      <c r="B188" s="27"/>
      <c r="C188" s="249"/>
      <c r="D188" s="27"/>
      <c r="F188" s="114"/>
      <c r="G188" s="114"/>
      <c r="H188" s="102"/>
      <c r="I188" s="102"/>
      <c r="J188" s="114"/>
      <c r="K188" s="114"/>
      <c r="L188" s="114"/>
      <c r="O188" s="104"/>
      <c r="R188" s="4"/>
      <c r="S188" s="109"/>
      <c r="T188" s="4"/>
      <c r="U188" s="109"/>
      <c r="V188" s="4"/>
      <c r="W188" s="4"/>
      <c r="X188" s="14"/>
      <c r="Y188" s="4"/>
      <c r="Z188" s="4"/>
      <c r="AA188" s="4"/>
      <c r="AB188" s="4"/>
      <c r="AC188" s="4"/>
      <c r="AD188" s="114"/>
      <c r="AE188" s="114"/>
      <c r="AF188" s="4"/>
      <c r="AG188" s="4"/>
      <c r="AI188" s="4"/>
      <c r="AJ188" s="4"/>
      <c r="AK188" s="4"/>
      <c r="AL188" s="4"/>
      <c r="AM188" s="109"/>
      <c r="AN188" s="4"/>
      <c r="AO188" s="4"/>
      <c r="AP188" s="4"/>
      <c r="AQ188" s="4"/>
      <c r="AR188" s="4"/>
      <c r="AS188" s="4"/>
      <c r="AT188" s="4"/>
      <c r="AU188" s="4"/>
    </row>
    <row r="189" spans="1:47" s="7" customFormat="1">
      <c r="A189" s="4"/>
      <c r="B189" s="27"/>
      <c r="C189" s="249"/>
      <c r="D189" s="27"/>
      <c r="F189" s="114"/>
      <c r="G189" s="114"/>
      <c r="H189" s="102"/>
      <c r="I189" s="102"/>
      <c r="J189" s="114"/>
      <c r="K189" s="114"/>
      <c r="L189" s="114"/>
      <c r="O189" s="104"/>
      <c r="R189" s="4"/>
      <c r="S189" s="109"/>
      <c r="T189" s="4"/>
      <c r="U189" s="109"/>
      <c r="V189" s="4"/>
      <c r="W189" s="4"/>
      <c r="X189" s="14"/>
      <c r="Y189" s="4"/>
      <c r="Z189" s="4"/>
      <c r="AA189" s="4"/>
      <c r="AB189" s="4"/>
      <c r="AC189" s="4"/>
      <c r="AD189" s="114"/>
      <c r="AE189" s="114"/>
      <c r="AF189" s="4"/>
      <c r="AG189" s="4"/>
      <c r="AI189" s="4"/>
      <c r="AJ189" s="4"/>
      <c r="AK189" s="4"/>
      <c r="AL189" s="4"/>
      <c r="AM189" s="109"/>
      <c r="AN189" s="4"/>
      <c r="AO189" s="4"/>
      <c r="AP189" s="4"/>
      <c r="AQ189" s="4"/>
      <c r="AR189" s="4"/>
      <c r="AS189" s="4"/>
      <c r="AT189" s="4"/>
      <c r="AU189" s="4"/>
    </row>
    <row r="190" spans="1:47" s="7" customFormat="1">
      <c r="A190" s="4"/>
      <c r="B190" s="27"/>
      <c r="C190" s="249"/>
      <c r="D190" s="27"/>
      <c r="F190" s="114"/>
      <c r="G190" s="114"/>
      <c r="H190" s="102"/>
      <c r="I190" s="102"/>
      <c r="J190" s="114"/>
      <c r="K190" s="114"/>
      <c r="L190" s="114"/>
      <c r="O190" s="104"/>
      <c r="R190" s="4"/>
      <c r="S190" s="109"/>
      <c r="T190" s="4"/>
      <c r="U190" s="109"/>
      <c r="V190" s="4"/>
      <c r="W190" s="4"/>
      <c r="X190" s="14"/>
      <c r="Y190" s="4"/>
      <c r="Z190" s="4"/>
      <c r="AA190" s="4"/>
      <c r="AB190" s="4"/>
      <c r="AC190" s="4"/>
      <c r="AD190" s="114"/>
      <c r="AE190" s="114"/>
      <c r="AF190" s="4"/>
      <c r="AG190" s="4"/>
      <c r="AI190" s="4"/>
      <c r="AJ190" s="4"/>
      <c r="AK190" s="4"/>
      <c r="AL190" s="4"/>
      <c r="AM190" s="109"/>
      <c r="AN190" s="4"/>
      <c r="AO190" s="4"/>
      <c r="AP190" s="4"/>
      <c r="AQ190" s="4"/>
      <c r="AR190" s="4"/>
      <c r="AS190" s="4"/>
      <c r="AT190" s="4"/>
      <c r="AU190" s="4"/>
    </row>
    <row r="191" spans="1:47" s="7" customFormat="1">
      <c r="A191" s="4"/>
      <c r="B191" s="114"/>
      <c r="C191" s="102"/>
      <c r="D191" s="4"/>
      <c r="F191" s="114"/>
      <c r="G191" s="114"/>
      <c r="H191" s="102"/>
      <c r="I191" s="102"/>
      <c r="J191" s="114"/>
      <c r="K191" s="114"/>
      <c r="L191" s="114"/>
      <c r="O191" s="104"/>
      <c r="R191" s="4"/>
      <c r="S191" s="109"/>
      <c r="T191" s="4"/>
      <c r="U191" s="109"/>
      <c r="V191" s="4"/>
      <c r="W191" s="4"/>
      <c r="X191" s="14"/>
      <c r="Y191" s="4"/>
      <c r="Z191" s="4"/>
      <c r="AA191" s="4"/>
      <c r="AB191" s="4"/>
      <c r="AC191" s="4"/>
      <c r="AD191" s="114"/>
      <c r="AE191" s="114"/>
      <c r="AF191" s="4"/>
      <c r="AG191" s="4"/>
      <c r="AI191" s="4"/>
      <c r="AJ191" s="4"/>
      <c r="AK191" s="4"/>
      <c r="AL191" s="4"/>
      <c r="AM191" s="109"/>
      <c r="AN191" s="4"/>
      <c r="AO191" s="4"/>
      <c r="AP191" s="4"/>
      <c r="AQ191" s="4"/>
      <c r="AR191" s="4"/>
      <c r="AS191" s="4"/>
      <c r="AT191" s="4"/>
      <c r="AU191" s="4"/>
    </row>
    <row r="192" spans="1:47" s="7" customFormat="1">
      <c r="A192" s="4"/>
      <c r="B192" s="27"/>
      <c r="C192" s="249"/>
      <c r="D192" s="27"/>
      <c r="F192" s="114"/>
      <c r="G192" s="114"/>
      <c r="H192" s="102"/>
      <c r="I192" s="102"/>
      <c r="J192" s="114"/>
      <c r="K192" s="114"/>
      <c r="L192" s="114"/>
      <c r="O192" s="104"/>
      <c r="R192" s="4"/>
      <c r="S192" s="109"/>
      <c r="T192" s="4"/>
      <c r="U192" s="109"/>
      <c r="V192" s="4"/>
      <c r="W192" s="4"/>
      <c r="X192" s="14"/>
      <c r="Y192" s="4"/>
      <c r="Z192" s="4"/>
      <c r="AA192" s="4"/>
      <c r="AB192" s="4"/>
      <c r="AC192" s="4"/>
      <c r="AD192" s="114"/>
      <c r="AE192" s="114"/>
      <c r="AF192" s="4"/>
      <c r="AG192" s="4"/>
      <c r="AI192" s="4"/>
      <c r="AJ192" s="4"/>
      <c r="AK192" s="4"/>
      <c r="AL192" s="4"/>
      <c r="AM192" s="109"/>
      <c r="AN192" s="4"/>
      <c r="AO192" s="4"/>
      <c r="AP192" s="4"/>
      <c r="AQ192" s="4"/>
      <c r="AR192" s="4"/>
      <c r="AS192" s="4"/>
      <c r="AT192" s="4"/>
      <c r="AU192" s="4"/>
    </row>
    <row r="193" spans="1:47" s="7" customFormat="1">
      <c r="A193" s="4"/>
      <c r="B193" s="27"/>
      <c r="C193" s="249"/>
      <c r="D193" s="27"/>
      <c r="F193" s="114"/>
      <c r="G193" s="114"/>
      <c r="H193" s="102"/>
      <c r="I193" s="102"/>
      <c r="J193" s="114"/>
      <c r="K193" s="114"/>
      <c r="L193" s="114"/>
      <c r="O193" s="104"/>
      <c r="R193" s="4"/>
      <c r="S193" s="109"/>
      <c r="T193" s="4"/>
      <c r="U193" s="109"/>
      <c r="V193" s="4"/>
      <c r="W193" s="4"/>
      <c r="X193" s="14"/>
      <c r="Y193" s="4"/>
      <c r="Z193" s="4"/>
      <c r="AA193" s="4"/>
      <c r="AB193" s="4"/>
      <c r="AC193" s="4"/>
      <c r="AD193" s="114"/>
      <c r="AE193" s="114"/>
      <c r="AF193" s="4"/>
      <c r="AG193" s="4"/>
      <c r="AI193" s="4"/>
      <c r="AJ193" s="4"/>
      <c r="AK193" s="4"/>
      <c r="AL193" s="4"/>
      <c r="AM193" s="109"/>
      <c r="AN193" s="4"/>
      <c r="AO193" s="4"/>
      <c r="AP193" s="4"/>
      <c r="AQ193" s="4"/>
      <c r="AR193" s="4"/>
      <c r="AS193" s="4"/>
      <c r="AT193" s="4"/>
      <c r="AU193" s="4"/>
    </row>
    <row r="194" spans="1:47" s="7" customFormat="1">
      <c r="A194" s="4"/>
      <c r="B194" s="27"/>
      <c r="C194" s="249"/>
      <c r="D194" s="27"/>
      <c r="F194" s="114"/>
      <c r="G194" s="114"/>
      <c r="H194" s="102"/>
      <c r="I194" s="102"/>
      <c r="J194" s="114"/>
      <c r="K194" s="114"/>
      <c r="L194" s="114"/>
      <c r="O194" s="104"/>
      <c r="R194" s="4"/>
      <c r="S194" s="109"/>
      <c r="T194" s="4"/>
      <c r="U194" s="109"/>
      <c r="V194" s="4"/>
      <c r="W194" s="4"/>
      <c r="X194" s="14"/>
      <c r="Y194" s="4"/>
      <c r="Z194" s="4"/>
      <c r="AA194" s="4"/>
      <c r="AB194" s="4"/>
      <c r="AC194" s="4"/>
      <c r="AD194" s="114"/>
      <c r="AE194" s="114"/>
      <c r="AF194" s="4"/>
      <c r="AG194" s="4"/>
      <c r="AI194" s="4"/>
      <c r="AJ194" s="4"/>
      <c r="AK194" s="4"/>
      <c r="AL194" s="4"/>
      <c r="AM194" s="109"/>
      <c r="AN194" s="4"/>
      <c r="AO194" s="4"/>
      <c r="AP194" s="4"/>
      <c r="AQ194" s="4"/>
      <c r="AR194" s="4"/>
      <c r="AS194" s="4"/>
      <c r="AT194" s="4"/>
      <c r="AU194" s="4"/>
    </row>
    <row r="195" spans="1:47" s="7" customFormat="1">
      <c r="A195" s="4"/>
      <c r="B195" s="27"/>
      <c r="C195" s="249"/>
      <c r="D195" s="27"/>
      <c r="F195" s="114"/>
      <c r="G195" s="114"/>
      <c r="H195" s="102"/>
      <c r="I195" s="102"/>
      <c r="J195" s="114"/>
      <c r="K195" s="114"/>
      <c r="L195" s="114"/>
      <c r="O195" s="104"/>
      <c r="R195" s="4"/>
      <c r="S195" s="109"/>
      <c r="T195" s="4"/>
      <c r="U195" s="109"/>
      <c r="V195" s="4"/>
      <c r="W195" s="4"/>
      <c r="X195" s="14"/>
      <c r="Y195" s="4"/>
      <c r="Z195" s="4"/>
      <c r="AA195" s="4"/>
      <c r="AB195" s="4"/>
      <c r="AC195" s="4"/>
      <c r="AD195" s="114"/>
      <c r="AE195" s="114"/>
      <c r="AF195" s="4"/>
      <c r="AG195" s="4"/>
      <c r="AI195" s="4"/>
      <c r="AJ195" s="4"/>
      <c r="AK195" s="4"/>
      <c r="AL195" s="4"/>
      <c r="AM195" s="109"/>
      <c r="AN195" s="4"/>
      <c r="AO195" s="4"/>
      <c r="AP195" s="4"/>
      <c r="AQ195" s="4"/>
      <c r="AR195" s="4"/>
      <c r="AS195" s="4"/>
      <c r="AT195" s="4"/>
      <c r="AU195" s="4"/>
    </row>
    <row r="196" spans="1:47" s="7" customFormat="1">
      <c r="A196" s="4"/>
      <c r="B196" s="27"/>
      <c r="C196" s="249"/>
      <c r="D196" s="27"/>
      <c r="F196" s="114"/>
      <c r="G196" s="114"/>
      <c r="H196" s="102"/>
      <c r="I196" s="102"/>
      <c r="J196" s="114"/>
      <c r="K196" s="114"/>
      <c r="L196" s="114"/>
      <c r="O196" s="104"/>
      <c r="R196" s="4"/>
      <c r="S196" s="109"/>
      <c r="T196" s="4"/>
      <c r="U196" s="109"/>
      <c r="V196" s="4"/>
      <c r="W196" s="4"/>
      <c r="X196" s="14"/>
      <c r="Y196" s="4"/>
      <c r="Z196" s="4"/>
      <c r="AA196" s="4"/>
      <c r="AB196" s="4"/>
      <c r="AC196" s="4"/>
      <c r="AD196" s="114"/>
      <c r="AE196" s="114"/>
      <c r="AF196" s="4"/>
      <c r="AG196" s="4"/>
      <c r="AI196" s="4"/>
      <c r="AJ196" s="4"/>
      <c r="AK196" s="4"/>
      <c r="AL196" s="4"/>
      <c r="AM196" s="109"/>
      <c r="AN196" s="4"/>
      <c r="AO196" s="4"/>
      <c r="AP196" s="4"/>
      <c r="AQ196" s="4"/>
      <c r="AR196" s="4"/>
      <c r="AS196" s="4"/>
      <c r="AT196" s="4"/>
      <c r="AU196" s="4"/>
    </row>
    <row r="197" spans="1:47" s="7" customFormat="1">
      <c r="A197" s="4"/>
      <c r="B197" s="27"/>
      <c r="C197" s="249"/>
      <c r="D197" s="27"/>
      <c r="F197" s="114"/>
      <c r="G197" s="114"/>
      <c r="H197" s="102"/>
      <c r="I197" s="102"/>
      <c r="J197" s="114"/>
      <c r="K197" s="114"/>
      <c r="L197" s="114"/>
      <c r="O197" s="104"/>
      <c r="R197" s="4"/>
      <c r="S197" s="109"/>
      <c r="T197" s="4"/>
      <c r="U197" s="109"/>
      <c r="V197" s="4"/>
      <c r="W197" s="4"/>
      <c r="X197" s="14"/>
      <c r="Y197" s="4"/>
      <c r="Z197" s="4"/>
      <c r="AA197" s="4"/>
      <c r="AB197" s="4"/>
      <c r="AC197" s="4"/>
      <c r="AD197" s="114"/>
      <c r="AE197" s="114"/>
      <c r="AF197" s="4"/>
      <c r="AG197" s="4"/>
      <c r="AI197" s="4"/>
      <c r="AJ197" s="4"/>
      <c r="AK197" s="4"/>
      <c r="AL197" s="4"/>
      <c r="AM197" s="109"/>
      <c r="AN197" s="4"/>
      <c r="AO197" s="4"/>
      <c r="AP197" s="4"/>
      <c r="AQ197" s="4"/>
      <c r="AR197" s="4"/>
      <c r="AS197" s="4"/>
      <c r="AT197" s="4"/>
      <c r="AU197" s="4"/>
    </row>
    <row r="198" spans="1:47" s="7" customFormat="1">
      <c r="A198" s="4"/>
      <c r="B198" s="27"/>
      <c r="C198" s="249"/>
      <c r="D198" s="27"/>
      <c r="F198" s="114"/>
      <c r="G198" s="114"/>
      <c r="H198" s="102"/>
      <c r="I198" s="102"/>
      <c r="J198" s="114"/>
      <c r="K198" s="114"/>
      <c r="L198" s="114"/>
      <c r="O198" s="104"/>
      <c r="R198" s="4"/>
      <c r="S198" s="109"/>
      <c r="T198" s="4"/>
      <c r="U198" s="109"/>
      <c r="V198" s="4"/>
      <c r="W198" s="4"/>
      <c r="X198" s="14"/>
      <c r="Y198" s="4"/>
      <c r="Z198" s="4"/>
      <c r="AA198" s="4"/>
      <c r="AB198" s="4"/>
      <c r="AC198" s="4"/>
      <c r="AD198" s="114"/>
      <c r="AE198" s="114"/>
      <c r="AF198" s="4"/>
      <c r="AG198" s="4"/>
      <c r="AI198" s="4"/>
      <c r="AJ198" s="4"/>
      <c r="AK198" s="4"/>
      <c r="AL198" s="4"/>
      <c r="AM198" s="109"/>
      <c r="AN198" s="4"/>
      <c r="AO198" s="4"/>
      <c r="AP198" s="4"/>
      <c r="AQ198" s="4"/>
      <c r="AR198" s="4"/>
      <c r="AS198" s="4"/>
      <c r="AT198" s="4"/>
      <c r="AU198" s="4"/>
    </row>
    <row r="199" spans="1:47" s="7" customFormat="1">
      <c r="A199" s="4"/>
      <c r="B199" s="27"/>
      <c r="C199" s="249"/>
      <c r="D199" s="27"/>
      <c r="F199" s="114"/>
      <c r="G199" s="114"/>
      <c r="H199" s="102"/>
      <c r="I199" s="102"/>
      <c r="J199" s="114"/>
      <c r="K199" s="114"/>
      <c r="L199" s="114"/>
      <c r="O199" s="104"/>
      <c r="R199" s="4"/>
      <c r="S199" s="109"/>
      <c r="T199" s="4"/>
      <c r="U199" s="109"/>
      <c r="V199" s="4"/>
      <c r="W199" s="4"/>
      <c r="X199" s="14"/>
      <c r="Y199" s="4"/>
      <c r="Z199" s="4"/>
      <c r="AA199" s="4"/>
      <c r="AB199" s="4"/>
      <c r="AC199" s="4"/>
      <c r="AD199" s="114"/>
      <c r="AE199" s="114"/>
      <c r="AF199" s="4"/>
      <c r="AG199" s="4"/>
      <c r="AI199" s="4"/>
      <c r="AJ199" s="4"/>
      <c r="AK199" s="4"/>
      <c r="AL199" s="4"/>
      <c r="AM199" s="109"/>
      <c r="AN199" s="4"/>
      <c r="AO199" s="4"/>
      <c r="AP199" s="4"/>
      <c r="AQ199" s="4"/>
      <c r="AR199" s="4"/>
      <c r="AS199" s="4"/>
      <c r="AT199" s="4"/>
      <c r="AU199" s="4"/>
    </row>
    <row r="200" spans="1:47" s="7" customFormat="1">
      <c r="A200" s="4"/>
      <c r="B200" s="27"/>
      <c r="C200" s="249"/>
      <c r="D200" s="27"/>
      <c r="F200" s="114"/>
      <c r="G200" s="114"/>
      <c r="H200" s="102"/>
      <c r="I200" s="102"/>
      <c r="J200" s="114"/>
      <c r="K200" s="114"/>
      <c r="L200" s="114"/>
      <c r="O200" s="104"/>
      <c r="R200" s="4"/>
      <c r="S200" s="109"/>
      <c r="T200" s="4"/>
      <c r="U200" s="109"/>
      <c r="V200" s="4"/>
      <c r="W200" s="4"/>
      <c r="X200" s="14"/>
      <c r="Y200" s="4"/>
      <c r="Z200" s="4"/>
      <c r="AA200" s="4"/>
      <c r="AB200" s="4"/>
      <c r="AC200" s="4"/>
      <c r="AD200" s="114"/>
      <c r="AE200" s="114"/>
      <c r="AF200" s="4"/>
      <c r="AG200" s="4"/>
      <c r="AI200" s="4"/>
      <c r="AJ200" s="4"/>
      <c r="AK200" s="4"/>
      <c r="AL200" s="4"/>
      <c r="AM200" s="109"/>
      <c r="AN200" s="4"/>
      <c r="AO200" s="4"/>
      <c r="AP200" s="4"/>
      <c r="AQ200" s="4"/>
      <c r="AR200" s="4"/>
      <c r="AS200" s="4"/>
      <c r="AT200" s="4"/>
      <c r="AU200" s="4"/>
    </row>
    <row r="201" spans="1:47" s="7" customFormat="1">
      <c r="A201" s="4"/>
      <c r="B201" s="15"/>
      <c r="C201" s="14"/>
      <c r="D201" s="4"/>
      <c r="F201" s="114"/>
      <c r="G201" s="114"/>
      <c r="H201" s="102"/>
      <c r="I201" s="102"/>
      <c r="J201" s="114"/>
      <c r="K201" s="114"/>
      <c r="L201" s="114"/>
      <c r="O201" s="104"/>
      <c r="R201" s="4"/>
      <c r="S201" s="109"/>
      <c r="T201" s="4"/>
      <c r="U201" s="109"/>
      <c r="V201" s="4"/>
      <c r="W201" s="4"/>
      <c r="X201" s="14"/>
      <c r="Y201" s="4"/>
      <c r="Z201" s="4"/>
      <c r="AA201" s="4"/>
      <c r="AB201" s="4"/>
      <c r="AC201" s="4"/>
      <c r="AD201" s="114"/>
      <c r="AE201" s="114"/>
      <c r="AF201" s="4"/>
      <c r="AG201" s="4"/>
      <c r="AI201" s="4"/>
      <c r="AJ201" s="4"/>
      <c r="AK201" s="4"/>
      <c r="AL201" s="4"/>
      <c r="AM201" s="109"/>
      <c r="AN201" s="4"/>
      <c r="AO201" s="4"/>
      <c r="AP201" s="4"/>
      <c r="AQ201" s="4"/>
      <c r="AR201" s="4"/>
      <c r="AS201" s="4"/>
      <c r="AT201" s="4"/>
      <c r="AU201" s="4"/>
    </row>
    <row r="202" spans="1:47" s="7" customFormat="1">
      <c r="A202" s="4"/>
      <c r="B202" s="27"/>
      <c r="C202" s="249"/>
      <c r="D202" s="27"/>
      <c r="F202" s="114"/>
      <c r="G202" s="114"/>
      <c r="H202" s="102"/>
      <c r="I202" s="102"/>
      <c r="J202" s="114"/>
      <c r="K202" s="114"/>
      <c r="L202" s="114"/>
      <c r="O202" s="104"/>
      <c r="R202" s="4"/>
      <c r="S202" s="109"/>
      <c r="T202" s="4"/>
      <c r="U202" s="109"/>
      <c r="V202" s="4"/>
      <c r="W202" s="4"/>
      <c r="X202" s="14"/>
      <c r="Y202" s="4"/>
      <c r="Z202" s="4"/>
      <c r="AA202" s="4"/>
      <c r="AB202" s="4"/>
      <c r="AC202" s="4"/>
      <c r="AD202" s="114"/>
      <c r="AE202" s="114"/>
      <c r="AF202" s="4"/>
      <c r="AG202" s="4"/>
      <c r="AI202" s="4"/>
      <c r="AJ202" s="4"/>
      <c r="AK202" s="4"/>
      <c r="AL202" s="4"/>
      <c r="AM202" s="109"/>
      <c r="AN202" s="4"/>
      <c r="AO202" s="4"/>
      <c r="AP202" s="4"/>
      <c r="AQ202" s="4"/>
      <c r="AR202" s="4"/>
      <c r="AS202" s="4"/>
      <c r="AT202" s="4"/>
      <c r="AU202" s="4"/>
    </row>
    <row r="203" spans="1:47" s="7" customFormat="1">
      <c r="A203" s="4"/>
      <c r="B203" s="27"/>
      <c r="C203" s="249"/>
      <c r="D203" s="27"/>
      <c r="F203" s="114"/>
      <c r="G203" s="114"/>
      <c r="H203" s="102"/>
      <c r="I203" s="102"/>
      <c r="J203" s="114"/>
      <c r="K203" s="114"/>
      <c r="L203" s="114"/>
      <c r="O203" s="104"/>
      <c r="R203" s="4"/>
      <c r="S203" s="109"/>
      <c r="T203" s="4"/>
      <c r="U203" s="109"/>
      <c r="V203" s="4"/>
      <c r="W203" s="4"/>
      <c r="X203" s="14"/>
      <c r="Y203" s="4"/>
      <c r="Z203" s="4"/>
      <c r="AA203" s="4"/>
      <c r="AB203" s="4"/>
      <c r="AC203" s="4"/>
      <c r="AD203" s="114"/>
      <c r="AE203" s="114"/>
      <c r="AF203" s="4"/>
      <c r="AG203" s="4"/>
      <c r="AI203" s="4"/>
      <c r="AJ203" s="4"/>
      <c r="AK203" s="4"/>
      <c r="AL203" s="4"/>
      <c r="AM203" s="109"/>
      <c r="AN203" s="4"/>
      <c r="AO203" s="4"/>
      <c r="AP203" s="4"/>
      <c r="AQ203" s="4"/>
      <c r="AR203" s="4"/>
      <c r="AS203" s="4"/>
      <c r="AT203" s="4"/>
      <c r="AU203" s="4"/>
    </row>
    <row r="204" spans="1:47" s="7" customFormat="1">
      <c r="A204" s="4"/>
      <c r="B204" s="27"/>
      <c r="C204" s="249"/>
      <c r="D204" s="27"/>
      <c r="F204" s="114"/>
      <c r="G204" s="114"/>
      <c r="H204" s="102"/>
      <c r="I204" s="102"/>
      <c r="J204" s="114"/>
      <c r="K204" s="114"/>
      <c r="L204" s="114"/>
      <c r="O204" s="104"/>
      <c r="R204" s="4"/>
      <c r="S204" s="109"/>
      <c r="T204" s="4"/>
      <c r="U204" s="109"/>
      <c r="V204" s="4"/>
      <c r="W204" s="4"/>
      <c r="X204" s="14"/>
      <c r="Y204" s="4"/>
      <c r="Z204" s="4"/>
      <c r="AA204" s="4"/>
      <c r="AB204" s="4"/>
      <c r="AC204" s="4"/>
      <c r="AD204" s="114"/>
      <c r="AE204" s="114"/>
      <c r="AF204" s="4"/>
      <c r="AG204" s="4"/>
      <c r="AI204" s="4"/>
      <c r="AJ204" s="4"/>
      <c r="AK204" s="4"/>
      <c r="AL204" s="4"/>
      <c r="AM204" s="109"/>
      <c r="AN204" s="4"/>
      <c r="AO204" s="4"/>
      <c r="AP204" s="4"/>
      <c r="AQ204" s="4"/>
      <c r="AR204" s="4"/>
      <c r="AS204" s="4"/>
      <c r="AT204" s="4"/>
      <c r="AU204" s="4"/>
    </row>
    <row r="205" spans="1:47" s="7" customFormat="1">
      <c r="A205" s="4"/>
      <c r="B205" s="27"/>
      <c r="C205" s="249"/>
      <c r="D205" s="27"/>
      <c r="F205" s="114"/>
      <c r="G205" s="114"/>
      <c r="H205" s="102"/>
      <c r="I205" s="102"/>
      <c r="J205" s="114"/>
      <c r="K205" s="114"/>
      <c r="L205" s="114"/>
      <c r="O205" s="104"/>
      <c r="R205" s="4"/>
      <c r="S205" s="109"/>
      <c r="T205" s="4"/>
      <c r="U205" s="109"/>
      <c r="V205" s="4"/>
      <c r="W205" s="4"/>
      <c r="X205" s="14"/>
      <c r="Y205" s="4"/>
      <c r="Z205" s="4"/>
      <c r="AA205" s="4"/>
      <c r="AB205" s="4"/>
      <c r="AC205" s="4"/>
      <c r="AD205" s="114"/>
      <c r="AE205" s="114"/>
      <c r="AF205" s="4"/>
      <c r="AG205" s="4"/>
      <c r="AI205" s="4"/>
      <c r="AJ205" s="4"/>
      <c r="AK205" s="4"/>
      <c r="AL205" s="4"/>
      <c r="AM205" s="109"/>
      <c r="AN205" s="4"/>
      <c r="AO205" s="4"/>
      <c r="AP205" s="4"/>
      <c r="AQ205" s="4"/>
      <c r="AR205" s="4"/>
      <c r="AS205" s="4"/>
      <c r="AT205" s="4"/>
      <c r="AU205" s="4"/>
    </row>
    <row r="206" spans="1:47" s="7" customFormat="1">
      <c r="A206" s="4"/>
      <c r="B206" s="27"/>
      <c r="C206" s="249"/>
      <c r="D206" s="27"/>
      <c r="F206" s="114"/>
      <c r="G206" s="114"/>
      <c r="H206" s="102"/>
      <c r="I206" s="102"/>
      <c r="J206" s="114"/>
      <c r="K206" s="114"/>
      <c r="L206" s="114"/>
      <c r="O206" s="104"/>
      <c r="R206" s="4"/>
      <c r="S206" s="109"/>
      <c r="T206" s="4"/>
      <c r="U206" s="109"/>
      <c r="V206" s="4"/>
      <c r="W206" s="4"/>
      <c r="X206" s="14"/>
      <c r="Y206" s="4"/>
      <c r="Z206" s="4"/>
      <c r="AA206" s="4"/>
      <c r="AB206" s="4"/>
      <c r="AC206" s="4"/>
      <c r="AD206" s="114"/>
      <c r="AE206" s="114"/>
      <c r="AF206" s="4"/>
      <c r="AG206" s="4"/>
      <c r="AI206" s="4"/>
      <c r="AJ206" s="4"/>
      <c r="AK206" s="4"/>
      <c r="AL206" s="4"/>
      <c r="AM206" s="109"/>
      <c r="AN206" s="4"/>
      <c r="AO206" s="4"/>
      <c r="AP206" s="4"/>
      <c r="AQ206" s="4"/>
      <c r="AR206" s="4"/>
      <c r="AS206" s="4"/>
      <c r="AT206" s="4"/>
      <c r="AU206" s="4"/>
    </row>
    <row r="207" spans="1:47" s="7" customFormat="1">
      <c r="A207" s="4"/>
      <c r="B207" s="27"/>
      <c r="C207" s="249"/>
      <c r="D207" s="27"/>
      <c r="F207" s="114"/>
      <c r="G207" s="114"/>
      <c r="H207" s="102"/>
      <c r="I207" s="102"/>
      <c r="J207" s="114"/>
      <c r="K207" s="114"/>
      <c r="L207" s="114"/>
      <c r="O207" s="104"/>
      <c r="R207" s="4"/>
      <c r="S207" s="109"/>
      <c r="T207" s="4"/>
      <c r="U207" s="109"/>
      <c r="V207" s="4"/>
      <c r="W207" s="4"/>
      <c r="X207" s="14"/>
      <c r="Y207" s="4"/>
      <c r="Z207" s="4"/>
      <c r="AA207" s="4"/>
      <c r="AB207" s="4"/>
      <c r="AC207" s="4"/>
      <c r="AD207" s="114"/>
      <c r="AE207" s="114"/>
      <c r="AF207" s="4"/>
      <c r="AG207" s="4"/>
      <c r="AI207" s="4"/>
      <c r="AJ207" s="4"/>
      <c r="AK207" s="4"/>
      <c r="AL207" s="4"/>
      <c r="AM207" s="109"/>
      <c r="AN207" s="4"/>
      <c r="AO207" s="4"/>
      <c r="AP207" s="4"/>
      <c r="AQ207" s="4"/>
      <c r="AR207" s="4"/>
      <c r="AS207" s="4"/>
      <c r="AT207" s="4"/>
      <c r="AU207" s="4"/>
    </row>
    <row r="208" spans="1:47" s="7" customFormat="1">
      <c r="A208" s="4"/>
      <c r="B208" s="114"/>
      <c r="C208" s="102"/>
      <c r="D208" s="4"/>
      <c r="F208" s="114"/>
      <c r="G208" s="114"/>
      <c r="H208" s="102"/>
      <c r="I208" s="102"/>
      <c r="J208" s="114"/>
      <c r="K208" s="114"/>
      <c r="L208" s="114"/>
      <c r="O208" s="104"/>
      <c r="R208" s="4"/>
      <c r="S208" s="109"/>
      <c r="T208" s="4"/>
      <c r="U208" s="109"/>
      <c r="V208" s="4"/>
      <c r="W208" s="4"/>
      <c r="X208" s="14"/>
      <c r="Y208" s="4"/>
      <c r="Z208" s="4"/>
      <c r="AA208" s="4"/>
      <c r="AB208" s="4"/>
      <c r="AC208" s="4"/>
      <c r="AD208" s="114"/>
      <c r="AE208" s="114"/>
      <c r="AF208" s="4"/>
      <c r="AG208" s="4"/>
      <c r="AI208" s="4"/>
      <c r="AJ208" s="4"/>
      <c r="AK208" s="4"/>
      <c r="AL208" s="4"/>
      <c r="AM208" s="109"/>
      <c r="AN208" s="4"/>
      <c r="AO208" s="4"/>
      <c r="AP208" s="4"/>
      <c r="AQ208" s="4"/>
      <c r="AR208" s="4"/>
      <c r="AS208" s="4"/>
      <c r="AT208" s="4"/>
      <c r="AU208" s="4"/>
    </row>
    <row r="209" spans="1:47" s="7" customFormat="1">
      <c r="A209" s="4"/>
      <c r="B209" s="27"/>
      <c r="C209" s="249"/>
      <c r="D209" s="27"/>
      <c r="F209" s="114"/>
      <c r="G209" s="114"/>
      <c r="H209" s="102"/>
      <c r="I209" s="102"/>
      <c r="J209" s="114"/>
      <c r="K209" s="114"/>
      <c r="L209" s="114"/>
      <c r="O209" s="104"/>
      <c r="R209" s="4"/>
      <c r="S209" s="109"/>
      <c r="T209" s="4"/>
      <c r="U209" s="109"/>
      <c r="V209" s="4"/>
      <c r="W209" s="4"/>
      <c r="X209" s="14"/>
      <c r="Y209" s="4"/>
      <c r="Z209" s="4"/>
      <c r="AA209" s="4"/>
      <c r="AB209" s="4"/>
      <c r="AC209" s="4"/>
      <c r="AD209" s="114"/>
      <c r="AE209" s="114"/>
      <c r="AF209" s="4"/>
      <c r="AG209" s="4"/>
      <c r="AI209" s="4"/>
      <c r="AJ209" s="4"/>
      <c r="AK209" s="4"/>
      <c r="AL209" s="4"/>
      <c r="AM209" s="109"/>
      <c r="AN209" s="4"/>
      <c r="AO209" s="4"/>
      <c r="AP209" s="4"/>
      <c r="AQ209" s="4"/>
      <c r="AR209" s="4"/>
      <c r="AS209" s="4"/>
      <c r="AT209" s="4"/>
      <c r="AU209" s="4"/>
    </row>
    <row r="210" spans="1:47" s="7" customFormat="1">
      <c r="A210" s="4"/>
      <c r="B210" s="27"/>
      <c r="C210" s="249"/>
      <c r="D210" s="27"/>
      <c r="F210" s="114"/>
      <c r="G210" s="114"/>
      <c r="H210" s="102"/>
      <c r="I210" s="102"/>
      <c r="J210" s="114"/>
      <c r="K210" s="114"/>
      <c r="L210" s="114"/>
      <c r="O210" s="104"/>
      <c r="R210" s="4"/>
      <c r="S210" s="109"/>
      <c r="T210" s="4"/>
      <c r="U210" s="109"/>
      <c r="V210" s="4"/>
      <c r="W210" s="4"/>
      <c r="X210" s="14"/>
      <c r="Y210" s="4"/>
      <c r="Z210" s="4"/>
      <c r="AA210" s="4"/>
      <c r="AB210" s="4"/>
      <c r="AC210" s="4"/>
      <c r="AD210" s="114"/>
      <c r="AE210" s="114"/>
      <c r="AF210" s="4"/>
      <c r="AG210" s="4"/>
      <c r="AI210" s="4"/>
      <c r="AJ210" s="4"/>
      <c r="AK210" s="4"/>
      <c r="AL210" s="4"/>
      <c r="AM210" s="109"/>
      <c r="AN210" s="4"/>
      <c r="AO210" s="4"/>
      <c r="AP210" s="4"/>
      <c r="AQ210" s="4"/>
      <c r="AR210" s="4"/>
      <c r="AS210" s="4"/>
      <c r="AT210" s="4"/>
      <c r="AU210" s="4"/>
    </row>
    <row r="211" spans="1:47" s="7" customFormat="1">
      <c r="A211" s="4"/>
      <c r="B211" s="114"/>
      <c r="C211" s="102"/>
      <c r="D211" s="4"/>
      <c r="F211" s="114"/>
      <c r="G211" s="114"/>
      <c r="H211" s="102"/>
      <c r="I211" s="102"/>
      <c r="J211" s="114"/>
      <c r="K211" s="114"/>
      <c r="L211" s="195"/>
      <c r="O211" s="104"/>
      <c r="R211" s="4"/>
      <c r="S211" s="109"/>
      <c r="T211" s="4"/>
      <c r="U211" s="109"/>
      <c r="V211" s="4"/>
      <c r="W211" s="4"/>
      <c r="X211" s="14"/>
      <c r="Y211" s="4"/>
      <c r="Z211" s="4"/>
      <c r="AA211" s="4"/>
      <c r="AB211" s="4"/>
      <c r="AC211" s="4"/>
      <c r="AD211" s="114"/>
      <c r="AE211" s="114"/>
      <c r="AF211" s="4"/>
      <c r="AG211" s="4"/>
      <c r="AI211" s="4"/>
      <c r="AJ211" s="4"/>
      <c r="AK211" s="4"/>
      <c r="AL211" s="4"/>
      <c r="AM211" s="109"/>
      <c r="AN211" s="4"/>
      <c r="AO211" s="4"/>
      <c r="AP211" s="4"/>
      <c r="AQ211" s="4"/>
      <c r="AR211" s="4"/>
      <c r="AS211" s="4"/>
      <c r="AT211" s="4"/>
      <c r="AU211" s="4"/>
    </row>
    <row r="212" spans="1:47" s="7" customFormat="1">
      <c r="A212" s="4"/>
      <c r="B212" s="114"/>
      <c r="C212" s="102"/>
      <c r="D212" s="4"/>
      <c r="F212" s="114"/>
      <c r="G212" s="114"/>
      <c r="H212" s="102"/>
      <c r="I212" s="102"/>
      <c r="J212" s="114"/>
      <c r="K212" s="114"/>
      <c r="L212" s="195"/>
      <c r="O212" s="104"/>
      <c r="R212" s="4"/>
      <c r="S212" s="109"/>
      <c r="T212" s="4"/>
      <c r="U212" s="109"/>
      <c r="V212" s="4"/>
      <c r="W212" s="4"/>
      <c r="X212" s="14"/>
      <c r="Y212" s="4"/>
      <c r="Z212" s="4"/>
      <c r="AA212" s="4"/>
      <c r="AB212" s="4"/>
      <c r="AC212" s="4"/>
      <c r="AD212" s="114"/>
      <c r="AE212" s="114"/>
      <c r="AF212" s="4"/>
      <c r="AG212" s="4"/>
      <c r="AI212" s="4"/>
      <c r="AJ212" s="4"/>
      <c r="AK212" s="4"/>
      <c r="AL212" s="4"/>
      <c r="AM212" s="109"/>
      <c r="AN212" s="4"/>
      <c r="AO212" s="4"/>
      <c r="AP212" s="4"/>
      <c r="AQ212" s="4"/>
      <c r="AR212" s="4"/>
      <c r="AS212" s="4"/>
      <c r="AT212" s="4"/>
      <c r="AU212" s="4"/>
    </row>
    <row r="213" spans="1:47" s="7" customFormat="1">
      <c r="A213" s="4"/>
      <c r="B213" s="27"/>
      <c r="C213" s="249"/>
      <c r="D213" s="27"/>
      <c r="F213" s="114"/>
      <c r="G213" s="114"/>
      <c r="H213" s="102"/>
      <c r="I213" s="102"/>
      <c r="J213" s="114"/>
      <c r="K213" s="114"/>
      <c r="L213" s="195"/>
      <c r="O213" s="104"/>
      <c r="R213" s="4"/>
      <c r="S213" s="109"/>
      <c r="T213" s="4"/>
      <c r="U213" s="109"/>
      <c r="V213" s="4"/>
      <c r="W213" s="4"/>
      <c r="X213" s="14"/>
      <c r="Y213" s="4"/>
      <c r="Z213" s="4"/>
      <c r="AA213" s="4"/>
      <c r="AB213" s="4"/>
      <c r="AC213" s="4"/>
      <c r="AD213" s="114"/>
      <c r="AE213" s="114"/>
      <c r="AF213" s="4"/>
      <c r="AG213" s="4"/>
      <c r="AI213" s="4"/>
      <c r="AJ213" s="4"/>
      <c r="AK213" s="4"/>
      <c r="AL213" s="4"/>
      <c r="AM213" s="109"/>
      <c r="AN213" s="4"/>
      <c r="AO213" s="4"/>
      <c r="AP213" s="4"/>
      <c r="AQ213" s="4"/>
      <c r="AR213" s="4"/>
      <c r="AS213" s="4"/>
      <c r="AT213" s="4"/>
      <c r="AU213" s="4"/>
    </row>
    <row r="214" spans="1:47" s="7" customFormat="1">
      <c r="A214" s="4"/>
      <c r="B214" s="27"/>
      <c r="C214" s="249"/>
      <c r="D214" s="27"/>
      <c r="F214" s="114"/>
      <c r="G214" s="114"/>
      <c r="H214" s="102"/>
      <c r="I214" s="102"/>
      <c r="J214" s="114"/>
      <c r="K214" s="114"/>
      <c r="L214" s="195"/>
      <c r="O214" s="104"/>
      <c r="R214" s="4"/>
      <c r="S214" s="109"/>
      <c r="T214" s="4"/>
      <c r="U214" s="109"/>
      <c r="V214" s="4"/>
      <c r="W214" s="4"/>
      <c r="X214" s="14"/>
      <c r="Y214" s="4"/>
      <c r="Z214" s="4"/>
      <c r="AA214" s="4"/>
      <c r="AB214" s="4"/>
      <c r="AC214" s="4"/>
      <c r="AD214" s="114"/>
      <c r="AE214" s="114"/>
      <c r="AF214" s="4"/>
      <c r="AG214" s="4"/>
      <c r="AI214" s="4"/>
      <c r="AJ214" s="4"/>
      <c r="AK214" s="4"/>
      <c r="AL214" s="4"/>
      <c r="AM214" s="109"/>
      <c r="AN214" s="4"/>
      <c r="AO214" s="4"/>
      <c r="AP214" s="4"/>
      <c r="AQ214" s="4"/>
      <c r="AR214" s="4"/>
      <c r="AS214" s="4"/>
      <c r="AT214" s="4"/>
      <c r="AU214" s="4"/>
    </row>
    <row r="215" spans="1:47" s="7" customFormat="1">
      <c r="A215" s="4"/>
      <c r="B215" s="27"/>
      <c r="C215" s="249"/>
      <c r="D215" s="27"/>
      <c r="F215" s="114"/>
      <c r="G215" s="114"/>
      <c r="H215" s="102"/>
      <c r="I215" s="102"/>
      <c r="J215" s="114"/>
      <c r="K215" s="114"/>
      <c r="L215" s="195"/>
      <c r="O215" s="104"/>
      <c r="R215" s="4"/>
      <c r="S215" s="109"/>
      <c r="T215" s="4"/>
      <c r="U215" s="109"/>
      <c r="V215" s="4"/>
      <c r="W215" s="4"/>
      <c r="X215" s="14"/>
      <c r="Y215" s="4"/>
      <c r="Z215" s="4"/>
      <c r="AA215" s="4"/>
      <c r="AB215" s="4"/>
      <c r="AC215" s="4"/>
      <c r="AD215" s="114"/>
      <c r="AE215" s="114"/>
      <c r="AF215" s="4"/>
      <c r="AG215" s="4"/>
      <c r="AI215" s="4"/>
      <c r="AJ215" s="4"/>
      <c r="AK215" s="4"/>
      <c r="AL215" s="4"/>
      <c r="AM215" s="109"/>
      <c r="AN215" s="4"/>
      <c r="AO215" s="4"/>
      <c r="AP215" s="4"/>
      <c r="AQ215" s="4"/>
      <c r="AR215" s="4"/>
      <c r="AS215" s="4"/>
      <c r="AT215" s="4"/>
      <c r="AU215" s="4"/>
    </row>
    <row r="216" spans="1:47" s="7" customFormat="1">
      <c r="A216" s="4"/>
      <c r="B216" s="27"/>
      <c r="C216" s="249"/>
      <c r="D216" s="27"/>
      <c r="F216" s="114"/>
      <c r="G216" s="114"/>
      <c r="H216" s="102"/>
      <c r="I216" s="102"/>
      <c r="J216" s="114"/>
      <c r="K216" s="114"/>
      <c r="L216" s="195"/>
      <c r="O216" s="104"/>
      <c r="R216" s="4"/>
      <c r="S216" s="109"/>
      <c r="T216" s="4"/>
      <c r="U216" s="109"/>
      <c r="V216" s="4"/>
      <c r="W216" s="4"/>
      <c r="X216" s="14"/>
      <c r="Y216" s="4"/>
      <c r="Z216" s="4"/>
      <c r="AA216" s="4"/>
      <c r="AB216" s="4"/>
      <c r="AC216" s="4"/>
      <c r="AD216" s="114"/>
      <c r="AE216" s="114"/>
      <c r="AF216" s="4"/>
      <c r="AG216" s="4"/>
      <c r="AI216" s="4"/>
      <c r="AJ216" s="4"/>
      <c r="AK216" s="4"/>
      <c r="AL216" s="4"/>
      <c r="AM216" s="109"/>
      <c r="AN216" s="4"/>
      <c r="AO216" s="4"/>
      <c r="AP216" s="4"/>
      <c r="AQ216" s="4"/>
      <c r="AR216" s="4"/>
      <c r="AS216" s="4"/>
      <c r="AT216" s="4"/>
      <c r="AU216" s="4"/>
    </row>
    <row r="217" spans="1:47" s="7" customFormat="1">
      <c r="A217" s="4"/>
      <c r="B217" s="27"/>
      <c r="C217" s="249"/>
      <c r="D217" s="27"/>
      <c r="F217" s="114"/>
      <c r="G217" s="114"/>
      <c r="H217" s="102"/>
      <c r="I217" s="102"/>
      <c r="J217" s="114"/>
      <c r="K217" s="114"/>
      <c r="L217" s="195"/>
      <c r="O217" s="104"/>
      <c r="R217" s="4"/>
      <c r="S217" s="109"/>
      <c r="T217" s="4"/>
      <c r="U217" s="109"/>
      <c r="V217" s="4"/>
      <c r="W217" s="4"/>
      <c r="X217" s="14"/>
      <c r="Y217" s="4"/>
      <c r="Z217" s="4"/>
      <c r="AA217" s="4"/>
      <c r="AB217" s="4"/>
      <c r="AC217" s="4"/>
      <c r="AD217" s="114"/>
      <c r="AE217" s="114"/>
      <c r="AF217" s="4"/>
      <c r="AG217" s="4"/>
      <c r="AI217" s="4"/>
      <c r="AJ217" s="4"/>
      <c r="AK217" s="4"/>
      <c r="AL217" s="4"/>
      <c r="AM217" s="109"/>
      <c r="AN217" s="4"/>
      <c r="AO217" s="4"/>
      <c r="AP217" s="4"/>
      <c r="AQ217" s="4"/>
      <c r="AR217" s="4"/>
      <c r="AS217" s="4"/>
      <c r="AT217" s="4"/>
      <c r="AU217" s="4"/>
    </row>
    <row r="218" spans="1:47" s="7" customFormat="1">
      <c r="A218" s="4"/>
      <c r="B218" s="27"/>
      <c r="C218" s="249"/>
      <c r="D218" s="27"/>
      <c r="F218" s="114"/>
      <c r="G218" s="114"/>
      <c r="H218" s="102"/>
      <c r="I218" s="102"/>
      <c r="J218" s="114"/>
      <c r="K218" s="114"/>
      <c r="L218" s="195"/>
      <c r="O218" s="104"/>
      <c r="R218" s="4"/>
      <c r="S218" s="109"/>
      <c r="T218" s="4"/>
      <c r="U218" s="109"/>
      <c r="V218" s="4"/>
      <c r="W218" s="4"/>
      <c r="X218" s="14"/>
      <c r="Y218" s="4"/>
      <c r="Z218" s="4"/>
      <c r="AA218" s="4"/>
      <c r="AB218" s="4"/>
      <c r="AC218" s="4"/>
      <c r="AD218" s="114"/>
      <c r="AE218" s="114"/>
      <c r="AF218" s="4"/>
      <c r="AG218" s="4"/>
      <c r="AI218" s="4"/>
      <c r="AJ218" s="4"/>
      <c r="AK218" s="4"/>
      <c r="AL218" s="4"/>
      <c r="AM218" s="109"/>
      <c r="AN218" s="4"/>
      <c r="AO218" s="4"/>
      <c r="AP218" s="4"/>
      <c r="AQ218" s="4"/>
      <c r="AR218" s="4"/>
      <c r="AS218" s="4"/>
      <c r="AT218" s="4"/>
      <c r="AU218" s="4"/>
    </row>
    <row r="219" spans="1:47" s="7" customFormat="1">
      <c r="A219" s="4"/>
      <c r="B219" s="114"/>
      <c r="C219" s="102"/>
      <c r="D219" s="4"/>
      <c r="F219" s="114"/>
      <c r="G219" s="114"/>
      <c r="H219" s="102"/>
      <c r="I219" s="102"/>
      <c r="J219" s="114"/>
      <c r="K219" s="114"/>
      <c r="L219" s="195"/>
      <c r="O219" s="104"/>
      <c r="R219" s="4"/>
      <c r="S219" s="109"/>
      <c r="T219" s="4"/>
      <c r="U219" s="109"/>
      <c r="V219" s="4"/>
      <c r="W219" s="4"/>
      <c r="X219" s="14"/>
      <c r="Y219" s="4"/>
      <c r="Z219" s="4"/>
      <c r="AA219" s="4"/>
      <c r="AB219" s="4"/>
      <c r="AC219" s="4"/>
      <c r="AD219" s="114"/>
      <c r="AE219" s="114"/>
      <c r="AF219" s="4"/>
      <c r="AG219" s="4"/>
      <c r="AI219" s="4"/>
      <c r="AJ219" s="4"/>
      <c r="AK219" s="4"/>
      <c r="AL219" s="4"/>
      <c r="AM219" s="109"/>
      <c r="AN219" s="4"/>
      <c r="AO219" s="4"/>
      <c r="AP219" s="4"/>
      <c r="AQ219" s="4"/>
      <c r="AR219" s="4"/>
      <c r="AS219" s="4"/>
      <c r="AT219" s="4"/>
      <c r="AU219" s="4"/>
    </row>
    <row r="220" spans="1:47" s="7" customFormat="1">
      <c r="A220" s="4"/>
      <c r="B220" s="114"/>
      <c r="C220" s="102"/>
      <c r="D220" s="4"/>
      <c r="F220" s="114"/>
      <c r="G220" s="114"/>
      <c r="H220" s="102"/>
      <c r="I220" s="102"/>
      <c r="J220" s="114"/>
      <c r="K220" s="114"/>
      <c r="L220" s="195"/>
      <c r="O220" s="104"/>
      <c r="R220" s="4"/>
      <c r="S220" s="109"/>
      <c r="T220" s="4"/>
      <c r="U220" s="109"/>
      <c r="V220" s="4"/>
      <c r="W220" s="4"/>
      <c r="X220" s="14"/>
      <c r="Y220" s="4"/>
      <c r="Z220" s="4"/>
      <c r="AA220" s="4"/>
      <c r="AB220" s="4"/>
      <c r="AC220" s="4"/>
      <c r="AD220" s="114"/>
      <c r="AE220" s="114"/>
      <c r="AF220" s="4"/>
      <c r="AG220" s="4"/>
      <c r="AI220" s="4"/>
      <c r="AJ220" s="4"/>
      <c r="AK220" s="4"/>
      <c r="AL220" s="4"/>
      <c r="AM220" s="109"/>
      <c r="AN220" s="4"/>
      <c r="AO220" s="4"/>
      <c r="AP220" s="4"/>
      <c r="AQ220" s="4"/>
      <c r="AR220" s="4"/>
      <c r="AS220" s="4"/>
      <c r="AT220" s="4"/>
      <c r="AU220" s="4"/>
    </row>
    <row r="221" spans="1:47" s="7" customFormat="1">
      <c r="A221" s="4"/>
      <c r="B221" s="27"/>
      <c r="C221" s="249"/>
      <c r="D221" s="27"/>
      <c r="F221" s="114"/>
      <c r="G221" s="114"/>
      <c r="H221" s="102"/>
      <c r="I221" s="102"/>
      <c r="J221" s="114"/>
      <c r="K221" s="114"/>
      <c r="L221" s="195"/>
      <c r="O221" s="104"/>
      <c r="R221" s="4"/>
      <c r="S221" s="109"/>
      <c r="T221" s="4"/>
      <c r="U221" s="109"/>
      <c r="V221" s="4"/>
      <c r="W221" s="4"/>
      <c r="X221" s="14"/>
      <c r="Y221" s="4"/>
      <c r="Z221" s="4"/>
      <c r="AA221" s="4"/>
      <c r="AB221" s="4"/>
      <c r="AC221" s="4"/>
      <c r="AD221" s="114"/>
      <c r="AE221" s="114"/>
      <c r="AF221" s="4"/>
      <c r="AG221" s="4"/>
      <c r="AI221" s="4"/>
      <c r="AJ221" s="4"/>
      <c r="AK221" s="4"/>
      <c r="AL221" s="4"/>
      <c r="AM221" s="109"/>
      <c r="AN221" s="4"/>
      <c r="AO221" s="4"/>
      <c r="AP221" s="4"/>
      <c r="AQ221" s="4"/>
      <c r="AR221" s="4"/>
      <c r="AS221" s="4"/>
      <c r="AT221" s="4"/>
      <c r="AU221" s="4"/>
    </row>
    <row r="222" spans="1:47" s="7" customFormat="1">
      <c r="A222" s="4"/>
      <c r="B222" s="27"/>
      <c r="C222" s="249"/>
      <c r="D222" s="27"/>
      <c r="F222" s="114"/>
      <c r="G222" s="114"/>
      <c r="H222" s="102"/>
      <c r="I222" s="102"/>
      <c r="J222" s="114"/>
      <c r="K222" s="114"/>
      <c r="L222" s="195"/>
      <c r="O222" s="104"/>
      <c r="R222" s="4"/>
      <c r="S222" s="109"/>
      <c r="T222" s="4"/>
      <c r="U222" s="109"/>
      <c r="V222" s="4"/>
      <c r="W222" s="4"/>
      <c r="X222" s="14"/>
      <c r="Y222" s="4"/>
      <c r="Z222" s="4"/>
      <c r="AA222" s="4"/>
      <c r="AB222" s="4"/>
      <c r="AC222" s="4"/>
      <c r="AD222" s="114"/>
      <c r="AE222" s="114"/>
      <c r="AF222" s="4"/>
      <c r="AG222" s="4"/>
      <c r="AI222" s="4"/>
      <c r="AJ222" s="4"/>
      <c r="AK222" s="4"/>
      <c r="AL222" s="4"/>
      <c r="AM222" s="109"/>
      <c r="AN222" s="4"/>
      <c r="AO222" s="4"/>
      <c r="AP222" s="4"/>
      <c r="AQ222" s="4"/>
      <c r="AR222" s="4"/>
      <c r="AS222" s="4"/>
      <c r="AT222" s="4"/>
      <c r="AU222" s="4"/>
    </row>
    <row r="223" spans="1:47" s="7" customFormat="1">
      <c r="A223" s="4"/>
      <c r="B223" s="15"/>
      <c r="C223" s="14"/>
      <c r="D223" s="4"/>
      <c r="F223" s="114"/>
      <c r="G223" s="114"/>
      <c r="H223" s="102"/>
      <c r="I223" s="102"/>
      <c r="J223" s="114"/>
      <c r="K223" s="114"/>
      <c r="L223" s="195"/>
      <c r="O223" s="104"/>
      <c r="R223" s="4"/>
      <c r="S223" s="109"/>
      <c r="T223" s="4"/>
      <c r="U223" s="109"/>
      <c r="V223" s="4"/>
      <c r="W223" s="4"/>
      <c r="X223" s="14"/>
      <c r="Y223" s="4"/>
      <c r="Z223" s="4"/>
      <c r="AA223" s="4"/>
      <c r="AB223" s="4"/>
      <c r="AC223" s="4"/>
      <c r="AD223" s="114"/>
      <c r="AE223" s="114"/>
      <c r="AF223" s="4"/>
      <c r="AG223" s="4"/>
      <c r="AI223" s="4"/>
      <c r="AJ223" s="4"/>
      <c r="AK223" s="4"/>
      <c r="AL223" s="4"/>
      <c r="AM223" s="109"/>
      <c r="AN223" s="4"/>
      <c r="AO223" s="4"/>
      <c r="AP223" s="4"/>
      <c r="AQ223" s="4"/>
      <c r="AR223" s="4"/>
      <c r="AS223" s="4"/>
      <c r="AT223" s="4"/>
      <c r="AU223" s="4"/>
    </row>
    <row r="224" spans="1:47" s="7" customFormat="1">
      <c r="A224" s="4"/>
      <c r="B224" s="27"/>
      <c r="C224" s="249"/>
      <c r="D224" s="27"/>
      <c r="F224" s="114"/>
      <c r="G224" s="114"/>
      <c r="H224" s="102"/>
      <c r="I224" s="102"/>
      <c r="J224" s="114"/>
      <c r="K224" s="114"/>
      <c r="L224" s="195"/>
      <c r="O224" s="104"/>
      <c r="R224" s="4"/>
      <c r="S224" s="109"/>
      <c r="T224" s="4"/>
      <c r="U224" s="109"/>
      <c r="V224" s="4"/>
      <c r="W224" s="4"/>
      <c r="X224" s="14"/>
      <c r="Y224" s="4"/>
      <c r="Z224" s="4"/>
      <c r="AA224" s="4"/>
      <c r="AB224" s="4"/>
      <c r="AC224" s="4"/>
      <c r="AD224" s="114"/>
      <c r="AE224" s="114"/>
      <c r="AF224" s="4"/>
      <c r="AG224" s="4"/>
      <c r="AI224" s="4"/>
      <c r="AJ224" s="4"/>
      <c r="AK224" s="4"/>
      <c r="AL224" s="4"/>
      <c r="AM224" s="109"/>
      <c r="AN224" s="4"/>
      <c r="AO224" s="4"/>
      <c r="AP224" s="4"/>
      <c r="AQ224" s="4"/>
      <c r="AR224" s="4"/>
      <c r="AS224" s="4"/>
      <c r="AT224" s="4"/>
      <c r="AU224" s="4"/>
    </row>
    <row r="225" spans="1:47" s="7" customFormat="1">
      <c r="A225" s="4"/>
      <c r="B225" s="27"/>
      <c r="C225" s="249"/>
      <c r="D225" s="27"/>
      <c r="F225" s="114"/>
      <c r="G225" s="114"/>
      <c r="H225" s="102"/>
      <c r="I225" s="102"/>
      <c r="J225" s="114"/>
      <c r="K225" s="114"/>
      <c r="L225" s="195"/>
      <c r="O225" s="104"/>
      <c r="R225" s="4"/>
      <c r="S225" s="109"/>
      <c r="T225" s="4"/>
      <c r="U225" s="109"/>
      <c r="V225" s="4"/>
      <c r="W225" s="4"/>
      <c r="X225" s="14"/>
      <c r="Y225" s="4"/>
      <c r="Z225" s="4"/>
      <c r="AA225" s="4"/>
      <c r="AB225" s="4"/>
      <c r="AC225" s="4"/>
      <c r="AD225" s="114"/>
      <c r="AE225" s="114"/>
      <c r="AF225" s="4"/>
      <c r="AG225" s="4"/>
      <c r="AI225" s="4"/>
      <c r="AJ225" s="4"/>
      <c r="AK225" s="4"/>
      <c r="AL225" s="4"/>
      <c r="AM225" s="109"/>
      <c r="AN225" s="4"/>
      <c r="AO225" s="4"/>
      <c r="AP225" s="4"/>
      <c r="AQ225" s="4"/>
      <c r="AR225" s="4"/>
      <c r="AS225" s="4"/>
      <c r="AT225" s="4"/>
      <c r="AU225" s="4"/>
    </row>
    <row r="226" spans="1:47" s="7" customFormat="1">
      <c r="A226" s="4"/>
      <c r="B226" s="27"/>
      <c r="C226" s="249"/>
      <c r="D226" s="27"/>
      <c r="F226" s="114"/>
      <c r="G226" s="114"/>
      <c r="H226" s="102"/>
      <c r="I226" s="102"/>
      <c r="J226" s="114"/>
      <c r="K226" s="114"/>
      <c r="L226" s="195"/>
      <c r="O226" s="104"/>
      <c r="R226" s="4"/>
      <c r="S226" s="109"/>
      <c r="T226" s="4"/>
      <c r="U226" s="109"/>
      <c r="V226" s="4"/>
      <c r="W226" s="4"/>
      <c r="X226" s="14"/>
      <c r="Y226" s="4"/>
      <c r="Z226" s="4"/>
      <c r="AA226" s="4"/>
      <c r="AB226" s="4"/>
      <c r="AC226" s="4"/>
      <c r="AD226" s="114"/>
      <c r="AE226" s="114"/>
      <c r="AF226" s="4"/>
      <c r="AG226" s="4"/>
      <c r="AI226" s="4"/>
      <c r="AJ226" s="4"/>
      <c r="AK226" s="4"/>
      <c r="AL226" s="4"/>
      <c r="AM226" s="109"/>
      <c r="AN226" s="4"/>
      <c r="AO226" s="4"/>
      <c r="AP226" s="4"/>
      <c r="AQ226" s="4"/>
      <c r="AR226" s="4"/>
      <c r="AS226" s="4"/>
      <c r="AT226" s="4"/>
      <c r="AU226" s="4"/>
    </row>
    <row r="227" spans="1:47" s="7" customFormat="1">
      <c r="A227" s="4"/>
      <c r="B227" s="27"/>
      <c r="C227" s="249"/>
      <c r="D227" s="27"/>
      <c r="F227" s="114"/>
      <c r="G227" s="114"/>
      <c r="H227" s="102"/>
      <c r="I227" s="102"/>
      <c r="J227" s="114"/>
      <c r="K227" s="114"/>
      <c r="L227" s="195"/>
      <c r="O227" s="104"/>
      <c r="R227" s="4"/>
      <c r="S227" s="109"/>
      <c r="T227" s="4"/>
      <c r="U227" s="109"/>
      <c r="V227" s="4"/>
      <c r="W227" s="4"/>
      <c r="X227" s="14"/>
      <c r="Y227" s="4"/>
      <c r="Z227" s="4"/>
      <c r="AA227" s="4"/>
      <c r="AB227" s="4"/>
      <c r="AC227" s="4"/>
      <c r="AD227" s="114"/>
      <c r="AE227" s="114"/>
      <c r="AF227" s="4"/>
      <c r="AG227" s="4"/>
      <c r="AI227" s="4"/>
      <c r="AJ227" s="4"/>
      <c r="AK227" s="4"/>
      <c r="AL227" s="4"/>
      <c r="AM227" s="109"/>
      <c r="AN227" s="4"/>
      <c r="AO227" s="4"/>
      <c r="AP227" s="4"/>
      <c r="AQ227" s="4"/>
      <c r="AR227" s="4"/>
      <c r="AS227" s="4"/>
      <c r="AT227" s="4"/>
      <c r="AU227" s="4"/>
    </row>
    <row r="228" spans="1:47" s="7" customFormat="1">
      <c r="A228" s="4"/>
      <c r="B228" s="27"/>
      <c r="C228" s="249"/>
      <c r="D228" s="27"/>
      <c r="F228" s="114"/>
      <c r="G228" s="114"/>
      <c r="H228" s="102"/>
      <c r="I228" s="102"/>
      <c r="J228" s="114"/>
      <c r="K228" s="114"/>
      <c r="L228" s="195"/>
      <c r="O228" s="104"/>
      <c r="R228" s="4"/>
      <c r="S228" s="109"/>
      <c r="T228" s="4"/>
      <c r="U228" s="109"/>
      <c r="V228" s="4"/>
      <c r="W228" s="4"/>
      <c r="X228" s="14"/>
      <c r="Y228" s="4"/>
      <c r="Z228" s="4"/>
      <c r="AA228" s="4"/>
      <c r="AB228" s="4"/>
      <c r="AC228" s="4"/>
      <c r="AD228" s="114"/>
      <c r="AE228" s="114"/>
      <c r="AF228" s="4"/>
      <c r="AG228" s="4"/>
      <c r="AI228" s="4"/>
      <c r="AJ228" s="4"/>
      <c r="AK228" s="4"/>
      <c r="AL228" s="4"/>
      <c r="AM228" s="109"/>
      <c r="AN228" s="4"/>
      <c r="AO228" s="4"/>
      <c r="AP228" s="4"/>
      <c r="AQ228" s="4"/>
      <c r="AR228" s="4"/>
      <c r="AS228" s="4"/>
      <c r="AT228" s="4"/>
      <c r="AU228" s="4"/>
    </row>
    <row r="229" spans="1:47" s="7" customFormat="1">
      <c r="A229" s="4"/>
      <c r="B229" s="27"/>
      <c r="C229" s="249"/>
      <c r="D229" s="27"/>
      <c r="F229" s="114"/>
      <c r="G229" s="114"/>
      <c r="H229" s="102"/>
      <c r="I229" s="102"/>
      <c r="J229" s="114"/>
      <c r="K229" s="114"/>
      <c r="L229" s="195"/>
      <c r="O229" s="104"/>
      <c r="R229" s="4"/>
      <c r="S229" s="109"/>
      <c r="T229" s="4"/>
      <c r="U229" s="109"/>
      <c r="V229" s="4"/>
      <c r="W229" s="4"/>
      <c r="X229" s="14"/>
      <c r="Y229" s="4"/>
      <c r="Z229" s="4"/>
      <c r="AA229" s="4"/>
      <c r="AB229" s="4"/>
      <c r="AC229" s="4"/>
      <c r="AD229" s="114"/>
      <c r="AE229" s="114"/>
      <c r="AF229" s="4"/>
      <c r="AG229" s="4"/>
      <c r="AI229" s="4"/>
      <c r="AJ229" s="4"/>
      <c r="AK229" s="4"/>
      <c r="AL229" s="4"/>
      <c r="AM229" s="109"/>
      <c r="AN229" s="4"/>
      <c r="AO229" s="4"/>
      <c r="AP229" s="4"/>
      <c r="AQ229" s="4"/>
      <c r="AR229" s="4"/>
      <c r="AS229" s="4"/>
      <c r="AT229" s="4"/>
      <c r="AU229" s="4"/>
    </row>
    <row r="230" spans="1:47" s="7" customFormat="1">
      <c r="A230" s="4"/>
      <c r="B230" s="27"/>
      <c r="C230" s="249"/>
      <c r="D230" s="27"/>
      <c r="F230" s="114"/>
      <c r="G230" s="114"/>
      <c r="H230" s="102"/>
      <c r="I230" s="102"/>
      <c r="J230" s="114"/>
      <c r="K230" s="114"/>
      <c r="L230" s="195"/>
      <c r="O230" s="104"/>
      <c r="R230" s="4"/>
      <c r="S230" s="109"/>
      <c r="T230" s="4"/>
      <c r="U230" s="109"/>
      <c r="V230" s="4"/>
      <c r="W230" s="4"/>
      <c r="X230" s="14"/>
      <c r="Y230" s="4"/>
      <c r="Z230" s="4"/>
      <c r="AA230" s="4"/>
      <c r="AB230" s="4"/>
      <c r="AC230" s="4"/>
      <c r="AD230" s="114"/>
      <c r="AE230" s="114"/>
      <c r="AF230" s="4"/>
      <c r="AG230" s="4"/>
      <c r="AI230" s="4"/>
      <c r="AJ230" s="4"/>
      <c r="AK230" s="4"/>
      <c r="AL230" s="4"/>
      <c r="AM230" s="109"/>
      <c r="AN230" s="4"/>
      <c r="AO230" s="4"/>
      <c r="AP230" s="4"/>
      <c r="AQ230" s="4"/>
      <c r="AR230" s="4"/>
      <c r="AS230" s="4"/>
      <c r="AT230" s="4"/>
      <c r="AU230" s="4"/>
    </row>
    <row r="231" spans="1:47" s="7" customFormat="1">
      <c r="A231" s="4"/>
      <c r="B231" s="114"/>
      <c r="C231" s="102"/>
      <c r="D231" s="4"/>
      <c r="F231" s="114"/>
      <c r="G231" s="114"/>
      <c r="H231" s="102"/>
      <c r="I231" s="102"/>
      <c r="J231" s="114"/>
      <c r="K231" s="114"/>
      <c r="L231" s="195"/>
      <c r="O231" s="104"/>
      <c r="R231" s="4"/>
      <c r="S231" s="109"/>
      <c r="T231" s="4"/>
      <c r="U231" s="109"/>
      <c r="V231" s="4"/>
      <c r="W231" s="4"/>
      <c r="X231" s="14"/>
      <c r="Y231" s="4"/>
      <c r="Z231" s="4"/>
      <c r="AA231" s="4"/>
      <c r="AB231" s="4"/>
      <c r="AC231" s="4"/>
      <c r="AD231" s="114"/>
      <c r="AE231" s="114"/>
      <c r="AF231" s="4"/>
      <c r="AG231" s="4"/>
      <c r="AI231" s="4"/>
      <c r="AJ231" s="4"/>
      <c r="AK231" s="4"/>
      <c r="AL231" s="4"/>
      <c r="AM231" s="109"/>
      <c r="AN231" s="4"/>
      <c r="AO231" s="4"/>
      <c r="AP231" s="4"/>
      <c r="AQ231" s="4"/>
      <c r="AR231" s="4"/>
      <c r="AS231" s="4"/>
      <c r="AT231" s="4"/>
      <c r="AU231" s="4"/>
    </row>
    <row r="232" spans="1:47" s="7" customFormat="1">
      <c r="A232" s="4"/>
      <c r="B232" s="27"/>
      <c r="C232" s="249"/>
      <c r="D232" s="27"/>
      <c r="F232" s="114"/>
      <c r="G232" s="114"/>
      <c r="H232" s="102"/>
      <c r="I232" s="102"/>
      <c r="J232" s="114"/>
      <c r="K232" s="114"/>
      <c r="L232" s="195"/>
      <c r="O232" s="104"/>
      <c r="R232" s="4"/>
      <c r="S232" s="109"/>
      <c r="T232" s="4"/>
      <c r="U232" s="109"/>
      <c r="V232" s="4"/>
      <c r="W232" s="4"/>
      <c r="X232" s="14"/>
      <c r="Y232" s="4"/>
      <c r="Z232" s="4"/>
      <c r="AA232" s="4"/>
      <c r="AB232" s="4"/>
      <c r="AC232" s="4"/>
      <c r="AD232" s="114"/>
      <c r="AE232" s="114"/>
      <c r="AF232" s="4"/>
      <c r="AG232" s="4"/>
      <c r="AI232" s="4"/>
      <c r="AJ232" s="4"/>
      <c r="AK232" s="4"/>
      <c r="AL232" s="4"/>
      <c r="AM232" s="109"/>
      <c r="AN232" s="4"/>
      <c r="AO232" s="4"/>
      <c r="AP232" s="4"/>
      <c r="AQ232" s="4"/>
      <c r="AR232" s="4"/>
      <c r="AS232" s="4"/>
      <c r="AT232" s="4"/>
      <c r="AU232" s="4"/>
    </row>
    <row r="233" spans="1:47" s="7" customFormat="1">
      <c r="A233" s="4"/>
      <c r="B233" s="114"/>
      <c r="C233" s="102"/>
      <c r="D233" s="4"/>
      <c r="F233" s="114"/>
      <c r="G233" s="114"/>
      <c r="H233" s="102"/>
      <c r="I233" s="102"/>
      <c r="J233" s="114"/>
      <c r="K233" s="114"/>
      <c r="L233" s="195"/>
      <c r="O233" s="104"/>
      <c r="R233" s="4"/>
      <c r="S233" s="109"/>
      <c r="T233" s="4"/>
      <c r="U233" s="109"/>
      <c r="V233" s="4"/>
      <c r="W233" s="4"/>
      <c r="X233" s="14"/>
      <c r="Y233" s="4"/>
      <c r="Z233" s="4"/>
      <c r="AA233" s="4"/>
      <c r="AB233" s="4"/>
      <c r="AC233" s="4"/>
      <c r="AD233" s="114"/>
      <c r="AE233" s="114"/>
      <c r="AF233" s="4"/>
      <c r="AG233" s="4"/>
      <c r="AI233" s="4"/>
      <c r="AJ233" s="4"/>
      <c r="AK233" s="4"/>
      <c r="AL233" s="4"/>
      <c r="AM233" s="109"/>
      <c r="AN233" s="4"/>
      <c r="AO233" s="4"/>
      <c r="AP233" s="4"/>
      <c r="AQ233" s="4"/>
      <c r="AR233" s="4"/>
      <c r="AS233" s="4"/>
      <c r="AT233" s="4"/>
      <c r="AU233" s="4"/>
    </row>
    <row r="234" spans="1:47" s="7" customFormat="1">
      <c r="A234" s="4"/>
      <c r="B234" s="27"/>
      <c r="C234" s="249"/>
      <c r="D234" s="27"/>
      <c r="F234" s="114"/>
      <c r="G234" s="114"/>
      <c r="H234" s="102"/>
      <c r="I234" s="102"/>
      <c r="J234" s="114"/>
      <c r="K234" s="114"/>
      <c r="L234" s="195"/>
      <c r="O234" s="104"/>
      <c r="R234" s="4"/>
      <c r="S234" s="109"/>
      <c r="T234" s="4"/>
      <c r="U234" s="109"/>
      <c r="V234" s="4"/>
      <c r="W234" s="4"/>
      <c r="X234" s="14"/>
      <c r="Y234" s="4"/>
      <c r="Z234" s="4"/>
      <c r="AA234" s="4"/>
      <c r="AB234" s="4"/>
      <c r="AC234" s="4"/>
      <c r="AD234" s="114"/>
      <c r="AE234" s="114"/>
      <c r="AF234" s="4"/>
      <c r="AG234" s="4"/>
      <c r="AI234" s="4"/>
      <c r="AJ234" s="4"/>
      <c r="AK234" s="4"/>
      <c r="AL234" s="4"/>
      <c r="AM234" s="109"/>
      <c r="AN234" s="4"/>
      <c r="AO234" s="4"/>
      <c r="AP234" s="4"/>
      <c r="AQ234" s="4"/>
      <c r="AR234" s="4"/>
      <c r="AS234" s="4"/>
      <c r="AT234" s="4"/>
      <c r="AU234" s="4"/>
    </row>
    <row r="235" spans="1:47" s="7" customFormat="1">
      <c r="A235" s="4"/>
      <c r="B235" s="114"/>
      <c r="C235" s="102"/>
      <c r="D235" s="4"/>
      <c r="F235" s="114"/>
      <c r="G235" s="114"/>
      <c r="H235" s="102"/>
      <c r="I235" s="102"/>
      <c r="J235" s="114"/>
      <c r="K235" s="114"/>
      <c r="L235" s="195"/>
      <c r="O235" s="104"/>
      <c r="R235" s="4"/>
      <c r="S235" s="109"/>
      <c r="T235" s="4"/>
      <c r="U235" s="109"/>
      <c r="V235" s="4"/>
      <c r="W235" s="4"/>
      <c r="X235" s="14"/>
      <c r="Y235" s="4"/>
      <c r="Z235" s="4"/>
      <c r="AA235" s="4"/>
      <c r="AB235" s="4"/>
      <c r="AC235" s="4"/>
      <c r="AD235" s="114"/>
      <c r="AE235" s="114"/>
      <c r="AF235" s="4"/>
      <c r="AG235" s="4"/>
      <c r="AI235" s="4"/>
      <c r="AJ235" s="4"/>
      <c r="AK235" s="4"/>
      <c r="AL235" s="4"/>
      <c r="AM235" s="109"/>
      <c r="AN235" s="4"/>
      <c r="AO235" s="4"/>
      <c r="AP235" s="4"/>
      <c r="AQ235" s="4"/>
      <c r="AR235" s="4"/>
      <c r="AS235" s="4"/>
      <c r="AT235" s="4"/>
      <c r="AU235" s="4"/>
    </row>
    <row r="236" spans="1:47" s="7" customFormat="1">
      <c r="A236" s="4"/>
      <c r="B236" s="27"/>
      <c r="C236" s="249"/>
      <c r="D236" s="27"/>
      <c r="F236" s="114"/>
      <c r="G236" s="114"/>
      <c r="H236" s="102"/>
      <c r="I236" s="102"/>
      <c r="J236" s="114"/>
      <c r="K236" s="114"/>
      <c r="L236" s="195"/>
      <c r="O236" s="104"/>
      <c r="R236" s="4"/>
      <c r="S236" s="109"/>
      <c r="T236" s="4"/>
      <c r="U236" s="109"/>
      <c r="V236" s="4"/>
      <c r="W236" s="4"/>
      <c r="X236" s="14"/>
      <c r="Y236" s="4"/>
      <c r="Z236" s="4"/>
      <c r="AA236" s="4"/>
      <c r="AB236" s="4"/>
      <c r="AC236" s="4"/>
      <c r="AD236" s="114"/>
      <c r="AE236" s="114"/>
      <c r="AF236" s="4"/>
      <c r="AG236" s="4"/>
      <c r="AI236" s="4"/>
      <c r="AJ236" s="4"/>
      <c r="AK236" s="4"/>
      <c r="AL236" s="4"/>
      <c r="AM236" s="109"/>
      <c r="AN236" s="4"/>
      <c r="AO236" s="4"/>
      <c r="AP236" s="4"/>
      <c r="AQ236" s="4"/>
      <c r="AR236" s="4"/>
      <c r="AS236" s="4"/>
      <c r="AT236" s="4"/>
      <c r="AU236" s="4"/>
    </row>
    <row r="237" spans="1:47" s="7" customFormat="1">
      <c r="A237" s="4"/>
      <c r="B237" s="27"/>
      <c r="C237" s="249"/>
      <c r="D237" s="27"/>
      <c r="F237" s="114"/>
      <c r="G237" s="114"/>
      <c r="H237" s="102"/>
      <c r="I237" s="102"/>
      <c r="J237" s="114"/>
      <c r="K237" s="114"/>
      <c r="L237" s="195"/>
      <c r="O237" s="104"/>
      <c r="R237" s="4"/>
      <c r="S237" s="109"/>
      <c r="T237" s="4"/>
      <c r="U237" s="109"/>
      <c r="V237" s="4"/>
      <c r="W237" s="4"/>
      <c r="X237" s="14"/>
      <c r="Y237" s="4"/>
      <c r="Z237" s="4"/>
      <c r="AA237" s="4"/>
      <c r="AB237" s="4"/>
      <c r="AC237" s="4"/>
      <c r="AD237" s="114"/>
      <c r="AE237" s="114"/>
      <c r="AF237" s="4"/>
      <c r="AG237" s="4"/>
      <c r="AI237" s="4"/>
      <c r="AJ237" s="4"/>
      <c r="AK237" s="4"/>
      <c r="AL237" s="4"/>
      <c r="AM237" s="109"/>
      <c r="AN237" s="4"/>
      <c r="AO237" s="4"/>
      <c r="AP237" s="4"/>
      <c r="AQ237" s="4"/>
      <c r="AR237" s="4"/>
      <c r="AS237" s="4"/>
      <c r="AT237" s="4"/>
      <c r="AU237" s="4"/>
    </row>
    <row r="238" spans="1:47" s="7" customFormat="1">
      <c r="A238" s="4"/>
      <c r="B238" s="27"/>
      <c r="C238" s="249"/>
      <c r="D238" s="27"/>
      <c r="F238" s="114"/>
      <c r="G238" s="114"/>
      <c r="H238" s="102"/>
      <c r="I238" s="102"/>
      <c r="J238" s="114"/>
      <c r="K238" s="114"/>
      <c r="L238" s="195"/>
      <c r="O238" s="104"/>
      <c r="R238" s="4"/>
      <c r="S238" s="109"/>
      <c r="T238" s="4"/>
      <c r="U238" s="109"/>
      <c r="V238" s="4"/>
      <c r="W238" s="4"/>
      <c r="X238" s="14"/>
      <c r="Y238" s="4"/>
      <c r="Z238" s="4"/>
      <c r="AA238" s="4"/>
      <c r="AB238" s="4"/>
      <c r="AC238" s="4"/>
      <c r="AD238" s="114"/>
      <c r="AE238" s="114"/>
      <c r="AF238" s="4"/>
      <c r="AG238" s="4"/>
      <c r="AI238" s="4"/>
      <c r="AJ238" s="4"/>
      <c r="AK238" s="4"/>
      <c r="AL238" s="4"/>
      <c r="AM238" s="109"/>
      <c r="AN238" s="4"/>
      <c r="AO238" s="4"/>
      <c r="AP238" s="4"/>
      <c r="AQ238" s="4"/>
      <c r="AR238" s="4"/>
      <c r="AS238" s="4"/>
      <c r="AT238" s="4"/>
      <c r="AU238" s="4"/>
    </row>
    <row r="239" spans="1:47" s="7" customFormat="1">
      <c r="A239" s="4"/>
      <c r="B239" s="27"/>
      <c r="C239" s="249"/>
      <c r="D239" s="27"/>
      <c r="F239" s="114"/>
      <c r="G239" s="114"/>
      <c r="H239" s="102"/>
      <c r="I239" s="102"/>
      <c r="J239" s="114"/>
      <c r="K239" s="114"/>
      <c r="L239" s="195"/>
      <c r="O239" s="104"/>
      <c r="R239" s="4"/>
      <c r="S239" s="109"/>
      <c r="T239" s="4"/>
      <c r="U239" s="109"/>
      <c r="V239" s="4"/>
      <c r="W239" s="4"/>
      <c r="X239" s="14"/>
      <c r="Y239" s="4"/>
      <c r="Z239" s="4"/>
      <c r="AA239" s="4"/>
      <c r="AB239" s="4"/>
      <c r="AC239" s="4"/>
      <c r="AD239" s="114"/>
      <c r="AE239" s="114"/>
      <c r="AF239" s="4"/>
      <c r="AG239" s="4"/>
      <c r="AI239" s="4"/>
      <c r="AJ239" s="4"/>
      <c r="AK239" s="4"/>
      <c r="AL239" s="4"/>
      <c r="AM239" s="109"/>
      <c r="AN239" s="4"/>
      <c r="AO239" s="4"/>
      <c r="AP239" s="4"/>
      <c r="AQ239" s="4"/>
      <c r="AR239" s="4"/>
      <c r="AS239" s="4"/>
      <c r="AT239" s="4"/>
      <c r="AU239" s="4"/>
    </row>
    <row r="240" spans="1:47" s="7" customFormat="1">
      <c r="A240" s="4"/>
      <c r="B240" s="27"/>
      <c r="C240" s="249"/>
      <c r="D240" s="27"/>
      <c r="F240" s="114"/>
      <c r="G240" s="114"/>
      <c r="H240" s="102"/>
      <c r="I240" s="102"/>
      <c r="J240" s="114"/>
      <c r="K240" s="114"/>
      <c r="L240" s="195"/>
      <c r="O240" s="104"/>
      <c r="R240" s="4"/>
      <c r="S240" s="109"/>
      <c r="T240" s="4"/>
      <c r="U240" s="109"/>
      <c r="V240" s="4"/>
      <c r="W240" s="4"/>
      <c r="X240" s="14"/>
      <c r="Y240" s="4"/>
      <c r="Z240" s="4"/>
      <c r="AA240" s="4"/>
      <c r="AB240" s="4"/>
      <c r="AC240" s="4"/>
      <c r="AD240" s="114"/>
      <c r="AE240" s="114"/>
      <c r="AF240" s="4"/>
      <c r="AG240" s="4"/>
      <c r="AI240" s="4"/>
      <c r="AJ240" s="4"/>
      <c r="AK240" s="4"/>
      <c r="AL240" s="4"/>
      <c r="AM240" s="109"/>
      <c r="AN240" s="4"/>
      <c r="AO240" s="4"/>
      <c r="AP240" s="4"/>
      <c r="AQ240" s="4"/>
      <c r="AR240" s="4"/>
      <c r="AS240" s="4"/>
      <c r="AT240" s="4"/>
      <c r="AU240" s="4"/>
    </row>
    <row r="241" spans="1:47" s="7" customFormat="1">
      <c r="A241" s="4"/>
      <c r="B241" s="27"/>
      <c r="C241" s="249"/>
      <c r="D241" s="27"/>
      <c r="F241" s="114"/>
      <c r="G241" s="114"/>
      <c r="H241" s="102"/>
      <c r="I241" s="102"/>
      <c r="J241" s="114"/>
      <c r="K241" s="114"/>
      <c r="L241" s="195"/>
      <c r="O241" s="104"/>
      <c r="R241" s="4"/>
      <c r="S241" s="109"/>
      <c r="T241" s="4"/>
      <c r="U241" s="109"/>
      <c r="V241" s="4"/>
      <c r="W241" s="4"/>
      <c r="X241" s="14"/>
      <c r="Y241" s="4"/>
      <c r="Z241" s="4"/>
      <c r="AA241" s="4"/>
      <c r="AB241" s="4"/>
      <c r="AC241" s="4"/>
      <c r="AD241" s="114"/>
      <c r="AE241" s="114"/>
      <c r="AF241" s="4"/>
      <c r="AG241" s="4"/>
      <c r="AI241" s="4"/>
      <c r="AJ241" s="4"/>
      <c r="AK241" s="4"/>
      <c r="AL241" s="4"/>
      <c r="AM241" s="109"/>
      <c r="AN241" s="4"/>
      <c r="AO241" s="4"/>
      <c r="AP241" s="4"/>
      <c r="AQ241" s="4"/>
      <c r="AR241" s="4"/>
      <c r="AS241" s="4"/>
      <c r="AT241" s="4"/>
      <c r="AU241" s="4"/>
    </row>
    <row r="242" spans="1:47" s="7" customFormat="1">
      <c r="A242" s="4"/>
      <c r="B242" s="27"/>
      <c r="C242" s="249"/>
      <c r="D242" s="27"/>
      <c r="F242" s="114"/>
      <c r="G242" s="114"/>
      <c r="H242" s="102"/>
      <c r="I242" s="102"/>
      <c r="J242" s="114"/>
      <c r="K242" s="114"/>
      <c r="L242" s="195"/>
      <c r="O242" s="104"/>
      <c r="R242" s="4"/>
      <c r="S242" s="109"/>
      <c r="T242" s="4"/>
      <c r="U242" s="109"/>
      <c r="V242" s="4"/>
      <c r="W242" s="4"/>
      <c r="X242" s="14"/>
      <c r="Y242" s="4"/>
      <c r="Z242" s="4"/>
      <c r="AA242" s="4"/>
      <c r="AB242" s="4"/>
      <c r="AC242" s="4"/>
      <c r="AD242" s="114"/>
      <c r="AE242" s="114"/>
      <c r="AF242" s="4"/>
      <c r="AG242" s="4"/>
      <c r="AI242" s="4"/>
      <c r="AJ242" s="4"/>
      <c r="AK242" s="4"/>
      <c r="AL242" s="4"/>
      <c r="AM242" s="109"/>
      <c r="AN242" s="4"/>
      <c r="AO242" s="4"/>
      <c r="AP242" s="4"/>
      <c r="AQ242" s="4"/>
      <c r="AR242" s="4"/>
      <c r="AS242" s="4"/>
      <c r="AT242" s="4"/>
      <c r="AU242" s="4"/>
    </row>
    <row r="243" spans="1:47" s="7" customFormat="1">
      <c r="A243" s="4"/>
      <c r="B243" s="27"/>
      <c r="C243" s="249"/>
      <c r="D243" s="27"/>
      <c r="F243" s="114"/>
      <c r="G243" s="114"/>
      <c r="H243" s="102"/>
      <c r="I243" s="102"/>
      <c r="J243" s="114"/>
      <c r="K243" s="114"/>
      <c r="L243" s="195"/>
      <c r="O243" s="104"/>
      <c r="R243" s="4"/>
      <c r="S243" s="109"/>
      <c r="T243" s="4"/>
      <c r="U243" s="109"/>
      <c r="V243" s="4"/>
      <c r="W243" s="4"/>
      <c r="X243" s="14"/>
      <c r="Y243" s="4"/>
      <c r="Z243" s="4"/>
      <c r="AA243" s="4"/>
      <c r="AB243" s="4"/>
      <c r="AC243" s="4"/>
      <c r="AD243" s="114"/>
      <c r="AE243" s="114"/>
      <c r="AF243" s="4"/>
      <c r="AG243" s="4"/>
      <c r="AI243" s="4"/>
      <c r="AJ243" s="4"/>
      <c r="AK243" s="4"/>
      <c r="AL243" s="4"/>
      <c r="AM243" s="109"/>
      <c r="AN243" s="4"/>
      <c r="AO243" s="4"/>
      <c r="AP243" s="4"/>
      <c r="AQ243" s="4"/>
      <c r="AR243" s="4"/>
      <c r="AS243" s="4"/>
      <c r="AT243" s="4"/>
      <c r="AU243" s="4"/>
    </row>
    <row r="244" spans="1:47">
      <c r="B244" s="27"/>
      <c r="C244" s="249"/>
      <c r="D244" s="27"/>
      <c r="J244" s="114"/>
      <c r="K244" s="114"/>
    </row>
    <row r="245" spans="1:47" s="7" customFormat="1">
      <c r="A245" s="4"/>
      <c r="B245" s="27"/>
      <c r="C245" s="249"/>
      <c r="D245" s="27"/>
      <c r="F245" s="114"/>
      <c r="G245" s="114"/>
      <c r="H245" s="102"/>
      <c r="I245" s="102"/>
      <c r="J245" s="114"/>
      <c r="K245" s="114"/>
      <c r="L245" s="195"/>
      <c r="O245" s="104"/>
      <c r="R245" s="4"/>
      <c r="S245" s="109"/>
      <c r="T245" s="4"/>
      <c r="U245" s="109"/>
      <c r="V245" s="4"/>
      <c r="W245" s="4"/>
      <c r="X245" s="14"/>
      <c r="Y245" s="4"/>
      <c r="Z245" s="4"/>
      <c r="AA245" s="4"/>
      <c r="AB245" s="4"/>
      <c r="AC245" s="4"/>
      <c r="AD245" s="114"/>
      <c r="AE245" s="114"/>
      <c r="AF245" s="4"/>
      <c r="AG245" s="4"/>
      <c r="AI245" s="4"/>
      <c r="AJ245" s="4"/>
      <c r="AK245" s="4"/>
      <c r="AL245" s="4"/>
      <c r="AM245" s="109"/>
      <c r="AN245" s="4"/>
      <c r="AO245" s="4"/>
      <c r="AP245" s="4"/>
      <c r="AQ245" s="4"/>
      <c r="AR245" s="4"/>
      <c r="AS245" s="4"/>
      <c r="AT245" s="4"/>
      <c r="AU245" s="4"/>
    </row>
    <row r="246" spans="1:47" s="7" customFormat="1">
      <c r="A246" s="4"/>
      <c r="B246" s="27"/>
      <c r="C246" s="249"/>
      <c r="D246" s="27"/>
      <c r="F246" s="114"/>
      <c r="G246" s="114"/>
      <c r="H246" s="102"/>
      <c r="I246" s="102"/>
      <c r="J246" s="114"/>
      <c r="K246" s="114"/>
      <c r="L246" s="195"/>
      <c r="O246" s="104"/>
      <c r="R246" s="4"/>
      <c r="S246" s="109"/>
      <c r="T246" s="4"/>
      <c r="U246" s="109"/>
      <c r="V246" s="4"/>
      <c r="W246" s="4"/>
      <c r="X246" s="14"/>
      <c r="Y246" s="4"/>
      <c r="Z246" s="4"/>
      <c r="AA246" s="4"/>
      <c r="AB246" s="4"/>
      <c r="AC246" s="4"/>
      <c r="AD246" s="114"/>
      <c r="AE246" s="114"/>
      <c r="AF246" s="4"/>
      <c r="AG246" s="4"/>
      <c r="AI246" s="4"/>
      <c r="AJ246" s="4"/>
      <c r="AK246" s="4"/>
      <c r="AL246" s="4"/>
      <c r="AM246" s="109"/>
      <c r="AN246" s="4"/>
      <c r="AO246" s="4"/>
      <c r="AP246" s="4"/>
      <c r="AQ246" s="4"/>
      <c r="AR246" s="4"/>
      <c r="AS246" s="4"/>
      <c r="AT246" s="4"/>
      <c r="AU246" s="4"/>
    </row>
    <row r="247" spans="1:47" s="7" customFormat="1">
      <c r="A247" s="4"/>
      <c r="B247" s="27"/>
      <c r="C247" s="249"/>
      <c r="D247" s="27"/>
      <c r="F247" s="114"/>
      <c r="G247" s="114"/>
      <c r="H247" s="102"/>
      <c r="I247" s="102"/>
      <c r="J247" s="114"/>
      <c r="K247" s="114"/>
      <c r="L247" s="195"/>
      <c r="O247" s="104"/>
      <c r="R247" s="4"/>
      <c r="S247" s="109"/>
      <c r="T247" s="4"/>
      <c r="U247" s="109"/>
      <c r="V247" s="4"/>
      <c r="W247" s="4"/>
      <c r="X247" s="14"/>
      <c r="Y247" s="4"/>
      <c r="Z247" s="4"/>
      <c r="AA247" s="4"/>
      <c r="AB247" s="4"/>
      <c r="AC247" s="4"/>
      <c r="AD247" s="114"/>
      <c r="AE247" s="114"/>
      <c r="AF247" s="4"/>
      <c r="AG247" s="4"/>
      <c r="AI247" s="4"/>
      <c r="AJ247" s="4"/>
      <c r="AK247" s="4"/>
      <c r="AL247" s="4"/>
      <c r="AM247" s="109"/>
      <c r="AN247" s="4"/>
      <c r="AO247" s="4"/>
      <c r="AP247" s="4"/>
      <c r="AQ247" s="4"/>
      <c r="AR247" s="4"/>
      <c r="AS247" s="4"/>
      <c r="AT247" s="4"/>
      <c r="AU247" s="4"/>
    </row>
    <row r="248" spans="1:47" s="7" customFormat="1">
      <c r="A248" s="4"/>
      <c r="B248" s="27"/>
      <c r="C248" s="249"/>
      <c r="D248" s="27"/>
      <c r="F248" s="114"/>
      <c r="G248" s="114"/>
      <c r="H248" s="102"/>
      <c r="I248" s="102"/>
      <c r="J248" s="114"/>
      <c r="K248" s="114"/>
      <c r="L248" s="195"/>
      <c r="O248" s="104"/>
      <c r="R248" s="4"/>
      <c r="S248" s="109"/>
      <c r="T248" s="4"/>
      <c r="U248" s="109"/>
      <c r="V248" s="4"/>
      <c r="W248" s="4"/>
      <c r="X248" s="14"/>
      <c r="Y248" s="4"/>
      <c r="Z248" s="4"/>
      <c r="AA248" s="4"/>
      <c r="AB248" s="4"/>
      <c r="AC248" s="4"/>
      <c r="AD248" s="114"/>
      <c r="AE248" s="114"/>
      <c r="AF248" s="4"/>
      <c r="AG248" s="4"/>
      <c r="AI248" s="4"/>
      <c r="AJ248" s="4"/>
      <c r="AK248" s="4"/>
      <c r="AL248" s="4"/>
      <c r="AM248" s="109"/>
      <c r="AN248" s="4"/>
      <c r="AO248" s="4"/>
      <c r="AP248" s="4"/>
      <c r="AQ248" s="4"/>
      <c r="AR248" s="4"/>
      <c r="AS248" s="4"/>
      <c r="AT248" s="4"/>
      <c r="AU248" s="4"/>
    </row>
    <row r="249" spans="1:47" s="7" customFormat="1">
      <c r="A249" s="4"/>
      <c r="B249" s="27"/>
      <c r="C249" s="249"/>
      <c r="D249" s="27"/>
      <c r="F249" s="114"/>
      <c r="G249" s="114"/>
      <c r="H249" s="102"/>
      <c r="I249" s="102"/>
      <c r="J249" s="114"/>
      <c r="K249" s="114"/>
      <c r="L249" s="195"/>
      <c r="O249" s="104"/>
      <c r="R249" s="4"/>
      <c r="S249" s="109"/>
      <c r="T249" s="4"/>
      <c r="U249" s="109"/>
      <c r="V249" s="4"/>
      <c r="W249" s="4"/>
      <c r="X249" s="14"/>
      <c r="Y249" s="4"/>
      <c r="Z249" s="4"/>
      <c r="AA249" s="4"/>
      <c r="AB249" s="4"/>
      <c r="AC249" s="4"/>
      <c r="AD249" s="114"/>
      <c r="AE249" s="114"/>
      <c r="AF249" s="4"/>
      <c r="AG249" s="4"/>
      <c r="AI249" s="4"/>
      <c r="AJ249" s="4"/>
      <c r="AK249" s="4"/>
      <c r="AL249" s="4"/>
      <c r="AM249" s="109"/>
      <c r="AN249" s="4"/>
      <c r="AO249" s="4"/>
      <c r="AP249" s="4"/>
      <c r="AQ249" s="4"/>
      <c r="AR249" s="4"/>
      <c r="AS249" s="4"/>
      <c r="AT249" s="4"/>
      <c r="AU249" s="4"/>
    </row>
    <row r="250" spans="1:47" s="7" customFormat="1">
      <c r="A250" s="4"/>
      <c r="B250" s="27"/>
      <c r="C250" s="249"/>
      <c r="D250" s="27"/>
      <c r="F250" s="114"/>
      <c r="G250" s="114"/>
      <c r="H250" s="102"/>
      <c r="I250" s="102"/>
      <c r="J250" s="114"/>
      <c r="K250" s="114"/>
      <c r="L250" s="195"/>
      <c r="O250" s="104"/>
      <c r="R250" s="4"/>
      <c r="S250" s="109"/>
      <c r="T250" s="4"/>
      <c r="U250" s="109"/>
      <c r="V250" s="4"/>
      <c r="W250" s="4"/>
      <c r="X250" s="14"/>
      <c r="Y250" s="4"/>
      <c r="Z250" s="4"/>
      <c r="AA250" s="4"/>
      <c r="AB250" s="4"/>
      <c r="AC250" s="4"/>
      <c r="AD250" s="114"/>
      <c r="AE250" s="114"/>
      <c r="AF250" s="4"/>
      <c r="AG250" s="4"/>
      <c r="AI250" s="4"/>
      <c r="AJ250" s="4"/>
      <c r="AK250" s="4"/>
      <c r="AL250" s="4"/>
      <c r="AM250" s="109"/>
      <c r="AN250" s="4"/>
      <c r="AO250" s="4"/>
      <c r="AP250" s="4"/>
      <c r="AQ250" s="4"/>
      <c r="AR250" s="4"/>
      <c r="AS250" s="4"/>
      <c r="AT250" s="4"/>
      <c r="AU250" s="4"/>
    </row>
    <row r="251" spans="1:47">
      <c r="B251" s="27"/>
      <c r="C251" s="249"/>
      <c r="D251" s="27"/>
      <c r="J251" s="114"/>
      <c r="K251" s="114"/>
    </row>
    <row r="252" spans="1:47">
      <c r="B252" s="114"/>
      <c r="C252" s="102"/>
      <c r="J252" s="114"/>
      <c r="K252" s="114"/>
    </row>
    <row r="253" spans="1:47">
      <c r="B253" s="114"/>
      <c r="C253" s="102"/>
      <c r="J253" s="114"/>
      <c r="K253" s="114"/>
    </row>
    <row r="254" spans="1:47">
      <c r="B254" s="27"/>
      <c r="C254" s="249"/>
      <c r="D254" s="27"/>
      <c r="J254" s="114"/>
      <c r="K254" s="114"/>
    </row>
    <row r="255" spans="1:47">
      <c r="B255" s="114"/>
      <c r="C255" s="102"/>
      <c r="J255" s="114"/>
      <c r="K255" s="114"/>
    </row>
    <row r="256" spans="1:47">
      <c r="B256" s="27"/>
      <c r="C256" s="249"/>
      <c r="D256" s="27"/>
      <c r="J256" s="114"/>
      <c r="K256" s="114"/>
    </row>
    <row r="257" spans="1:11">
      <c r="B257" s="114"/>
      <c r="C257" s="102"/>
      <c r="J257" s="114"/>
      <c r="K257" s="114"/>
    </row>
    <row r="258" spans="1:11">
      <c r="B258" s="27"/>
      <c r="C258" s="249"/>
      <c r="D258" s="27"/>
      <c r="J258" s="114"/>
      <c r="K258" s="114"/>
    </row>
    <row r="259" spans="1:11">
      <c r="B259" s="27"/>
      <c r="C259" s="249"/>
      <c r="D259" s="27"/>
      <c r="J259" s="114"/>
      <c r="K259" s="114"/>
    </row>
    <row r="260" spans="1:11">
      <c r="A260" s="38" t="s">
        <v>88</v>
      </c>
      <c r="B260" s="114"/>
      <c r="C260" s="102"/>
      <c r="D260" s="114"/>
      <c r="J260" s="114"/>
      <c r="K260" s="114"/>
    </row>
    <row r="261" spans="1:11">
      <c r="A261" s="40" t="s">
        <v>89</v>
      </c>
      <c r="B261" s="114"/>
      <c r="C261" s="102"/>
      <c r="D261" s="114"/>
      <c r="J261" s="114"/>
      <c r="K261" s="114"/>
    </row>
    <row r="262" spans="1:11">
      <c r="A262" s="40" t="s">
        <v>90</v>
      </c>
      <c r="B262" s="114"/>
      <c r="C262" s="102"/>
      <c r="D262" s="114"/>
      <c r="J262" s="114"/>
      <c r="K262" s="114"/>
    </row>
    <row r="263" spans="1:11">
      <c r="A263" s="40"/>
      <c r="B263" s="114"/>
      <c r="C263" s="102"/>
      <c r="D263" s="114"/>
      <c r="J263" s="114"/>
      <c r="K263" s="114"/>
    </row>
    <row r="264" spans="1:11">
      <c r="A264" s="41"/>
      <c r="B264" s="114"/>
      <c r="C264" s="102"/>
      <c r="D264" s="114"/>
      <c r="J264" s="114"/>
      <c r="K264" s="114"/>
    </row>
    <row r="265" spans="1:11">
      <c r="J265" s="114"/>
      <c r="K265" s="114"/>
    </row>
    <row r="266" spans="1:11">
      <c r="A266" s="22" t="s">
        <v>91</v>
      </c>
      <c r="J266" s="114"/>
      <c r="K266" s="114"/>
    </row>
    <row r="267" spans="1:11">
      <c r="A267" s="114"/>
      <c r="J267" s="114"/>
      <c r="K267" s="114"/>
    </row>
    <row r="268" spans="1:11">
      <c r="A268" s="114"/>
      <c r="J268" s="114"/>
      <c r="K268" s="114"/>
    </row>
    <row r="269" spans="1:11">
      <c r="A269" s="114"/>
      <c r="J269" s="114"/>
      <c r="K269" s="114"/>
    </row>
    <row r="270" spans="1:11">
      <c r="A270" s="114"/>
      <c r="J270" s="114"/>
      <c r="K270" s="114"/>
    </row>
    <row r="271" spans="1:11">
      <c r="A271" s="114"/>
      <c r="J271" s="114"/>
      <c r="K271" s="114"/>
    </row>
    <row r="272" spans="1:11">
      <c r="A272" s="15"/>
      <c r="J272" s="114"/>
      <c r="K272" s="114"/>
    </row>
    <row r="273" spans="1:11">
      <c r="A273" s="15"/>
      <c r="J273" s="114"/>
      <c r="K273" s="114"/>
    </row>
    <row r="274" spans="1:11">
      <c r="A274" s="15"/>
      <c r="J274" s="114"/>
      <c r="K274" s="114"/>
    </row>
    <row r="275" spans="1:11">
      <c r="J275" s="114"/>
      <c r="K275" s="114"/>
    </row>
    <row r="276" spans="1:11">
      <c r="J276" s="114"/>
      <c r="K276" s="114"/>
    </row>
    <row r="277" spans="1:11">
      <c r="J277" s="114"/>
      <c r="K277" s="114"/>
    </row>
    <row r="278" spans="1:11">
      <c r="J278" s="114"/>
      <c r="K278" s="114"/>
    </row>
    <row r="279" spans="1:11">
      <c r="J279" s="114"/>
      <c r="K279" s="114"/>
    </row>
    <row r="280" spans="1:11">
      <c r="J280" s="114"/>
      <c r="K280" s="114"/>
    </row>
    <row r="281" spans="1:11">
      <c r="J281" s="114"/>
      <c r="K281" s="114"/>
    </row>
    <row r="282" spans="1:11">
      <c r="J282" s="114"/>
      <c r="K282" s="114"/>
    </row>
    <row r="283" spans="1:11">
      <c r="J283" s="114"/>
      <c r="K283" s="114"/>
    </row>
    <row r="284" spans="1:11">
      <c r="J284" s="114"/>
      <c r="K284" s="114"/>
    </row>
    <row r="285" spans="1:11">
      <c r="J285" s="114"/>
      <c r="K285" s="114"/>
    </row>
    <row r="286" spans="1:11">
      <c r="J286" s="114"/>
      <c r="K286" s="114"/>
    </row>
    <row r="287" spans="1:11">
      <c r="J287" s="114"/>
      <c r="K287" s="114"/>
    </row>
    <row r="288" spans="1:11">
      <c r="J288" s="114"/>
      <c r="K288" s="114"/>
    </row>
    <row r="289" spans="10:11">
      <c r="J289" s="114"/>
      <c r="K289" s="114"/>
    </row>
    <row r="290" spans="10:11">
      <c r="J290" s="114"/>
      <c r="K290" s="114"/>
    </row>
    <row r="291" spans="10:11">
      <c r="J291" s="114"/>
      <c r="K291" s="114"/>
    </row>
    <row r="292" spans="10:11">
      <c r="J292" s="114"/>
      <c r="K292" s="114"/>
    </row>
    <row r="293" spans="10:11">
      <c r="J293" s="114"/>
      <c r="K293" s="114"/>
    </row>
    <row r="294" spans="10:11">
      <c r="J294" s="114"/>
      <c r="K294" s="114"/>
    </row>
    <row r="295" spans="10:11">
      <c r="J295" s="114"/>
      <c r="K295" s="114"/>
    </row>
    <row r="296" spans="10:11">
      <c r="J296" s="114"/>
      <c r="K296" s="114"/>
    </row>
    <row r="297" spans="10:11">
      <c r="J297" s="114"/>
      <c r="K297" s="114"/>
    </row>
    <row r="298" spans="10:11">
      <c r="J298" s="114"/>
      <c r="K298" s="114"/>
    </row>
    <row r="299" spans="10:11">
      <c r="J299" s="114"/>
      <c r="K299" s="114"/>
    </row>
    <row r="300" spans="10:11">
      <c r="J300" s="114"/>
      <c r="K300" s="114"/>
    </row>
    <row r="301" spans="10:11">
      <c r="J301" s="114"/>
      <c r="K301" s="114"/>
    </row>
    <row r="302" spans="10:11">
      <c r="J302" s="114"/>
      <c r="K302" s="114"/>
    </row>
    <row r="303" spans="10:11">
      <c r="J303" s="114"/>
      <c r="K303" s="114"/>
    </row>
    <row r="304" spans="10:11">
      <c r="J304" s="114"/>
      <c r="K304" s="114"/>
    </row>
    <row r="305" spans="10:11">
      <c r="J305" s="114"/>
      <c r="K305" s="114"/>
    </row>
    <row r="306" spans="10:11">
      <c r="J306" s="114"/>
      <c r="K306" s="114"/>
    </row>
    <row r="307" spans="10:11">
      <c r="J307" s="114"/>
      <c r="K307" s="114"/>
    </row>
    <row r="308" spans="10:11">
      <c r="J308" s="114"/>
      <c r="K308" s="114"/>
    </row>
    <row r="309" spans="10:11">
      <c r="J309" s="114"/>
      <c r="K309" s="114"/>
    </row>
    <row r="310" spans="10:11">
      <c r="J310" s="114"/>
      <c r="K310" s="114"/>
    </row>
    <row r="311" spans="10:11">
      <c r="J311" s="114"/>
      <c r="K311" s="114"/>
    </row>
    <row r="312" spans="10:11">
      <c r="J312" s="114"/>
      <c r="K312" s="114"/>
    </row>
    <row r="313" spans="10:11">
      <c r="J313" s="114"/>
      <c r="K313" s="114"/>
    </row>
    <row r="314" spans="10:11">
      <c r="J314" s="114"/>
      <c r="K314" s="114"/>
    </row>
    <row r="315" spans="10:11">
      <c r="J315" s="114"/>
      <c r="K315" s="114"/>
    </row>
    <row r="316" spans="10:11">
      <c r="J316" s="114"/>
      <c r="K316" s="114"/>
    </row>
    <row r="317" spans="10:11">
      <c r="J317" s="114"/>
      <c r="K317" s="114"/>
    </row>
    <row r="318" spans="10:11">
      <c r="J318" s="114"/>
      <c r="K318" s="114"/>
    </row>
    <row r="319" spans="10:11">
      <c r="J319" s="114"/>
      <c r="K319" s="114"/>
    </row>
    <row r="320" spans="10:11">
      <c r="J320" s="114"/>
      <c r="K320" s="114"/>
    </row>
    <row r="321" spans="10:11">
      <c r="J321" s="114"/>
      <c r="K321" s="114"/>
    </row>
    <row r="322" spans="10:11">
      <c r="J322" s="114"/>
      <c r="K322" s="114"/>
    </row>
    <row r="323" spans="10:11">
      <c r="J323" s="114"/>
      <c r="K323" s="114"/>
    </row>
    <row r="324" spans="10:11">
      <c r="J324" s="114"/>
      <c r="K324" s="114"/>
    </row>
    <row r="325" spans="10:11">
      <c r="J325" s="114"/>
      <c r="K325" s="114"/>
    </row>
    <row r="326" spans="10:11">
      <c r="J326" s="114"/>
      <c r="K326" s="114"/>
    </row>
    <row r="327" spans="10:11">
      <c r="J327" s="114"/>
      <c r="K327" s="114"/>
    </row>
    <row r="328" spans="10:11">
      <c r="J328" s="114"/>
      <c r="K328" s="114"/>
    </row>
    <row r="329" spans="10:11">
      <c r="J329" s="114"/>
      <c r="K329" s="114"/>
    </row>
    <row r="330" spans="10:11">
      <c r="J330" s="114"/>
      <c r="K330" s="114"/>
    </row>
    <row r="331" spans="10:11">
      <c r="J331" s="114"/>
      <c r="K331" s="114"/>
    </row>
    <row r="332" spans="10:11">
      <c r="J332" s="114"/>
      <c r="K332" s="114"/>
    </row>
    <row r="333" spans="10:11">
      <c r="J333" s="114"/>
      <c r="K333" s="114"/>
    </row>
    <row r="334" spans="10:11">
      <c r="J334" s="114"/>
      <c r="K334" s="114"/>
    </row>
    <row r="335" spans="10:11">
      <c r="J335" s="114"/>
      <c r="K335" s="114"/>
    </row>
    <row r="336" spans="10:11">
      <c r="J336" s="114"/>
      <c r="K336" s="114"/>
    </row>
    <row r="337" spans="10:11">
      <c r="J337" s="114"/>
      <c r="K337" s="114"/>
    </row>
    <row r="338" spans="10:11">
      <c r="J338" s="114"/>
      <c r="K338" s="114"/>
    </row>
    <row r="339" spans="10:11">
      <c r="J339" s="114"/>
      <c r="K339" s="114"/>
    </row>
    <row r="340" spans="10:11">
      <c r="J340" s="114"/>
      <c r="K340" s="114"/>
    </row>
    <row r="341" spans="10:11">
      <c r="J341" s="114"/>
      <c r="K341" s="114"/>
    </row>
    <row r="342" spans="10:11">
      <c r="J342" s="114"/>
      <c r="K342" s="114"/>
    </row>
    <row r="343" spans="10:11">
      <c r="J343" s="114"/>
      <c r="K343" s="114"/>
    </row>
    <row r="344" spans="10:11">
      <c r="J344" s="114"/>
      <c r="K344" s="114"/>
    </row>
    <row r="345" spans="10:11">
      <c r="J345" s="114"/>
      <c r="K345" s="114"/>
    </row>
    <row r="346" spans="10:11">
      <c r="J346" s="114"/>
      <c r="K346" s="114"/>
    </row>
    <row r="347" spans="10:11">
      <c r="J347" s="114"/>
      <c r="K347" s="114"/>
    </row>
    <row r="348" spans="10:11">
      <c r="J348" s="114"/>
      <c r="K348" s="114"/>
    </row>
    <row r="349" spans="10:11">
      <c r="J349" s="114"/>
      <c r="K349" s="114"/>
    </row>
    <row r="350" spans="10:11">
      <c r="J350" s="114"/>
      <c r="K350" s="114"/>
    </row>
    <row r="351" spans="10:11">
      <c r="J351" s="114"/>
      <c r="K351" s="114"/>
    </row>
    <row r="352" spans="10:11">
      <c r="J352" s="114"/>
      <c r="K352" s="114"/>
    </row>
    <row r="353" spans="10:11">
      <c r="J353" s="114"/>
      <c r="K353" s="114"/>
    </row>
    <row r="354" spans="10:11">
      <c r="J354" s="114"/>
      <c r="K354" s="114"/>
    </row>
    <row r="355" spans="10:11">
      <c r="J355" s="114"/>
      <c r="K355" s="114"/>
    </row>
    <row r="356" spans="10:11">
      <c r="J356" s="114"/>
      <c r="K356" s="114"/>
    </row>
    <row r="357" spans="10:11">
      <c r="J357" s="114"/>
      <c r="K357" s="114"/>
    </row>
    <row r="358" spans="10:11">
      <c r="J358" s="114"/>
      <c r="K358" s="114"/>
    </row>
    <row r="359" spans="10:11">
      <c r="J359" s="114"/>
      <c r="K359" s="114"/>
    </row>
    <row r="360" spans="10:11">
      <c r="J360" s="114"/>
      <c r="K360" s="114"/>
    </row>
    <row r="361" spans="10:11">
      <c r="J361" s="114"/>
      <c r="K361" s="114"/>
    </row>
    <row r="362" spans="10:11">
      <c r="J362" s="114"/>
      <c r="K362" s="114"/>
    </row>
    <row r="363" spans="10:11">
      <c r="J363" s="114"/>
      <c r="K363" s="114"/>
    </row>
    <row r="364" spans="10:11">
      <c r="J364" s="114"/>
      <c r="K364" s="114"/>
    </row>
    <row r="365" spans="10:11">
      <c r="J365" s="114"/>
      <c r="K365" s="114"/>
    </row>
    <row r="366" spans="10:11">
      <c r="J366" s="114"/>
      <c r="K366" s="114"/>
    </row>
    <row r="367" spans="10:11">
      <c r="J367" s="114"/>
      <c r="K367" s="114"/>
    </row>
    <row r="368" spans="10:11">
      <c r="J368" s="114"/>
      <c r="K368" s="114"/>
    </row>
    <row r="369" spans="10:11">
      <c r="J369" s="114"/>
      <c r="K369" s="114"/>
    </row>
    <row r="370" spans="10:11">
      <c r="J370" s="114"/>
      <c r="K370" s="114"/>
    </row>
    <row r="371" spans="10:11">
      <c r="J371" s="114"/>
      <c r="K371" s="114"/>
    </row>
    <row r="372" spans="10:11">
      <c r="J372" s="114"/>
      <c r="K372" s="114"/>
    </row>
    <row r="373" spans="10:11">
      <c r="J373" s="114"/>
      <c r="K373" s="114"/>
    </row>
    <row r="374" spans="10:11">
      <c r="J374" s="114"/>
      <c r="K374" s="114"/>
    </row>
    <row r="375" spans="10:11">
      <c r="J375" s="114"/>
      <c r="K375" s="114"/>
    </row>
    <row r="376" spans="10:11">
      <c r="J376" s="114"/>
      <c r="K376" s="114"/>
    </row>
    <row r="377" spans="10:11">
      <c r="J377" s="114"/>
      <c r="K377" s="114"/>
    </row>
    <row r="378" spans="10:11">
      <c r="J378" s="114"/>
      <c r="K378" s="114"/>
    </row>
    <row r="379" spans="10:11">
      <c r="J379" s="114"/>
      <c r="K379" s="114"/>
    </row>
  </sheetData>
  <autoFilter ref="B3:AU3" xr:uid="{9A060A3B-3E36-6445-8B77-A712C20345FD}">
    <sortState xmlns:xlrd2="http://schemas.microsoft.com/office/spreadsheetml/2017/richdata2" ref="B4:AU96">
      <sortCondition ref="P3:P96"/>
    </sortState>
  </autoFilter>
  <phoneticPr fontId="3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E890-499C-334C-9DB8-27FBDE6E0ECD}">
  <dimension ref="A1:AF18"/>
  <sheetViews>
    <sheetView zoomScaleNormal="100" workbookViewId="0">
      <pane xSplit="2" ySplit="3" topLeftCell="Q4" activePane="bottomRight" state="frozen"/>
      <selection pane="topRight" activeCell="C1" sqref="C1"/>
      <selection pane="bottomLeft" activeCell="A5" sqref="A5"/>
      <selection pane="bottomRight" activeCell="B4" sqref="B4"/>
    </sheetView>
  </sheetViews>
  <sheetFormatPr defaultColWidth="10.83203125" defaultRowHeight="18"/>
  <cols>
    <col min="1" max="1" width="4.83203125" style="4" customWidth="1"/>
    <col min="2" max="3" width="43.83203125" style="4" customWidth="1"/>
    <col min="4" max="4" width="44.6640625" style="4" customWidth="1"/>
    <col min="5" max="5" width="24.83203125" style="7" customWidth="1"/>
    <col min="6" max="7" width="15.83203125" style="114" customWidth="1"/>
    <col min="8" max="9" width="15.83203125" style="7" customWidth="1"/>
    <col min="10" max="11" width="37.83203125" style="114" customWidth="1"/>
    <col min="12" max="12" width="12.83203125" style="4" customWidth="1"/>
    <col min="13" max="14" width="12.83203125" style="7" customWidth="1"/>
    <col min="15" max="15" width="5" style="114" customWidth="1"/>
    <col min="16" max="18" width="24.83203125" style="7" customWidth="1"/>
    <col min="19" max="21" width="12.83203125" style="4" customWidth="1"/>
    <col min="22" max="22" width="20.83203125" style="114" customWidth="1"/>
    <col min="23" max="23" width="16.83203125" style="4" customWidth="1"/>
    <col min="24" max="24" width="4.83203125" style="4" customWidth="1"/>
    <col min="25" max="26" width="15.83203125" style="114" customWidth="1"/>
    <col min="27" max="27" width="17.5" style="4" customWidth="1"/>
    <col min="28" max="28" width="17.33203125" style="114" customWidth="1"/>
    <col min="29" max="29" width="13.5" style="4" customWidth="1"/>
    <col min="30" max="30" width="10.83203125" style="4" customWidth="1"/>
    <col min="31" max="31" width="80" style="4" customWidth="1"/>
    <col min="32" max="32" width="43.33203125" style="4" customWidth="1"/>
    <col min="33" max="16384" width="10.83203125" style="4"/>
  </cols>
  <sheetData>
    <row r="1" spans="1:32" ht="20.7">
      <c r="A1" s="51" t="s">
        <v>97</v>
      </c>
      <c r="B1" s="18" t="s">
        <v>1260</v>
      </c>
      <c r="C1" s="18"/>
      <c r="D1" s="20"/>
      <c r="J1" s="18"/>
      <c r="K1" s="18"/>
      <c r="P1" s="148" t="s">
        <v>40</v>
      </c>
      <c r="Q1" s="148"/>
      <c r="R1" s="148"/>
      <c r="S1" s="22"/>
      <c r="T1" s="22"/>
      <c r="U1" s="22"/>
      <c r="Y1" s="148" t="s">
        <v>41</v>
      </c>
      <c r="Z1" s="39"/>
      <c r="AA1" s="148"/>
      <c r="AD1" s="21"/>
      <c r="AE1" s="21"/>
    </row>
    <row r="2" spans="1:32" s="9" customFormat="1" ht="54">
      <c r="A2" s="5"/>
      <c r="B2" s="19" t="s">
        <v>18</v>
      </c>
      <c r="C2" s="19" t="s">
        <v>1270</v>
      </c>
      <c r="D2" s="19" t="s">
        <v>13</v>
      </c>
      <c r="E2" s="19" t="s">
        <v>21</v>
      </c>
      <c r="F2" s="19" t="s">
        <v>14</v>
      </c>
      <c r="G2" s="19" t="s">
        <v>15</v>
      </c>
      <c r="H2" s="19" t="s">
        <v>901</v>
      </c>
      <c r="I2" s="19" t="s">
        <v>1276</v>
      </c>
      <c r="J2" s="19" t="s">
        <v>787</v>
      </c>
      <c r="K2" s="19" t="s">
        <v>788</v>
      </c>
      <c r="L2" s="19" t="s">
        <v>861</v>
      </c>
      <c r="M2" s="19" t="s">
        <v>17</v>
      </c>
      <c r="N2" s="19" t="s">
        <v>81</v>
      </c>
      <c r="O2" s="114"/>
      <c r="P2" s="19" t="s">
        <v>499</v>
      </c>
      <c r="Q2" s="19" t="s">
        <v>907</v>
      </c>
      <c r="R2" s="19" t="s">
        <v>1261</v>
      </c>
      <c r="S2" s="19" t="s">
        <v>1262</v>
      </c>
      <c r="T2" s="19" t="s">
        <v>1263</v>
      </c>
      <c r="U2" s="19" t="s">
        <v>1264</v>
      </c>
      <c r="V2" s="19" t="s">
        <v>1265</v>
      </c>
      <c r="W2" s="19" t="s">
        <v>1266</v>
      </c>
      <c r="X2" s="114"/>
      <c r="Y2" s="19" t="s">
        <v>26</v>
      </c>
      <c r="Z2" s="19" t="s">
        <v>27</v>
      </c>
      <c r="AA2" s="19" t="s">
        <v>54</v>
      </c>
      <c r="AB2" s="19" t="s">
        <v>1267</v>
      </c>
      <c r="AC2" s="19" t="s">
        <v>24</v>
      </c>
      <c r="AD2" s="19" t="s">
        <v>25</v>
      </c>
      <c r="AE2" s="19" t="s">
        <v>904</v>
      </c>
      <c r="AF2" s="19" t="s">
        <v>47</v>
      </c>
    </row>
    <row r="3" spans="1:32" s="5" customFormat="1">
      <c r="B3" s="16"/>
      <c r="C3" s="16"/>
      <c r="D3" s="16"/>
      <c r="E3" s="16"/>
      <c r="F3" s="114"/>
      <c r="G3" s="114"/>
      <c r="H3" s="16"/>
      <c r="I3" s="16"/>
      <c r="J3" s="114"/>
      <c r="K3" s="114"/>
      <c r="L3" s="16" t="s">
        <v>1268</v>
      </c>
      <c r="M3" s="16"/>
      <c r="N3" s="16"/>
      <c r="O3" s="114"/>
      <c r="P3" s="16"/>
      <c r="Q3" s="16"/>
      <c r="R3" s="16"/>
      <c r="S3" s="16" t="s">
        <v>19</v>
      </c>
      <c r="T3" s="16" t="s">
        <v>568</v>
      </c>
      <c r="U3" s="16" t="s">
        <v>1269</v>
      </c>
      <c r="V3" s="16"/>
      <c r="W3" s="16" t="s">
        <v>495</v>
      </c>
      <c r="X3" s="114"/>
      <c r="Y3" s="16" t="s">
        <v>31</v>
      </c>
      <c r="Z3" s="16" t="s">
        <v>31</v>
      </c>
      <c r="AA3" s="16" t="s">
        <v>32</v>
      </c>
      <c r="AB3" s="16" t="s">
        <v>338</v>
      </c>
      <c r="AC3" s="93" t="s">
        <v>339</v>
      </c>
      <c r="AD3" s="16" t="s">
        <v>23</v>
      </c>
      <c r="AE3" s="16"/>
      <c r="AF3" s="16"/>
    </row>
    <row r="4" spans="1:32" s="109" customFormat="1" ht="20.7">
      <c r="B4" s="133" t="s">
        <v>1278</v>
      </c>
      <c r="C4" s="64"/>
      <c r="D4" s="64"/>
      <c r="E4" s="65"/>
      <c r="F4" s="103"/>
      <c r="G4" s="103"/>
      <c r="H4" s="65"/>
      <c r="I4" s="65"/>
      <c r="J4" s="65"/>
      <c r="K4" s="65"/>
      <c r="L4" s="57"/>
      <c r="M4" s="65"/>
      <c r="N4" s="65"/>
      <c r="O4" s="262"/>
      <c r="P4" s="65"/>
      <c r="Q4" s="65"/>
      <c r="R4" s="65"/>
      <c r="S4" s="57"/>
      <c r="T4" s="57"/>
      <c r="U4" s="57"/>
      <c r="V4" s="257"/>
      <c r="W4" s="121"/>
      <c r="X4" s="263"/>
      <c r="Y4" s="57"/>
      <c r="Z4" s="57"/>
      <c r="AA4" s="121"/>
      <c r="AB4" s="57"/>
      <c r="AC4" s="121"/>
      <c r="AD4" s="121"/>
      <c r="AE4" s="64"/>
      <c r="AF4" s="64"/>
    </row>
    <row r="5" spans="1:32" s="109" customFormat="1">
      <c r="B5" s="64"/>
      <c r="C5" s="64"/>
      <c r="D5" s="64"/>
      <c r="E5" s="65"/>
      <c r="F5" s="103"/>
      <c r="G5" s="103"/>
      <c r="H5" s="65"/>
      <c r="I5" s="65"/>
      <c r="J5" s="65"/>
      <c r="K5" s="65"/>
      <c r="L5" s="57"/>
      <c r="M5" s="65"/>
      <c r="N5" s="65"/>
      <c r="O5" s="262"/>
      <c r="P5" s="65"/>
      <c r="Q5" s="65"/>
      <c r="R5" s="65"/>
      <c r="S5" s="57"/>
      <c r="T5" s="57"/>
      <c r="U5" s="57"/>
      <c r="V5" s="257"/>
      <c r="W5" s="121"/>
      <c r="X5" s="263"/>
      <c r="Y5" s="57"/>
      <c r="Z5" s="57"/>
      <c r="AA5" s="121"/>
      <c r="AB5" s="57"/>
      <c r="AC5" s="121"/>
      <c r="AD5" s="121"/>
      <c r="AE5" s="64"/>
      <c r="AF5" s="64"/>
    </row>
    <row r="6" spans="1:32" s="109" customFormat="1">
      <c r="B6" s="64"/>
      <c r="C6" s="64"/>
      <c r="D6" s="64"/>
      <c r="E6" s="65"/>
      <c r="F6" s="103"/>
      <c r="G6" s="103"/>
      <c r="H6" s="65"/>
      <c r="I6" s="65"/>
      <c r="J6" s="65"/>
      <c r="K6" s="65"/>
      <c r="L6" s="57"/>
      <c r="M6" s="65"/>
      <c r="N6" s="65"/>
      <c r="O6" s="262"/>
      <c r="P6" s="65"/>
      <c r="Q6" s="65"/>
      <c r="R6" s="65"/>
      <c r="S6" s="57"/>
      <c r="T6" s="57"/>
      <c r="U6" s="57"/>
      <c r="V6" s="257"/>
      <c r="W6" s="121"/>
      <c r="X6" s="263"/>
      <c r="Y6" s="57"/>
      <c r="Z6" s="57"/>
      <c r="AA6" s="121"/>
      <c r="AB6" s="57"/>
      <c r="AC6" s="121"/>
      <c r="AD6" s="121"/>
      <c r="AE6" s="64"/>
      <c r="AF6" s="64"/>
    </row>
    <row r="7" spans="1:32" s="109" customFormat="1">
      <c r="B7" s="64"/>
      <c r="C7" s="64"/>
      <c r="D7" s="64"/>
      <c r="E7" s="65"/>
      <c r="F7" s="103"/>
      <c r="G7" s="103"/>
      <c r="H7" s="65"/>
      <c r="I7" s="65"/>
      <c r="J7" s="65"/>
      <c r="K7" s="65"/>
      <c r="L7" s="57"/>
      <c r="M7" s="65"/>
      <c r="N7" s="65"/>
      <c r="O7" s="262"/>
      <c r="P7" s="65"/>
      <c r="Q7" s="65"/>
      <c r="R7" s="65"/>
      <c r="S7" s="57"/>
      <c r="T7" s="57"/>
      <c r="U7" s="121"/>
      <c r="V7" s="257"/>
      <c r="W7" s="121"/>
      <c r="X7" s="263"/>
      <c r="Y7" s="121"/>
      <c r="Z7" s="121"/>
      <c r="AA7" s="121"/>
      <c r="AB7" s="57"/>
      <c r="AC7" s="121"/>
      <c r="AD7" s="121"/>
      <c r="AE7" s="64"/>
      <c r="AF7" s="64"/>
    </row>
    <row r="8" spans="1:32">
      <c r="B8" s="17"/>
      <c r="C8" s="17"/>
      <c r="D8" s="17"/>
      <c r="E8" s="37"/>
      <c r="F8" s="246"/>
      <c r="G8" s="246"/>
      <c r="H8" s="37"/>
      <c r="I8" s="37"/>
      <c r="J8" s="37"/>
      <c r="K8" s="37"/>
      <c r="L8" s="55"/>
      <c r="M8" s="37"/>
      <c r="N8" s="37"/>
      <c r="O8" s="258"/>
      <c r="P8" s="37"/>
      <c r="Q8" s="37"/>
      <c r="R8" s="37"/>
      <c r="S8" s="55"/>
      <c r="T8" s="55"/>
      <c r="U8" s="223"/>
      <c r="V8" s="2"/>
      <c r="W8" s="55"/>
      <c r="X8" s="259"/>
      <c r="Y8" s="55"/>
      <c r="Z8" s="55"/>
      <c r="AA8" s="118"/>
      <c r="AB8" s="55"/>
      <c r="AC8" s="118"/>
      <c r="AD8" s="118"/>
      <c r="AE8" s="17"/>
      <c r="AF8" s="17"/>
    </row>
    <row r="9" spans="1:32">
      <c r="E9" s="4"/>
      <c r="H9" s="4"/>
      <c r="I9" s="4"/>
      <c r="M9" s="4"/>
      <c r="N9" s="4"/>
      <c r="O9" s="4"/>
      <c r="P9" s="4"/>
      <c r="Q9" s="4"/>
      <c r="R9" s="4"/>
      <c r="S9" s="260"/>
      <c r="T9" s="260"/>
      <c r="V9" s="4"/>
      <c r="Y9" s="4"/>
      <c r="Z9" s="4"/>
      <c r="AB9" s="4"/>
    </row>
    <row r="10" spans="1:32">
      <c r="D10" s="27"/>
      <c r="E10" s="34"/>
      <c r="F10" s="7"/>
      <c r="G10" s="7"/>
      <c r="L10" s="114"/>
      <c r="M10" s="34"/>
      <c r="N10" s="34"/>
      <c r="S10" s="24"/>
      <c r="T10" s="24"/>
      <c r="U10" s="24"/>
      <c r="W10" s="29"/>
      <c r="X10" s="29"/>
      <c r="Y10" s="4"/>
      <c r="Z10" s="4"/>
      <c r="AA10" s="114"/>
      <c r="AB10" s="4"/>
    </row>
    <row r="11" spans="1:32">
      <c r="A11" s="261" t="s">
        <v>589</v>
      </c>
      <c r="B11" s="12"/>
      <c r="C11" s="12"/>
      <c r="O11" s="7"/>
      <c r="P11" s="34"/>
      <c r="Q11" s="34"/>
      <c r="R11" s="34"/>
      <c r="S11" s="7"/>
      <c r="T11" s="7"/>
      <c r="U11" s="114"/>
      <c r="V11" s="7"/>
      <c r="Y11" s="4"/>
      <c r="Z11" s="4"/>
      <c r="AB11" s="4"/>
    </row>
    <row r="12" spans="1:32" s="114" customFormat="1">
      <c r="A12" s="4"/>
      <c r="P12" s="7"/>
      <c r="Q12" s="7"/>
      <c r="R12" s="7"/>
      <c r="Y12" s="4"/>
      <c r="Z12" s="4"/>
      <c r="AA12" s="4"/>
      <c r="AB12" s="4"/>
      <c r="AC12" s="4"/>
      <c r="AD12" s="4"/>
      <c r="AE12" s="4"/>
      <c r="AF12" s="4"/>
    </row>
    <row r="13" spans="1:32">
      <c r="A13" s="10"/>
      <c r="B13" s="10"/>
      <c r="C13" s="10"/>
      <c r="P13" s="34"/>
      <c r="Q13" s="34"/>
      <c r="R13" s="34"/>
    </row>
    <row r="14" spans="1:32" s="114" customFormat="1">
      <c r="A14" s="4"/>
      <c r="P14" s="34"/>
      <c r="Q14" s="34"/>
      <c r="R14" s="34"/>
      <c r="Y14" s="4"/>
      <c r="Z14" s="4"/>
      <c r="AA14" s="4"/>
      <c r="AB14" s="4"/>
      <c r="AC14" s="4"/>
      <c r="AD14" s="4"/>
      <c r="AE14" s="4"/>
      <c r="AF14" s="4"/>
    </row>
    <row r="15" spans="1:32">
      <c r="B15" s="8"/>
      <c r="C15" s="8"/>
      <c r="D15" s="34"/>
      <c r="E15" s="34"/>
      <c r="F15" s="34"/>
      <c r="H15" s="114"/>
      <c r="I15" s="114"/>
      <c r="L15" s="34"/>
      <c r="M15" s="25"/>
      <c r="N15" s="34"/>
      <c r="O15" s="34"/>
      <c r="P15" s="34"/>
      <c r="Q15" s="34"/>
      <c r="R15" s="34"/>
      <c r="S15" s="114"/>
      <c r="T15" s="114"/>
      <c r="U15" s="34"/>
      <c r="V15" s="24"/>
      <c r="W15" s="24"/>
      <c r="X15" s="36"/>
      <c r="Y15" s="4"/>
      <c r="Z15" s="4"/>
      <c r="AB15" s="4"/>
    </row>
    <row r="16" spans="1:32">
      <c r="B16" s="8"/>
      <c r="C16" s="8"/>
      <c r="D16" s="34"/>
      <c r="E16" s="34"/>
      <c r="F16" s="34"/>
      <c r="H16" s="114"/>
      <c r="I16" s="114"/>
      <c r="L16" s="34"/>
      <c r="M16" s="25"/>
      <c r="N16" s="34"/>
      <c r="O16" s="34"/>
      <c r="P16" s="34"/>
      <c r="Q16" s="34"/>
      <c r="R16" s="34"/>
      <c r="S16" s="114"/>
      <c r="T16" s="114"/>
      <c r="U16" s="34"/>
      <c r="V16" s="24"/>
      <c r="W16" s="24"/>
      <c r="X16" s="36"/>
      <c r="Y16" s="4"/>
      <c r="Z16" s="4"/>
      <c r="AB16" s="4"/>
    </row>
    <row r="17" spans="1:28">
      <c r="A17" s="153"/>
      <c r="D17" s="11"/>
      <c r="E17" s="154"/>
      <c r="F17" s="4"/>
      <c r="G17" s="4"/>
      <c r="H17" s="12"/>
      <c r="I17" s="12"/>
      <c r="L17" s="155"/>
      <c r="M17" s="32"/>
      <c r="N17" s="155"/>
      <c r="O17" s="32"/>
      <c r="P17" s="12"/>
      <c r="Q17" s="12"/>
      <c r="R17" s="12"/>
      <c r="S17" s="32"/>
      <c r="T17" s="32"/>
      <c r="U17" s="156"/>
      <c r="V17" s="156"/>
      <c r="W17" s="156"/>
      <c r="X17" s="154"/>
      <c r="Y17" s="4"/>
      <c r="Z17" s="4"/>
      <c r="AB17" s="4"/>
    </row>
    <row r="18" spans="1:28">
      <c r="E18" s="4"/>
      <c r="F18" s="4"/>
      <c r="G18" s="4"/>
      <c r="H18" s="4"/>
      <c r="I18" s="4"/>
      <c r="M18" s="4"/>
      <c r="O18" s="12"/>
      <c r="V18" s="4"/>
      <c r="W18" s="114"/>
      <c r="X18" s="114"/>
      <c r="Y18" s="4"/>
      <c r="Z18" s="4"/>
      <c r="AB18" s="4"/>
    </row>
  </sheetData>
  <autoFilter ref="B3:AF3" xr:uid="{6D8CD986-3823-2645-84B2-284C80001638}">
    <sortState xmlns:xlrd2="http://schemas.microsoft.com/office/spreadsheetml/2017/richdata2" ref="B4:AF228">
      <sortCondition ref="Q3:Q22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22F1-5B2D-3449-A6C1-3F00C9E7216B}">
  <sheetPr codeName="Sheet5"/>
  <dimension ref="A1:AY26"/>
  <sheetViews>
    <sheetView zoomScaleNormal="100" workbookViewId="0">
      <pane xSplit="2" ySplit="3" topLeftCell="G4" activePane="bottomRight" state="frozen"/>
      <selection pane="topRight" activeCell="C1" sqref="C1"/>
      <selection pane="bottomLeft" activeCell="A3" sqref="A3"/>
      <selection pane="bottomRight" activeCell="AY11" sqref="AY11"/>
    </sheetView>
  </sheetViews>
  <sheetFormatPr defaultColWidth="10.83203125" defaultRowHeight="15.7"/>
  <cols>
    <col min="1" max="1" width="4.83203125" style="42" customWidth="1"/>
    <col min="2" max="2" width="36.5" style="42" bestFit="1" customWidth="1"/>
    <col min="3" max="4" width="16.83203125" style="42" customWidth="1"/>
    <col min="5" max="5" width="16.83203125" style="102" customWidth="1"/>
    <col min="6" max="6" width="16.83203125" style="42" customWidth="1"/>
    <col min="7" max="7" width="16.83203125" style="114" customWidth="1"/>
    <col min="8" max="8" width="16.83203125" style="42" customWidth="1"/>
    <col min="9" max="10" width="16.83203125" style="102" customWidth="1"/>
    <col min="11" max="11" width="22.33203125" style="42" bestFit="1" customWidth="1"/>
    <col min="12" max="12" width="13.6640625" style="42" customWidth="1"/>
    <col min="13" max="13" width="12.6640625" style="42" bestFit="1" customWidth="1"/>
    <col min="14" max="14" width="13.5" style="42" customWidth="1"/>
    <col min="15" max="15" width="12.83203125" style="42" customWidth="1"/>
    <col min="16" max="18" width="12.5" style="42" bestFit="1" customWidth="1"/>
    <col min="19" max="19" width="12.83203125" style="42" customWidth="1"/>
    <col min="20" max="20" width="11.83203125" style="42" customWidth="1"/>
    <col min="21" max="21" width="10.6640625" style="42" bestFit="1" customWidth="1"/>
    <col min="22" max="22" width="15" style="42" customWidth="1"/>
    <col min="23" max="23" width="22.83203125" style="42" customWidth="1"/>
    <col min="24" max="24" width="15" style="42" customWidth="1"/>
    <col min="25" max="25" width="22.33203125" style="42" customWidth="1"/>
    <col min="26" max="26" width="15.6640625" style="42" customWidth="1"/>
    <col min="27" max="27" width="4.83203125" style="42" customWidth="1"/>
    <col min="28" max="28" width="19" style="42" customWidth="1"/>
    <col min="29" max="29" width="10.6640625" style="42" bestFit="1" customWidth="1"/>
    <col min="30" max="30" width="11" style="42" bestFit="1" customWidth="1"/>
    <col min="31" max="31" width="7.6640625" style="42" bestFit="1" customWidth="1"/>
    <col min="32" max="32" width="13.33203125" style="42" customWidth="1"/>
    <col min="33" max="33" width="15.1640625" style="42" customWidth="1"/>
    <col min="34" max="35" width="8.6640625" style="42" bestFit="1" customWidth="1"/>
    <col min="36" max="36" width="18.83203125" style="42" customWidth="1"/>
    <col min="37" max="40" width="7.6640625" style="42" bestFit="1" customWidth="1"/>
    <col min="41" max="44" width="9.33203125" style="42" bestFit="1" customWidth="1"/>
    <col min="45" max="48" width="7.6640625" style="42" bestFit="1" customWidth="1"/>
    <col min="49" max="49" width="7.6640625" style="102" customWidth="1"/>
    <col min="50" max="50" width="30.6640625" style="114" customWidth="1"/>
    <col min="51" max="51" width="60.83203125" style="42" customWidth="1"/>
    <col min="52" max="16384" width="10.83203125" style="42"/>
  </cols>
  <sheetData>
    <row r="1" spans="1:51" ht="20.7">
      <c r="A1" s="51" t="s">
        <v>97</v>
      </c>
      <c r="B1" s="133" t="s">
        <v>356</v>
      </c>
      <c r="AB1" s="56" t="s">
        <v>357</v>
      </c>
    </row>
    <row r="2" spans="1:51" s="115" customFormat="1" ht="54">
      <c r="B2" s="19" t="s">
        <v>18</v>
      </c>
      <c r="C2" s="19" t="s">
        <v>499</v>
      </c>
      <c r="D2" s="19" t="s">
        <v>16</v>
      </c>
      <c r="E2" s="19" t="s">
        <v>785</v>
      </c>
      <c r="F2" s="19" t="s">
        <v>786</v>
      </c>
      <c r="G2" s="19" t="s">
        <v>577</v>
      </c>
      <c r="H2" s="19" t="s">
        <v>906</v>
      </c>
      <c r="I2" s="19" t="s">
        <v>44</v>
      </c>
      <c r="J2" s="99" t="s">
        <v>905</v>
      </c>
      <c r="K2" s="99" t="s">
        <v>358</v>
      </c>
      <c r="L2" s="99" t="s">
        <v>359</v>
      </c>
      <c r="M2" s="99" t="s">
        <v>360</v>
      </c>
      <c r="N2" s="99" t="s">
        <v>361</v>
      </c>
      <c r="O2" s="99" t="s">
        <v>362</v>
      </c>
      <c r="P2" s="99" t="s">
        <v>363</v>
      </c>
      <c r="Q2" s="99" t="s">
        <v>364</v>
      </c>
      <c r="R2" s="99" t="s">
        <v>365</v>
      </c>
      <c r="S2" s="99" t="s">
        <v>366</v>
      </c>
      <c r="T2" s="99" t="s">
        <v>367</v>
      </c>
      <c r="U2" s="99" t="s">
        <v>368</v>
      </c>
      <c r="V2" s="99" t="s">
        <v>57</v>
      </c>
      <c r="W2" s="99" t="s">
        <v>369</v>
      </c>
      <c r="X2" s="99" t="s">
        <v>78</v>
      </c>
      <c r="Y2" s="99" t="s">
        <v>370</v>
      </c>
      <c r="Z2" s="99" t="s">
        <v>79</v>
      </c>
      <c r="AA2" s="16"/>
      <c r="AB2" s="99" t="s">
        <v>369</v>
      </c>
      <c r="AC2" s="99" t="s">
        <v>83</v>
      </c>
      <c r="AD2" s="99" t="s">
        <v>82</v>
      </c>
      <c r="AE2" s="99" t="s">
        <v>0</v>
      </c>
      <c r="AF2" s="99" t="s">
        <v>371</v>
      </c>
      <c r="AG2" s="99" t="s">
        <v>372</v>
      </c>
      <c r="AH2" s="99" t="s">
        <v>48</v>
      </c>
      <c r="AI2" s="99" t="s">
        <v>49</v>
      </c>
      <c r="AJ2" s="99" t="s">
        <v>55</v>
      </c>
      <c r="AK2" s="99" t="s">
        <v>4</v>
      </c>
      <c r="AL2" s="99" t="s">
        <v>5</v>
      </c>
      <c r="AM2" s="99" t="s">
        <v>6</v>
      </c>
      <c r="AN2" s="99" t="s">
        <v>7</v>
      </c>
      <c r="AO2" s="99" t="s">
        <v>8</v>
      </c>
      <c r="AP2" s="99" t="s">
        <v>9</v>
      </c>
      <c r="AQ2" s="99" t="s">
        <v>10</v>
      </c>
      <c r="AR2" s="99" t="s">
        <v>11</v>
      </c>
      <c r="AS2" s="99" t="s">
        <v>12</v>
      </c>
      <c r="AT2" s="99" t="s">
        <v>1</v>
      </c>
      <c r="AU2" s="99" t="s">
        <v>2</v>
      </c>
      <c r="AV2" s="99" t="s">
        <v>3</v>
      </c>
      <c r="AW2" s="63"/>
      <c r="AX2" s="19" t="s">
        <v>904</v>
      </c>
      <c r="AY2" s="19" t="s">
        <v>47</v>
      </c>
    </row>
    <row r="3" spans="1:51" s="115" customFormat="1" ht="18">
      <c r="B3" s="16"/>
      <c r="C3" s="16"/>
      <c r="D3" s="16" t="s">
        <v>19</v>
      </c>
      <c r="E3" s="63"/>
      <c r="F3" s="16" t="s">
        <v>19</v>
      </c>
      <c r="G3" s="16"/>
      <c r="H3" s="16" t="s">
        <v>20</v>
      </c>
      <c r="I3" s="63"/>
      <c r="J3" s="63"/>
      <c r="K3" s="16"/>
      <c r="L3" s="16" t="s">
        <v>50</v>
      </c>
      <c r="M3" s="16" t="s">
        <v>50</v>
      </c>
      <c r="N3" s="16" t="s">
        <v>50</v>
      </c>
      <c r="O3" s="16" t="s">
        <v>50</v>
      </c>
      <c r="P3" s="16" t="s">
        <v>85</v>
      </c>
      <c r="Q3" s="16" t="s">
        <v>85</v>
      </c>
      <c r="R3" s="16" t="s">
        <v>85</v>
      </c>
      <c r="S3" s="16" t="s">
        <v>373</v>
      </c>
      <c r="T3" s="16" t="s">
        <v>31</v>
      </c>
      <c r="U3" s="16"/>
      <c r="V3" s="16" t="s">
        <v>58</v>
      </c>
      <c r="W3" s="16"/>
      <c r="X3" s="16" t="s">
        <v>58</v>
      </c>
      <c r="Y3" s="16"/>
      <c r="Z3" s="16" t="s">
        <v>58</v>
      </c>
      <c r="AA3" s="16"/>
      <c r="AB3" s="16"/>
      <c r="AC3" s="16" t="s">
        <v>50</v>
      </c>
      <c r="AD3" s="16" t="s">
        <v>50</v>
      </c>
      <c r="AE3" s="16" t="s">
        <v>50</v>
      </c>
      <c r="AF3" s="58" t="s">
        <v>50</v>
      </c>
      <c r="AG3" s="16" t="s">
        <v>50</v>
      </c>
      <c r="AH3" s="16" t="s">
        <v>84</v>
      </c>
      <c r="AI3" s="16" t="s">
        <v>84</v>
      </c>
      <c r="AJ3" s="16" t="s">
        <v>84</v>
      </c>
      <c r="AK3" s="16" t="s">
        <v>85</v>
      </c>
      <c r="AL3" s="16" t="s">
        <v>85</v>
      </c>
      <c r="AM3" s="16" t="s">
        <v>85</v>
      </c>
      <c r="AN3" s="16" t="s">
        <v>85</v>
      </c>
      <c r="AO3" s="16" t="s">
        <v>85</v>
      </c>
      <c r="AP3" s="16" t="s">
        <v>85</v>
      </c>
      <c r="AQ3" s="16" t="s">
        <v>85</v>
      </c>
      <c r="AR3" s="16" t="s">
        <v>85</v>
      </c>
      <c r="AS3" s="16" t="s">
        <v>85</v>
      </c>
      <c r="AT3" s="16" t="s">
        <v>85</v>
      </c>
      <c r="AU3" s="16" t="s">
        <v>85</v>
      </c>
      <c r="AV3" s="16" t="s">
        <v>85</v>
      </c>
      <c r="AW3" s="63"/>
      <c r="AX3" s="16"/>
      <c r="AY3" s="16"/>
    </row>
    <row r="4" spans="1:51" s="102" customFormat="1" ht="18">
      <c r="B4" s="17" t="s">
        <v>389</v>
      </c>
      <c r="C4" s="107" t="s">
        <v>333</v>
      </c>
      <c r="D4" s="125">
        <v>613.4</v>
      </c>
      <c r="E4" s="227">
        <v>1</v>
      </c>
      <c r="F4" s="125">
        <v>613.4</v>
      </c>
      <c r="G4" s="2">
        <f t="shared" ref="G4:G6" si="0">H4*1000/(D4*24*365)</f>
        <v>0.49298542594387457</v>
      </c>
      <c r="H4" s="120">
        <v>2649</v>
      </c>
      <c r="I4" s="55">
        <v>7</v>
      </c>
      <c r="J4" s="65"/>
      <c r="K4" s="65"/>
      <c r="L4" s="121"/>
      <c r="M4" s="81">
        <v>176</v>
      </c>
      <c r="N4" s="121"/>
      <c r="O4" s="57"/>
      <c r="P4" s="121"/>
      <c r="Q4" s="121"/>
      <c r="R4" s="81">
        <v>320</v>
      </c>
      <c r="S4" s="65"/>
      <c r="T4" s="65"/>
      <c r="U4" s="65"/>
      <c r="V4" s="86" t="s">
        <v>174</v>
      </c>
      <c r="W4" s="37" t="s">
        <v>173</v>
      </c>
      <c r="X4" s="65"/>
      <c r="Y4" s="37" t="s">
        <v>389</v>
      </c>
      <c r="Z4" s="65"/>
      <c r="AA4" s="122"/>
      <c r="AB4" s="64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64"/>
    </row>
    <row r="5" spans="1:51" s="102" customFormat="1" ht="18">
      <c r="B5" s="17" t="s">
        <v>321</v>
      </c>
      <c r="C5" s="107" t="s">
        <v>333</v>
      </c>
      <c r="D5" s="125">
        <v>22</v>
      </c>
      <c r="E5" s="227">
        <v>0.67</v>
      </c>
      <c r="F5" s="125">
        <v>14.5</v>
      </c>
      <c r="G5" s="2">
        <f t="shared" si="0"/>
        <v>0.70049813200498134</v>
      </c>
      <c r="H5" s="120">
        <v>135</v>
      </c>
      <c r="I5" s="55">
        <v>9</v>
      </c>
      <c r="J5" s="65"/>
      <c r="K5" s="65"/>
      <c r="L5" s="121"/>
      <c r="M5" s="121"/>
      <c r="N5" s="121"/>
      <c r="O5" s="121"/>
      <c r="P5" s="121"/>
      <c r="Q5" s="121"/>
      <c r="R5" s="121"/>
      <c r="S5" s="65"/>
      <c r="T5" s="65"/>
      <c r="U5" s="65"/>
      <c r="V5" s="65"/>
      <c r="W5" s="37" t="s">
        <v>128</v>
      </c>
      <c r="X5" s="65"/>
      <c r="Y5" s="37" t="s">
        <v>128</v>
      </c>
      <c r="Z5" s="65"/>
      <c r="AA5" s="122"/>
      <c r="AB5" s="64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10" t="s">
        <v>534</v>
      </c>
    </row>
    <row r="6" spans="1:51" s="102" customFormat="1" ht="18">
      <c r="B6" s="17" t="s">
        <v>158</v>
      </c>
      <c r="C6" s="107" t="s">
        <v>533</v>
      </c>
      <c r="D6" s="125">
        <v>137</v>
      </c>
      <c r="E6" s="227">
        <v>0.78</v>
      </c>
      <c r="F6" s="125">
        <v>134</v>
      </c>
      <c r="G6" s="2">
        <f t="shared" si="0"/>
        <v>0.31246875312468753</v>
      </c>
      <c r="H6" s="120">
        <v>375</v>
      </c>
      <c r="I6" s="55">
        <v>2</v>
      </c>
      <c r="J6" s="65"/>
      <c r="K6" s="65"/>
      <c r="L6" s="121"/>
      <c r="M6" s="69">
        <v>386</v>
      </c>
      <c r="N6" s="121"/>
      <c r="O6" s="57"/>
      <c r="P6" s="121"/>
      <c r="Q6" s="121"/>
      <c r="R6" s="69">
        <v>40</v>
      </c>
      <c r="S6" s="65"/>
      <c r="T6" s="57"/>
      <c r="U6" s="65"/>
      <c r="V6" s="86" t="s">
        <v>159</v>
      </c>
      <c r="W6" s="37" t="s">
        <v>160</v>
      </c>
      <c r="X6" s="37"/>
      <c r="Y6" s="37" t="s">
        <v>161</v>
      </c>
      <c r="Z6" s="37"/>
      <c r="AA6" s="122"/>
      <c r="AB6" s="64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64"/>
    </row>
    <row r="7" spans="1:51" s="102" customFormat="1" ht="18">
      <c r="B7" s="64" t="s">
        <v>151</v>
      </c>
      <c r="C7" s="107" t="s">
        <v>333</v>
      </c>
      <c r="D7" s="125">
        <v>300</v>
      </c>
      <c r="E7" s="227">
        <v>0.98099999999999998</v>
      </c>
      <c r="F7" s="125">
        <v>300</v>
      </c>
      <c r="G7" s="227">
        <v>0.9</v>
      </c>
      <c r="H7" s="125">
        <v>2362</v>
      </c>
      <c r="I7" s="55">
        <v>11</v>
      </c>
      <c r="J7" s="65"/>
      <c r="K7" s="57"/>
      <c r="L7" s="228"/>
      <c r="M7" s="157">
        <v>312.39999999999998</v>
      </c>
      <c r="N7" s="57"/>
      <c r="O7" s="57"/>
      <c r="P7" s="57"/>
      <c r="Q7" s="57"/>
      <c r="R7" s="157">
        <v>1388</v>
      </c>
      <c r="S7" s="57"/>
      <c r="T7" s="57"/>
      <c r="U7" s="57"/>
      <c r="V7" s="86" t="s">
        <v>153</v>
      </c>
      <c r="W7" s="37" t="s">
        <v>154</v>
      </c>
      <c r="X7" s="37"/>
      <c r="Y7" s="37" t="s">
        <v>152</v>
      </c>
      <c r="Z7" s="37"/>
      <c r="AA7" s="122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121"/>
      <c r="AT7" s="121"/>
      <c r="AU7" s="121"/>
      <c r="AV7" s="121"/>
      <c r="AW7" s="121"/>
      <c r="AX7" s="121"/>
      <c r="AY7" s="64" t="s">
        <v>917</v>
      </c>
    </row>
    <row r="8" spans="1:51" s="14" customFormat="1" ht="18">
      <c r="B8" s="17" t="s">
        <v>916</v>
      </c>
      <c r="C8" s="107" t="s">
        <v>333</v>
      </c>
      <c r="D8" s="125">
        <v>4903</v>
      </c>
      <c r="E8" s="227">
        <v>0.98099999999999998</v>
      </c>
      <c r="F8" s="125">
        <f>D8*E8</f>
        <v>4809.8429999999998</v>
      </c>
      <c r="G8" s="2">
        <f>H8*1000/(D8*24*365)</f>
        <v>0.66739960717369018</v>
      </c>
      <c r="H8" s="81">
        <v>28665</v>
      </c>
      <c r="I8" s="55">
        <v>11</v>
      </c>
      <c r="J8" s="65"/>
      <c r="K8" s="65"/>
      <c r="L8" s="229"/>
      <c r="M8" s="157">
        <v>312.39999999999998</v>
      </c>
      <c r="N8" s="57"/>
      <c r="O8" s="57"/>
      <c r="P8" s="57"/>
      <c r="Q8" s="57"/>
      <c r="R8" s="157">
        <v>1388</v>
      </c>
      <c r="S8" s="57"/>
      <c r="T8" s="57"/>
      <c r="U8" s="57"/>
      <c r="V8" s="86" t="s">
        <v>153</v>
      </c>
      <c r="W8" s="37" t="s">
        <v>154</v>
      </c>
      <c r="X8" s="37"/>
      <c r="Y8" s="37" t="s">
        <v>152</v>
      </c>
      <c r="Z8" s="37"/>
      <c r="AA8" s="122"/>
      <c r="AB8" s="64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64" t="s">
        <v>917</v>
      </c>
    </row>
    <row r="9" spans="1:51" s="14" customFormat="1" ht="18">
      <c r="B9" s="64" t="s">
        <v>150</v>
      </c>
      <c r="C9" s="107" t="s">
        <v>333</v>
      </c>
      <c r="D9" s="125">
        <v>225</v>
      </c>
      <c r="E9" s="227">
        <v>0.98099999999999998</v>
      </c>
      <c r="F9" s="125">
        <v>225</v>
      </c>
      <c r="G9" s="227">
        <v>1</v>
      </c>
      <c r="H9" s="125">
        <v>1971</v>
      </c>
      <c r="I9" s="55">
        <v>11</v>
      </c>
      <c r="J9" s="65"/>
      <c r="K9" s="57"/>
      <c r="L9" s="57"/>
      <c r="M9" s="157">
        <v>312.39999999999998</v>
      </c>
      <c r="N9" s="57"/>
      <c r="O9" s="57"/>
      <c r="P9" s="57"/>
      <c r="Q9" s="57"/>
      <c r="R9" s="157">
        <v>1388</v>
      </c>
      <c r="S9" s="57"/>
      <c r="T9" s="57"/>
      <c r="U9" s="57"/>
      <c r="V9" s="86" t="s">
        <v>153</v>
      </c>
      <c r="W9" s="37" t="s">
        <v>154</v>
      </c>
      <c r="X9" s="37"/>
      <c r="Y9" s="37" t="s">
        <v>152</v>
      </c>
      <c r="Z9" s="37"/>
      <c r="AA9" s="122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121"/>
      <c r="AT9" s="121"/>
      <c r="AU9" s="121"/>
      <c r="AV9" s="121"/>
      <c r="AW9" s="121"/>
      <c r="AX9" s="121"/>
      <c r="AY9" s="64" t="s">
        <v>917</v>
      </c>
    </row>
    <row r="10" spans="1:51" s="102" customFormat="1" ht="18">
      <c r="B10" s="17" t="s">
        <v>111</v>
      </c>
      <c r="C10" s="107" t="s">
        <v>332</v>
      </c>
      <c r="D10" s="125">
        <v>125.5</v>
      </c>
      <c r="E10" s="227">
        <v>0.78486055776892427</v>
      </c>
      <c r="F10" s="125">
        <v>98.5</v>
      </c>
      <c r="G10" s="2">
        <f t="shared" ref="G10:G19" si="1">H10*1000/(D10*24*365)</f>
        <v>0.71676763266568433</v>
      </c>
      <c r="H10" s="124">
        <v>788</v>
      </c>
      <c r="I10" s="55">
        <v>9</v>
      </c>
      <c r="J10" s="65"/>
      <c r="K10" s="65"/>
      <c r="L10" s="121"/>
      <c r="M10" s="121"/>
      <c r="N10" s="121"/>
      <c r="O10" s="121"/>
      <c r="P10" s="121"/>
      <c r="Q10" s="121"/>
      <c r="R10" s="121"/>
      <c r="S10" s="65"/>
      <c r="T10" s="57"/>
      <c r="U10" s="65"/>
      <c r="V10" s="86" t="s">
        <v>162</v>
      </c>
      <c r="W10" s="37" t="s">
        <v>106</v>
      </c>
      <c r="X10" s="37"/>
      <c r="Y10" s="37" t="s">
        <v>111</v>
      </c>
      <c r="Z10" s="86" t="s">
        <v>163</v>
      </c>
      <c r="AA10" s="122"/>
      <c r="AB10" s="64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64"/>
    </row>
    <row r="11" spans="1:51" s="102" customFormat="1" ht="18">
      <c r="B11" s="17" t="s">
        <v>112</v>
      </c>
      <c r="C11" s="107" t="s">
        <v>333</v>
      </c>
      <c r="D11" s="125">
        <v>75</v>
      </c>
      <c r="E11" s="227">
        <v>0.64</v>
      </c>
      <c r="F11" s="125">
        <v>48</v>
      </c>
      <c r="G11" s="2">
        <f t="shared" si="1"/>
        <v>0.73059360730593603</v>
      </c>
      <c r="H11" s="124">
        <v>480</v>
      </c>
      <c r="I11" s="55">
        <v>6</v>
      </c>
      <c r="J11" s="65"/>
      <c r="K11" s="65"/>
      <c r="L11" s="121"/>
      <c r="M11" s="121"/>
      <c r="N11" s="121"/>
      <c r="O11" s="121"/>
      <c r="P11" s="121"/>
      <c r="Q11" s="121"/>
      <c r="R11" s="121"/>
      <c r="S11" s="65"/>
      <c r="T11" s="65"/>
      <c r="U11" s="65"/>
      <c r="V11" s="86" t="s">
        <v>168</v>
      </c>
      <c r="W11" s="64" t="s">
        <v>388</v>
      </c>
      <c r="X11" s="65"/>
      <c r="Y11" s="37" t="s">
        <v>128</v>
      </c>
      <c r="Z11" s="65"/>
      <c r="AA11" s="122"/>
      <c r="AB11" s="64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10" t="s">
        <v>534</v>
      </c>
    </row>
    <row r="12" spans="1:51" s="102" customFormat="1" ht="18">
      <c r="B12" s="17" t="s">
        <v>103</v>
      </c>
      <c r="C12" s="107" t="s">
        <v>333</v>
      </c>
      <c r="D12" s="125">
        <v>40</v>
      </c>
      <c r="E12" s="227">
        <v>1</v>
      </c>
      <c r="F12" s="125">
        <v>40</v>
      </c>
      <c r="G12" s="2">
        <f t="shared" si="1"/>
        <v>0.70205479452054798</v>
      </c>
      <c r="H12" s="120">
        <v>246</v>
      </c>
      <c r="I12" s="55">
        <v>1</v>
      </c>
      <c r="J12" s="65"/>
      <c r="K12" s="65"/>
      <c r="L12" s="121"/>
      <c r="M12" s="69">
        <v>37</v>
      </c>
      <c r="N12" s="121"/>
      <c r="O12" s="121"/>
      <c r="P12" s="121"/>
      <c r="Q12" s="121"/>
      <c r="R12" s="69">
        <v>122</v>
      </c>
      <c r="S12" s="65"/>
      <c r="T12" s="65"/>
      <c r="U12" s="65"/>
      <c r="V12" s="65"/>
      <c r="W12" s="37" t="s">
        <v>169</v>
      </c>
      <c r="X12" s="86" t="s">
        <v>170</v>
      </c>
      <c r="Y12" s="37"/>
      <c r="Z12" s="86" t="s">
        <v>171</v>
      </c>
      <c r="AA12" s="122"/>
      <c r="AB12" s="64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64"/>
    </row>
    <row r="13" spans="1:51" s="102" customFormat="1" ht="18">
      <c r="B13" s="17" t="s">
        <v>102</v>
      </c>
      <c r="C13" s="107" t="s">
        <v>333</v>
      </c>
      <c r="D13" s="125">
        <v>75</v>
      </c>
      <c r="E13" s="227">
        <v>1</v>
      </c>
      <c r="F13" s="125">
        <v>75</v>
      </c>
      <c r="G13" s="2">
        <f t="shared" si="1"/>
        <v>0.53272450532724502</v>
      </c>
      <c r="H13" s="120">
        <v>350</v>
      </c>
      <c r="I13" s="55">
        <v>1</v>
      </c>
      <c r="J13" s="65"/>
      <c r="K13" s="57"/>
      <c r="M13" s="69">
        <v>214</v>
      </c>
      <c r="N13" s="121"/>
      <c r="O13" s="121"/>
      <c r="P13" s="121"/>
      <c r="Q13" s="121"/>
      <c r="R13" s="69">
        <v>40</v>
      </c>
      <c r="S13" s="65"/>
      <c r="T13" s="57"/>
      <c r="U13" s="65"/>
      <c r="V13" s="86" t="s">
        <v>165</v>
      </c>
      <c r="W13" s="37" t="s">
        <v>166</v>
      </c>
      <c r="X13" s="86" t="s">
        <v>167</v>
      </c>
      <c r="Y13" s="37" t="s">
        <v>128</v>
      </c>
      <c r="Z13" s="86" t="s">
        <v>165</v>
      </c>
      <c r="AA13" s="122"/>
      <c r="AB13" s="123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64"/>
    </row>
    <row r="14" spans="1:51" s="102" customFormat="1" ht="18">
      <c r="B14" s="17" t="s">
        <v>109</v>
      </c>
      <c r="C14" s="107" t="s">
        <v>333</v>
      </c>
      <c r="D14" s="125">
        <v>824</v>
      </c>
      <c r="E14" s="227">
        <v>0.95873786407766992</v>
      </c>
      <c r="F14" s="125">
        <v>790</v>
      </c>
      <c r="G14" s="2">
        <f t="shared" si="1"/>
        <v>0.68022121736046459</v>
      </c>
      <c r="H14" s="125">
        <v>4910</v>
      </c>
      <c r="I14" s="55">
        <v>4</v>
      </c>
      <c r="J14" s="65"/>
      <c r="K14" s="65"/>
      <c r="L14" s="121"/>
      <c r="M14" s="136">
        <v>36</v>
      </c>
      <c r="N14" s="121"/>
      <c r="O14" s="121"/>
      <c r="P14" s="121"/>
      <c r="Q14" s="121"/>
      <c r="R14" s="136">
        <v>1840</v>
      </c>
      <c r="S14" s="65"/>
      <c r="T14" s="65"/>
      <c r="U14" s="65"/>
      <c r="V14" s="86" t="s">
        <v>155</v>
      </c>
      <c r="W14" s="37" t="s">
        <v>152</v>
      </c>
      <c r="X14" s="86" t="s">
        <v>155</v>
      </c>
      <c r="Y14" s="37" t="s">
        <v>152</v>
      </c>
      <c r="Z14" s="86" t="s">
        <v>156</v>
      </c>
      <c r="AA14" s="122"/>
      <c r="AB14" s="64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7" t="s">
        <v>157</v>
      </c>
    </row>
    <row r="15" spans="1:51" s="102" customFormat="1" ht="18">
      <c r="B15" s="17" t="s">
        <v>374</v>
      </c>
      <c r="C15" s="107" t="s">
        <v>332</v>
      </c>
      <c r="D15" s="225">
        <v>8</v>
      </c>
      <c r="E15" s="227">
        <v>1</v>
      </c>
      <c r="F15" s="226">
        <v>8</v>
      </c>
      <c r="G15" s="2">
        <f t="shared" si="1"/>
        <v>0.49942922374429222</v>
      </c>
      <c r="H15" s="81">
        <v>35</v>
      </c>
      <c r="I15" s="55">
        <v>1</v>
      </c>
      <c r="J15" s="65"/>
      <c r="K15" s="57"/>
      <c r="L15" s="57"/>
      <c r="M15" s="69">
        <v>43</v>
      </c>
      <c r="N15" s="121"/>
      <c r="O15" s="121"/>
      <c r="P15" s="121"/>
      <c r="Q15" s="121"/>
      <c r="R15" s="69">
        <v>25</v>
      </c>
      <c r="S15" s="65"/>
      <c r="T15" s="65"/>
      <c r="U15" s="65"/>
      <c r="V15" s="65"/>
      <c r="W15" s="64"/>
      <c r="X15" s="65"/>
      <c r="Y15" s="64"/>
      <c r="Z15" s="65"/>
      <c r="AA15" s="122"/>
      <c r="AB15" s="64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64"/>
    </row>
    <row r="16" spans="1:51" s="102" customFormat="1" ht="18">
      <c r="B16" s="17" t="s">
        <v>148</v>
      </c>
      <c r="C16" s="107" t="s">
        <v>332</v>
      </c>
      <c r="D16" s="225">
        <v>4</v>
      </c>
      <c r="E16" s="227">
        <v>1</v>
      </c>
      <c r="F16" s="225">
        <v>4</v>
      </c>
      <c r="G16" s="2">
        <f t="shared" si="1"/>
        <v>0.42808219178082191</v>
      </c>
      <c r="H16" s="113">
        <v>15</v>
      </c>
      <c r="I16" s="55">
        <v>1</v>
      </c>
      <c r="J16" s="65"/>
      <c r="K16" s="65"/>
      <c r="L16" s="121"/>
      <c r="M16" s="121"/>
      <c r="N16" s="121"/>
      <c r="O16" s="121"/>
      <c r="P16" s="121"/>
      <c r="Q16" s="121"/>
      <c r="R16" s="121"/>
      <c r="S16" s="65"/>
      <c r="T16" s="65"/>
      <c r="U16" s="65"/>
      <c r="V16" s="65"/>
      <c r="W16" s="64"/>
      <c r="X16" s="65"/>
      <c r="Y16" s="64"/>
      <c r="Z16" s="65"/>
      <c r="AA16" s="122"/>
      <c r="AB16" s="64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64"/>
    </row>
    <row r="17" spans="1:51" s="102" customFormat="1" ht="18">
      <c r="B17" s="64" t="s">
        <v>108</v>
      </c>
      <c r="C17" s="107" t="s">
        <v>333</v>
      </c>
      <c r="D17" s="125">
        <v>18</v>
      </c>
      <c r="E17" s="227">
        <v>1</v>
      </c>
      <c r="F17" s="125">
        <v>18</v>
      </c>
      <c r="G17" s="2">
        <f t="shared" si="1"/>
        <v>0.89421613394216137</v>
      </c>
      <c r="H17" s="108">
        <v>141</v>
      </c>
      <c r="I17" s="55">
        <v>1</v>
      </c>
      <c r="J17" s="65"/>
      <c r="K17" s="65"/>
      <c r="L17" s="121"/>
      <c r="M17" s="121"/>
      <c r="N17" s="121"/>
      <c r="O17" s="121"/>
      <c r="P17" s="121"/>
      <c r="Q17" s="121"/>
      <c r="R17" s="121"/>
      <c r="S17" s="65"/>
      <c r="T17" s="65"/>
      <c r="U17" s="65"/>
      <c r="V17" s="65"/>
      <c r="W17" s="64" t="s">
        <v>108</v>
      </c>
      <c r="X17" s="65"/>
      <c r="Y17" s="64" t="s">
        <v>388</v>
      </c>
      <c r="Z17" s="65"/>
      <c r="AA17" s="122"/>
      <c r="AB17" s="64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64"/>
    </row>
    <row r="18" spans="1:51" s="102" customFormat="1" ht="18">
      <c r="B18" s="17" t="s">
        <v>145</v>
      </c>
      <c r="C18" s="107" t="s">
        <v>333</v>
      </c>
      <c r="D18" s="225">
        <v>84</v>
      </c>
      <c r="E18" s="227">
        <v>1</v>
      </c>
      <c r="F18" s="226">
        <v>84</v>
      </c>
      <c r="G18" s="2">
        <f t="shared" si="1"/>
        <v>0.77462491846053494</v>
      </c>
      <c r="H18" s="81">
        <v>570</v>
      </c>
      <c r="I18" s="55">
        <v>1</v>
      </c>
      <c r="J18" s="65"/>
      <c r="K18" s="57"/>
      <c r="L18" s="57"/>
      <c r="M18" s="69">
        <v>51</v>
      </c>
      <c r="N18" s="121"/>
      <c r="O18" s="121"/>
      <c r="P18" s="121"/>
      <c r="Q18" s="121"/>
      <c r="R18" s="126">
        <v>190</v>
      </c>
      <c r="S18" s="65"/>
      <c r="T18" s="65"/>
      <c r="U18" s="65"/>
      <c r="V18" s="65"/>
      <c r="W18" s="37" t="s">
        <v>172</v>
      </c>
      <c r="X18" s="65"/>
      <c r="Y18" s="37" t="s">
        <v>173</v>
      </c>
      <c r="Z18" s="65"/>
      <c r="AA18" s="122"/>
      <c r="AB18" s="64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64"/>
    </row>
    <row r="19" spans="1:51" s="102" customFormat="1" ht="18">
      <c r="B19" s="17" t="s">
        <v>327</v>
      </c>
      <c r="C19" s="107" t="s">
        <v>332</v>
      </c>
      <c r="D19" s="80">
        <v>9</v>
      </c>
      <c r="E19" s="243">
        <v>1</v>
      </c>
      <c r="F19" s="83">
        <v>9</v>
      </c>
      <c r="G19" s="2">
        <f t="shared" si="1"/>
        <v>0.82445459157787926</v>
      </c>
      <c r="H19" s="112">
        <v>65</v>
      </c>
      <c r="I19" s="55">
        <v>1</v>
      </c>
      <c r="J19" s="65"/>
      <c r="K19" s="65"/>
      <c r="L19" s="121"/>
      <c r="M19" s="121"/>
      <c r="N19" s="121"/>
      <c r="O19" s="121"/>
      <c r="P19" s="121"/>
      <c r="Q19" s="121"/>
      <c r="R19" s="121"/>
      <c r="S19" s="65"/>
      <c r="T19" s="65"/>
      <c r="U19" s="65"/>
      <c r="V19" s="65"/>
      <c r="W19" s="64"/>
      <c r="X19" s="65"/>
      <c r="Y19" s="64"/>
      <c r="Z19" s="65"/>
      <c r="AA19" s="122"/>
      <c r="AB19" s="64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64"/>
    </row>
    <row r="20" spans="1:51" s="4" customFormat="1" ht="18">
      <c r="A20" s="42"/>
      <c r="B20" s="42"/>
      <c r="C20" s="42"/>
      <c r="D20" s="42"/>
      <c r="E20" s="102"/>
      <c r="F20" s="42"/>
      <c r="G20" s="114"/>
      <c r="H20" s="42"/>
      <c r="I20" s="102"/>
      <c r="J20" s="10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102"/>
      <c r="AX20" s="114"/>
      <c r="AY20" s="42"/>
    </row>
    <row r="21" spans="1:51" s="4" customFormat="1" ht="18">
      <c r="A21" s="148" t="s">
        <v>585</v>
      </c>
      <c r="B21" s="10"/>
      <c r="C21" s="39"/>
      <c r="D21" s="39"/>
      <c r="E21" s="39"/>
      <c r="F21" s="39"/>
      <c r="G21" s="39"/>
      <c r="H21" s="39"/>
      <c r="I21" s="39"/>
      <c r="J21" s="39"/>
      <c r="K21" s="114"/>
      <c r="L21" s="39"/>
      <c r="M21" s="114"/>
      <c r="N21" s="39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</row>
    <row r="22" spans="1:51" s="114" customFormat="1" ht="18">
      <c r="A22" s="4" t="s">
        <v>518</v>
      </c>
    </row>
    <row r="23" spans="1:51" s="40" customFormat="1" ht="18">
      <c r="A23" s="4" t="s">
        <v>592</v>
      </c>
      <c r="M23" s="4"/>
      <c r="U23" s="114"/>
    </row>
    <row r="24" spans="1:51" s="12" customFormat="1" ht="18">
      <c r="A24" s="40"/>
      <c r="B24" s="42"/>
      <c r="C24" s="39"/>
      <c r="D24" s="39"/>
      <c r="E24" s="220"/>
      <c r="F24" s="39"/>
      <c r="G24" s="39"/>
      <c r="H24" s="39"/>
      <c r="I24" s="220"/>
      <c r="J24" s="220"/>
      <c r="K24" s="10"/>
      <c r="L24" s="39"/>
      <c r="M24" s="10"/>
      <c r="N24" s="39"/>
      <c r="O24" s="10"/>
      <c r="P24" s="42"/>
      <c r="Q24" s="42"/>
      <c r="R24" s="42"/>
      <c r="S24" s="42"/>
      <c r="T24" s="42"/>
      <c r="U24" s="42"/>
      <c r="V24" s="42"/>
      <c r="W24" s="42"/>
      <c r="X24" s="42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102"/>
      <c r="AX24" s="114"/>
      <c r="AY24" s="42"/>
    </row>
    <row r="25" spans="1:51" s="114" customFormat="1">
      <c r="E25" s="102"/>
      <c r="I25" s="102"/>
      <c r="J25" s="102"/>
      <c r="AW25" s="102"/>
    </row>
    <row r="26" spans="1:51" s="114" customFormat="1">
      <c r="E26" s="102"/>
      <c r="I26" s="102"/>
      <c r="J26" s="102"/>
      <c r="AW26" s="102"/>
    </row>
  </sheetData>
  <autoFilter ref="B3:AY3" xr:uid="{A1514F72-C4FC-0B46-9457-D3DD2CC57A34}">
    <sortState xmlns:xlrd2="http://schemas.microsoft.com/office/spreadsheetml/2017/richdata2" ref="B4:AY19">
      <sortCondition ref="B3:B1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8A59-1858-0944-938A-C50CCB960553}">
  <sheetPr codeName="Sheet6"/>
  <dimension ref="A1:BT31"/>
  <sheetViews>
    <sheetView workbookViewId="0">
      <pane xSplit="2" ySplit="3" topLeftCell="R4" activePane="bottomRight" state="frozen"/>
      <selection pane="topRight" activeCell="C1" sqref="C1"/>
      <selection pane="bottomLeft" activeCell="A3" sqref="A3"/>
      <selection pane="bottomRight" activeCell="X7" sqref="X7"/>
    </sheetView>
  </sheetViews>
  <sheetFormatPr defaultColWidth="10.83203125" defaultRowHeight="15.7"/>
  <cols>
    <col min="1" max="1" width="4.83203125" style="114" customWidth="1"/>
    <col min="2" max="2" width="52" style="114" customWidth="1"/>
    <col min="3" max="3" width="58.83203125" style="114" customWidth="1"/>
    <col min="4" max="4" width="25" style="114" customWidth="1"/>
    <col min="5" max="5" width="12.5" style="114" bestFit="1" customWidth="1"/>
    <col min="6" max="6" width="12.5" style="114" customWidth="1"/>
    <col min="7" max="8" width="12.83203125" style="114" customWidth="1"/>
    <col min="9" max="9" width="18.83203125" style="114" customWidth="1"/>
    <col min="10" max="10" width="15" style="114" customWidth="1"/>
    <col min="11" max="11" width="12.6640625" style="114" bestFit="1" customWidth="1"/>
    <col min="12" max="12" width="4.83203125" style="114" customWidth="1"/>
    <col min="13" max="13" width="39.1640625" style="114" customWidth="1"/>
    <col min="14" max="14" width="22" style="114" customWidth="1"/>
    <col min="15" max="17" width="25.1640625" style="114" customWidth="1"/>
    <col min="18" max="18" width="37.1640625" style="114" customWidth="1"/>
    <col min="19" max="19" width="25.1640625" style="114" customWidth="1"/>
    <col min="20" max="20" width="26.83203125" style="114" customWidth="1"/>
    <col min="21" max="21" width="13.6640625" style="114" customWidth="1"/>
    <col min="22" max="24" width="17.1640625" style="114" customWidth="1"/>
    <col min="25" max="26" width="15" style="114" customWidth="1"/>
    <col min="27" max="27" width="15.83203125" style="114" customWidth="1"/>
    <col min="28" max="28" width="4.83203125" style="114" customWidth="1"/>
    <col min="29" max="29" width="15.6640625" style="114" bestFit="1" customWidth="1"/>
    <col min="30" max="31" width="15.6640625" style="114" customWidth="1"/>
    <col min="32" max="32" width="18.1640625" style="114" customWidth="1"/>
    <col min="33" max="33" width="18.83203125" style="114" customWidth="1"/>
    <col min="34" max="34" width="15.6640625" style="114" customWidth="1"/>
    <col min="35" max="36" width="21.1640625" style="114" customWidth="1"/>
    <col min="37" max="38" width="18.83203125" style="114" customWidth="1"/>
    <col min="39" max="39" width="13.83203125" style="114" customWidth="1"/>
    <col min="40" max="41" width="16.6640625" style="114" customWidth="1"/>
    <col min="42" max="44" width="22.6640625" style="114" customWidth="1"/>
    <col min="45" max="46" width="16.1640625" style="114" customWidth="1"/>
    <col min="47" max="47" width="50.83203125" style="114" customWidth="1"/>
    <col min="48" max="48" width="6.6640625" style="114" bestFit="1" customWidth="1"/>
    <col min="49" max="49" width="13.33203125" style="114" customWidth="1"/>
    <col min="50" max="50" width="15.1640625" style="114" customWidth="1"/>
    <col min="51" max="52" width="8.6640625" style="114" bestFit="1" customWidth="1"/>
    <col min="53" max="53" width="13.33203125" style="114" customWidth="1"/>
    <col min="54" max="65" width="7.5" style="114" bestFit="1" customWidth="1"/>
    <col min="66" max="66" width="43.1640625" style="114" customWidth="1"/>
    <col min="67" max="16384" width="10.83203125" style="114"/>
  </cols>
  <sheetData>
    <row r="1" spans="1:58" s="4" customFormat="1" ht="20.7">
      <c r="A1" s="132" t="s">
        <v>97</v>
      </c>
      <c r="B1" s="133" t="s">
        <v>478</v>
      </c>
      <c r="D1" s="18" t="s">
        <v>974</v>
      </c>
      <c r="E1" s="22"/>
      <c r="F1" s="22"/>
      <c r="G1" s="22"/>
      <c r="H1" s="22"/>
      <c r="K1" s="7"/>
      <c r="L1" s="15"/>
      <c r="M1" s="18" t="s">
        <v>973</v>
      </c>
      <c r="N1" s="56"/>
      <c r="R1" s="56"/>
      <c r="Y1" s="22"/>
      <c r="Z1" s="22"/>
      <c r="AC1" s="18" t="s">
        <v>972</v>
      </c>
      <c r="AD1" s="134">
        <v>1.77E-2</v>
      </c>
      <c r="AE1" s="118">
        <v>1.05</v>
      </c>
      <c r="AF1" s="118"/>
      <c r="AG1" s="134"/>
      <c r="AH1" s="134">
        <v>7.0000000000000007E-2</v>
      </c>
      <c r="AI1" s="4">
        <v>70</v>
      </c>
      <c r="AJ1" s="109"/>
    </row>
    <row r="2" spans="1:58" s="9" customFormat="1" ht="54">
      <c r="B2" s="19" t="s">
        <v>480</v>
      </c>
      <c r="C2" s="19" t="s">
        <v>13</v>
      </c>
      <c r="D2" s="19" t="s">
        <v>499</v>
      </c>
      <c r="E2" s="19" t="s">
        <v>16</v>
      </c>
      <c r="F2" s="19" t="s">
        <v>785</v>
      </c>
      <c r="G2" s="19" t="s">
        <v>786</v>
      </c>
      <c r="H2" s="19" t="s">
        <v>577</v>
      </c>
      <c r="I2" s="19" t="s">
        <v>906</v>
      </c>
      <c r="J2" s="19" t="s">
        <v>481</v>
      </c>
      <c r="K2" s="19" t="s">
        <v>17</v>
      </c>
      <c r="L2" s="3"/>
      <c r="M2" s="19" t="s">
        <v>482</v>
      </c>
      <c r="N2" s="19" t="s">
        <v>971</v>
      </c>
      <c r="O2" s="19" t="s">
        <v>21</v>
      </c>
      <c r="P2" s="19" t="s">
        <v>14</v>
      </c>
      <c r="Q2" s="19" t="s">
        <v>15</v>
      </c>
      <c r="R2" s="19" t="s">
        <v>901</v>
      </c>
      <c r="S2" s="19" t="s">
        <v>787</v>
      </c>
      <c r="T2" s="19" t="s">
        <v>788</v>
      </c>
      <c r="U2" s="19" t="s">
        <v>861</v>
      </c>
      <c r="V2" s="19" t="s">
        <v>507</v>
      </c>
      <c r="W2" s="19" t="s">
        <v>499</v>
      </c>
      <c r="X2" s="19" t="s">
        <v>907</v>
      </c>
      <c r="Y2" s="19" t="s">
        <v>483</v>
      </c>
      <c r="Z2" s="19" t="s">
        <v>484</v>
      </c>
      <c r="AA2" s="19" t="s">
        <v>485</v>
      </c>
      <c r="AB2" s="16"/>
      <c r="AC2" s="19" t="s">
        <v>509</v>
      </c>
      <c r="AD2" s="19" t="s">
        <v>486</v>
      </c>
      <c r="AE2" s="19" t="s">
        <v>487</v>
      </c>
      <c r="AF2" s="19" t="s">
        <v>500</v>
      </c>
      <c r="AG2" s="19" t="s">
        <v>488</v>
      </c>
      <c r="AH2" s="19" t="s">
        <v>602</v>
      </c>
      <c r="AI2" s="19" t="s">
        <v>489</v>
      </c>
      <c r="AJ2" s="19" t="s">
        <v>525</v>
      </c>
      <c r="AK2" s="19" t="s">
        <v>604</v>
      </c>
      <c r="AL2" s="19" t="s">
        <v>605</v>
      </c>
      <c r="AM2" s="19" t="s">
        <v>490</v>
      </c>
      <c r="AN2" s="19" t="s">
        <v>517</v>
      </c>
      <c r="AO2" s="19" t="s">
        <v>516</v>
      </c>
      <c r="AP2" s="19" t="s">
        <v>491</v>
      </c>
      <c r="AQ2" s="99" t="s">
        <v>908</v>
      </c>
      <c r="AR2" s="99" t="s">
        <v>909</v>
      </c>
      <c r="AS2" s="19" t="s">
        <v>492</v>
      </c>
      <c r="AT2" s="19" t="s">
        <v>493</v>
      </c>
      <c r="AU2" s="19" t="s">
        <v>47</v>
      </c>
    </row>
    <row r="3" spans="1:58" s="5" customFormat="1" ht="18">
      <c r="B3" s="16"/>
      <c r="C3" s="16"/>
      <c r="D3" s="16"/>
      <c r="E3" s="16" t="s">
        <v>19</v>
      </c>
      <c r="F3" s="16" t="s">
        <v>32</v>
      </c>
      <c r="G3" s="16" t="s">
        <v>19</v>
      </c>
      <c r="H3" s="16" t="s">
        <v>32</v>
      </c>
      <c r="I3" s="16" t="s">
        <v>20</v>
      </c>
      <c r="J3" s="16"/>
      <c r="K3" s="16"/>
      <c r="L3" s="135"/>
      <c r="M3" s="16"/>
      <c r="N3" s="16"/>
      <c r="O3" s="16"/>
      <c r="P3" s="16" t="s">
        <v>567</v>
      </c>
      <c r="Q3" s="16" t="s">
        <v>567</v>
      </c>
      <c r="R3" s="16"/>
      <c r="S3" s="16"/>
      <c r="T3" s="16"/>
      <c r="U3" s="16"/>
      <c r="V3" s="16" t="s">
        <v>73</v>
      </c>
      <c r="W3" s="16"/>
      <c r="X3" s="16"/>
      <c r="Y3" s="16" t="s">
        <v>19</v>
      </c>
      <c r="Z3" s="16" t="s">
        <v>19</v>
      </c>
      <c r="AA3" s="16" t="s">
        <v>20</v>
      </c>
      <c r="AB3" s="16"/>
      <c r="AC3" s="16" t="s">
        <v>494</v>
      </c>
      <c r="AD3" s="16" t="s">
        <v>495</v>
      </c>
      <c r="AE3" s="16" t="s">
        <v>495</v>
      </c>
      <c r="AF3" s="16" t="s">
        <v>495</v>
      </c>
      <c r="AG3" s="16" t="s">
        <v>495</v>
      </c>
      <c r="AH3" s="16" t="s">
        <v>495</v>
      </c>
      <c r="AI3" s="16" t="s">
        <v>496</v>
      </c>
      <c r="AJ3" s="16" t="s">
        <v>583</v>
      </c>
      <c r="AK3" s="16" t="s">
        <v>339</v>
      </c>
      <c r="AL3" s="16" t="s">
        <v>339</v>
      </c>
      <c r="AM3" s="16" t="s">
        <v>603</v>
      </c>
      <c r="AN3" s="16" t="s">
        <v>23</v>
      </c>
      <c r="AO3" s="16" t="s">
        <v>23</v>
      </c>
      <c r="AP3" s="16" t="s">
        <v>23</v>
      </c>
      <c r="AQ3" s="16" t="s">
        <v>583</v>
      </c>
      <c r="AR3" s="16" t="s">
        <v>23</v>
      </c>
      <c r="AS3" s="16" t="s">
        <v>497</v>
      </c>
      <c r="AT3" s="16" t="s">
        <v>497</v>
      </c>
      <c r="AU3" s="16"/>
    </row>
    <row r="4" spans="1:58" s="14" customFormat="1" ht="18">
      <c r="B4" s="110" t="s">
        <v>389</v>
      </c>
      <c r="C4" s="110" t="s">
        <v>101</v>
      </c>
      <c r="D4" s="107" t="s">
        <v>333</v>
      </c>
      <c r="E4" s="125">
        <v>613.4</v>
      </c>
      <c r="F4" s="227">
        <v>1</v>
      </c>
      <c r="G4" s="125">
        <v>613.4</v>
      </c>
      <c r="H4" s="2">
        <f t="shared" ref="H4:H5" si="0">I4*1000/(E4*24*365)</f>
        <v>0.49298542594387457</v>
      </c>
      <c r="I4" s="120">
        <v>2649</v>
      </c>
      <c r="J4" s="57">
        <v>7</v>
      </c>
      <c r="K4" s="79">
        <v>1967</v>
      </c>
      <c r="L4" s="105"/>
      <c r="M4" s="110" t="s">
        <v>521</v>
      </c>
      <c r="N4" s="37" t="s">
        <v>600</v>
      </c>
      <c r="O4" s="110" t="s">
        <v>389</v>
      </c>
      <c r="P4" s="110"/>
      <c r="Q4" s="110"/>
      <c r="R4" s="37" t="s">
        <v>599</v>
      </c>
      <c r="S4" s="165" t="s">
        <v>677</v>
      </c>
      <c r="T4" s="37" t="s">
        <v>840</v>
      </c>
      <c r="U4" s="57">
        <v>230</v>
      </c>
      <c r="V4" s="84">
        <v>25</v>
      </c>
      <c r="W4" s="107" t="s">
        <v>333</v>
      </c>
      <c r="X4" s="37" t="s">
        <v>580</v>
      </c>
      <c r="Y4" s="121">
        <v>154</v>
      </c>
      <c r="Z4" s="121">
        <v>154</v>
      </c>
      <c r="AA4" s="121">
        <v>0</v>
      </c>
      <c r="AB4" s="121"/>
      <c r="AC4" s="121"/>
      <c r="AD4" s="121"/>
      <c r="AE4" s="121"/>
      <c r="AF4" s="125">
        <v>393.7</v>
      </c>
      <c r="AG4" s="121">
        <f>(0.9539*AF4^0.6784)/5</f>
        <v>10.992413627333049</v>
      </c>
      <c r="AH4" s="121">
        <f t="shared" ref="AH4:AH5" si="1">SUM(AF4:AG4)</f>
        <v>404.69241362733305</v>
      </c>
      <c r="AI4" s="121">
        <f>(AH4*AH$1)/(1-(1+AH$1)^-AI$1)</f>
        <v>28.579186905421217</v>
      </c>
      <c r="AJ4" s="121">
        <f>AI4*1000/Y4</f>
        <v>185.57913574948844</v>
      </c>
      <c r="AK4" s="118">
        <f>466484*(E4^-0.542)*E4</f>
        <v>8823144.6611798164</v>
      </c>
      <c r="AL4" s="118">
        <f>466484*((E4+Y4)^-0.542)*(E4+Y4)</f>
        <v>9776349.8478745464</v>
      </c>
      <c r="AM4" s="118">
        <f>(AL4-AK4)/Y4</f>
        <v>6189.644069446299</v>
      </c>
      <c r="AN4" s="125">
        <v>5.7</v>
      </c>
      <c r="AO4" s="191">
        <v>3.24</v>
      </c>
      <c r="AP4" s="121">
        <f>SUM(AN4:AO4)</f>
        <v>8.9400000000000013</v>
      </c>
      <c r="AQ4" s="121"/>
      <c r="AR4" s="121"/>
      <c r="AS4" s="84">
        <v>4</v>
      </c>
      <c r="AT4" s="84">
        <v>6</v>
      </c>
      <c r="AU4" s="17"/>
    </row>
    <row r="5" spans="1:58" s="14" customFormat="1" ht="18">
      <c r="B5" s="110" t="s">
        <v>158</v>
      </c>
      <c r="C5" s="110" t="s">
        <v>101</v>
      </c>
      <c r="D5" s="107" t="s">
        <v>533</v>
      </c>
      <c r="E5" s="125">
        <v>137</v>
      </c>
      <c r="F5" s="227">
        <v>0.78</v>
      </c>
      <c r="G5" s="125">
        <v>134</v>
      </c>
      <c r="H5" s="2">
        <f t="shared" si="0"/>
        <v>0.31246875312468753</v>
      </c>
      <c r="I5" s="120">
        <v>375</v>
      </c>
      <c r="J5" s="57">
        <v>2</v>
      </c>
      <c r="K5" s="79">
        <v>1985</v>
      </c>
      <c r="L5" s="105"/>
      <c r="M5" s="110" t="s">
        <v>522</v>
      </c>
      <c r="N5" s="37" t="s">
        <v>601</v>
      </c>
      <c r="O5" s="110" t="s">
        <v>105</v>
      </c>
      <c r="P5" s="110"/>
      <c r="Q5" s="110"/>
      <c r="R5" s="37" t="s">
        <v>599</v>
      </c>
      <c r="S5" s="165" t="s">
        <v>731</v>
      </c>
      <c r="T5" s="37" t="s">
        <v>847</v>
      </c>
      <c r="U5" s="57">
        <v>230</v>
      </c>
      <c r="V5" s="84">
        <v>150</v>
      </c>
      <c r="W5" s="107" t="s">
        <v>533</v>
      </c>
      <c r="X5" s="37" t="s">
        <v>579</v>
      </c>
      <c r="Y5" s="125">
        <v>68.2</v>
      </c>
      <c r="Z5" s="125">
        <v>68.2</v>
      </c>
      <c r="AA5" s="125">
        <v>25</v>
      </c>
      <c r="AB5" s="121"/>
      <c r="AC5" s="125">
        <v>667</v>
      </c>
      <c r="AD5" s="121">
        <f>AD$1*AC5</f>
        <v>11.805900000000001</v>
      </c>
      <c r="AE5" s="121">
        <f>((AC5+AD5)/AS5)*(AE$1+AE$1^2+AE$1^3)-(AC5+AD5)</f>
        <v>-117.07280506562495</v>
      </c>
      <c r="AF5" s="121">
        <f t="shared" ref="AF5" si="2">SUM(AC5:AE5)</f>
        <v>561.733094934375</v>
      </c>
      <c r="AG5" s="121">
        <f>(0.9539*AF5^0.6784)/5</f>
        <v>13.989880480247376</v>
      </c>
      <c r="AH5" s="121">
        <f t="shared" si="1"/>
        <v>575.7229754146224</v>
      </c>
      <c r="AI5" s="121">
        <f>(AH5*AH$1)/(1-(1+AH$1)^-AI$1)</f>
        <v>40.657284312898796</v>
      </c>
      <c r="AJ5" s="121">
        <f>AI5*1000/Y5</f>
        <v>596.14786382549551</v>
      </c>
      <c r="AK5" s="118">
        <f>466484*(E5^-0.542)*E5</f>
        <v>4440734.1273887511</v>
      </c>
      <c r="AL5" s="118">
        <f>466484*((E5+Y5)^-0.542)*(E5+Y5)</f>
        <v>5343354.4218552448</v>
      </c>
      <c r="AM5" s="118">
        <f>(AL5-AK5)/Y5</f>
        <v>13234.901678394335</v>
      </c>
      <c r="AN5" s="125">
        <v>5.7</v>
      </c>
      <c r="AO5" s="191">
        <v>3.24</v>
      </c>
      <c r="AP5" s="121">
        <f t="shared" ref="AP5" si="3">SUM(AN5:AO5)</f>
        <v>8.9400000000000013</v>
      </c>
      <c r="AQ5" s="121"/>
      <c r="AR5" s="121"/>
      <c r="AS5" s="84">
        <v>4</v>
      </c>
      <c r="AT5" s="84">
        <v>6</v>
      </c>
      <c r="AU5" s="64" t="s">
        <v>523</v>
      </c>
    </row>
    <row r="6" spans="1:58" s="15" customFormat="1" ht="18">
      <c r="B6" s="17"/>
      <c r="C6" s="17"/>
      <c r="D6" s="37"/>
      <c r="E6" s="118"/>
      <c r="F6" s="118"/>
      <c r="G6" s="118"/>
      <c r="H6" s="118"/>
      <c r="I6" s="118"/>
      <c r="J6" s="55"/>
      <c r="K6" s="37"/>
      <c r="L6" s="25"/>
      <c r="M6" s="17"/>
      <c r="N6" s="17"/>
      <c r="O6" s="17"/>
      <c r="P6" s="17"/>
      <c r="Q6" s="17"/>
      <c r="R6" s="17"/>
      <c r="S6" s="17"/>
      <c r="T6" s="17"/>
      <c r="U6" s="118"/>
      <c r="V6" s="17"/>
      <c r="W6" s="17"/>
      <c r="X6" s="17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21"/>
      <c r="AJ6" s="121"/>
      <c r="AK6" s="118"/>
      <c r="AL6" s="118"/>
      <c r="AM6" s="118"/>
      <c r="AN6" s="121"/>
      <c r="AO6" s="121"/>
      <c r="AP6" s="121"/>
      <c r="AQ6" s="121"/>
      <c r="AR6" s="121"/>
      <c r="AS6" s="66"/>
      <c r="AT6" s="66"/>
      <c r="AU6" s="17"/>
    </row>
    <row r="7" spans="1:58" s="15" customFormat="1" ht="18">
      <c r="B7" s="17"/>
      <c r="C7" s="17"/>
      <c r="D7" s="37"/>
      <c r="E7" s="118"/>
      <c r="F7" s="118"/>
      <c r="G7" s="118"/>
      <c r="H7" s="118"/>
      <c r="I7" s="118"/>
      <c r="J7" s="55"/>
      <c r="K7" s="37"/>
      <c r="L7" s="25"/>
      <c r="M7" s="17"/>
      <c r="N7" s="17"/>
      <c r="O7" s="17"/>
      <c r="P7" s="17"/>
      <c r="Q7" s="17"/>
      <c r="R7" s="17"/>
      <c r="S7" s="17"/>
      <c r="T7" s="17"/>
      <c r="U7" s="118"/>
      <c r="V7" s="17"/>
      <c r="W7" s="17"/>
      <c r="X7" s="17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21"/>
      <c r="AJ7" s="121"/>
      <c r="AK7" s="118"/>
      <c r="AL7" s="118"/>
      <c r="AM7" s="118"/>
      <c r="AN7" s="121"/>
      <c r="AO7" s="121"/>
      <c r="AP7" s="121"/>
      <c r="AQ7" s="121"/>
      <c r="AR7" s="121"/>
      <c r="AS7" s="66"/>
      <c r="AT7" s="66"/>
      <c r="AU7" s="17"/>
    </row>
    <row r="8" spans="1:58" s="4" customFormat="1" ht="18">
      <c r="B8" s="8"/>
      <c r="C8" s="8"/>
      <c r="D8" s="137"/>
      <c r="E8" s="35"/>
      <c r="F8" s="35"/>
      <c r="G8" s="35"/>
      <c r="H8" s="35"/>
      <c r="K8" s="34"/>
      <c r="L8" s="15"/>
      <c r="O8" s="8"/>
      <c r="P8" s="8"/>
      <c r="Q8" s="8"/>
      <c r="S8" s="8"/>
      <c r="V8" s="8"/>
      <c r="W8" s="8"/>
      <c r="X8" s="8"/>
      <c r="AI8" s="114"/>
      <c r="AJ8" s="114"/>
      <c r="AK8" s="114"/>
      <c r="AL8" s="114"/>
      <c r="AM8" s="114"/>
      <c r="AN8" s="114"/>
      <c r="AO8" s="114"/>
      <c r="AP8" s="114"/>
      <c r="AQ8" s="114"/>
      <c r="AR8" s="114"/>
    </row>
    <row r="9" spans="1:58" ht="18">
      <c r="A9" s="148" t="s">
        <v>585</v>
      </c>
    </row>
    <row r="10" spans="1:58" ht="18">
      <c r="A10" s="4" t="s">
        <v>593</v>
      </c>
    </row>
    <row r="11" spans="1:58" ht="18">
      <c r="A11" s="4" t="s">
        <v>594</v>
      </c>
    </row>
    <row r="12" spans="1:58" s="4" customFormat="1" ht="18">
      <c r="A12" s="4" t="s">
        <v>595</v>
      </c>
      <c r="B12" s="12"/>
      <c r="C12" s="12"/>
      <c r="D12" s="12"/>
      <c r="E12" s="12"/>
      <c r="F12" s="12"/>
      <c r="G12" s="12"/>
      <c r="H12" s="12"/>
      <c r="I12" s="12"/>
      <c r="J12" s="12"/>
      <c r="K12" s="33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19"/>
      <c r="AB12" s="119"/>
      <c r="AC12" s="119"/>
      <c r="AD12" s="119"/>
      <c r="AE12" s="119"/>
      <c r="AF12" s="119"/>
      <c r="AG12" s="119"/>
      <c r="AH12" s="119"/>
      <c r="AI12" s="114"/>
      <c r="AJ12" s="114"/>
      <c r="AN12" s="114"/>
      <c r="AO12" s="114"/>
      <c r="AP12" s="114"/>
      <c r="AQ12" s="114"/>
      <c r="AR12" s="114"/>
      <c r="AS12" s="119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</row>
    <row r="13" spans="1:58" s="4" customFormat="1" ht="18">
      <c r="A13" s="4" t="s">
        <v>508</v>
      </c>
      <c r="B13" s="114"/>
      <c r="C13" s="114"/>
      <c r="D13" s="7"/>
      <c r="E13" s="7"/>
      <c r="F13" s="7"/>
      <c r="G13" s="12"/>
      <c r="H13" s="12"/>
      <c r="N13" s="114"/>
      <c r="R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K13" s="114"/>
      <c r="AL13" s="114"/>
      <c r="AM13" s="114"/>
    </row>
    <row r="14" spans="1:58" s="4" customFormat="1" ht="18">
      <c r="A14" s="4" t="s">
        <v>519</v>
      </c>
      <c r="B14" s="114"/>
      <c r="C14" s="114"/>
      <c r="D14" s="7"/>
      <c r="E14" s="12"/>
      <c r="F14" s="12"/>
      <c r="M14" s="114"/>
      <c r="N14" s="114"/>
      <c r="R14" s="114"/>
      <c r="V14" s="114"/>
      <c r="W14" s="114"/>
      <c r="X14" s="114"/>
      <c r="Y14" s="114"/>
      <c r="Z14" s="114"/>
      <c r="AA14" s="114"/>
      <c r="AB14" s="114"/>
      <c r="AC14" s="114"/>
      <c r="AI14" s="114"/>
      <c r="AJ14" s="114"/>
      <c r="AN14" s="114"/>
      <c r="AO14" s="114"/>
      <c r="AP14" s="114"/>
      <c r="AQ14" s="114"/>
      <c r="AR14" s="114"/>
    </row>
    <row r="15" spans="1:58" s="4" customFormat="1" ht="18">
      <c r="A15" s="4" t="s">
        <v>520</v>
      </c>
      <c r="B15" s="114"/>
      <c r="J15" s="114"/>
      <c r="K15" s="21"/>
      <c r="L15" s="114"/>
      <c r="M15" s="114"/>
      <c r="N15" s="114"/>
      <c r="R15" s="114"/>
      <c r="V15" s="114"/>
      <c r="W15" s="114"/>
      <c r="X15" s="114"/>
      <c r="Z15" s="114"/>
      <c r="AA15" s="114"/>
    </row>
    <row r="16" spans="1:58" s="4" customFormat="1" ht="18">
      <c r="A16" s="4" t="s">
        <v>596</v>
      </c>
      <c r="B16" s="114"/>
      <c r="C16" s="114"/>
      <c r="D16" s="7"/>
      <c r="E16" s="7"/>
      <c r="F16" s="7"/>
      <c r="G16" s="12"/>
      <c r="H16" s="12"/>
      <c r="N16" s="114"/>
      <c r="R16" s="114"/>
      <c r="V16" s="114"/>
      <c r="W16" s="114"/>
      <c r="X16" s="114"/>
      <c r="Y16" s="114"/>
      <c r="Z16" s="114"/>
      <c r="AA16" s="114"/>
      <c r="AB16" s="114"/>
      <c r="AC16" s="114"/>
      <c r="AD16" s="114"/>
      <c r="AN16" s="114"/>
    </row>
    <row r="17" spans="1:72" s="4" customFormat="1" ht="18">
      <c r="A17" s="4" t="s">
        <v>597</v>
      </c>
      <c r="B17" s="114"/>
      <c r="J17" s="114"/>
      <c r="K17" s="21"/>
      <c r="L17" s="114"/>
      <c r="M17" s="114"/>
      <c r="N17" s="114"/>
      <c r="R17" s="114"/>
      <c r="V17" s="114"/>
      <c r="W17" s="114"/>
      <c r="X17" s="114"/>
      <c r="Z17" s="114"/>
      <c r="AA17" s="114"/>
    </row>
    <row r="18" spans="1:72" s="4" customFormat="1" ht="18">
      <c r="A18" s="4" t="s">
        <v>598</v>
      </c>
      <c r="B18" s="114"/>
      <c r="J18" s="114"/>
      <c r="K18" s="21"/>
      <c r="L18" s="114"/>
      <c r="M18" s="114"/>
      <c r="N18" s="114"/>
      <c r="R18" s="114"/>
      <c r="V18" s="114"/>
      <c r="W18" s="114"/>
      <c r="X18" s="114"/>
      <c r="Z18" s="114"/>
      <c r="AA18" s="114"/>
      <c r="AK18" s="160"/>
      <c r="AL18" s="160"/>
      <c r="AM18" s="114"/>
    </row>
    <row r="19" spans="1:72" s="4" customFormat="1" ht="18">
      <c r="A19" s="4" t="s">
        <v>555</v>
      </c>
      <c r="E19" s="21"/>
      <c r="F19" s="21"/>
      <c r="G19" s="7"/>
      <c r="H19" s="7"/>
      <c r="I19" s="12"/>
      <c r="L19" s="114"/>
      <c r="Y19" s="114"/>
      <c r="Z19" s="114"/>
      <c r="AA19" s="114"/>
      <c r="AB19" s="114"/>
      <c r="AC19" s="114"/>
      <c r="AI19" s="160"/>
      <c r="AJ19" s="114"/>
      <c r="AN19" s="114"/>
      <c r="AO19" s="114"/>
      <c r="AP19" s="24"/>
      <c r="AQ19" s="24"/>
      <c r="AR19" s="24"/>
      <c r="AS19" s="114"/>
      <c r="AT19" s="114"/>
      <c r="AZ19" s="160"/>
      <c r="BA19" s="114"/>
      <c r="BB19" s="114"/>
      <c r="BC19" s="114"/>
      <c r="BD19" s="114"/>
      <c r="BE19" s="24"/>
      <c r="BF19" s="114"/>
      <c r="BG19" s="114"/>
      <c r="BM19" s="160"/>
      <c r="BN19" s="114"/>
      <c r="BO19" s="114"/>
      <c r="BP19" s="114"/>
      <c r="BQ19" s="114"/>
      <c r="BR19" s="24"/>
      <c r="BS19" s="114"/>
      <c r="BT19" s="114"/>
    </row>
    <row r="20" spans="1:72" s="4" customFormat="1" ht="18">
      <c r="D20" s="7"/>
      <c r="K20" s="7"/>
      <c r="L20" s="15"/>
      <c r="AI20" s="114"/>
      <c r="AJ20" s="114"/>
      <c r="AN20" s="114"/>
      <c r="AO20" s="114"/>
      <c r="AP20" s="114"/>
      <c r="AQ20" s="114"/>
      <c r="AR20" s="114"/>
    </row>
    <row r="21" spans="1:72">
      <c r="AI21" s="102"/>
      <c r="AJ21" s="102"/>
      <c r="AN21" s="102"/>
      <c r="AO21" s="102"/>
      <c r="AP21" s="102"/>
      <c r="AQ21" s="102"/>
      <c r="AR21" s="102"/>
    </row>
    <row r="25" spans="1:72">
      <c r="AI25" s="24"/>
      <c r="AJ25" s="24"/>
    </row>
    <row r="26" spans="1:72">
      <c r="AI26" s="24"/>
      <c r="AJ26" s="24"/>
    </row>
    <row r="27" spans="1:72">
      <c r="AI27" s="24"/>
      <c r="AJ27" s="24"/>
    </row>
    <row r="28" spans="1:72">
      <c r="AI28" s="24"/>
      <c r="AJ28" s="24"/>
    </row>
    <row r="29" spans="1:72">
      <c r="AI29" s="24"/>
      <c r="AJ29" s="24"/>
    </row>
    <row r="30" spans="1:72" ht="18">
      <c r="AI30" s="7"/>
      <c r="AJ30" s="7"/>
      <c r="AN30" s="4"/>
      <c r="AO30" s="4"/>
      <c r="AP30" s="4"/>
      <c r="AQ30" s="4"/>
      <c r="AR30" s="4"/>
    </row>
    <row r="31" spans="1:72" ht="18">
      <c r="AI31" s="7"/>
      <c r="AJ31" s="7"/>
      <c r="AN31" s="4"/>
      <c r="AO31" s="4"/>
      <c r="AP31" s="4"/>
      <c r="AQ31" s="4"/>
      <c r="AR31" s="4"/>
    </row>
  </sheetData>
  <autoFilter ref="B3:AU3" xr:uid="{3DA92697-706D-7343-A89D-B511A14B569E}">
    <sortState xmlns:xlrd2="http://schemas.microsoft.com/office/spreadsheetml/2017/richdata2" ref="B4:AU7">
      <sortCondition ref="B3:B7"/>
    </sortState>
  </autoFilter>
  <pageMargins left="0.7" right="0.7" top="0.75" bottom="0.75" header="0.3" footer="0.3"/>
  <ignoredErrors>
    <ignoredError sqref="AP4:AP5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435C-3FC3-4146-B8A0-AF483C076775}">
  <sheetPr codeName="Sheet7"/>
  <dimension ref="A1:BN23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J7" sqref="J7:K7"/>
    </sheetView>
  </sheetViews>
  <sheetFormatPr defaultColWidth="10.83203125" defaultRowHeight="15.7"/>
  <cols>
    <col min="1" max="1" width="4.83203125" style="114" customWidth="1"/>
    <col min="2" max="2" width="52" style="114" customWidth="1"/>
    <col min="3" max="3" width="29.33203125" style="114" customWidth="1"/>
    <col min="4" max="4" width="32.33203125" style="114" customWidth="1"/>
    <col min="5" max="5" width="30.83203125" style="114" customWidth="1"/>
    <col min="6" max="7" width="20.83203125" style="102" customWidth="1"/>
    <col min="8" max="8" width="31.5" style="102" customWidth="1"/>
    <col min="9" max="9" width="16.6640625" style="114" customWidth="1"/>
    <col min="10" max="11" width="30" style="114" customWidth="1"/>
    <col min="12" max="12" width="13.6640625" style="114" customWidth="1"/>
    <col min="13" max="13" width="4.83203125" style="114" customWidth="1"/>
    <col min="14" max="15" width="25" style="114" customWidth="1"/>
    <col min="16" max="16" width="12.5" style="114" bestFit="1" customWidth="1"/>
    <col min="17" max="17" width="12.83203125" style="114" customWidth="1"/>
    <col min="18" max="18" width="19" style="114" customWidth="1"/>
    <col min="19" max="19" width="19" style="102" customWidth="1"/>
    <col min="20" max="20" width="14.1640625" style="114" customWidth="1"/>
    <col min="21" max="21" width="4.83203125" style="114" customWidth="1"/>
    <col min="22" max="31" width="21.1640625" style="114" customWidth="1"/>
    <col min="32" max="34" width="16.6640625" style="114" customWidth="1"/>
    <col min="35" max="35" width="15.1640625" style="114" customWidth="1"/>
    <col min="36" max="37" width="16.83203125" style="114" customWidth="1"/>
    <col min="38" max="38" width="101.33203125" style="114" customWidth="1"/>
    <col min="39" max="39" width="15.1640625" style="114" customWidth="1"/>
    <col min="40" max="41" width="7.5" style="114" bestFit="1" customWidth="1"/>
    <col min="42" max="42" width="43.1640625" style="114" customWidth="1"/>
    <col min="43" max="16384" width="10.83203125" style="114"/>
  </cols>
  <sheetData>
    <row r="1" spans="1:52" s="4" customFormat="1" ht="20.7">
      <c r="A1" s="132" t="s">
        <v>97</v>
      </c>
      <c r="B1" s="133" t="s">
        <v>498</v>
      </c>
      <c r="C1" s="133"/>
      <c r="F1" s="109"/>
      <c r="G1" s="109"/>
      <c r="H1" s="109"/>
      <c r="M1" s="21"/>
      <c r="N1" s="56" t="s">
        <v>40</v>
      </c>
      <c r="O1" s="56"/>
      <c r="P1" s="22"/>
      <c r="Q1" s="22"/>
      <c r="S1" s="109"/>
      <c r="V1" s="56" t="s">
        <v>479</v>
      </c>
      <c r="Y1" s="134">
        <v>1.77E-2</v>
      </c>
      <c r="Z1" s="118">
        <v>1.05</v>
      </c>
      <c r="AA1" s="118"/>
      <c r="AB1" s="134"/>
      <c r="AC1" s="134">
        <v>7.0000000000000007E-2</v>
      </c>
      <c r="AD1" s="4">
        <v>70</v>
      </c>
      <c r="AE1" s="109"/>
    </row>
    <row r="2" spans="1:52" s="9" customFormat="1" ht="36">
      <c r="B2" s="19" t="s">
        <v>18</v>
      </c>
      <c r="C2" s="19" t="s">
        <v>911</v>
      </c>
      <c r="D2" s="19" t="s">
        <v>13</v>
      </c>
      <c r="E2" s="19" t="s">
        <v>918</v>
      </c>
      <c r="F2" s="19" t="s">
        <v>14</v>
      </c>
      <c r="G2" s="19" t="s">
        <v>15</v>
      </c>
      <c r="H2" s="19" t="s">
        <v>901</v>
      </c>
      <c r="I2" s="19" t="s">
        <v>507</v>
      </c>
      <c r="J2" s="19" t="s">
        <v>787</v>
      </c>
      <c r="K2" s="19" t="s">
        <v>788</v>
      </c>
      <c r="L2" s="19" t="s">
        <v>861</v>
      </c>
      <c r="M2" s="3"/>
      <c r="N2" s="19" t="s">
        <v>499</v>
      </c>
      <c r="O2" s="19" t="s">
        <v>907</v>
      </c>
      <c r="P2" s="19" t="s">
        <v>16</v>
      </c>
      <c r="Q2" s="19" t="s">
        <v>786</v>
      </c>
      <c r="R2" s="19" t="s">
        <v>910</v>
      </c>
      <c r="S2" s="19" t="s">
        <v>577</v>
      </c>
      <c r="T2" s="19" t="s">
        <v>44</v>
      </c>
      <c r="U2" s="16"/>
      <c r="V2" s="19" t="s">
        <v>509</v>
      </c>
      <c r="W2" s="19" t="s">
        <v>509</v>
      </c>
      <c r="X2" s="19" t="s">
        <v>509</v>
      </c>
      <c r="Y2" s="19" t="s">
        <v>486</v>
      </c>
      <c r="Z2" s="19" t="s">
        <v>487</v>
      </c>
      <c r="AA2" s="19" t="s">
        <v>500</v>
      </c>
      <c r="AB2" s="19" t="s">
        <v>488</v>
      </c>
      <c r="AC2" s="19" t="s">
        <v>602</v>
      </c>
      <c r="AD2" s="19" t="s">
        <v>489</v>
      </c>
      <c r="AE2" s="19" t="s">
        <v>525</v>
      </c>
      <c r="AF2" s="19" t="s">
        <v>490</v>
      </c>
      <c r="AG2" s="19" t="s">
        <v>914</v>
      </c>
      <c r="AH2" s="19" t="s">
        <v>516</v>
      </c>
      <c r="AI2" s="19" t="s">
        <v>491</v>
      </c>
      <c r="AJ2" s="19" t="s">
        <v>492</v>
      </c>
      <c r="AK2" s="19" t="s">
        <v>493</v>
      </c>
      <c r="AL2" s="19" t="s">
        <v>47</v>
      </c>
    </row>
    <row r="3" spans="1:52" s="5" customFormat="1" ht="18">
      <c r="B3" s="16"/>
      <c r="C3" s="16"/>
      <c r="D3" s="16"/>
      <c r="E3" s="16"/>
      <c r="F3" s="114"/>
      <c r="G3" s="114"/>
      <c r="H3" s="114"/>
      <c r="I3" s="16"/>
      <c r="J3" s="16"/>
      <c r="K3" s="16"/>
      <c r="L3" s="16" t="s">
        <v>71</v>
      </c>
      <c r="M3" s="25"/>
      <c r="N3" s="16"/>
      <c r="O3" s="16"/>
      <c r="P3" s="16" t="s">
        <v>19</v>
      </c>
      <c r="Q3" s="16" t="s">
        <v>19</v>
      </c>
      <c r="R3" s="16" t="s">
        <v>20</v>
      </c>
      <c r="S3" s="16" t="s">
        <v>32</v>
      </c>
      <c r="T3" s="16"/>
      <c r="U3" s="16"/>
      <c r="V3" s="16" t="s">
        <v>510</v>
      </c>
      <c r="W3" s="16" t="s">
        <v>501</v>
      </c>
      <c r="X3" s="16" t="s">
        <v>494</v>
      </c>
      <c r="Y3" s="16" t="s">
        <v>494</v>
      </c>
      <c r="Z3" s="16" t="s">
        <v>494</v>
      </c>
      <c r="AA3" s="16" t="s">
        <v>494</v>
      </c>
      <c r="AB3" s="16" t="s">
        <v>494</v>
      </c>
      <c r="AC3" s="16" t="s">
        <v>494</v>
      </c>
      <c r="AD3" s="16" t="s">
        <v>496</v>
      </c>
      <c r="AE3" s="16" t="s">
        <v>526</v>
      </c>
      <c r="AF3" s="16" t="s">
        <v>603</v>
      </c>
      <c r="AG3" s="16" t="s">
        <v>23</v>
      </c>
      <c r="AH3" s="16" t="s">
        <v>23</v>
      </c>
      <c r="AI3" s="16" t="s">
        <v>23</v>
      </c>
      <c r="AJ3" s="16" t="s">
        <v>497</v>
      </c>
      <c r="AK3" s="16" t="s">
        <v>497</v>
      </c>
      <c r="AL3" s="16"/>
    </row>
    <row r="4" spans="1:52" s="138" customFormat="1" ht="18">
      <c r="B4" s="110" t="s">
        <v>515</v>
      </c>
      <c r="C4" s="110" t="s">
        <v>607</v>
      </c>
      <c r="D4" s="110" t="s">
        <v>101</v>
      </c>
      <c r="E4" s="144" t="s">
        <v>128</v>
      </c>
      <c r="F4" s="101">
        <v>48.939069000000003</v>
      </c>
      <c r="G4" s="101">
        <v>-55.975917000000003</v>
      </c>
      <c r="H4" s="37" t="s">
        <v>599</v>
      </c>
      <c r="I4" s="84">
        <v>25</v>
      </c>
      <c r="J4" s="165" t="s">
        <v>678</v>
      </c>
      <c r="K4" s="37" t="s">
        <v>842</v>
      </c>
      <c r="L4" s="107">
        <v>69</v>
      </c>
      <c r="M4" s="105"/>
      <c r="N4" s="107" t="s">
        <v>579</v>
      </c>
      <c r="O4" s="37" t="s">
        <v>579</v>
      </c>
      <c r="P4" s="125">
        <v>24</v>
      </c>
      <c r="Q4" s="125">
        <v>24</v>
      </c>
      <c r="R4" s="125">
        <v>154</v>
      </c>
      <c r="S4" s="2">
        <f t="shared" ref="S4:S9" si="0">R4*1000/(Q4*24*365)</f>
        <v>0.73249619482496198</v>
      </c>
      <c r="T4" s="108">
        <v>3</v>
      </c>
      <c r="U4" s="121"/>
      <c r="V4" s="121"/>
      <c r="W4" s="118"/>
      <c r="X4" s="125">
        <v>227.6</v>
      </c>
      <c r="Y4" s="121">
        <f t="shared" ref="Y4:Y9" si="1">Y$1*X4</f>
        <v>4.0285200000000003</v>
      </c>
      <c r="Z4" s="121">
        <f>((X4+Y4)/AJ4)*(Z$1+Z$1^2+Z$1^3)-(X4+Y4)</f>
        <v>23.944598254999988</v>
      </c>
      <c r="AA4" s="121">
        <f t="shared" ref="AA4:AA9" si="2">SUM(X4:Z4)</f>
        <v>255.57311825499997</v>
      </c>
      <c r="AB4" s="121">
        <f t="shared" ref="AB4:AB9" si="3">0.9539*AA4^0.6784</f>
        <v>40.997855590162374</v>
      </c>
      <c r="AC4" s="121">
        <f t="shared" ref="AC4:AC9" si="4">SUM(AA4:AB4)</f>
        <v>296.57097384516237</v>
      </c>
      <c r="AD4" s="121">
        <f t="shared" ref="AD4:AD9" si="5">(AC4*AC$1)/(1-(1+AC$1)^-AD$1)</f>
        <v>20.943701949522357</v>
      </c>
      <c r="AE4" s="121">
        <f t="shared" ref="AE4:AE9" si="6">AD4/P4</f>
        <v>0.87265424789676482</v>
      </c>
      <c r="AF4" s="118">
        <f t="shared" ref="AF4:AF9" si="7">466484*P4^-0.542</f>
        <v>83322.493746118373</v>
      </c>
      <c r="AG4" s="125">
        <v>5.7</v>
      </c>
      <c r="AH4" s="191">
        <v>3.24</v>
      </c>
      <c r="AI4" s="121">
        <f>SUM(AG4:AH4)</f>
        <v>8.9400000000000013</v>
      </c>
      <c r="AJ4" s="107">
        <v>3</v>
      </c>
      <c r="AK4" s="107">
        <v>5</v>
      </c>
      <c r="AL4" s="64"/>
    </row>
    <row r="5" spans="1:52" s="138" customFormat="1" ht="36">
      <c r="B5" s="72" t="s">
        <v>504</v>
      </c>
      <c r="C5" s="72" t="s">
        <v>608</v>
      </c>
      <c r="D5" s="72" t="s">
        <v>101</v>
      </c>
      <c r="E5" s="72" t="s">
        <v>125</v>
      </c>
      <c r="F5" s="101">
        <v>52.974297999999997</v>
      </c>
      <c r="G5" s="101">
        <v>-61.448407000000003</v>
      </c>
      <c r="H5" s="37" t="s">
        <v>606</v>
      </c>
      <c r="I5" s="84">
        <v>1500</v>
      </c>
      <c r="J5" s="130" t="s">
        <v>618</v>
      </c>
      <c r="K5" s="37" t="s">
        <v>846</v>
      </c>
      <c r="L5" s="71">
        <v>735</v>
      </c>
      <c r="M5" s="25"/>
      <c r="N5" s="71" t="s">
        <v>580</v>
      </c>
      <c r="O5" s="37" t="s">
        <v>580</v>
      </c>
      <c r="P5" s="116">
        <v>2250</v>
      </c>
      <c r="Q5" s="116">
        <v>2250</v>
      </c>
      <c r="R5" s="116">
        <v>11900</v>
      </c>
      <c r="S5" s="2">
        <f t="shared" si="0"/>
        <v>0.60375443937087769</v>
      </c>
      <c r="T5" s="136">
        <v>5</v>
      </c>
      <c r="U5" s="118"/>
      <c r="V5" s="121"/>
      <c r="W5" s="116">
        <v>4300</v>
      </c>
      <c r="X5" s="118">
        <f>(133.4/114.1)*W5</f>
        <v>5027.3444347063987</v>
      </c>
      <c r="Y5" s="121">
        <f t="shared" si="1"/>
        <v>88.983996494303256</v>
      </c>
      <c r="Z5" s="121">
        <f>((X5+Y5)/AJ5)*(Z$1+Z$1^2+Z$1^3+Z$1^4+Z$1^5+Z$1^6+Z$1^7+Z$1^8+Z$1^9)-(X5+Y5)</f>
        <v>1465.4827635787278</v>
      </c>
      <c r="AA5" s="121">
        <f t="shared" si="2"/>
        <v>6581.8111947794296</v>
      </c>
      <c r="AB5" s="121">
        <f t="shared" si="3"/>
        <v>371.42264784006886</v>
      </c>
      <c r="AC5" s="121">
        <f t="shared" si="4"/>
        <v>6953.2338426194983</v>
      </c>
      <c r="AD5" s="121">
        <f t="shared" si="5"/>
        <v>491.03408636741824</v>
      </c>
      <c r="AE5" s="121">
        <f t="shared" si="6"/>
        <v>0.21823737171885255</v>
      </c>
      <c r="AF5" s="118">
        <f t="shared" si="7"/>
        <v>7111.3790437292728</v>
      </c>
      <c r="AG5" s="118">
        <f>14.07*(P5^-0.383)</f>
        <v>0.73182660350819662</v>
      </c>
      <c r="AH5" s="191">
        <v>3.24</v>
      </c>
      <c r="AI5" s="121">
        <v>4.24</v>
      </c>
      <c r="AJ5" s="71">
        <v>9</v>
      </c>
      <c r="AK5" s="71">
        <v>17</v>
      </c>
      <c r="AL5" s="17" t="s">
        <v>524</v>
      </c>
    </row>
    <row r="6" spans="1:52" s="5" customFormat="1" ht="18">
      <c r="B6" s="110" t="s">
        <v>502</v>
      </c>
      <c r="C6" s="110" t="s">
        <v>609</v>
      </c>
      <c r="D6" s="110" t="s">
        <v>101</v>
      </c>
      <c r="E6" s="110" t="s">
        <v>107</v>
      </c>
      <c r="F6" s="101">
        <v>48.379823999999999</v>
      </c>
      <c r="G6" s="101">
        <v>-56.378762000000002</v>
      </c>
      <c r="H6" s="37" t="s">
        <v>599</v>
      </c>
      <c r="I6" s="84">
        <v>25</v>
      </c>
      <c r="J6" s="130" t="s">
        <v>854</v>
      </c>
      <c r="K6" s="37" t="s">
        <v>848</v>
      </c>
      <c r="L6" s="107">
        <v>230</v>
      </c>
      <c r="M6" s="105"/>
      <c r="N6" s="107" t="s">
        <v>581</v>
      </c>
      <c r="O6" s="37" t="s">
        <v>581</v>
      </c>
      <c r="P6" s="125">
        <v>36</v>
      </c>
      <c r="Q6" s="125">
        <v>36</v>
      </c>
      <c r="R6" s="125">
        <v>186</v>
      </c>
      <c r="S6" s="2">
        <f t="shared" si="0"/>
        <v>0.58980213089802136</v>
      </c>
      <c r="T6" s="108">
        <v>1</v>
      </c>
      <c r="U6" s="121"/>
      <c r="V6" s="121"/>
      <c r="W6" s="118"/>
      <c r="X6" s="125">
        <v>377.9</v>
      </c>
      <c r="Y6" s="121">
        <f t="shared" si="1"/>
        <v>6.6888299999999994</v>
      </c>
      <c r="Z6" s="121">
        <f>((X6+Y6)/AJ6)*(Z$1+Z$1^2+Z$1^3)-(X6+Y6)</f>
        <v>39.75687030124999</v>
      </c>
      <c r="AA6" s="121">
        <f t="shared" si="2"/>
        <v>424.34570030124996</v>
      </c>
      <c r="AB6" s="121">
        <f t="shared" si="3"/>
        <v>57.829303970673152</v>
      </c>
      <c r="AC6" s="121">
        <f t="shared" si="4"/>
        <v>482.17500427192311</v>
      </c>
      <c r="AD6" s="121">
        <f t="shared" si="5"/>
        <v>34.050970821754113</v>
      </c>
      <c r="AE6" s="121">
        <f t="shared" si="6"/>
        <v>0.94586030060428095</v>
      </c>
      <c r="AF6" s="118">
        <f t="shared" si="7"/>
        <v>66883.778045280342</v>
      </c>
      <c r="AG6" s="125">
        <v>5.7</v>
      </c>
      <c r="AH6" s="191">
        <v>3.24</v>
      </c>
      <c r="AI6" s="121">
        <f>SUM(AG6:AH6)</f>
        <v>8.9400000000000013</v>
      </c>
      <c r="AJ6" s="107">
        <v>3</v>
      </c>
      <c r="AK6" s="107">
        <v>5</v>
      </c>
      <c r="AL6" s="64"/>
    </row>
    <row r="7" spans="1:52" s="5" customFormat="1" ht="18">
      <c r="B7" s="110" t="s">
        <v>503</v>
      </c>
      <c r="C7" s="110" t="s">
        <v>610</v>
      </c>
      <c r="D7" s="110" t="s">
        <v>101</v>
      </c>
      <c r="E7" s="110" t="s">
        <v>506</v>
      </c>
      <c r="F7" s="101">
        <v>50.163105999999999</v>
      </c>
      <c r="G7" s="101">
        <v>-57.619545000000002</v>
      </c>
      <c r="H7" s="37" t="s">
        <v>599</v>
      </c>
      <c r="I7" s="84">
        <v>50</v>
      </c>
      <c r="J7" s="165" t="s">
        <v>702</v>
      </c>
      <c r="K7" s="37" t="s">
        <v>841</v>
      </c>
      <c r="L7" s="107">
        <v>69</v>
      </c>
      <c r="M7" s="105"/>
      <c r="N7" s="107" t="s">
        <v>581</v>
      </c>
      <c r="O7" s="37" t="s">
        <v>581</v>
      </c>
      <c r="P7" s="125">
        <v>23</v>
      </c>
      <c r="Q7" s="125">
        <v>23</v>
      </c>
      <c r="R7" s="125">
        <v>142</v>
      </c>
      <c r="S7" s="2">
        <f t="shared" si="0"/>
        <v>0.70478459400436766</v>
      </c>
      <c r="T7" s="108">
        <v>2</v>
      </c>
      <c r="U7" s="121"/>
      <c r="V7" s="121"/>
      <c r="W7" s="118"/>
      <c r="X7" s="125">
        <v>237.7</v>
      </c>
      <c r="Y7" s="121">
        <f t="shared" si="1"/>
        <v>4.2072899999999995</v>
      </c>
      <c r="Z7" s="121">
        <f>((X7+Y7)/AJ7)*(Z$1+Z$1^2+Z$1^3)-(X7+Y7)</f>
        <v>25.007166103750023</v>
      </c>
      <c r="AA7" s="121">
        <f t="shared" si="2"/>
        <v>266.91445610375001</v>
      </c>
      <c r="AB7" s="121">
        <f t="shared" si="3"/>
        <v>42.223446381907834</v>
      </c>
      <c r="AC7" s="121">
        <f t="shared" si="4"/>
        <v>309.13790248565783</v>
      </c>
      <c r="AD7" s="121">
        <f t="shared" si="5"/>
        <v>21.831172508272541</v>
      </c>
      <c r="AE7" s="121">
        <f t="shared" si="6"/>
        <v>0.94918141340315398</v>
      </c>
      <c r="AF7" s="118">
        <f t="shared" si="7"/>
        <v>85266.859047704478</v>
      </c>
      <c r="AG7" s="125">
        <v>5.7</v>
      </c>
      <c r="AH7" s="191">
        <v>3.24</v>
      </c>
      <c r="AI7" s="121">
        <f t="shared" ref="AI7:AI9" si="8">SUM(AG7:AH7)</f>
        <v>8.9400000000000013</v>
      </c>
      <c r="AJ7" s="107">
        <v>3</v>
      </c>
      <c r="AK7" s="107">
        <v>5</v>
      </c>
      <c r="AL7" s="64"/>
    </row>
    <row r="8" spans="1:52" s="5" customFormat="1" ht="18">
      <c r="B8" s="110" t="s">
        <v>514</v>
      </c>
      <c r="C8" s="110" t="s">
        <v>611</v>
      </c>
      <c r="D8" s="110" t="s">
        <v>101</v>
      </c>
      <c r="E8" s="144" t="s">
        <v>128</v>
      </c>
      <c r="F8" s="101">
        <v>48.867159000000001</v>
      </c>
      <c r="G8" s="101">
        <v>-56.225133</v>
      </c>
      <c r="H8" s="37" t="s">
        <v>599</v>
      </c>
      <c r="I8" s="84">
        <v>75</v>
      </c>
      <c r="J8" s="165" t="s">
        <v>678</v>
      </c>
      <c r="K8" s="37" t="s">
        <v>842</v>
      </c>
      <c r="L8" s="107">
        <v>69</v>
      </c>
      <c r="M8" s="105"/>
      <c r="N8" s="107" t="s">
        <v>579</v>
      </c>
      <c r="O8" s="37" t="s">
        <v>579</v>
      </c>
      <c r="P8" s="125">
        <v>42</v>
      </c>
      <c r="Q8" s="125">
        <v>42</v>
      </c>
      <c r="R8" s="125">
        <v>268</v>
      </c>
      <c r="S8" s="2">
        <f t="shared" si="0"/>
        <v>0.72841922156990646</v>
      </c>
      <c r="T8" s="108">
        <v>2</v>
      </c>
      <c r="U8" s="121"/>
      <c r="V8" s="121"/>
      <c r="W8" s="118"/>
      <c r="X8" s="125">
        <v>359.3</v>
      </c>
      <c r="Y8" s="121">
        <f t="shared" si="1"/>
        <v>6.35961</v>
      </c>
      <c r="Z8" s="121">
        <f>((X8+Y8)/AJ8)*(Z$1+Z$1^2+Z$1^3)-(X8+Y8)</f>
        <v>37.800062183750015</v>
      </c>
      <c r="AA8" s="121">
        <f t="shared" si="2"/>
        <v>403.45967218375</v>
      </c>
      <c r="AB8" s="121">
        <f t="shared" si="3"/>
        <v>55.882735613770066</v>
      </c>
      <c r="AC8" s="121">
        <f t="shared" si="4"/>
        <v>459.34240779752008</v>
      </c>
      <c r="AD8" s="121">
        <f t="shared" si="5"/>
        <v>32.438543654342659</v>
      </c>
      <c r="AE8" s="121">
        <f t="shared" si="6"/>
        <v>0.77234627748434903</v>
      </c>
      <c r="AF8" s="118">
        <f t="shared" si="7"/>
        <v>61522.735450945525</v>
      </c>
      <c r="AG8" s="125">
        <v>5.7</v>
      </c>
      <c r="AH8" s="191">
        <v>3.24</v>
      </c>
      <c r="AI8" s="121">
        <f t="shared" si="8"/>
        <v>8.9400000000000013</v>
      </c>
      <c r="AJ8" s="107">
        <v>3</v>
      </c>
      <c r="AK8" s="107">
        <v>5</v>
      </c>
      <c r="AL8" s="64"/>
    </row>
    <row r="9" spans="1:52" s="5" customFormat="1" ht="18">
      <c r="B9" s="110" t="s">
        <v>505</v>
      </c>
      <c r="C9" s="110" t="s">
        <v>612</v>
      </c>
      <c r="D9" s="110" t="s">
        <v>101</v>
      </c>
      <c r="E9" s="144" t="s">
        <v>107</v>
      </c>
      <c r="F9" s="101">
        <v>48.200971000000003</v>
      </c>
      <c r="G9" s="101">
        <v>-55.994044000000002</v>
      </c>
      <c r="H9" s="37" t="s">
        <v>599</v>
      </c>
      <c r="I9" s="84">
        <v>75</v>
      </c>
      <c r="J9" s="165" t="s">
        <v>677</v>
      </c>
      <c r="K9" s="37" t="s">
        <v>840</v>
      </c>
      <c r="L9" s="107">
        <v>230</v>
      </c>
      <c r="M9" s="105"/>
      <c r="N9" s="107" t="s">
        <v>581</v>
      </c>
      <c r="O9" s="37" t="s">
        <v>581</v>
      </c>
      <c r="P9" s="125">
        <v>18</v>
      </c>
      <c r="Q9" s="125">
        <v>18</v>
      </c>
      <c r="R9" s="125">
        <v>139</v>
      </c>
      <c r="S9" s="2">
        <f t="shared" si="0"/>
        <v>0.88153221714865548</v>
      </c>
      <c r="T9" s="108">
        <v>1</v>
      </c>
      <c r="U9" s="121"/>
      <c r="V9" s="121"/>
      <c r="W9" s="118"/>
      <c r="X9" s="125">
        <v>224.1</v>
      </c>
      <c r="Y9" s="121">
        <f t="shared" si="1"/>
        <v>3.9665699999999999</v>
      </c>
      <c r="Z9" s="121">
        <f>((X9+Y9)/AJ9)*(Z$1+Z$1^2+Z$1^3)-(X9+Y9)</f>
        <v>23.576381673750006</v>
      </c>
      <c r="AA9" s="121">
        <f t="shared" si="2"/>
        <v>251.64295167374999</v>
      </c>
      <c r="AB9" s="121">
        <f t="shared" si="3"/>
        <v>40.569087289558738</v>
      </c>
      <c r="AC9" s="121">
        <f t="shared" si="4"/>
        <v>292.21203896330871</v>
      </c>
      <c r="AD9" s="121">
        <f t="shared" si="5"/>
        <v>20.635876029138849</v>
      </c>
      <c r="AE9" s="121">
        <f t="shared" si="6"/>
        <v>1.1464375571743806</v>
      </c>
      <c r="AF9" s="118">
        <f t="shared" si="7"/>
        <v>97382.081831502772</v>
      </c>
      <c r="AG9" s="125">
        <v>5.7</v>
      </c>
      <c r="AH9" s="191">
        <v>3.24</v>
      </c>
      <c r="AI9" s="121">
        <f t="shared" si="8"/>
        <v>8.9400000000000013</v>
      </c>
      <c r="AJ9" s="107">
        <v>3</v>
      </c>
      <c r="AK9" s="107">
        <v>5</v>
      </c>
      <c r="AL9" s="64"/>
    </row>
    <row r="10" spans="1:52" s="5" customFormat="1" ht="18">
      <c r="B10" s="17"/>
      <c r="C10" s="17"/>
      <c r="D10" s="17"/>
      <c r="E10" s="17"/>
      <c r="F10" s="64"/>
      <c r="G10" s="64"/>
      <c r="H10" s="64"/>
      <c r="I10" s="17"/>
      <c r="J10" s="37"/>
      <c r="K10" s="37"/>
      <c r="L10" s="37"/>
      <c r="M10" s="25"/>
      <c r="N10" s="17"/>
      <c r="O10" s="17"/>
      <c r="P10" s="118"/>
      <c r="Q10" s="118"/>
      <c r="R10" s="118"/>
      <c r="S10" s="121"/>
      <c r="T10" s="55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37"/>
      <c r="AK10" s="37"/>
      <c r="AL10" s="17"/>
    </row>
    <row r="11" spans="1:52" ht="18">
      <c r="A11" s="38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52" ht="18">
      <c r="A12" s="148" t="s">
        <v>585</v>
      </c>
      <c r="F12" s="114"/>
      <c r="G12" s="114"/>
      <c r="H12" s="114"/>
    </row>
    <row r="13" spans="1:52" ht="18">
      <c r="A13" s="4" t="s">
        <v>593</v>
      </c>
      <c r="F13" s="114"/>
      <c r="G13" s="114"/>
      <c r="H13" s="114"/>
    </row>
    <row r="14" spans="1:52" ht="18">
      <c r="A14" s="4" t="s">
        <v>594</v>
      </c>
      <c r="F14" s="114"/>
      <c r="G14" s="114"/>
      <c r="H14" s="114"/>
    </row>
    <row r="15" spans="1:52" s="4" customFormat="1" ht="18">
      <c r="A15" s="4" t="s">
        <v>595</v>
      </c>
      <c r="B15" s="12"/>
      <c r="C15" s="12"/>
      <c r="D15" s="12"/>
      <c r="E15" s="12"/>
      <c r="F15" s="12"/>
      <c r="G15" s="12"/>
      <c r="H15" s="12"/>
      <c r="I15" s="33"/>
      <c r="J15" s="12"/>
      <c r="K15" s="12"/>
      <c r="L15" s="12"/>
      <c r="M15" s="12"/>
      <c r="N15" s="12"/>
      <c r="O15" s="12"/>
      <c r="P15" s="12"/>
      <c r="Q15" s="12"/>
      <c r="R15" s="12"/>
      <c r="S15" s="161"/>
      <c r="T15" s="12"/>
      <c r="U15" s="12"/>
      <c r="V15" s="12"/>
      <c r="W15" s="12"/>
      <c r="X15" s="12"/>
      <c r="Y15" s="119"/>
      <c r="Z15" s="119"/>
      <c r="AA15" s="119"/>
      <c r="AB15" s="119"/>
      <c r="AC15" s="119"/>
      <c r="AD15" s="119"/>
      <c r="AE15" s="119"/>
      <c r="AF15" s="119"/>
      <c r="AG15" s="114"/>
      <c r="AH15" s="114"/>
      <c r="AI15" s="114"/>
      <c r="AJ15" s="114"/>
      <c r="AK15" s="114"/>
      <c r="AL15" s="114"/>
      <c r="AM15" s="119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</row>
    <row r="16" spans="1:52" s="4" customFormat="1" ht="18">
      <c r="A16" s="4" t="s">
        <v>508</v>
      </c>
      <c r="B16" s="114"/>
      <c r="C16" s="114"/>
      <c r="J16" s="21"/>
      <c r="K16" s="21"/>
      <c r="L16" s="7"/>
      <c r="M16" s="7"/>
      <c r="N16" s="12"/>
      <c r="O16" s="12"/>
      <c r="S16" s="109"/>
      <c r="U16" s="114"/>
      <c r="V16" s="114"/>
      <c r="W16" s="114"/>
      <c r="X16" s="114"/>
      <c r="Y16" s="114"/>
      <c r="Z16" s="114"/>
      <c r="AA16" s="114"/>
      <c r="AB16" s="114"/>
      <c r="AC16" s="114"/>
    </row>
    <row r="17" spans="1:66" s="4" customFormat="1" ht="18">
      <c r="A17" s="4" t="s">
        <v>519</v>
      </c>
      <c r="B17" s="114"/>
      <c r="C17" s="114"/>
      <c r="J17" s="21"/>
      <c r="K17" s="21"/>
      <c r="L17" s="7"/>
      <c r="M17" s="12"/>
      <c r="S17" s="109"/>
      <c r="T17" s="114"/>
      <c r="U17" s="114"/>
      <c r="V17" s="114"/>
      <c r="W17" s="114"/>
      <c r="X17" s="114"/>
      <c r="Y17" s="114"/>
      <c r="Z17" s="114"/>
      <c r="AA17" s="114"/>
      <c r="AG17" s="114"/>
      <c r="AH17" s="114"/>
      <c r="AI17" s="114"/>
      <c r="AJ17" s="114"/>
      <c r="AK17" s="114"/>
      <c r="AL17" s="114"/>
    </row>
    <row r="18" spans="1:66" s="4" customFormat="1" ht="18">
      <c r="A18" s="4" t="s">
        <v>520</v>
      </c>
      <c r="B18" s="114"/>
      <c r="E18" s="114"/>
      <c r="I18" s="12"/>
      <c r="Q18" s="114"/>
      <c r="R18" s="114"/>
      <c r="S18" s="102"/>
      <c r="T18" s="114"/>
      <c r="U18" s="114"/>
      <c r="V18" s="114"/>
      <c r="X18" s="114"/>
      <c r="Y18" s="114"/>
    </row>
    <row r="19" spans="1:66" s="4" customFormat="1" ht="18">
      <c r="A19" s="4" t="s">
        <v>596</v>
      </c>
      <c r="B19" s="114"/>
      <c r="C19" s="114"/>
      <c r="J19" s="21"/>
      <c r="K19" s="21"/>
      <c r="L19" s="7"/>
      <c r="M19" s="7"/>
      <c r="N19" s="12"/>
      <c r="O19" s="12"/>
      <c r="S19" s="109"/>
      <c r="U19" s="114"/>
      <c r="V19" s="114"/>
      <c r="W19" s="114"/>
      <c r="X19" s="114"/>
      <c r="Y19" s="114"/>
      <c r="Z19" s="114"/>
      <c r="AA19" s="114"/>
      <c r="AB19" s="114"/>
      <c r="AJ19" s="114"/>
    </row>
    <row r="20" spans="1:66" s="4" customFormat="1" ht="18">
      <c r="A20" s="4" t="s">
        <v>597</v>
      </c>
      <c r="B20" s="114"/>
      <c r="E20" s="114"/>
      <c r="I20" s="12"/>
      <c r="Q20" s="114"/>
      <c r="R20" s="114"/>
      <c r="S20" s="102"/>
      <c r="T20" s="114"/>
      <c r="U20" s="114"/>
      <c r="V20" s="114"/>
      <c r="X20" s="114"/>
      <c r="Y20" s="114"/>
    </row>
    <row r="21" spans="1:66" s="4" customFormat="1" ht="18">
      <c r="A21" s="4" t="s">
        <v>598</v>
      </c>
      <c r="B21" s="114"/>
      <c r="E21" s="114"/>
      <c r="I21" s="12"/>
      <c r="Q21" s="114"/>
      <c r="R21" s="114"/>
      <c r="S21" s="102"/>
      <c r="T21" s="114"/>
      <c r="U21" s="114"/>
      <c r="V21" s="114"/>
      <c r="X21" s="114"/>
      <c r="Y21" s="114"/>
    </row>
    <row r="22" spans="1:66" s="4" customFormat="1" ht="18">
      <c r="A22" s="4" t="s">
        <v>555</v>
      </c>
      <c r="M22" s="21"/>
      <c r="N22" s="7"/>
      <c r="O22" s="7"/>
      <c r="P22" s="12"/>
      <c r="R22" s="114"/>
      <c r="S22" s="102"/>
      <c r="W22" s="114"/>
      <c r="X22" s="114"/>
      <c r="Y22" s="114"/>
      <c r="Z22" s="114"/>
      <c r="AA22" s="114"/>
      <c r="AG22" s="160"/>
      <c r="AH22" s="114"/>
      <c r="AI22" s="114"/>
      <c r="AJ22" s="114"/>
      <c r="AK22" s="114"/>
      <c r="AL22" s="24"/>
      <c r="AM22" s="114"/>
      <c r="AN22" s="114"/>
      <c r="AT22" s="160"/>
      <c r="AU22" s="114"/>
      <c r="AV22" s="114"/>
      <c r="AW22" s="114"/>
      <c r="AX22" s="114"/>
      <c r="AY22" s="24"/>
      <c r="AZ22" s="114"/>
      <c r="BA22" s="114"/>
      <c r="BG22" s="160"/>
      <c r="BH22" s="114"/>
      <c r="BI22" s="114"/>
      <c r="BJ22" s="114"/>
      <c r="BK22" s="114"/>
      <c r="BL22" s="24"/>
      <c r="BM22" s="114"/>
      <c r="BN22" s="114"/>
    </row>
    <row r="23" spans="1:66" s="4" customFormat="1" ht="18">
      <c r="F23" s="109"/>
      <c r="G23" s="109"/>
      <c r="H23" s="109"/>
      <c r="M23" s="21"/>
      <c r="N23" s="7"/>
      <c r="O23" s="7"/>
      <c r="P23" s="12"/>
      <c r="S23" s="109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</row>
  </sheetData>
  <autoFilter ref="B3:AL3" xr:uid="{7B98F35A-5089-804D-96F4-CB2B682097CF}">
    <sortState xmlns:xlrd2="http://schemas.microsoft.com/office/spreadsheetml/2017/richdata2" ref="B4:AL18">
      <sortCondition ref="B3:B18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F18B-480D-E341-9062-9176044F9986}">
  <dimension ref="A1:BP22"/>
  <sheetViews>
    <sheetView workbookViewId="0">
      <pane xSplit="2" ySplit="3" topLeftCell="C4" activePane="bottomRight" state="frozen"/>
      <selection pane="topRight" activeCell="B1" sqref="B1"/>
      <selection pane="bottomLeft" activeCell="A3" sqref="A3"/>
      <selection pane="bottomRight" activeCell="F6" sqref="F6"/>
    </sheetView>
  </sheetViews>
  <sheetFormatPr defaultColWidth="10.83203125" defaultRowHeight="15.7"/>
  <cols>
    <col min="1" max="1" width="4.83203125" style="114" customWidth="1"/>
    <col min="2" max="3" width="43.33203125" style="195" customWidth="1"/>
    <col min="4" max="4" width="28.83203125" style="195" customWidth="1"/>
    <col min="5" max="5" width="12.83203125" style="195" customWidth="1"/>
    <col min="6" max="7" width="14.83203125" style="195" customWidth="1"/>
    <col min="8" max="8" width="23" style="195" customWidth="1"/>
    <col min="9" max="10" width="19.5" style="195" customWidth="1"/>
    <col min="11" max="11" width="13.6640625" style="195" customWidth="1"/>
    <col min="12" max="12" width="14.83203125" style="195" customWidth="1"/>
    <col min="13" max="13" width="16.1640625" style="195" customWidth="1"/>
    <col min="14" max="14" width="22.33203125" style="195" customWidth="1"/>
    <col min="15" max="17" width="14.83203125" style="195" customWidth="1"/>
    <col min="18" max="18" width="4.83203125" style="195" customWidth="1"/>
    <col min="19" max="19" width="52" style="195" customWidth="1"/>
    <col min="20" max="20" width="25" style="195" customWidth="1"/>
    <col min="21" max="21" width="12.5" style="195" bestFit="1" customWidth="1"/>
    <col min="22" max="22" width="12.5" style="195" customWidth="1"/>
    <col min="23" max="24" width="12.83203125" style="195" customWidth="1"/>
    <col min="25" max="25" width="18.83203125" style="195" customWidth="1"/>
    <col min="26" max="26" width="15" style="195" customWidth="1"/>
    <col min="27" max="27" width="12.6640625" style="195" bestFit="1" customWidth="1"/>
    <col min="28" max="28" width="4.83203125" style="195" customWidth="1"/>
    <col min="29" max="29" width="10.83203125" style="195"/>
    <col min="30" max="30" width="21.1640625" style="195" customWidth="1"/>
    <col min="31" max="31" width="17.83203125" style="195" customWidth="1"/>
    <col min="32" max="32" width="15.5" style="195" customWidth="1"/>
    <col min="33" max="33" width="11.1640625" style="195" bestFit="1" customWidth="1"/>
    <col min="34" max="34" width="11.1640625" style="195" customWidth="1"/>
    <col min="35" max="35" width="11.1640625" style="195" bestFit="1" customWidth="1"/>
    <col min="36" max="36" width="15" style="195" customWidth="1"/>
    <col min="37" max="37" width="14.6640625" style="195" customWidth="1"/>
    <col min="38" max="39" width="15.33203125" style="195" customWidth="1"/>
    <col min="40" max="41" width="15" style="195" customWidth="1"/>
    <col min="42" max="42" width="11.1640625" style="195" bestFit="1" customWidth="1"/>
    <col min="43" max="43" width="4.83203125" style="195" customWidth="1"/>
    <col min="44" max="44" width="19.33203125" style="195" customWidth="1"/>
    <col min="45" max="49" width="21.1640625" style="195" customWidth="1"/>
    <col min="50" max="51" width="18" style="195" customWidth="1"/>
    <col min="52" max="55" width="20.1640625" style="195" customWidth="1"/>
    <col min="56" max="58" width="19.33203125" style="195" customWidth="1"/>
    <col min="59" max="60" width="15.6640625" style="195" customWidth="1"/>
    <col min="61" max="61" width="40.33203125" style="195" customWidth="1"/>
    <col min="62" max="16384" width="10.83203125" style="114"/>
  </cols>
  <sheetData>
    <row r="1" spans="1:68" ht="20.7">
      <c r="A1" s="132" t="s">
        <v>97</v>
      </c>
      <c r="B1" s="18" t="s">
        <v>1351</v>
      </c>
      <c r="C1" s="133"/>
      <c r="D1" s="4"/>
      <c r="I1" s="4"/>
      <c r="J1" s="4"/>
      <c r="K1" s="4"/>
      <c r="M1" s="148"/>
      <c r="N1" s="148"/>
      <c r="S1" s="18" t="s">
        <v>974</v>
      </c>
      <c r="T1" s="18"/>
      <c r="U1" s="22"/>
      <c r="V1" s="22"/>
      <c r="W1" s="22"/>
      <c r="X1" s="22"/>
      <c r="Y1" s="4"/>
      <c r="Z1" s="4"/>
      <c r="AA1" s="7"/>
      <c r="AC1" s="18" t="s">
        <v>1352</v>
      </c>
      <c r="AR1" s="18" t="s">
        <v>972</v>
      </c>
      <c r="AS1" s="272">
        <v>1.77E-2</v>
      </c>
      <c r="AT1" s="118">
        <v>1.06</v>
      </c>
      <c r="AU1" s="118"/>
      <c r="AV1" s="272"/>
      <c r="AW1" s="272">
        <v>7.0000000000000007E-2</v>
      </c>
      <c r="AX1" s="231">
        <v>70</v>
      </c>
      <c r="AY1" s="231"/>
    </row>
    <row r="2" spans="1:68" ht="72">
      <c r="B2" s="273" t="s">
        <v>1353</v>
      </c>
      <c r="C2" s="19" t="s">
        <v>911</v>
      </c>
      <c r="D2" s="19" t="s">
        <v>13</v>
      </c>
      <c r="E2" s="19" t="s">
        <v>21</v>
      </c>
      <c r="F2" s="19" t="s">
        <v>14</v>
      </c>
      <c r="G2" s="19" t="s">
        <v>15</v>
      </c>
      <c r="H2" s="19" t="s">
        <v>901</v>
      </c>
      <c r="I2" s="19" t="s">
        <v>787</v>
      </c>
      <c r="J2" s="19" t="s">
        <v>788</v>
      </c>
      <c r="K2" s="19" t="s">
        <v>861</v>
      </c>
      <c r="L2" s="19" t="s">
        <v>507</v>
      </c>
      <c r="M2" s="19" t="s">
        <v>499</v>
      </c>
      <c r="N2" s="19" t="s">
        <v>907</v>
      </c>
      <c r="O2" s="19" t="s">
        <v>483</v>
      </c>
      <c r="P2" s="19" t="s">
        <v>484</v>
      </c>
      <c r="Q2" s="19" t="s">
        <v>1354</v>
      </c>
      <c r="S2" s="19" t="s">
        <v>480</v>
      </c>
      <c r="T2" s="19" t="s">
        <v>499</v>
      </c>
      <c r="U2" s="19" t="s">
        <v>16</v>
      </c>
      <c r="V2" s="19" t="s">
        <v>785</v>
      </c>
      <c r="W2" s="19" t="s">
        <v>786</v>
      </c>
      <c r="X2" s="19" t="s">
        <v>577</v>
      </c>
      <c r="Y2" s="19" t="s">
        <v>906</v>
      </c>
      <c r="Z2" s="19" t="s">
        <v>481</v>
      </c>
      <c r="AA2" s="19" t="s">
        <v>17</v>
      </c>
      <c r="AC2" s="19" t="s">
        <v>556</v>
      </c>
      <c r="AD2" s="19" t="s">
        <v>557</v>
      </c>
      <c r="AE2" s="19" t="s">
        <v>912</v>
      </c>
      <c r="AF2" s="19" t="s">
        <v>558</v>
      </c>
      <c r="AG2" s="19" t="s">
        <v>559</v>
      </c>
      <c r="AH2" s="19" t="s">
        <v>359</v>
      </c>
      <c r="AI2" s="19" t="s">
        <v>560</v>
      </c>
      <c r="AJ2" s="19" t="s">
        <v>561</v>
      </c>
      <c r="AK2" s="19" t="s">
        <v>1355</v>
      </c>
      <c r="AL2" s="19" t="s">
        <v>368</v>
      </c>
      <c r="AM2" s="19" t="s">
        <v>913</v>
      </c>
      <c r="AN2" s="19" t="s">
        <v>562</v>
      </c>
      <c r="AO2" s="19" t="s">
        <v>1356</v>
      </c>
      <c r="AP2" s="19" t="s">
        <v>563</v>
      </c>
      <c r="AQ2" s="16"/>
      <c r="AR2" s="19" t="s">
        <v>509</v>
      </c>
      <c r="AS2" s="19" t="s">
        <v>486</v>
      </c>
      <c r="AT2" s="19" t="s">
        <v>487</v>
      </c>
      <c r="AU2" s="19" t="s">
        <v>500</v>
      </c>
      <c r="AV2" s="19" t="s">
        <v>488</v>
      </c>
      <c r="AW2" s="19" t="s">
        <v>602</v>
      </c>
      <c r="AX2" s="19" t="s">
        <v>489</v>
      </c>
      <c r="AY2" s="19" t="s">
        <v>1357</v>
      </c>
      <c r="AZ2" s="19" t="s">
        <v>490</v>
      </c>
      <c r="BA2" s="19" t="s">
        <v>914</v>
      </c>
      <c r="BB2" s="19" t="s">
        <v>516</v>
      </c>
      <c r="BC2" s="19" t="s">
        <v>491</v>
      </c>
      <c r="BD2" s="19" t="s">
        <v>564</v>
      </c>
      <c r="BE2" s="19" t="s">
        <v>565</v>
      </c>
      <c r="BF2" s="19" t="s">
        <v>566</v>
      </c>
      <c r="BG2" s="19" t="s">
        <v>492</v>
      </c>
      <c r="BH2" s="19" t="s">
        <v>493</v>
      </c>
      <c r="BI2" s="19" t="s">
        <v>47</v>
      </c>
    </row>
    <row r="3" spans="1:68" ht="18">
      <c r="B3" s="16"/>
      <c r="D3" s="16"/>
      <c r="E3" s="16"/>
      <c r="F3" s="16" t="s">
        <v>567</v>
      </c>
      <c r="G3" s="16" t="s">
        <v>567</v>
      </c>
      <c r="H3" s="16"/>
      <c r="I3" s="16"/>
      <c r="J3" s="16"/>
      <c r="K3" s="16" t="s">
        <v>71</v>
      </c>
      <c r="L3" s="16" t="s">
        <v>73</v>
      </c>
      <c r="M3" s="16"/>
      <c r="N3" s="16"/>
      <c r="O3" s="16" t="s">
        <v>19</v>
      </c>
      <c r="P3" s="16" t="s">
        <v>19</v>
      </c>
      <c r="Q3" s="16"/>
      <c r="S3" s="16"/>
      <c r="T3" s="16"/>
      <c r="U3" s="16" t="s">
        <v>19</v>
      </c>
      <c r="V3" s="16" t="s">
        <v>32</v>
      </c>
      <c r="W3" s="16" t="s">
        <v>19</v>
      </c>
      <c r="X3" s="16" t="s">
        <v>32</v>
      </c>
      <c r="Y3" s="16" t="s">
        <v>20</v>
      </c>
      <c r="Z3" s="16"/>
      <c r="AA3" s="16"/>
      <c r="AC3" s="16"/>
      <c r="AD3" s="16"/>
      <c r="AE3" s="16" t="s">
        <v>84</v>
      </c>
      <c r="AF3" s="16" t="s">
        <v>568</v>
      </c>
      <c r="AG3" s="16" t="s">
        <v>50</v>
      </c>
      <c r="AH3" s="16" t="s">
        <v>50</v>
      </c>
      <c r="AI3" s="16" t="s">
        <v>32</v>
      </c>
      <c r="AJ3" s="16" t="s">
        <v>85</v>
      </c>
      <c r="AK3" s="16" t="s">
        <v>85</v>
      </c>
      <c r="AL3" s="16"/>
      <c r="AM3" s="16"/>
      <c r="AN3" s="16" t="s">
        <v>569</v>
      </c>
      <c r="AO3" s="16" t="s">
        <v>569</v>
      </c>
      <c r="AP3" s="16" t="s">
        <v>570</v>
      </c>
      <c r="AQ3" s="16"/>
      <c r="AR3" s="58" t="s">
        <v>494</v>
      </c>
      <c r="AS3" s="16" t="s">
        <v>494</v>
      </c>
      <c r="AT3" s="16" t="s">
        <v>494</v>
      </c>
      <c r="AU3" s="16" t="s">
        <v>494</v>
      </c>
      <c r="AV3" s="16" t="s">
        <v>494</v>
      </c>
      <c r="AW3" s="16" t="s">
        <v>494</v>
      </c>
      <c r="AX3" s="16" t="s">
        <v>496</v>
      </c>
      <c r="AY3" s="16" t="s">
        <v>583</v>
      </c>
      <c r="AZ3" s="16" t="s">
        <v>603</v>
      </c>
      <c r="BA3" s="16" t="s">
        <v>23</v>
      </c>
      <c r="BB3" s="16" t="s">
        <v>23</v>
      </c>
      <c r="BC3" s="16" t="s">
        <v>23</v>
      </c>
      <c r="BD3" s="16" t="s">
        <v>571</v>
      </c>
      <c r="BE3" s="16" t="s">
        <v>572</v>
      </c>
      <c r="BF3" s="16" t="s">
        <v>573</v>
      </c>
      <c r="BG3" s="16" t="s">
        <v>497</v>
      </c>
      <c r="BH3" s="16" t="s">
        <v>497</v>
      </c>
      <c r="BI3" s="16"/>
    </row>
    <row r="4" spans="1:68" s="102" customFormat="1" ht="18">
      <c r="B4" s="274"/>
      <c r="C4" s="274"/>
      <c r="D4" s="274"/>
      <c r="E4" s="275"/>
      <c r="F4" s="246"/>
      <c r="G4" s="246"/>
      <c r="H4" s="275"/>
      <c r="I4" s="275"/>
      <c r="J4" s="275"/>
      <c r="K4" s="231"/>
      <c r="L4" s="66"/>
      <c r="M4" s="275"/>
      <c r="N4" s="275"/>
      <c r="O4" s="118"/>
      <c r="P4" s="118"/>
      <c r="Q4" s="276"/>
      <c r="R4" s="195"/>
      <c r="S4" s="274"/>
      <c r="T4" s="274"/>
      <c r="U4" s="231"/>
      <c r="V4" s="277"/>
      <c r="W4" s="231"/>
      <c r="X4" s="277"/>
      <c r="Y4" s="118"/>
      <c r="Z4" s="231"/>
      <c r="AA4" s="275"/>
      <c r="AB4" s="195"/>
      <c r="AC4" s="275"/>
      <c r="AD4" s="274"/>
      <c r="AE4" s="231"/>
      <c r="AF4" s="66"/>
      <c r="AG4" s="231"/>
      <c r="AH4" s="231"/>
      <c r="AI4" s="61"/>
      <c r="AJ4" s="223"/>
      <c r="AK4" s="223"/>
      <c r="AL4" s="275"/>
      <c r="AM4" s="275"/>
      <c r="AN4" s="231"/>
      <c r="AO4" s="231"/>
      <c r="AP4" s="118"/>
      <c r="AQ4" s="231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231"/>
      <c r="BG4" s="231"/>
      <c r="BH4" s="231"/>
      <c r="BI4" s="274"/>
    </row>
    <row r="5" spans="1:68" s="195" customFormat="1"/>
    <row r="6" spans="1:68" ht="18">
      <c r="A6" s="148" t="s">
        <v>585</v>
      </c>
    </row>
    <row r="7" spans="1:68" ht="18">
      <c r="A7" s="4" t="s">
        <v>915</v>
      </c>
    </row>
    <row r="8" spans="1:68" ht="18">
      <c r="A8" s="4" t="s">
        <v>594</v>
      </c>
    </row>
    <row r="9" spans="1:68" s="4" customFormat="1" ht="18">
      <c r="A9" s="4" t="s">
        <v>595</v>
      </c>
      <c r="B9" s="195"/>
      <c r="C9" s="195"/>
      <c r="D9" s="8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8"/>
      <c r="T9" s="137"/>
      <c r="U9" s="35"/>
      <c r="V9" s="35"/>
      <c r="W9" s="35"/>
      <c r="X9" s="35"/>
      <c r="AA9" s="34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  <c r="BB9" s="195"/>
      <c r="BC9" s="195"/>
      <c r="BD9" s="195"/>
      <c r="BE9" s="195"/>
      <c r="BF9" s="195"/>
      <c r="BG9" s="195"/>
      <c r="BH9" s="195"/>
      <c r="BI9" s="195"/>
    </row>
    <row r="10" spans="1:68" s="4" customFormat="1" ht="18">
      <c r="A10" s="4" t="s">
        <v>508</v>
      </c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  <c r="AV10" s="195"/>
      <c r="AW10" s="195"/>
      <c r="AX10" s="195"/>
      <c r="AY10" s="195"/>
      <c r="AZ10" s="195"/>
      <c r="BA10" s="195"/>
      <c r="BB10" s="195"/>
      <c r="BC10" s="195"/>
      <c r="BD10" s="195"/>
      <c r="BE10" s="195"/>
      <c r="BF10" s="195"/>
      <c r="BG10" s="195"/>
      <c r="BH10" s="195"/>
      <c r="BI10" s="195"/>
    </row>
    <row r="11" spans="1:68" s="4" customFormat="1" ht="18">
      <c r="A11" s="4" t="s">
        <v>519</v>
      </c>
      <c r="B11" s="12"/>
      <c r="C11" s="12"/>
      <c r="D11" s="195"/>
      <c r="E11" s="12"/>
      <c r="F11" s="12"/>
      <c r="G11" s="33"/>
      <c r="H11" s="33"/>
      <c r="I11" s="12"/>
      <c r="J11" s="12"/>
      <c r="K11" s="12"/>
      <c r="L11" s="12"/>
      <c r="M11" s="12"/>
      <c r="N11" s="12"/>
      <c r="O11" s="12"/>
      <c r="P11" s="12"/>
      <c r="Q11" s="12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2"/>
      <c r="AD11" s="12"/>
      <c r="AE11" s="12"/>
      <c r="AF11" s="12"/>
      <c r="AG11" s="119"/>
      <c r="AH11" s="119"/>
      <c r="AI11" s="119"/>
      <c r="AJ11" s="119"/>
      <c r="AK11" s="119"/>
      <c r="AL11" s="119"/>
      <c r="AM11" s="119"/>
      <c r="AN11" s="119"/>
      <c r="AO11" s="195"/>
      <c r="AP11" s="195"/>
      <c r="AQ11" s="195"/>
      <c r="AR11" s="195"/>
      <c r="AS11" s="195"/>
      <c r="AT11" s="195"/>
      <c r="AU11" s="195"/>
      <c r="AV11" s="195"/>
      <c r="AW11" s="119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8" s="4" customFormat="1" ht="18">
      <c r="A12" s="4" t="s">
        <v>520</v>
      </c>
      <c r="B12" s="195"/>
      <c r="C12" s="195"/>
      <c r="D12" s="195"/>
      <c r="I12" s="12"/>
      <c r="J12" s="12"/>
      <c r="L12" s="21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7"/>
      <c r="AD12" s="195"/>
      <c r="AE12" s="7"/>
      <c r="AF12" s="195"/>
      <c r="AG12" s="195"/>
      <c r="AH12" s="195"/>
      <c r="AI12" s="195"/>
      <c r="AJ12" s="195"/>
      <c r="AK12" s="195"/>
    </row>
    <row r="13" spans="1:68" s="4" customFormat="1" ht="18">
      <c r="A13" s="4" t="s">
        <v>596</v>
      </c>
      <c r="B13" s="195"/>
      <c r="C13" s="195"/>
      <c r="D13" s="12"/>
      <c r="L13" s="21"/>
      <c r="N13" s="195"/>
      <c r="O13" s="195"/>
      <c r="P13" s="195"/>
      <c r="Q13" s="195"/>
      <c r="R13" s="195"/>
      <c r="S13" s="12"/>
      <c r="T13" s="12"/>
      <c r="U13" s="12"/>
      <c r="V13" s="12"/>
      <c r="W13" s="12"/>
      <c r="X13" s="12"/>
      <c r="Y13" s="12"/>
      <c r="Z13" s="12"/>
      <c r="AA13" s="33"/>
      <c r="AB13" s="195"/>
      <c r="AC13" s="12"/>
      <c r="AD13" s="195"/>
      <c r="AE13" s="12"/>
      <c r="AF13" s="195"/>
      <c r="AG13" s="195"/>
      <c r="AH13" s="195"/>
      <c r="AI13" s="195"/>
      <c r="AO13" s="195"/>
      <c r="AP13" s="195"/>
      <c r="AQ13" s="195"/>
      <c r="AR13" s="195"/>
      <c r="AS13" s="195"/>
      <c r="AT13" s="195"/>
      <c r="AU13" s="195"/>
      <c r="AV13" s="195"/>
    </row>
    <row r="14" spans="1:68" s="4" customFormat="1" ht="18">
      <c r="A14" s="4" t="s">
        <v>597</v>
      </c>
      <c r="B14" s="195"/>
      <c r="D14" s="195"/>
      <c r="G14" s="21"/>
      <c r="H14" s="12"/>
      <c r="M14" s="195"/>
      <c r="N14" s="195"/>
      <c r="O14" s="195"/>
      <c r="P14" s="195"/>
      <c r="Q14" s="195"/>
      <c r="R14" s="195"/>
      <c r="S14" s="195"/>
      <c r="T14" s="12"/>
      <c r="AB14" s="195"/>
      <c r="AF14" s="195"/>
      <c r="AG14" s="195"/>
    </row>
    <row r="15" spans="1:68" s="4" customFormat="1" ht="18">
      <c r="A15" s="4" t="s">
        <v>598</v>
      </c>
      <c r="B15" s="195"/>
      <c r="C15" s="195"/>
      <c r="D15" s="195"/>
      <c r="I15" s="12"/>
      <c r="J15" s="12"/>
      <c r="L15" s="21"/>
      <c r="O15" s="195"/>
      <c r="P15" s="195"/>
      <c r="Q15" s="195"/>
      <c r="R15" s="195"/>
      <c r="S15" s="195"/>
      <c r="Z15" s="195"/>
      <c r="AB15" s="195"/>
      <c r="AC15" s="7"/>
      <c r="AD15" s="195"/>
      <c r="AE15" s="7"/>
      <c r="AF15" s="195"/>
      <c r="AG15" s="195"/>
      <c r="AH15" s="195"/>
      <c r="AI15" s="195"/>
      <c r="AJ15" s="195"/>
      <c r="AR15" s="195"/>
    </row>
    <row r="16" spans="1:68" s="4" customFormat="1" ht="18">
      <c r="A16" s="4" t="s">
        <v>555</v>
      </c>
      <c r="B16" s="195"/>
      <c r="G16" s="21"/>
      <c r="H16" s="12"/>
      <c r="M16" s="195"/>
      <c r="N16" s="195"/>
      <c r="O16" s="195"/>
      <c r="P16" s="195"/>
      <c r="Q16" s="195"/>
      <c r="R16" s="195"/>
      <c r="S16" s="195"/>
      <c r="W16" s="195"/>
      <c r="X16" s="195"/>
      <c r="Y16" s="195"/>
      <c r="Z16" s="195"/>
      <c r="AA16" s="12"/>
      <c r="AB16" s="195"/>
      <c r="AF16" s="195"/>
      <c r="AG16" s="195"/>
      <c r="BJ16" s="114"/>
      <c r="BK16" s="114"/>
      <c r="BL16" s="114"/>
      <c r="BM16" s="114"/>
      <c r="BN16" s="24"/>
      <c r="BO16" s="114"/>
      <c r="BP16" s="114"/>
    </row>
    <row r="17" spans="2:61" ht="18">
      <c r="C17" s="4"/>
      <c r="E17" s="4"/>
      <c r="F17" s="4"/>
      <c r="G17" s="21"/>
      <c r="H17" s="12"/>
      <c r="I17" s="4"/>
      <c r="J17" s="4"/>
      <c r="K17" s="4"/>
      <c r="L17" s="4"/>
      <c r="T17" s="12"/>
      <c r="U17" s="4"/>
      <c r="V17" s="4"/>
      <c r="W17" s="4"/>
      <c r="X17" s="4"/>
      <c r="Y17" s="4"/>
      <c r="Z17" s="4"/>
      <c r="AA17" s="4"/>
      <c r="AC17" s="4"/>
      <c r="AD17" s="4"/>
      <c r="AE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ht="18">
      <c r="B18" s="4"/>
      <c r="C18" s="4"/>
      <c r="D18" s="4"/>
      <c r="E18" s="4"/>
      <c r="F18" s="4"/>
      <c r="G18" s="4"/>
      <c r="H18" s="4"/>
      <c r="I18" s="7"/>
      <c r="J18" s="7"/>
      <c r="K18" s="12"/>
      <c r="L18" s="4"/>
      <c r="N18" s="4"/>
      <c r="O18" s="4"/>
      <c r="P18" s="4"/>
      <c r="Q18" s="4"/>
      <c r="T18" s="4"/>
      <c r="U18" s="4"/>
      <c r="V18" s="4"/>
      <c r="AA18" s="12"/>
      <c r="AC18" s="21"/>
      <c r="AE18" s="21"/>
      <c r="AJ18" s="4"/>
      <c r="AK18" s="4"/>
      <c r="AL18" s="4"/>
      <c r="AM18" s="4"/>
      <c r="AN18" s="4"/>
      <c r="AO18" s="160"/>
      <c r="AV18" s="24"/>
      <c r="AY18" s="4"/>
      <c r="AZ18" s="4"/>
      <c r="BA18" s="4"/>
      <c r="BB18" s="4"/>
      <c r="BC18" s="4"/>
      <c r="BD18" s="160"/>
      <c r="BI18" s="24"/>
    </row>
    <row r="19" spans="2:61" ht="18">
      <c r="D19" s="4"/>
      <c r="T19" s="4"/>
      <c r="U19" s="4"/>
      <c r="V19" s="4"/>
      <c r="AA19" s="12"/>
    </row>
    <row r="20" spans="2:61" ht="18">
      <c r="D20" s="4"/>
      <c r="S20" s="4"/>
      <c r="T20" s="7"/>
      <c r="U20" s="12"/>
      <c r="V20" s="12"/>
      <c r="W20" s="4"/>
      <c r="X20" s="4"/>
      <c r="Z20" s="4"/>
      <c r="AA20" s="4"/>
    </row>
    <row r="21" spans="2:61" ht="18">
      <c r="D21" s="4"/>
      <c r="S21" s="4"/>
      <c r="T21" s="7"/>
      <c r="U21" s="7"/>
      <c r="V21" s="7"/>
      <c r="W21" s="4"/>
      <c r="X21" s="4"/>
      <c r="Y21" s="4"/>
      <c r="Z21" s="4"/>
      <c r="AA21" s="7"/>
    </row>
    <row r="22" spans="2:61" ht="18">
      <c r="D22" s="4"/>
      <c r="S22" s="4"/>
      <c r="T22" s="7"/>
      <c r="U22" s="4"/>
      <c r="V22" s="4"/>
      <c r="W22" s="4"/>
      <c r="X22" s="4"/>
      <c r="Y22" s="4"/>
      <c r="Z22" s="4"/>
      <c r="AA22" s="7"/>
    </row>
  </sheetData>
  <autoFilter ref="B3:AW3" xr:uid="{D94DB5D1-9527-534B-9388-603A53620BB1}">
    <sortState xmlns:xlrd2="http://schemas.microsoft.com/office/spreadsheetml/2017/richdata2" ref="B4:AW248">
      <sortCondition descending="1" ref="G3:G248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1D16-C74A-CF48-A37B-F0323E468151}">
  <sheetPr codeName="Sheet9"/>
  <dimension ref="A1:AS274"/>
  <sheetViews>
    <sheetView zoomScaleNormal="100" workbookViewId="0">
      <pane xSplit="2" ySplit="3" topLeftCell="C99" activePane="bottomRight" state="frozen"/>
      <selection pane="topRight" activeCell="C1" sqref="C1"/>
      <selection pane="bottomLeft" activeCell="A4" sqref="A4"/>
      <selection pane="bottomRight" activeCell="C1" sqref="C1:D1048576"/>
    </sheetView>
  </sheetViews>
  <sheetFormatPr defaultColWidth="10.83203125" defaultRowHeight="15.7"/>
  <cols>
    <col min="1" max="1" width="4.83203125" style="42" customWidth="1"/>
    <col min="2" max="2" width="18.83203125" style="44" customWidth="1"/>
    <col min="3" max="3" width="24.83203125" style="44" customWidth="1"/>
    <col min="4" max="4" width="24.83203125" style="166" customWidth="1"/>
    <col min="5" max="5" width="15.83203125" style="44" customWidth="1"/>
    <col min="6" max="6" width="12.83203125" style="43" customWidth="1"/>
    <col min="7" max="8" width="12.83203125" style="45" customWidth="1"/>
    <col min="9" max="9" width="12.83203125" style="44" customWidth="1"/>
    <col min="10" max="10" width="14.83203125" style="44" customWidth="1"/>
    <col min="11" max="12" width="14.83203125" style="166" customWidth="1"/>
    <col min="13" max="13" width="16" style="195" customWidth="1"/>
    <col min="14" max="14" width="14.83203125" style="166" customWidth="1"/>
    <col min="15" max="15" width="13.83203125" style="195" bestFit="1" customWidth="1"/>
    <col min="16" max="16" width="13.83203125" style="219" customWidth="1"/>
    <col min="17" max="17" width="12.83203125" style="44" customWidth="1"/>
    <col min="18" max="18" width="13.83203125" style="195" bestFit="1" customWidth="1"/>
    <col min="19" max="19" width="36" style="44" customWidth="1"/>
    <col min="20" max="20" width="24.83203125" style="102" customWidth="1"/>
    <col min="21" max="21" width="36" style="44" customWidth="1"/>
    <col min="22" max="22" width="24.83203125" style="102" customWidth="1"/>
    <col min="23" max="23" width="80.6640625" style="102" customWidth="1"/>
    <col min="24" max="24" width="60.83203125" style="42" customWidth="1"/>
    <col min="25" max="26" width="10.83203125" style="42"/>
    <col min="27" max="27" width="15" style="42" customWidth="1"/>
    <col min="28" max="28" width="33.5" style="42" customWidth="1"/>
    <col min="29" max="32" width="17" style="42" customWidth="1"/>
    <col min="33" max="16384" width="10.83203125" style="42"/>
  </cols>
  <sheetData>
    <row r="1" spans="1:27" s="4" customFormat="1" ht="20.7">
      <c r="A1" s="51" t="s">
        <v>97</v>
      </c>
      <c r="B1" s="18" t="s">
        <v>95</v>
      </c>
      <c r="C1" s="18"/>
      <c r="D1" s="247"/>
      <c r="F1" s="45"/>
      <c r="G1" s="44"/>
      <c r="H1" s="44"/>
      <c r="I1" s="44"/>
      <c r="J1" s="44"/>
      <c r="K1" s="166"/>
      <c r="L1" s="166"/>
      <c r="M1" s="195"/>
      <c r="N1" s="166"/>
      <c r="O1" s="195"/>
      <c r="P1" s="219"/>
      <c r="Q1" s="44"/>
      <c r="R1" s="195"/>
      <c r="T1" s="102"/>
      <c r="V1" s="102"/>
      <c r="W1" s="102"/>
      <c r="AA1" s="42"/>
    </row>
    <row r="2" spans="1:27" s="3" customFormat="1" ht="36">
      <c r="B2" s="19" t="s">
        <v>70</v>
      </c>
      <c r="C2" s="19" t="s">
        <v>13</v>
      </c>
      <c r="D2" s="19" t="s">
        <v>1276</v>
      </c>
      <c r="E2" s="19" t="s">
        <v>69</v>
      </c>
      <c r="F2" s="19" t="s">
        <v>613</v>
      </c>
      <c r="G2" s="19" t="s">
        <v>43</v>
      </c>
      <c r="H2" s="19" t="s">
        <v>43</v>
      </c>
      <c r="I2" s="19" t="s">
        <v>42</v>
      </c>
      <c r="J2" s="19" t="s">
        <v>899</v>
      </c>
      <c r="K2" s="19" t="s">
        <v>1225</v>
      </c>
      <c r="L2" s="19" t="s">
        <v>900</v>
      </c>
      <c r="M2" s="19" t="s">
        <v>889</v>
      </c>
      <c r="N2" s="19" t="s">
        <v>872</v>
      </c>
      <c r="O2" s="19" t="s">
        <v>873</v>
      </c>
      <c r="P2" s="19" t="s">
        <v>898</v>
      </c>
      <c r="Q2" s="19" t="s">
        <v>897</v>
      </c>
      <c r="R2" s="19" t="s">
        <v>874</v>
      </c>
      <c r="S2" s="19" t="s">
        <v>741</v>
      </c>
      <c r="T2" s="19" t="s">
        <v>614</v>
      </c>
      <c r="U2" s="19" t="s">
        <v>871</v>
      </c>
      <c r="V2" s="19" t="s">
        <v>704</v>
      </c>
      <c r="W2" s="19" t="s">
        <v>904</v>
      </c>
      <c r="X2" s="19" t="s">
        <v>47</v>
      </c>
      <c r="AA2" s="42"/>
    </row>
    <row r="3" spans="1:27" s="3" customFormat="1" ht="18">
      <c r="B3" s="16"/>
      <c r="C3" s="16"/>
      <c r="D3" s="63"/>
      <c r="E3" s="16"/>
      <c r="F3" s="16" t="s">
        <v>262</v>
      </c>
      <c r="G3" s="16" t="s">
        <v>73</v>
      </c>
      <c r="H3" s="16" t="s">
        <v>921</v>
      </c>
      <c r="I3" s="16" t="s">
        <v>71</v>
      </c>
      <c r="J3" s="16" t="s">
        <v>922</v>
      </c>
      <c r="K3" s="63"/>
      <c r="L3" s="16" t="s">
        <v>72</v>
      </c>
      <c r="M3" s="16" t="s">
        <v>72</v>
      </c>
      <c r="N3" s="63" t="s">
        <v>94</v>
      </c>
      <c r="O3" s="63" t="s">
        <v>94</v>
      </c>
      <c r="P3" s="63"/>
      <c r="Q3" s="63" t="s">
        <v>19</v>
      </c>
      <c r="R3" s="63" t="s">
        <v>19</v>
      </c>
      <c r="S3" s="16"/>
      <c r="T3" s="64"/>
      <c r="U3" s="16"/>
      <c r="V3" s="64"/>
      <c r="W3" s="64"/>
      <c r="X3" s="17"/>
      <c r="AA3" s="42"/>
    </row>
    <row r="4" spans="1:27" s="3" customFormat="1" ht="18">
      <c r="B4" s="96" t="s">
        <v>318</v>
      </c>
      <c r="C4" s="98" t="s">
        <v>123</v>
      </c>
      <c r="D4" s="37" t="s">
        <v>1277</v>
      </c>
      <c r="E4" s="96">
        <v>1</v>
      </c>
      <c r="F4" s="96" t="s">
        <v>266</v>
      </c>
      <c r="G4" s="264">
        <v>20</v>
      </c>
      <c r="H4" s="264">
        <v>12.3</v>
      </c>
      <c r="I4" s="97">
        <v>66</v>
      </c>
      <c r="J4" s="230" cm="1">
        <f t="array" ref="J4">_xlfn.XLOOKUP($I4,Inputs!C$6:C$23,Inputs!$D$6:D$23)*$G4</f>
        <v>7.6428571428571432</v>
      </c>
      <c r="K4" s="121"/>
      <c r="L4" s="121"/>
      <c r="M4" s="214">
        <v>474.3</v>
      </c>
      <c r="N4" s="121"/>
      <c r="O4" s="214">
        <v>54.2</v>
      </c>
      <c r="P4" s="221">
        <f>Inputs!$Y$6</f>
        <v>0.9</v>
      </c>
      <c r="Q4" s="197">
        <f t="shared" ref="Q4:Q12" si="0">R4/1.2</f>
        <v>40.650000000000006</v>
      </c>
      <c r="R4" s="214">
        <f t="shared" ref="R4:R12" si="1">O4*P4</f>
        <v>48.78</v>
      </c>
      <c r="S4" s="96" t="s">
        <v>804</v>
      </c>
      <c r="T4" s="37" t="s">
        <v>1063</v>
      </c>
      <c r="U4" s="96" t="s">
        <v>857</v>
      </c>
      <c r="V4" s="37" t="s">
        <v>1109</v>
      </c>
      <c r="W4" s="37"/>
      <c r="X4" s="17"/>
      <c r="AA4" s="42"/>
    </row>
    <row r="5" spans="1:27" s="3" customFormat="1" ht="18">
      <c r="B5" s="96" t="s">
        <v>287</v>
      </c>
      <c r="C5" s="98" t="s">
        <v>123</v>
      </c>
      <c r="D5" s="37" t="s">
        <v>1277</v>
      </c>
      <c r="E5" s="96">
        <v>1</v>
      </c>
      <c r="F5" s="96" t="s">
        <v>266</v>
      </c>
      <c r="G5" s="264">
        <v>35</v>
      </c>
      <c r="H5" s="264">
        <v>21.6</v>
      </c>
      <c r="I5" s="97">
        <v>138</v>
      </c>
      <c r="J5" s="230" cm="1">
        <f t="array" ref="J5">_xlfn.XLOOKUP($I5,Inputs!C$6:C$23,Inputs!$D$6:D$23)*$G5</f>
        <v>15.175000000000001</v>
      </c>
      <c r="K5" s="121"/>
      <c r="L5" s="121"/>
      <c r="M5" s="214">
        <v>712.7</v>
      </c>
      <c r="N5" s="121"/>
      <c r="O5" s="214">
        <v>170.4</v>
      </c>
      <c r="P5" s="221">
        <f>Inputs!$Y$6</f>
        <v>0.9</v>
      </c>
      <c r="Q5" s="197">
        <f t="shared" si="0"/>
        <v>127.80000000000001</v>
      </c>
      <c r="R5" s="214">
        <f t="shared" si="1"/>
        <v>153.36000000000001</v>
      </c>
      <c r="S5" s="96" t="s">
        <v>654</v>
      </c>
      <c r="T5" s="37" t="s">
        <v>843</v>
      </c>
      <c r="U5" s="96" t="s">
        <v>651</v>
      </c>
      <c r="V5" s="37" t="s">
        <v>1042</v>
      </c>
      <c r="W5" s="37"/>
      <c r="X5" s="17"/>
      <c r="AA5" s="42"/>
    </row>
    <row r="6" spans="1:27" ht="18">
      <c r="A6" s="3"/>
      <c r="B6" s="96" t="s">
        <v>285</v>
      </c>
      <c r="C6" s="98" t="s">
        <v>123</v>
      </c>
      <c r="D6" s="37" t="s">
        <v>1277</v>
      </c>
      <c r="E6" s="96">
        <v>1</v>
      </c>
      <c r="F6" s="96" t="s">
        <v>266</v>
      </c>
      <c r="G6" s="264">
        <v>17.600000000000001</v>
      </c>
      <c r="H6" s="264">
        <v>10.9</v>
      </c>
      <c r="I6" s="97">
        <v>138</v>
      </c>
      <c r="J6" s="230" cm="1">
        <f t="array" ref="J6">_xlfn.XLOOKUP($I6,Inputs!C$6:C$23,Inputs!$D$6:D$23)*$G6</f>
        <v>7.6308571428571437</v>
      </c>
      <c r="K6" s="121"/>
      <c r="L6" s="121"/>
      <c r="M6" s="214">
        <v>550.4</v>
      </c>
      <c r="N6" s="121"/>
      <c r="O6" s="214">
        <v>131.6</v>
      </c>
      <c r="P6" s="221">
        <f>Inputs!$Y$6</f>
        <v>0.9</v>
      </c>
      <c r="Q6" s="197">
        <f t="shared" si="0"/>
        <v>98.7</v>
      </c>
      <c r="R6" s="214">
        <f t="shared" si="1"/>
        <v>118.44</v>
      </c>
      <c r="S6" s="96" t="s">
        <v>654</v>
      </c>
      <c r="T6" s="37" t="s">
        <v>843</v>
      </c>
      <c r="U6" s="96" t="s">
        <v>719</v>
      </c>
      <c r="V6" s="37" t="s">
        <v>1101</v>
      </c>
      <c r="W6" s="194"/>
      <c r="X6" s="17"/>
    </row>
    <row r="7" spans="1:27" ht="18">
      <c r="A7" s="3"/>
      <c r="B7" s="96" t="s">
        <v>309</v>
      </c>
      <c r="C7" s="98" t="s">
        <v>123</v>
      </c>
      <c r="D7" s="37" t="s">
        <v>1277</v>
      </c>
      <c r="E7" s="96">
        <v>1</v>
      </c>
      <c r="F7" s="96" t="s">
        <v>266</v>
      </c>
      <c r="G7" s="264">
        <v>41.2</v>
      </c>
      <c r="H7" s="264">
        <v>25.4</v>
      </c>
      <c r="I7" s="97">
        <v>138</v>
      </c>
      <c r="J7" s="230" cm="1">
        <f t="array" ref="J7">_xlfn.XLOOKUP($I7,Inputs!C$6:C$23,Inputs!$D$6:D$23)*$G7</f>
        <v>17.863142857142861</v>
      </c>
      <c r="K7" s="121"/>
      <c r="L7" s="121"/>
      <c r="M7" s="214">
        <v>550.4</v>
      </c>
      <c r="N7" s="121"/>
      <c r="O7" s="214">
        <v>131.6</v>
      </c>
      <c r="P7" s="221">
        <f>Inputs!$Y$6</f>
        <v>0.9</v>
      </c>
      <c r="Q7" s="197">
        <f t="shared" si="0"/>
        <v>98.7</v>
      </c>
      <c r="R7" s="214">
        <f t="shared" si="1"/>
        <v>118.44</v>
      </c>
      <c r="S7" s="96" t="s">
        <v>669</v>
      </c>
      <c r="T7" s="37" t="s">
        <v>1058</v>
      </c>
      <c r="U7" s="96" t="s">
        <v>701</v>
      </c>
      <c r="V7" s="37" t="s">
        <v>1089</v>
      </c>
      <c r="W7" s="37"/>
      <c r="X7" s="17" t="s">
        <v>330</v>
      </c>
    </row>
    <row r="8" spans="1:27" ht="18">
      <c r="A8" s="3"/>
      <c r="B8" s="79" t="s">
        <v>225</v>
      </c>
      <c r="C8" s="78" t="s">
        <v>101</v>
      </c>
      <c r="D8" s="37" t="s">
        <v>1277</v>
      </c>
      <c r="E8" s="79">
        <v>1</v>
      </c>
      <c r="F8" s="79" t="s">
        <v>266</v>
      </c>
      <c r="G8" s="264">
        <v>23.3</v>
      </c>
      <c r="H8" s="264">
        <v>14.4</v>
      </c>
      <c r="I8" s="81">
        <v>138</v>
      </c>
      <c r="J8" s="230" cm="1">
        <f t="array" ref="J8">_xlfn.XLOOKUP($I8,Inputs!C$6:C$23,Inputs!$D$6:D$23)*$G8</f>
        <v>10.102214285714286</v>
      </c>
      <c r="K8" s="121"/>
      <c r="L8" s="121"/>
      <c r="M8" s="197"/>
      <c r="N8" s="121"/>
      <c r="O8" s="267">
        <v>92.7</v>
      </c>
      <c r="P8" s="221">
        <f>Inputs!$Y$6</f>
        <v>0.9</v>
      </c>
      <c r="Q8" s="197">
        <f t="shared" si="0"/>
        <v>69.525000000000006</v>
      </c>
      <c r="R8" s="267">
        <f t="shared" si="1"/>
        <v>83.43</v>
      </c>
      <c r="S8" s="165" t="s">
        <v>669</v>
      </c>
      <c r="T8" s="37" t="s">
        <v>1058</v>
      </c>
      <c r="U8" s="165" t="s">
        <v>685</v>
      </c>
      <c r="V8" s="37" t="s">
        <v>1073</v>
      </c>
      <c r="W8" s="37"/>
      <c r="X8" s="17"/>
    </row>
    <row r="9" spans="1:27" ht="18">
      <c r="A9" s="3"/>
      <c r="B9" s="79" t="s">
        <v>222</v>
      </c>
      <c r="C9" s="78" t="s">
        <v>101</v>
      </c>
      <c r="D9" s="37" t="s">
        <v>1277</v>
      </c>
      <c r="E9" s="79">
        <v>1</v>
      </c>
      <c r="F9" s="79" t="s">
        <v>266</v>
      </c>
      <c r="G9" s="264">
        <v>34.9</v>
      </c>
      <c r="H9" s="264">
        <v>21.5</v>
      </c>
      <c r="I9" s="81">
        <v>66</v>
      </c>
      <c r="J9" s="230" cm="1">
        <f t="array" ref="J9">_xlfn.XLOOKUP($I9,Inputs!C$6:C$23,Inputs!$D$6:D$23)*$G9</f>
        <v>13.336785714285714</v>
      </c>
      <c r="K9" s="121"/>
      <c r="L9" s="121"/>
      <c r="M9" s="197"/>
      <c r="N9" s="121"/>
      <c r="O9" s="267">
        <v>56.2</v>
      </c>
      <c r="P9" s="221">
        <f>Inputs!$Y$6</f>
        <v>0.9</v>
      </c>
      <c r="Q9" s="197">
        <f t="shared" si="0"/>
        <v>42.150000000000006</v>
      </c>
      <c r="R9" s="267">
        <f t="shared" si="1"/>
        <v>50.580000000000005</v>
      </c>
      <c r="S9" s="165" t="s">
        <v>677</v>
      </c>
      <c r="T9" s="37" t="s">
        <v>987</v>
      </c>
      <c r="U9" s="165" t="s">
        <v>795</v>
      </c>
      <c r="V9" s="37" t="s">
        <v>1071</v>
      </c>
      <c r="W9" s="37"/>
      <c r="X9" s="17"/>
    </row>
    <row r="10" spans="1:27" s="3" customFormat="1" ht="18">
      <c r="B10" s="79" t="s">
        <v>206</v>
      </c>
      <c r="C10" s="78" t="s">
        <v>101</v>
      </c>
      <c r="D10" s="37" t="s">
        <v>1277</v>
      </c>
      <c r="E10" s="79">
        <v>1</v>
      </c>
      <c r="F10" s="79" t="s">
        <v>266</v>
      </c>
      <c r="G10" s="264">
        <v>139.5</v>
      </c>
      <c r="H10" s="264">
        <v>86.1</v>
      </c>
      <c r="I10" s="81">
        <v>230</v>
      </c>
      <c r="J10" s="230" cm="1">
        <f t="array" ref="J10">_xlfn.XLOOKUP($I10,Inputs!C$6:C$23,Inputs!$D$6:D$23)*$G10</f>
        <v>66.959999999999994</v>
      </c>
      <c r="K10" s="121"/>
      <c r="L10" s="121"/>
      <c r="M10" s="197"/>
      <c r="N10" s="121"/>
      <c r="O10" s="267">
        <v>369.5</v>
      </c>
      <c r="P10" s="221">
        <f>Inputs!$Y$6</f>
        <v>0.9</v>
      </c>
      <c r="Q10" s="197">
        <f t="shared" si="0"/>
        <v>277.125</v>
      </c>
      <c r="R10" s="267">
        <f t="shared" si="1"/>
        <v>332.55</v>
      </c>
      <c r="S10" s="165" t="s">
        <v>677</v>
      </c>
      <c r="T10" s="37" t="s">
        <v>987</v>
      </c>
      <c r="U10" s="165" t="s">
        <v>643</v>
      </c>
      <c r="V10" s="37" t="s">
        <v>1131</v>
      </c>
      <c r="W10" s="37"/>
      <c r="X10" s="17"/>
      <c r="AA10" s="42"/>
    </row>
    <row r="11" spans="1:27" s="3" customFormat="1" ht="18">
      <c r="B11" s="79" t="s">
        <v>210</v>
      </c>
      <c r="C11" s="78" t="s">
        <v>101</v>
      </c>
      <c r="D11" s="37" t="s">
        <v>1277</v>
      </c>
      <c r="E11" s="79">
        <v>1</v>
      </c>
      <c r="F11" s="79" t="s">
        <v>266</v>
      </c>
      <c r="G11" s="264">
        <v>139.5</v>
      </c>
      <c r="H11" s="264">
        <v>86.1</v>
      </c>
      <c r="I11" s="81">
        <v>230</v>
      </c>
      <c r="J11" s="230" cm="1">
        <f t="array" ref="J11">_xlfn.XLOOKUP($I11,Inputs!C$6:C$23,Inputs!$D$6:D$23)*$G11</f>
        <v>66.959999999999994</v>
      </c>
      <c r="K11" s="121"/>
      <c r="L11" s="121"/>
      <c r="M11" s="197"/>
      <c r="N11" s="121"/>
      <c r="O11" s="267">
        <v>369.5</v>
      </c>
      <c r="P11" s="221">
        <f>Inputs!$Y$6</f>
        <v>0.9</v>
      </c>
      <c r="Q11" s="197">
        <f t="shared" si="0"/>
        <v>277.125</v>
      </c>
      <c r="R11" s="267">
        <f t="shared" si="1"/>
        <v>332.55</v>
      </c>
      <c r="S11" s="165" t="s">
        <v>677</v>
      </c>
      <c r="T11" s="37" t="s">
        <v>987</v>
      </c>
      <c r="U11" s="165" t="s">
        <v>643</v>
      </c>
      <c r="V11" s="37" t="s">
        <v>1131</v>
      </c>
      <c r="W11" s="37"/>
      <c r="X11" s="17"/>
      <c r="AA11" s="42"/>
    </row>
    <row r="12" spans="1:27" s="3" customFormat="1" ht="18">
      <c r="B12" s="79" t="s">
        <v>235</v>
      </c>
      <c r="C12" s="78" t="s">
        <v>101</v>
      </c>
      <c r="D12" s="37" t="s">
        <v>1277</v>
      </c>
      <c r="E12" s="79">
        <v>1</v>
      </c>
      <c r="F12" s="79" t="s">
        <v>266</v>
      </c>
      <c r="G12" s="264">
        <v>64</v>
      </c>
      <c r="H12" s="264">
        <v>39.5</v>
      </c>
      <c r="I12" s="81">
        <v>230</v>
      </c>
      <c r="J12" s="230" cm="1">
        <f t="array" ref="J12">_xlfn.XLOOKUP($I12,Inputs!C$6:C$23,Inputs!$D$6:D$23)*$G12</f>
        <v>30.72</v>
      </c>
      <c r="K12" s="121"/>
      <c r="L12" s="121"/>
      <c r="M12" s="197"/>
      <c r="N12" s="121"/>
      <c r="O12" s="267">
        <v>469.6</v>
      </c>
      <c r="P12" s="221">
        <f>Inputs!$Y$6</f>
        <v>0.9</v>
      </c>
      <c r="Q12" s="197">
        <f t="shared" si="0"/>
        <v>352.20000000000005</v>
      </c>
      <c r="R12" s="267">
        <f t="shared" si="1"/>
        <v>422.64000000000004</v>
      </c>
      <c r="S12" s="165" t="s">
        <v>677</v>
      </c>
      <c r="T12" s="37" t="s">
        <v>987</v>
      </c>
      <c r="U12" s="165" t="s">
        <v>703</v>
      </c>
      <c r="V12" s="37" t="s">
        <v>1005</v>
      </c>
      <c r="W12" s="37"/>
      <c r="X12" s="17"/>
      <c r="AA12" s="42"/>
    </row>
    <row r="13" spans="1:27" s="3" customFormat="1" ht="18">
      <c r="B13" s="130" t="s">
        <v>421</v>
      </c>
      <c r="C13" s="129" t="s">
        <v>101</v>
      </c>
      <c r="D13" s="37" t="s">
        <v>1277</v>
      </c>
      <c r="E13" s="130">
        <v>1</v>
      </c>
      <c r="F13" s="130" t="s">
        <v>266</v>
      </c>
      <c r="G13" s="264">
        <v>135</v>
      </c>
      <c r="H13" s="264">
        <v>83.3</v>
      </c>
      <c r="I13" s="131">
        <v>230</v>
      </c>
      <c r="J13" s="230" cm="1">
        <f t="array" ref="J13">_xlfn.XLOOKUP($I13,Inputs!C$6:C$23,Inputs!$D$6:D$23)*$G13</f>
        <v>64.8</v>
      </c>
      <c r="K13" s="268">
        <f>IF((42.4*(H13)^(-0.6595))&gt;=3,3,(IF(42.4*(H13)^(-0.6595)&lt;=0.5,0.5,(42.4*(H13)^(-0.6595)))))</f>
        <v>2.2945655988701867</v>
      </c>
      <c r="L13" s="121"/>
      <c r="M13" s="197"/>
      <c r="N13" s="121"/>
      <c r="O13" s="222"/>
      <c r="P13" s="221">
        <f>Inputs!$Y$6</f>
        <v>0.9</v>
      </c>
      <c r="Q13" s="269">
        <f>_xlfn.XLOOKUP($I13,Inputs!$G$6:$G$23,Inputs!$J$6:$J$23)*$K13</f>
        <v>307.47179024860503</v>
      </c>
      <c r="R13" s="269">
        <f>_xlfn.XLOOKUP($I13,Inputs!$G$6:$G$23,Inputs!$K$6:$K$23)*$K13</f>
        <v>332.71201183617706</v>
      </c>
      <c r="S13" s="130" t="s">
        <v>677</v>
      </c>
      <c r="T13" s="37" t="s">
        <v>987</v>
      </c>
      <c r="U13" s="130" t="s">
        <v>641</v>
      </c>
      <c r="V13" s="37" t="s">
        <v>1029</v>
      </c>
      <c r="W13" s="37"/>
      <c r="X13" s="17"/>
      <c r="AA13" s="42"/>
    </row>
    <row r="14" spans="1:27" s="3" customFormat="1" ht="18">
      <c r="B14" s="79" t="s">
        <v>216</v>
      </c>
      <c r="C14" s="78" t="s">
        <v>101</v>
      </c>
      <c r="D14" s="37" t="s">
        <v>1277</v>
      </c>
      <c r="E14" s="79">
        <v>1</v>
      </c>
      <c r="F14" s="79" t="s">
        <v>266</v>
      </c>
      <c r="G14" s="264">
        <v>58.1</v>
      </c>
      <c r="H14" s="264">
        <v>35.9</v>
      </c>
      <c r="I14" s="81">
        <v>138</v>
      </c>
      <c r="J14" s="230" cm="1">
        <f t="array" ref="J14">_xlfn.XLOOKUP($I14,Inputs!C$6:C$23,Inputs!$D$6:D$23)*$G14</f>
        <v>25.190500000000004</v>
      </c>
      <c r="K14" s="121"/>
      <c r="L14" s="121"/>
      <c r="M14" s="197"/>
      <c r="N14" s="121"/>
      <c r="O14" s="267">
        <v>112.4</v>
      </c>
      <c r="P14" s="221">
        <f>Inputs!$Y$6</f>
        <v>0.9</v>
      </c>
      <c r="Q14" s="197">
        <f t="shared" ref="Q14:Q32" si="2">R14/1.2</f>
        <v>84.300000000000011</v>
      </c>
      <c r="R14" s="267">
        <f t="shared" ref="R14:R32" si="3">O14*P14</f>
        <v>101.16000000000001</v>
      </c>
      <c r="S14" s="165" t="s">
        <v>680</v>
      </c>
      <c r="T14" s="37" t="s">
        <v>1068</v>
      </c>
      <c r="U14" s="165" t="s">
        <v>659</v>
      </c>
      <c r="V14" s="37" t="s">
        <v>1049</v>
      </c>
      <c r="W14" s="37"/>
      <c r="X14" s="17"/>
      <c r="AA14" s="42"/>
    </row>
    <row r="15" spans="1:27" s="3" customFormat="1" ht="18">
      <c r="B15" s="96" t="s">
        <v>448</v>
      </c>
      <c r="C15" s="98" t="s">
        <v>123</v>
      </c>
      <c r="D15" s="37" t="s">
        <v>1277</v>
      </c>
      <c r="E15" s="96">
        <v>1</v>
      </c>
      <c r="F15" s="96" t="s">
        <v>266</v>
      </c>
      <c r="G15" s="264">
        <v>29.4</v>
      </c>
      <c r="H15" s="264">
        <v>18.2</v>
      </c>
      <c r="I15" s="97">
        <v>66</v>
      </c>
      <c r="J15" s="230" cm="1">
        <f t="array" ref="J15">_xlfn.XLOOKUP($I15,Inputs!C$6:C$23,Inputs!$D$6:D$23)*$G15</f>
        <v>11.235000000000001</v>
      </c>
      <c r="K15" s="121"/>
      <c r="L15" s="121"/>
      <c r="M15" s="214">
        <v>712.7</v>
      </c>
      <c r="N15" s="121"/>
      <c r="O15" s="214">
        <v>170.4</v>
      </c>
      <c r="P15" s="221">
        <f>Inputs!$Y$6</f>
        <v>0.9</v>
      </c>
      <c r="Q15" s="197">
        <f t="shared" si="2"/>
        <v>127.80000000000001</v>
      </c>
      <c r="R15" s="214">
        <f t="shared" si="3"/>
        <v>153.36000000000001</v>
      </c>
      <c r="S15" s="96" t="s">
        <v>632</v>
      </c>
      <c r="T15" s="37" t="s">
        <v>1020</v>
      </c>
      <c r="U15" s="96" t="s">
        <v>636</v>
      </c>
      <c r="V15" s="37" t="s">
        <v>1024</v>
      </c>
      <c r="W15" s="37"/>
      <c r="X15" s="17"/>
      <c r="AA15" s="42"/>
    </row>
    <row r="16" spans="1:27" s="3" customFormat="1" ht="18">
      <c r="B16" s="96" t="s">
        <v>455</v>
      </c>
      <c r="C16" s="98" t="s">
        <v>123</v>
      </c>
      <c r="D16" s="37" t="s">
        <v>1277</v>
      </c>
      <c r="E16" s="96">
        <v>1</v>
      </c>
      <c r="F16" s="96" t="s">
        <v>266</v>
      </c>
      <c r="G16" s="264">
        <v>32.4</v>
      </c>
      <c r="H16" s="264">
        <v>20</v>
      </c>
      <c r="I16" s="97">
        <v>66</v>
      </c>
      <c r="J16" s="230" cm="1">
        <f t="array" ref="J16">_xlfn.XLOOKUP($I16,Inputs!C$6:C$23,Inputs!$D$6:D$23)*$G16</f>
        <v>12.381428571428572</v>
      </c>
      <c r="K16" s="121"/>
      <c r="L16" s="121"/>
      <c r="M16" s="214">
        <v>712.7</v>
      </c>
      <c r="N16" s="121"/>
      <c r="O16" s="214">
        <v>81.5</v>
      </c>
      <c r="P16" s="221">
        <f>Inputs!$Y$6</f>
        <v>0.9</v>
      </c>
      <c r="Q16" s="197">
        <f t="shared" si="2"/>
        <v>61.125000000000007</v>
      </c>
      <c r="R16" s="214">
        <f t="shared" si="3"/>
        <v>73.350000000000009</v>
      </c>
      <c r="S16" s="96" t="s">
        <v>632</v>
      </c>
      <c r="T16" s="37" t="s">
        <v>1020</v>
      </c>
      <c r="U16" s="96" t="s">
        <v>630</v>
      </c>
      <c r="V16" s="37" t="s">
        <v>1019</v>
      </c>
      <c r="W16" s="37"/>
      <c r="X16" s="17"/>
      <c r="AA16" s="42"/>
    </row>
    <row r="17" spans="2:27" s="3" customFormat="1" ht="18">
      <c r="B17" s="96" t="s">
        <v>456</v>
      </c>
      <c r="C17" s="98" t="s">
        <v>123</v>
      </c>
      <c r="D17" s="37" t="s">
        <v>1277</v>
      </c>
      <c r="E17" s="96">
        <v>1</v>
      </c>
      <c r="F17" s="96" t="s">
        <v>266</v>
      </c>
      <c r="G17" s="264">
        <v>11</v>
      </c>
      <c r="H17" s="264">
        <v>6.8</v>
      </c>
      <c r="I17" s="97">
        <v>66</v>
      </c>
      <c r="J17" s="230" cm="1">
        <f t="array" ref="J17">_xlfn.XLOOKUP($I17,Inputs!C$6:C$23,Inputs!$D$6:D$23)*$G17</f>
        <v>4.2035714285714292</v>
      </c>
      <c r="K17" s="121"/>
      <c r="L17" s="121"/>
      <c r="M17" s="214">
        <v>471.5</v>
      </c>
      <c r="N17" s="121"/>
      <c r="O17" s="214">
        <v>53.9</v>
      </c>
      <c r="P17" s="221">
        <f>Inputs!$Y$6</f>
        <v>0.9</v>
      </c>
      <c r="Q17" s="197">
        <f t="shared" si="2"/>
        <v>40.424999999999997</v>
      </c>
      <c r="R17" s="214">
        <f t="shared" si="3"/>
        <v>48.51</v>
      </c>
      <c r="S17" s="96" t="s">
        <v>632</v>
      </c>
      <c r="T17" s="37" t="s">
        <v>1020</v>
      </c>
      <c r="U17" s="96" t="s">
        <v>826</v>
      </c>
      <c r="V17" s="37" t="s">
        <v>1026</v>
      </c>
      <c r="W17" s="37"/>
      <c r="X17" s="17"/>
      <c r="AA17" s="42"/>
    </row>
    <row r="18" spans="2:27" s="3" customFormat="1" ht="18">
      <c r="B18" s="96" t="s">
        <v>307</v>
      </c>
      <c r="C18" s="98" t="s">
        <v>123</v>
      </c>
      <c r="D18" s="37" t="s">
        <v>1277</v>
      </c>
      <c r="E18" s="96">
        <v>1</v>
      </c>
      <c r="F18" s="96" t="s">
        <v>266</v>
      </c>
      <c r="G18" s="264">
        <v>14.7</v>
      </c>
      <c r="H18" s="264">
        <v>9.1</v>
      </c>
      <c r="I18" s="97">
        <v>66</v>
      </c>
      <c r="J18" s="230" cm="1">
        <f t="array" ref="J18">_xlfn.XLOOKUP($I18,Inputs!C$6:C$23,Inputs!$D$6:D$23)*$G18</f>
        <v>5.6175000000000006</v>
      </c>
      <c r="K18" s="121"/>
      <c r="L18" s="121"/>
      <c r="M18" s="214">
        <v>550.4</v>
      </c>
      <c r="N18" s="121"/>
      <c r="O18" s="214">
        <v>62.9</v>
      </c>
      <c r="P18" s="221">
        <f>Inputs!$Y$6</f>
        <v>0.9</v>
      </c>
      <c r="Q18" s="197">
        <f t="shared" si="2"/>
        <v>47.175000000000004</v>
      </c>
      <c r="R18" s="214">
        <f t="shared" si="3"/>
        <v>56.61</v>
      </c>
      <c r="S18" s="96" t="s">
        <v>667</v>
      </c>
      <c r="T18" s="37" t="s">
        <v>1056</v>
      </c>
      <c r="U18" s="96" t="s">
        <v>723</v>
      </c>
      <c r="V18" s="37" t="s">
        <v>1105</v>
      </c>
      <c r="W18" s="37"/>
      <c r="X18" s="17"/>
      <c r="AA18" s="114"/>
    </row>
    <row r="19" spans="2:27" s="3" customFormat="1" ht="18">
      <c r="B19" s="79" t="s">
        <v>244</v>
      </c>
      <c r="C19" s="78" t="s">
        <v>101</v>
      </c>
      <c r="D19" s="37" t="s">
        <v>1277</v>
      </c>
      <c r="E19" s="79">
        <v>1</v>
      </c>
      <c r="F19" s="79" t="s">
        <v>266</v>
      </c>
      <c r="G19" s="264">
        <v>29.1</v>
      </c>
      <c r="H19" s="264">
        <v>17.899999999999999</v>
      </c>
      <c r="I19" s="81">
        <v>138</v>
      </c>
      <c r="J19" s="230" cm="1">
        <f t="array" ref="J19">_xlfn.XLOOKUP($I19,Inputs!C$6:C$23,Inputs!$D$6:D$23)*$G19</f>
        <v>12.616928571428573</v>
      </c>
      <c r="K19" s="121"/>
      <c r="L19" s="121"/>
      <c r="M19" s="197"/>
      <c r="N19" s="121"/>
      <c r="O19" s="267">
        <v>112.6</v>
      </c>
      <c r="P19" s="221">
        <f>Inputs!$Y$6</f>
        <v>0.9</v>
      </c>
      <c r="Q19" s="197">
        <f t="shared" si="2"/>
        <v>84.45</v>
      </c>
      <c r="R19" s="267">
        <f t="shared" si="3"/>
        <v>101.34</v>
      </c>
      <c r="S19" s="165" t="s">
        <v>982</v>
      </c>
      <c r="T19" s="37" t="s">
        <v>1084</v>
      </c>
      <c r="U19" s="165" t="s">
        <v>695</v>
      </c>
      <c r="V19" s="37" t="s">
        <v>1083</v>
      </c>
      <c r="W19" s="194"/>
      <c r="X19" s="17"/>
      <c r="AA19" s="114"/>
    </row>
    <row r="20" spans="2:27" s="3" customFormat="1" ht="18">
      <c r="B20" s="96" t="s">
        <v>318</v>
      </c>
      <c r="C20" s="98" t="s">
        <v>123</v>
      </c>
      <c r="D20" s="37" t="s">
        <v>1277</v>
      </c>
      <c r="E20" s="96">
        <v>1</v>
      </c>
      <c r="F20" s="96" t="s">
        <v>266</v>
      </c>
      <c r="G20" s="264">
        <v>24</v>
      </c>
      <c r="H20" s="264">
        <v>14.8</v>
      </c>
      <c r="I20" s="97">
        <v>66</v>
      </c>
      <c r="J20" s="230" cm="1">
        <f t="array" ref="J20">_xlfn.XLOOKUP($I20,Inputs!C$6:C$23,Inputs!$D$6:D$23)*$G20</f>
        <v>9.1714285714285726</v>
      </c>
      <c r="K20" s="121"/>
      <c r="L20" s="121"/>
      <c r="M20" s="214">
        <v>550.4</v>
      </c>
      <c r="N20" s="121"/>
      <c r="O20" s="214">
        <v>62.9</v>
      </c>
      <c r="P20" s="221">
        <f>Inputs!$Y$6</f>
        <v>0.9</v>
      </c>
      <c r="Q20" s="197">
        <f t="shared" si="2"/>
        <v>47.175000000000004</v>
      </c>
      <c r="R20" s="214">
        <f t="shared" si="3"/>
        <v>56.61</v>
      </c>
      <c r="S20" s="96" t="s">
        <v>674</v>
      </c>
      <c r="T20" s="37" t="s">
        <v>1062</v>
      </c>
      <c r="U20" s="96" t="s">
        <v>804</v>
      </c>
      <c r="V20" s="37" t="s">
        <v>1063</v>
      </c>
      <c r="W20" s="37"/>
      <c r="X20" s="17"/>
      <c r="AA20" s="42"/>
    </row>
    <row r="21" spans="2:27" s="3" customFormat="1" ht="18">
      <c r="B21" s="79" t="s">
        <v>240</v>
      </c>
      <c r="C21" s="78" t="s">
        <v>101</v>
      </c>
      <c r="D21" s="37" t="s">
        <v>1277</v>
      </c>
      <c r="E21" s="79">
        <v>1</v>
      </c>
      <c r="F21" s="79" t="s">
        <v>266</v>
      </c>
      <c r="G21" s="264">
        <v>75.599999999999994</v>
      </c>
      <c r="H21" s="264">
        <v>46.7</v>
      </c>
      <c r="I21" s="81">
        <v>138</v>
      </c>
      <c r="J21" s="230" cm="1">
        <f t="array" ref="J21">_xlfn.XLOOKUP($I21,Inputs!C$6:C$23,Inputs!$D$6:D$23)*$G21</f>
        <v>32.777999999999999</v>
      </c>
      <c r="K21" s="270"/>
      <c r="L21" s="121"/>
      <c r="M21" s="197"/>
      <c r="N21" s="121"/>
      <c r="O21" s="267">
        <v>161.69999999999999</v>
      </c>
      <c r="P21" s="221">
        <f>Inputs!$Y$6</f>
        <v>0.9</v>
      </c>
      <c r="Q21" s="197">
        <f t="shared" si="2"/>
        <v>121.27500000000001</v>
      </c>
      <c r="R21" s="267">
        <f t="shared" si="3"/>
        <v>145.53</v>
      </c>
      <c r="S21" s="165" t="s">
        <v>688</v>
      </c>
      <c r="T21" s="37" t="s">
        <v>1081</v>
      </c>
      <c r="U21" s="165" t="s">
        <v>687</v>
      </c>
      <c r="V21" s="37" t="s">
        <v>1232</v>
      </c>
      <c r="W21" s="37"/>
      <c r="X21" s="17"/>
      <c r="AA21" s="42"/>
    </row>
    <row r="22" spans="2:27" s="3" customFormat="1" ht="18">
      <c r="B22" s="79" t="s">
        <v>253</v>
      </c>
      <c r="C22" s="78" t="s">
        <v>101</v>
      </c>
      <c r="D22" s="37" t="s">
        <v>1277</v>
      </c>
      <c r="E22" s="79">
        <v>1</v>
      </c>
      <c r="F22" s="79" t="s">
        <v>266</v>
      </c>
      <c r="G22" s="264">
        <v>81.400000000000006</v>
      </c>
      <c r="H22" s="264">
        <v>50.2</v>
      </c>
      <c r="I22" s="81">
        <v>138</v>
      </c>
      <c r="J22" s="230" cm="1">
        <f t="array" ref="J22">_xlfn.XLOOKUP($I22,Inputs!C$6:C$23,Inputs!$D$6:D$23)*$G22</f>
        <v>35.29271428571429</v>
      </c>
      <c r="K22" s="270"/>
      <c r="L22" s="121"/>
      <c r="M22" s="197"/>
      <c r="N22" s="121"/>
      <c r="O22" s="267">
        <v>161.69999999999999</v>
      </c>
      <c r="P22" s="221">
        <f>Inputs!$Y$6</f>
        <v>0.9</v>
      </c>
      <c r="Q22" s="197">
        <f t="shared" si="2"/>
        <v>121.27500000000001</v>
      </c>
      <c r="R22" s="267">
        <f t="shared" si="3"/>
        <v>145.53</v>
      </c>
      <c r="S22" s="165" t="s">
        <v>688</v>
      </c>
      <c r="T22" s="37" t="s">
        <v>1081</v>
      </c>
      <c r="U22" s="165" t="s">
        <v>702</v>
      </c>
      <c r="V22" s="37" t="s">
        <v>1090</v>
      </c>
      <c r="W22" s="37"/>
      <c r="X22" s="17"/>
      <c r="AA22" s="42"/>
    </row>
    <row r="23" spans="2:27" s="3" customFormat="1" ht="18">
      <c r="B23" s="79" t="s">
        <v>229</v>
      </c>
      <c r="C23" s="78" t="s">
        <v>101</v>
      </c>
      <c r="D23" s="37" t="s">
        <v>1277</v>
      </c>
      <c r="E23" s="79">
        <v>1</v>
      </c>
      <c r="F23" s="79" t="s">
        <v>266</v>
      </c>
      <c r="G23" s="264">
        <v>11.6</v>
      </c>
      <c r="H23" s="264">
        <v>7.2</v>
      </c>
      <c r="I23" s="81">
        <v>66</v>
      </c>
      <c r="J23" s="230" cm="1">
        <f t="array" ref="J23">_xlfn.XLOOKUP($I23,Inputs!C$6:C$23,Inputs!$D$6:D$23)*$G23</f>
        <v>4.4328571428571433</v>
      </c>
      <c r="K23" s="121"/>
      <c r="L23" s="121"/>
      <c r="M23" s="197"/>
      <c r="N23" s="121"/>
      <c r="O23" s="267">
        <v>53.8</v>
      </c>
      <c r="P23" s="221">
        <f>Inputs!$Y$6</f>
        <v>0.9</v>
      </c>
      <c r="Q23" s="197">
        <f t="shared" si="2"/>
        <v>40.35</v>
      </c>
      <c r="R23" s="267">
        <f t="shared" si="3"/>
        <v>48.42</v>
      </c>
      <c r="S23" s="165" t="s">
        <v>688</v>
      </c>
      <c r="T23" s="37" t="s">
        <v>1081</v>
      </c>
      <c r="U23" s="165" t="s">
        <v>692</v>
      </c>
      <c r="V23" s="37" t="s">
        <v>1078</v>
      </c>
      <c r="W23" s="37"/>
      <c r="X23" s="17"/>
      <c r="AA23" s="42"/>
    </row>
    <row r="24" spans="2:27" s="3" customFormat="1" ht="18">
      <c r="B24" s="96" t="s">
        <v>435</v>
      </c>
      <c r="C24" s="98" t="s">
        <v>123</v>
      </c>
      <c r="D24" s="37" t="s">
        <v>1277</v>
      </c>
      <c r="E24" s="96">
        <v>1</v>
      </c>
      <c r="F24" s="96" t="s">
        <v>266</v>
      </c>
      <c r="G24" s="264">
        <v>10.5</v>
      </c>
      <c r="H24" s="264">
        <v>6.5</v>
      </c>
      <c r="I24" s="97">
        <v>66</v>
      </c>
      <c r="J24" s="230" cm="1">
        <f t="array" ref="J24">_xlfn.XLOOKUP($I24,Inputs!C$6:C$23,Inputs!$D$6:D$23)*$G24</f>
        <v>4.0125000000000002</v>
      </c>
      <c r="K24" s="121"/>
      <c r="L24" s="121"/>
      <c r="M24" s="214">
        <v>712.7</v>
      </c>
      <c r="N24" s="121"/>
      <c r="O24" s="214">
        <v>81.5</v>
      </c>
      <c r="P24" s="221">
        <f>Inputs!$Y$6</f>
        <v>0.9</v>
      </c>
      <c r="Q24" s="197">
        <f t="shared" si="2"/>
        <v>61.125000000000007</v>
      </c>
      <c r="R24" s="214">
        <f t="shared" si="3"/>
        <v>73.350000000000009</v>
      </c>
      <c r="S24" s="96" t="s">
        <v>626</v>
      </c>
      <c r="T24" s="37" t="s">
        <v>1012</v>
      </c>
      <c r="U24" s="96" t="s">
        <v>621</v>
      </c>
      <c r="V24" s="37" t="s">
        <v>1242</v>
      </c>
      <c r="W24" s="194"/>
      <c r="X24" s="17"/>
      <c r="AA24" s="42"/>
    </row>
    <row r="25" spans="2:27" s="3" customFormat="1" ht="18">
      <c r="B25" s="96" t="s">
        <v>291</v>
      </c>
      <c r="C25" s="98" t="s">
        <v>123</v>
      </c>
      <c r="D25" s="37" t="s">
        <v>1277</v>
      </c>
      <c r="E25" s="96">
        <v>1</v>
      </c>
      <c r="F25" s="96" t="s">
        <v>266</v>
      </c>
      <c r="G25" s="264">
        <v>14.7</v>
      </c>
      <c r="H25" s="264">
        <v>9.1</v>
      </c>
      <c r="I25" s="97">
        <v>66</v>
      </c>
      <c r="J25" s="230" cm="1">
        <f t="array" ref="J25">_xlfn.XLOOKUP($I25,Inputs!C$6:C$23,Inputs!$D$6:D$23)*$G25</f>
        <v>5.6175000000000006</v>
      </c>
      <c r="K25" s="121"/>
      <c r="L25" s="121"/>
      <c r="M25" s="214">
        <v>550.4</v>
      </c>
      <c r="N25" s="121"/>
      <c r="O25" s="214">
        <v>131.6</v>
      </c>
      <c r="P25" s="221">
        <f>Inputs!$Y$6</f>
        <v>0.9</v>
      </c>
      <c r="Q25" s="197">
        <f t="shared" si="2"/>
        <v>98.7</v>
      </c>
      <c r="R25" s="214">
        <f t="shared" si="3"/>
        <v>118.44</v>
      </c>
      <c r="S25" s="96" t="s">
        <v>656</v>
      </c>
      <c r="T25" s="37" t="s">
        <v>1228</v>
      </c>
      <c r="U25" s="96" t="s">
        <v>720</v>
      </c>
      <c r="V25" s="37" t="s">
        <v>1102</v>
      </c>
      <c r="W25" s="37"/>
      <c r="X25" s="17"/>
      <c r="AA25" s="42"/>
    </row>
    <row r="26" spans="2:27" s="3" customFormat="1" ht="18">
      <c r="B26" s="96" t="s">
        <v>471</v>
      </c>
      <c r="C26" s="98" t="s">
        <v>123</v>
      </c>
      <c r="D26" s="37" t="s">
        <v>1277</v>
      </c>
      <c r="E26" s="96">
        <v>1</v>
      </c>
      <c r="F26" s="96" t="s">
        <v>266</v>
      </c>
      <c r="G26" s="264">
        <v>25</v>
      </c>
      <c r="H26" s="264">
        <v>15.4</v>
      </c>
      <c r="I26" s="97">
        <v>66</v>
      </c>
      <c r="J26" s="230" cm="1">
        <f t="array" ref="J26">_xlfn.XLOOKUP($I26,Inputs!C$6:C$23,Inputs!$D$6:D$23)*$G26</f>
        <v>9.5535714285714288</v>
      </c>
      <c r="K26" s="121"/>
      <c r="L26" s="121"/>
      <c r="M26" s="214">
        <v>712.7</v>
      </c>
      <c r="N26" s="121"/>
      <c r="O26" s="214">
        <v>81.5</v>
      </c>
      <c r="P26" s="221">
        <f>Inputs!$Y$6</f>
        <v>0.9</v>
      </c>
      <c r="Q26" s="197">
        <f t="shared" si="2"/>
        <v>61.125000000000007</v>
      </c>
      <c r="R26" s="214">
        <f t="shared" si="3"/>
        <v>73.350000000000009</v>
      </c>
      <c r="S26" s="96" t="s">
        <v>636</v>
      </c>
      <c r="T26" s="37" t="s">
        <v>1024</v>
      </c>
      <c r="U26" s="96" t="s">
        <v>815</v>
      </c>
      <c r="V26" s="37" t="s">
        <v>1127</v>
      </c>
      <c r="W26" s="37"/>
      <c r="X26" s="17"/>
      <c r="AA26" s="42"/>
    </row>
    <row r="27" spans="2:27" s="3" customFormat="1" ht="18">
      <c r="B27" s="96" t="s">
        <v>454</v>
      </c>
      <c r="C27" s="98" t="s">
        <v>123</v>
      </c>
      <c r="D27" s="37" t="s">
        <v>1277</v>
      </c>
      <c r="E27" s="96">
        <v>1</v>
      </c>
      <c r="F27" s="96" t="s">
        <v>266</v>
      </c>
      <c r="G27" s="264">
        <v>15</v>
      </c>
      <c r="H27" s="264">
        <v>9.3000000000000007</v>
      </c>
      <c r="I27" s="97">
        <v>66</v>
      </c>
      <c r="J27" s="230" cm="1">
        <f t="array" ref="J27">_xlfn.XLOOKUP($I27,Inputs!C$6:C$23,Inputs!$D$6:D$23)*$G27</f>
        <v>5.7321428571428577</v>
      </c>
      <c r="K27" s="121"/>
      <c r="L27" s="121"/>
      <c r="M27" s="214">
        <v>474.3</v>
      </c>
      <c r="N27" s="121"/>
      <c r="O27" s="214">
        <v>54.2</v>
      </c>
      <c r="P27" s="221">
        <f>Inputs!$Y$6</f>
        <v>0.9</v>
      </c>
      <c r="Q27" s="197">
        <f t="shared" si="2"/>
        <v>40.650000000000006</v>
      </c>
      <c r="R27" s="214">
        <f t="shared" si="3"/>
        <v>48.78</v>
      </c>
      <c r="S27" s="96" t="s">
        <v>636</v>
      </c>
      <c r="T27" s="37" t="s">
        <v>1024</v>
      </c>
      <c r="U27" s="96" t="s">
        <v>818</v>
      </c>
      <c r="V27" s="37" t="s">
        <v>1025</v>
      </c>
      <c r="W27" s="37"/>
      <c r="X27" s="17"/>
      <c r="AA27" s="42"/>
    </row>
    <row r="28" spans="2:27" s="3" customFormat="1" ht="18">
      <c r="B28" s="96" t="s">
        <v>473</v>
      </c>
      <c r="C28" s="98" t="s">
        <v>123</v>
      </c>
      <c r="D28" s="37" t="s">
        <v>1277</v>
      </c>
      <c r="E28" s="96">
        <v>1</v>
      </c>
      <c r="F28" s="96" t="s">
        <v>266</v>
      </c>
      <c r="G28" s="264">
        <v>27</v>
      </c>
      <c r="H28" s="264">
        <v>16.7</v>
      </c>
      <c r="I28" s="97">
        <v>66</v>
      </c>
      <c r="J28" s="230" cm="1">
        <f t="array" ref="J28">_xlfn.XLOOKUP($I28,Inputs!C$6:C$23,Inputs!$D$6:D$23)*$G28</f>
        <v>10.317857142857143</v>
      </c>
      <c r="K28" s="121"/>
      <c r="L28" s="121"/>
      <c r="M28" s="214">
        <v>550.4</v>
      </c>
      <c r="N28" s="121"/>
      <c r="O28" s="214">
        <v>62.9</v>
      </c>
      <c r="P28" s="221">
        <f>Inputs!$Y$6</f>
        <v>0.9</v>
      </c>
      <c r="Q28" s="197">
        <f t="shared" si="2"/>
        <v>47.175000000000004</v>
      </c>
      <c r="R28" s="214">
        <f t="shared" si="3"/>
        <v>56.61</v>
      </c>
      <c r="S28" s="96" t="s">
        <v>636</v>
      </c>
      <c r="T28" s="37" t="s">
        <v>1024</v>
      </c>
      <c r="U28" s="96" t="s">
        <v>851</v>
      </c>
      <c r="V28" s="37" t="s">
        <v>1030</v>
      </c>
      <c r="W28" s="194"/>
      <c r="X28" s="17"/>
      <c r="AA28" s="42"/>
    </row>
    <row r="29" spans="2:27" s="3" customFormat="1" ht="18">
      <c r="B29" s="96" t="s">
        <v>460</v>
      </c>
      <c r="C29" s="98" t="s">
        <v>123</v>
      </c>
      <c r="D29" s="37" t="s">
        <v>1277</v>
      </c>
      <c r="E29" s="96">
        <v>1</v>
      </c>
      <c r="F29" s="96" t="s">
        <v>266</v>
      </c>
      <c r="G29" s="264">
        <v>17.600000000000001</v>
      </c>
      <c r="H29" s="264">
        <v>10.9</v>
      </c>
      <c r="I29" s="97">
        <v>66</v>
      </c>
      <c r="J29" s="230" cm="1">
        <f t="array" ref="J29">_xlfn.XLOOKUP($I29,Inputs!C$6:C$23,Inputs!$D$6:D$23)*$G29</f>
        <v>6.7257142857142869</v>
      </c>
      <c r="K29" s="121"/>
      <c r="L29" s="121"/>
      <c r="M29" s="214">
        <v>712.7</v>
      </c>
      <c r="N29" s="121"/>
      <c r="O29" s="214">
        <v>170.4</v>
      </c>
      <c r="P29" s="221">
        <f>Inputs!$Y$6</f>
        <v>0.9</v>
      </c>
      <c r="Q29" s="197">
        <f t="shared" si="2"/>
        <v>127.80000000000001</v>
      </c>
      <c r="R29" s="214">
        <f t="shared" si="3"/>
        <v>153.36000000000001</v>
      </c>
      <c r="S29" s="96" t="s">
        <v>636</v>
      </c>
      <c r="T29" s="37" t="s">
        <v>1024</v>
      </c>
      <c r="U29" s="96" t="s">
        <v>641</v>
      </c>
      <c r="V29" s="37" t="s">
        <v>1029</v>
      </c>
      <c r="W29" s="37"/>
      <c r="X29" s="17"/>
      <c r="AA29" s="42"/>
    </row>
    <row r="30" spans="2:27" s="3" customFormat="1" ht="18">
      <c r="B30" s="79" t="s">
        <v>234</v>
      </c>
      <c r="C30" s="78" t="s">
        <v>101</v>
      </c>
      <c r="D30" s="37" t="s">
        <v>1277</v>
      </c>
      <c r="E30" s="79">
        <v>1</v>
      </c>
      <c r="F30" s="79" t="s">
        <v>266</v>
      </c>
      <c r="G30" s="264">
        <v>139.5</v>
      </c>
      <c r="H30" s="264">
        <v>86.1</v>
      </c>
      <c r="I30" s="81">
        <v>230</v>
      </c>
      <c r="J30" s="230" cm="1">
        <f t="array" ref="J30">_xlfn.XLOOKUP($I30,Inputs!C$6:C$23,Inputs!$D$6:D$23)*$G30</f>
        <v>66.959999999999994</v>
      </c>
      <c r="K30" s="121"/>
      <c r="L30" s="121"/>
      <c r="M30" s="197"/>
      <c r="N30" s="121"/>
      <c r="O30" s="267">
        <v>369.5</v>
      </c>
      <c r="P30" s="221">
        <f>Inputs!$Y$6</f>
        <v>0.9</v>
      </c>
      <c r="Q30" s="197">
        <f t="shared" si="2"/>
        <v>277.125</v>
      </c>
      <c r="R30" s="267">
        <f t="shared" si="3"/>
        <v>332.55</v>
      </c>
      <c r="S30" s="165" t="s">
        <v>616</v>
      </c>
      <c r="T30" s="37" t="s">
        <v>1006</v>
      </c>
      <c r="U30" s="165" t="s">
        <v>678</v>
      </c>
      <c r="V30" s="37" t="s">
        <v>1229</v>
      </c>
      <c r="W30" s="37"/>
      <c r="X30" s="17"/>
      <c r="AA30" s="42"/>
    </row>
    <row r="31" spans="2:27" s="3" customFormat="1" ht="18">
      <c r="B31" s="79" t="s">
        <v>217</v>
      </c>
      <c r="C31" s="78" t="s">
        <v>123</v>
      </c>
      <c r="D31" s="37" t="s">
        <v>1277</v>
      </c>
      <c r="E31" s="79">
        <v>1</v>
      </c>
      <c r="F31" s="79" t="s">
        <v>266</v>
      </c>
      <c r="G31" s="264">
        <v>116.3</v>
      </c>
      <c r="H31" s="264">
        <v>71.8</v>
      </c>
      <c r="I31" s="81">
        <v>138</v>
      </c>
      <c r="J31" s="230" cm="1">
        <f t="array" ref="J31">_xlfn.XLOOKUP($I31,Inputs!C$6:C$23,Inputs!$D$6:D$23)*$G31</f>
        <v>50.424357142857147</v>
      </c>
      <c r="K31" s="121"/>
      <c r="L31" s="121"/>
      <c r="M31" s="197"/>
      <c r="N31" s="121"/>
      <c r="O31" s="267">
        <v>112.4</v>
      </c>
      <c r="P31" s="221">
        <f>Inputs!$Y$6</f>
        <v>0.9</v>
      </c>
      <c r="Q31" s="197">
        <f t="shared" si="2"/>
        <v>84.300000000000011</v>
      </c>
      <c r="R31" s="267">
        <f t="shared" si="3"/>
        <v>101.16000000000001</v>
      </c>
      <c r="S31" s="165" t="s">
        <v>616</v>
      </c>
      <c r="T31" s="37" t="s">
        <v>1006</v>
      </c>
      <c r="U31" s="165" t="s">
        <v>682</v>
      </c>
      <c r="V31" s="37" t="s">
        <v>1069</v>
      </c>
      <c r="W31" s="37"/>
      <c r="X31" s="17"/>
      <c r="AA31" s="42"/>
    </row>
    <row r="32" spans="2:27" s="3" customFormat="1" ht="18">
      <c r="B32" s="79" t="s">
        <v>248</v>
      </c>
      <c r="C32" s="78" t="s">
        <v>101</v>
      </c>
      <c r="D32" s="37" t="s">
        <v>1277</v>
      </c>
      <c r="E32" s="79">
        <v>1</v>
      </c>
      <c r="F32" s="79" t="s">
        <v>266</v>
      </c>
      <c r="G32" s="264">
        <v>110.5</v>
      </c>
      <c r="H32" s="264">
        <v>68.2</v>
      </c>
      <c r="I32" s="81">
        <v>138</v>
      </c>
      <c r="J32" s="230" cm="1">
        <f t="array" ref="J32">_xlfn.XLOOKUP($I32,Inputs!C$6:C$23,Inputs!$D$6:D$23)*$G32</f>
        <v>47.909642857142863</v>
      </c>
      <c r="K32" s="270"/>
      <c r="L32" s="121"/>
      <c r="M32" s="197"/>
      <c r="N32" s="121"/>
      <c r="O32" s="267">
        <v>161.69999999999999</v>
      </c>
      <c r="P32" s="221">
        <f>Inputs!$Y$6</f>
        <v>0.9</v>
      </c>
      <c r="Q32" s="197">
        <f t="shared" si="2"/>
        <v>121.27500000000001</v>
      </c>
      <c r="R32" s="267">
        <f t="shared" si="3"/>
        <v>145.53</v>
      </c>
      <c r="S32" s="165" t="s">
        <v>616</v>
      </c>
      <c r="T32" s="37" t="s">
        <v>1006</v>
      </c>
      <c r="U32" s="165" t="s">
        <v>791</v>
      </c>
      <c r="V32" s="37" t="s">
        <v>1112</v>
      </c>
      <c r="W32" s="194"/>
      <c r="X32" s="17"/>
      <c r="AA32" s="42"/>
    </row>
    <row r="33" spans="2:27" s="3" customFormat="1" ht="18">
      <c r="B33" s="130" t="s">
        <v>420</v>
      </c>
      <c r="C33" s="129" t="s">
        <v>264</v>
      </c>
      <c r="D33" s="37" t="s">
        <v>1277</v>
      </c>
      <c r="E33" s="130">
        <v>1</v>
      </c>
      <c r="F33" s="130" t="s">
        <v>266</v>
      </c>
      <c r="G33" s="264">
        <v>155</v>
      </c>
      <c r="H33" s="264">
        <v>95.7</v>
      </c>
      <c r="I33" s="131">
        <v>230</v>
      </c>
      <c r="J33" s="230" cm="1">
        <f t="array" ref="J33">_xlfn.XLOOKUP($I33,Inputs!C$6:C$23,Inputs!$D$6:D$23)*$G33</f>
        <v>74.399999999999991</v>
      </c>
      <c r="K33" s="268">
        <f>IF((42.4*(H33)^(-0.6595))&gt;=3,3,(IF(42.4*(H33)^(-0.6595)&lt;=0.5,0.5,(42.4*(H33)^(-0.6595)))))</f>
        <v>2.0938927521622261</v>
      </c>
      <c r="L33" s="121"/>
      <c r="M33" s="197"/>
      <c r="N33" s="121"/>
      <c r="O33" s="222"/>
      <c r="P33" s="221">
        <f>Inputs!$Y$6</f>
        <v>0.9</v>
      </c>
      <c r="Q33" s="269">
        <f>_xlfn.XLOOKUP($I33,Inputs!$G$6:$G$23,Inputs!$J$6:$J$23)*$K33</f>
        <v>280.58162878973832</v>
      </c>
      <c r="R33" s="269">
        <f>_xlfn.XLOOKUP($I33,Inputs!$G$6:$G$23,Inputs!$K$6:$K$23)*$K33</f>
        <v>303.61444906352278</v>
      </c>
      <c r="S33" s="130" t="s">
        <v>616</v>
      </c>
      <c r="T33" s="37" t="s">
        <v>1006</v>
      </c>
      <c r="U33" s="130" t="s">
        <v>1119</v>
      </c>
      <c r="V33" s="37" t="s">
        <v>1122</v>
      </c>
      <c r="W33" s="37"/>
      <c r="X33" s="17"/>
      <c r="AA33" s="114"/>
    </row>
    <row r="34" spans="2:27" s="3" customFormat="1" ht="18">
      <c r="B34" s="130" t="s">
        <v>415</v>
      </c>
      <c r="C34" s="129" t="s">
        <v>264</v>
      </c>
      <c r="D34" s="37" t="s">
        <v>1277</v>
      </c>
      <c r="E34" s="130">
        <v>1</v>
      </c>
      <c r="F34" s="130" t="s">
        <v>263</v>
      </c>
      <c r="G34" s="264">
        <v>190</v>
      </c>
      <c r="H34" s="264">
        <v>117.3</v>
      </c>
      <c r="I34" s="196">
        <v>200</v>
      </c>
      <c r="J34" s="121"/>
      <c r="K34" s="121"/>
      <c r="L34" s="121"/>
      <c r="M34" s="197"/>
      <c r="N34" s="121"/>
      <c r="O34" s="197"/>
      <c r="P34" s="197"/>
      <c r="Q34" s="108">
        <v>250</v>
      </c>
      <c r="R34" s="108">
        <v>250</v>
      </c>
      <c r="S34" s="130" t="s">
        <v>616</v>
      </c>
      <c r="T34" s="37" t="s">
        <v>1006</v>
      </c>
      <c r="U34" s="130" t="s">
        <v>1281</v>
      </c>
      <c r="V34" s="37" t="s">
        <v>849</v>
      </c>
      <c r="W34" s="37"/>
      <c r="X34" s="64" t="s">
        <v>1156</v>
      </c>
      <c r="AA34" s="114"/>
    </row>
    <row r="35" spans="2:27" s="3" customFormat="1" ht="18">
      <c r="B35" s="130" t="s">
        <v>416</v>
      </c>
      <c r="C35" s="129" t="s">
        <v>264</v>
      </c>
      <c r="D35" s="37" t="s">
        <v>1277</v>
      </c>
      <c r="E35" s="130">
        <v>1</v>
      </c>
      <c r="F35" s="130" t="s">
        <v>263</v>
      </c>
      <c r="G35" s="264">
        <v>190</v>
      </c>
      <c r="H35" s="264">
        <v>117.3</v>
      </c>
      <c r="I35" s="196">
        <v>200</v>
      </c>
      <c r="J35" s="121"/>
      <c r="K35" s="121"/>
      <c r="L35" s="121"/>
      <c r="M35" s="197"/>
      <c r="N35" s="121"/>
      <c r="O35" s="197"/>
      <c r="P35" s="197"/>
      <c r="Q35" s="108">
        <v>250</v>
      </c>
      <c r="R35" s="108">
        <v>250</v>
      </c>
      <c r="S35" s="130" t="s">
        <v>616</v>
      </c>
      <c r="T35" s="37" t="s">
        <v>1006</v>
      </c>
      <c r="U35" s="130" t="s">
        <v>1281</v>
      </c>
      <c r="V35" s="37" t="s">
        <v>849</v>
      </c>
      <c r="W35" s="37"/>
      <c r="X35" s="64" t="s">
        <v>1156</v>
      </c>
      <c r="AA35" s="114"/>
    </row>
    <row r="36" spans="2:27" s="3" customFormat="1" ht="18">
      <c r="B36" s="79" t="s">
        <v>213</v>
      </c>
      <c r="C36" s="78" t="s">
        <v>101</v>
      </c>
      <c r="D36" s="37" t="s">
        <v>1277</v>
      </c>
      <c r="E36" s="79">
        <v>1</v>
      </c>
      <c r="F36" s="79" t="s">
        <v>266</v>
      </c>
      <c r="G36" s="264">
        <v>29.1</v>
      </c>
      <c r="H36" s="264">
        <v>17.899999999999999</v>
      </c>
      <c r="I36" s="81">
        <v>230</v>
      </c>
      <c r="J36" s="230" cm="1">
        <f t="array" ref="J36">_xlfn.XLOOKUP($I36,Inputs!C$6:C$23,Inputs!$D$6:D$23)*$G36</f>
        <v>13.968</v>
      </c>
      <c r="K36" s="121"/>
      <c r="L36" s="121"/>
      <c r="M36" s="197"/>
      <c r="N36" s="121"/>
      <c r="O36" s="267">
        <v>369.5</v>
      </c>
      <c r="P36" s="221">
        <f>Inputs!$Y$6</f>
        <v>0.9</v>
      </c>
      <c r="Q36" s="197">
        <f t="shared" ref="Q36:Q48" si="4">R36/1.2</f>
        <v>277.125</v>
      </c>
      <c r="R36" s="267">
        <f t="shared" ref="R36:R48" si="5">O36*P36</f>
        <v>332.55</v>
      </c>
      <c r="S36" s="165" t="s">
        <v>616</v>
      </c>
      <c r="T36" s="37" t="s">
        <v>1006</v>
      </c>
      <c r="U36" s="165" t="s">
        <v>670</v>
      </c>
      <c r="V36" s="37" t="s">
        <v>999</v>
      </c>
      <c r="W36" s="37"/>
      <c r="X36" s="17"/>
      <c r="AA36" s="42"/>
    </row>
    <row r="37" spans="2:27" s="3" customFormat="1" ht="18">
      <c r="B37" s="96" t="s">
        <v>310</v>
      </c>
      <c r="C37" s="98" t="s">
        <v>123</v>
      </c>
      <c r="D37" s="37" t="s">
        <v>1277</v>
      </c>
      <c r="E37" s="96">
        <v>1</v>
      </c>
      <c r="F37" s="96" t="s">
        <v>266</v>
      </c>
      <c r="G37" s="264">
        <v>23.5</v>
      </c>
      <c r="H37" s="264">
        <v>14.5</v>
      </c>
      <c r="I37" s="97">
        <v>66</v>
      </c>
      <c r="J37" s="230" cm="1">
        <f t="array" ref="J37">_xlfn.XLOOKUP($I37,Inputs!C$6:C$23,Inputs!$D$6:D$23)*$G37</f>
        <v>8.9803571428571427</v>
      </c>
      <c r="K37" s="121"/>
      <c r="L37" s="121"/>
      <c r="M37" s="214">
        <v>550.4</v>
      </c>
      <c r="N37" s="121"/>
      <c r="O37" s="214">
        <v>62.9</v>
      </c>
      <c r="P37" s="221">
        <f>Inputs!$Y$6</f>
        <v>0.9</v>
      </c>
      <c r="Q37" s="197">
        <f t="shared" si="4"/>
        <v>47.175000000000004</v>
      </c>
      <c r="R37" s="214">
        <f t="shared" si="5"/>
        <v>56.61</v>
      </c>
      <c r="S37" s="96" t="s">
        <v>616</v>
      </c>
      <c r="T37" s="37" t="s">
        <v>1006</v>
      </c>
      <c r="U37" s="96" t="s">
        <v>672</v>
      </c>
      <c r="V37" s="37" t="s">
        <v>1106</v>
      </c>
      <c r="W37" s="37"/>
      <c r="X37" s="17"/>
      <c r="AA37" s="42"/>
    </row>
    <row r="38" spans="2:27" s="3" customFormat="1" ht="18">
      <c r="B38" s="79" t="s">
        <v>252</v>
      </c>
      <c r="C38" s="78" t="s">
        <v>101</v>
      </c>
      <c r="D38" s="37" t="s">
        <v>1277</v>
      </c>
      <c r="E38" s="79">
        <v>1</v>
      </c>
      <c r="F38" s="79" t="s">
        <v>266</v>
      </c>
      <c r="G38" s="264">
        <v>17.399999999999999</v>
      </c>
      <c r="H38" s="264">
        <v>10.8</v>
      </c>
      <c r="I38" s="81">
        <v>66</v>
      </c>
      <c r="J38" s="230" cm="1">
        <f t="array" ref="J38">_xlfn.XLOOKUP($I38,Inputs!C$6:C$23,Inputs!$D$6:D$23)*$G38</f>
        <v>6.649285714285714</v>
      </c>
      <c r="K38" s="121"/>
      <c r="L38" s="121"/>
      <c r="M38" s="197"/>
      <c r="N38" s="121"/>
      <c r="O38" s="267">
        <v>80.8</v>
      </c>
      <c r="P38" s="221">
        <f>Inputs!$Y$6</f>
        <v>0.9</v>
      </c>
      <c r="Q38" s="197">
        <f t="shared" si="4"/>
        <v>60.6</v>
      </c>
      <c r="R38" s="267">
        <f t="shared" si="5"/>
        <v>72.72</v>
      </c>
      <c r="S38" s="165" t="s">
        <v>698</v>
      </c>
      <c r="T38" s="37" t="s">
        <v>1041</v>
      </c>
      <c r="U38" s="165" t="s">
        <v>735</v>
      </c>
      <c r="V38" s="37" t="s">
        <v>1116</v>
      </c>
      <c r="W38" s="37"/>
      <c r="X38" s="17"/>
      <c r="AA38" s="42"/>
    </row>
    <row r="39" spans="2:27" s="3" customFormat="1" ht="18">
      <c r="B39" s="96" t="s">
        <v>281</v>
      </c>
      <c r="C39" s="98" t="s">
        <v>123</v>
      </c>
      <c r="D39" s="37" t="s">
        <v>1277</v>
      </c>
      <c r="E39" s="96">
        <v>1</v>
      </c>
      <c r="F39" s="96" t="s">
        <v>266</v>
      </c>
      <c r="G39" s="264">
        <v>16</v>
      </c>
      <c r="H39" s="264">
        <v>9.9</v>
      </c>
      <c r="I39" s="97">
        <v>66</v>
      </c>
      <c r="J39" s="230" cm="1">
        <f t="array" ref="J39">_xlfn.XLOOKUP($I39,Inputs!C$6:C$23,Inputs!$D$6:D$23)*$G39</f>
        <v>6.1142857142857148</v>
      </c>
      <c r="K39" s="121"/>
      <c r="L39" s="121"/>
      <c r="M39" s="214">
        <v>474.3</v>
      </c>
      <c r="N39" s="121"/>
      <c r="O39" s="214">
        <v>54.2</v>
      </c>
      <c r="P39" s="221">
        <f>Inputs!$Y$6</f>
        <v>0.9</v>
      </c>
      <c r="Q39" s="197">
        <f t="shared" si="4"/>
        <v>40.650000000000006</v>
      </c>
      <c r="R39" s="214">
        <f t="shared" si="5"/>
        <v>48.78</v>
      </c>
      <c r="S39" s="96" t="s">
        <v>698</v>
      </c>
      <c r="T39" s="37" t="s">
        <v>1041</v>
      </c>
      <c r="U39" s="96" t="s">
        <v>658</v>
      </c>
      <c r="V39" s="37" t="s">
        <v>1048</v>
      </c>
      <c r="W39" s="37"/>
      <c r="X39" s="17"/>
      <c r="AA39" s="42"/>
    </row>
    <row r="40" spans="2:27" s="3" customFormat="1" ht="18">
      <c r="B40" s="79" t="s">
        <v>260</v>
      </c>
      <c r="C40" s="78" t="s">
        <v>1252</v>
      </c>
      <c r="D40" s="37" t="s">
        <v>1277</v>
      </c>
      <c r="E40" s="79">
        <v>1</v>
      </c>
      <c r="F40" s="79" t="s">
        <v>266</v>
      </c>
      <c r="G40" s="264">
        <v>45</v>
      </c>
      <c r="H40" s="264">
        <v>27.8</v>
      </c>
      <c r="I40" s="81">
        <v>66</v>
      </c>
      <c r="J40" s="230" cm="1">
        <f t="array" ref="J40">_xlfn.XLOOKUP($I40,Inputs!C$6:C$23,Inputs!$D$6:D$23)*$G40</f>
        <v>17.196428571428573</v>
      </c>
      <c r="K40" s="121"/>
      <c r="L40" s="121"/>
      <c r="M40" s="197"/>
      <c r="N40" s="121"/>
      <c r="O40" s="267">
        <v>53.8</v>
      </c>
      <c r="P40" s="221">
        <f>Inputs!$Y$6</f>
        <v>0.9</v>
      </c>
      <c r="Q40" s="197">
        <f t="shared" si="4"/>
        <v>40.35</v>
      </c>
      <c r="R40" s="267">
        <f t="shared" si="5"/>
        <v>48.42</v>
      </c>
      <c r="S40" s="165" t="s">
        <v>678</v>
      </c>
      <c r="T40" s="37" t="s">
        <v>1229</v>
      </c>
      <c r="U40" s="165" t="s">
        <v>739</v>
      </c>
      <c r="V40" s="37" t="s">
        <v>1118</v>
      </c>
      <c r="W40" s="37"/>
      <c r="X40" s="17"/>
      <c r="AA40" s="42"/>
    </row>
    <row r="41" spans="2:27" s="3" customFormat="1" ht="18">
      <c r="B41" s="79" t="s">
        <v>259</v>
      </c>
      <c r="C41" s="78" t="s">
        <v>101</v>
      </c>
      <c r="D41" s="37" t="s">
        <v>1277</v>
      </c>
      <c r="E41" s="79">
        <v>1</v>
      </c>
      <c r="F41" s="79" t="s">
        <v>266</v>
      </c>
      <c r="G41" s="264">
        <v>45</v>
      </c>
      <c r="H41" s="264">
        <v>27.8</v>
      </c>
      <c r="I41" s="81">
        <v>66</v>
      </c>
      <c r="J41" s="230" cm="1">
        <f t="array" ref="J41">_xlfn.XLOOKUP($I41,Inputs!C$6:C$23,Inputs!$D$6:D$23)*$G41</f>
        <v>17.196428571428573</v>
      </c>
      <c r="K41" s="121"/>
      <c r="L41" s="121"/>
      <c r="M41" s="197"/>
      <c r="N41" s="121"/>
      <c r="O41" s="267">
        <v>53.8</v>
      </c>
      <c r="P41" s="221">
        <f>Inputs!$Y$6</f>
        <v>0.9</v>
      </c>
      <c r="Q41" s="197">
        <f t="shared" si="4"/>
        <v>40.35</v>
      </c>
      <c r="R41" s="267">
        <f t="shared" si="5"/>
        <v>48.42</v>
      </c>
      <c r="S41" s="165" t="s">
        <v>678</v>
      </c>
      <c r="T41" s="37" t="s">
        <v>1229</v>
      </c>
      <c r="U41" s="165" t="s">
        <v>740</v>
      </c>
      <c r="V41" s="37" t="s">
        <v>1003</v>
      </c>
      <c r="W41" s="37"/>
      <c r="X41" s="17"/>
      <c r="AA41" s="42"/>
    </row>
    <row r="42" spans="2:27" s="3" customFormat="1" ht="18">
      <c r="B42" s="79" t="s">
        <v>209</v>
      </c>
      <c r="C42" s="78" t="s">
        <v>101</v>
      </c>
      <c r="D42" s="37" t="s">
        <v>1277</v>
      </c>
      <c r="E42" s="79">
        <v>1</v>
      </c>
      <c r="F42" s="79" t="s">
        <v>266</v>
      </c>
      <c r="G42" s="264">
        <v>81.400000000000006</v>
      </c>
      <c r="H42" s="264">
        <v>50.2</v>
      </c>
      <c r="I42" s="81">
        <v>230</v>
      </c>
      <c r="J42" s="230" cm="1">
        <f t="array" ref="J42">_xlfn.XLOOKUP($I42,Inputs!C$6:C$23,Inputs!$D$6:D$23)*$G42</f>
        <v>39.072000000000003</v>
      </c>
      <c r="K42" s="121"/>
      <c r="L42" s="121"/>
      <c r="M42" s="197"/>
      <c r="N42" s="121"/>
      <c r="O42" s="267">
        <v>322.2</v>
      </c>
      <c r="P42" s="221">
        <f>Inputs!$Y$6</f>
        <v>0.9</v>
      </c>
      <c r="Q42" s="197">
        <f t="shared" si="4"/>
        <v>241.65000000000003</v>
      </c>
      <c r="R42" s="267">
        <f t="shared" si="5"/>
        <v>289.98</v>
      </c>
      <c r="S42" s="165" t="s">
        <v>678</v>
      </c>
      <c r="T42" s="37" t="s">
        <v>1229</v>
      </c>
      <c r="U42" s="165" t="s">
        <v>655</v>
      </c>
      <c r="V42" s="37" t="s">
        <v>1133</v>
      </c>
      <c r="W42" s="37"/>
      <c r="X42" s="17"/>
      <c r="AA42" s="42"/>
    </row>
    <row r="43" spans="2:27" s="3" customFormat="1" ht="18">
      <c r="B43" s="79" t="s">
        <v>233</v>
      </c>
      <c r="C43" s="78" t="s">
        <v>101</v>
      </c>
      <c r="D43" s="37" t="s">
        <v>1277</v>
      </c>
      <c r="E43" s="79">
        <v>1</v>
      </c>
      <c r="F43" s="79" t="s">
        <v>266</v>
      </c>
      <c r="G43" s="264">
        <v>81.400000000000006</v>
      </c>
      <c r="H43" s="264">
        <v>50.2</v>
      </c>
      <c r="I43" s="81">
        <v>230</v>
      </c>
      <c r="J43" s="230" cm="1">
        <f t="array" ref="J43">_xlfn.XLOOKUP($I43,Inputs!C$6:C$23,Inputs!$D$6:D$23)*$G43</f>
        <v>39.072000000000003</v>
      </c>
      <c r="K43" s="121"/>
      <c r="L43" s="121"/>
      <c r="M43" s="197"/>
      <c r="N43" s="121"/>
      <c r="O43" s="267">
        <v>469.6</v>
      </c>
      <c r="P43" s="221">
        <f>Inputs!$Y$6</f>
        <v>0.9</v>
      </c>
      <c r="Q43" s="197">
        <f t="shared" si="4"/>
        <v>352.20000000000005</v>
      </c>
      <c r="R43" s="267">
        <f t="shared" si="5"/>
        <v>422.64000000000004</v>
      </c>
      <c r="S43" s="165" t="s">
        <v>678</v>
      </c>
      <c r="T43" s="37" t="s">
        <v>1229</v>
      </c>
      <c r="U43" s="165" t="s">
        <v>655</v>
      </c>
      <c r="V43" s="37" t="s">
        <v>1133</v>
      </c>
      <c r="W43" s="37"/>
      <c r="X43" s="17"/>
      <c r="AA43" s="42"/>
    </row>
    <row r="44" spans="2:27" s="3" customFormat="1" ht="18">
      <c r="B44" s="96" t="s">
        <v>462</v>
      </c>
      <c r="C44" s="98" t="s">
        <v>123</v>
      </c>
      <c r="D44" s="37" t="s">
        <v>1277</v>
      </c>
      <c r="E44" s="96">
        <v>1</v>
      </c>
      <c r="F44" s="96" t="s">
        <v>266</v>
      </c>
      <c r="G44" s="264">
        <v>17.600000000000001</v>
      </c>
      <c r="H44" s="264">
        <v>10.9</v>
      </c>
      <c r="I44" s="97">
        <v>66</v>
      </c>
      <c r="J44" s="230" cm="1">
        <f t="array" ref="J44">_xlfn.XLOOKUP($I44,Inputs!C$6:C$23,Inputs!$D$6:D$23)*$G44</f>
        <v>6.7257142857142869</v>
      </c>
      <c r="K44" s="121"/>
      <c r="L44" s="121"/>
      <c r="M44" s="214">
        <v>474.3</v>
      </c>
      <c r="N44" s="121"/>
      <c r="O44" s="214">
        <v>54.2</v>
      </c>
      <c r="P44" s="221">
        <f>Inputs!$Y$6</f>
        <v>0.9</v>
      </c>
      <c r="Q44" s="197">
        <f t="shared" si="4"/>
        <v>40.650000000000006</v>
      </c>
      <c r="R44" s="214">
        <f t="shared" si="5"/>
        <v>48.78</v>
      </c>
      <c r="S44" s="96" t="s">
        <v>639</v>
      </c>
      <c r="T44" s="37" t="s">
        <v>1230</v>
      </c>
      <c r="U44" s="96" t="s">
        <v>713</v>
      </c>
      <c r="V44" s="37" t="s">
        <v>1233</v>
      </c>
      <c r="W44" s="37"/>
      <c r="X44" s="17"/>
      <c r="AA44" s="42"/>
    </row>
    <row r="45" spans="2:27" s="3" customFormat="1" ht="18">
      <c r="B45" s="96" t="s">
        <v>446</v>
      </c>
      <c r="C45" s="98" t="s">
        <v>123</v>
      </c>
      <c r="D45" s="37" t="s">
        <v>1277</v>
      </c>
      <c r="E45" s="96">
        <v>1</v>
      </c>
      <c r="F45" s="96" t="s">
        <v>266</v>
      </c>
      <c r="G45" s="264">
        <v>14.7</v>
      </c>
      <c r="H45" s="264">
        <v>9.1</v>
      </c>
      <c r="I45" s="97">
        <v>66</v>
      </c>
      <c r="J45" s="230" cm="1">
        <f t="array" ref="J45">_xlfn.XLOOKUP($I45,Inputs!C$6:C$23,Inputs!$D$6:D$23)*$G45</f>
        <v>5.6175000000000006</v>
      </c>
      <c r="K45" s="121"/>
      <c r="L45" s="121"/>
      <c r="M45" s="214">
        <v>471.5</v>
      </c>
      <c r="N45" s="121"/>
      <c r="O45" s="214">
        <v>53.9</v>
      </c>
      <c r="P45" s="221">
        <f>Inputs!$Y$6</f>
        <v>0.9</v>
      </c>
      <c r="Q45" s="197">
        <f t="shared" si="4"/>
        <v>40.424999999999997</v>
      </c>
      <c r="R45" s="214">
        <f t="shared" si="5"/>
        <v>48.51</v>
      </c>
      <c r="S45" s="96" t="s">
        <v>630</v>
      </c>
      <c r="T45" s="37" t="s">
        <v>1019</v>
      </c>
      <c r="U45" s="96" t="s">
        <v>631</v>
      </c>
      <c r="V45" s="37" t="s">
        <v>1238</v>
      </c>
      <c r="W45" s="37"/>
      <c r="X45" s="17"/>
      <c r="AA45" s="114"/>
    </row>
    <row r="46" spans="2:27" s="3" customFormat="1" ht="18">
      <c r="B46" s="96" t="s">
        <v>445</v>
      </c>
      <c r="C46" s="98" t="s">
        <v>123</v>
      </c>
      <c r="D46" s="37" t="s">
        <v>1277</v>
      </c>
      <c r="E46" s="96">
        <v>1</v>
      </c>
      <c r="F46" s="96" t="s">
        <v>266</v>
      </c>
      <c r="G46" s="264">
        <v>8.8000000000000007</v>
      </c>
      <c r="H46" s="264">
        <v>5.4</v>
      </c>
      <c r="I46" s="97">
        <v>66</v>
      </c>
      <c r="J46" s="230" cm="1">
        <f t="array" ref="J46">_xlfn.XLOOKUP($I46,Inputs!C$6:C$23,Inputs!$D$6:D$23)*$G46</f>
        <v>3.3628571428571434</v>
      </c>
      <c r="K46" s="121"/>
      <c r="L46" s="121"/>
      <c r="M46" s="214">
        <v>712.7</v>
      </c>
      <c r="N46" s="121"/>
      <c r="O46" s="214">
        <v>81.5</v>
      </c>
      <c r="P46" s="221">
        <f>Inputs!$Y$6</f>
        <v>0.9</v>
      </c>
      <c r="Q46" s="197">
        <f t="shared" si="4"/>
        <v>61.125000000000007</v>
      </c>
      <c r="R46" s="214">
        <f t="shared" si="5"/>
        <v>73.350000000000009</v>
      </c>
      <c r="S46" s="96" t="s">
        <v>630</v>
      </c>
      <c r="T46" s="37" t="s">
        <v>1019</v>
      </c>
      <c r="U46" s="96" t="s">
        <v>710</v>
      </c>
      <c r="V46" s="37" t="s">
        <v>1134</v>
      </c>
      <c r="W46" s="37"/>
      <c r="X46" s="17"/>
      <c r="AA46" s="114"/>
    </row>
    <row r="47" spans="2:27" s="3" customFormat="1" ht="18">
      <c r="B47" s="96" t="s">
        <v>284</v>
      </c>
      <c r="C47" s="98" t="s">
        <v>123</v>
      </c>
      <c r="D47" s="37" t="s">
        <v>1277</v>
      </c>
      <c r="E47" s="96">
        <v>1</v>
      </c>
      <c r="F47" s="96" t="s">
        <v>266</v>
      </c>
      <c r="G47" s="264">
        <v>14.7</v>
      </c>
      <c r="H47" s="264">
        <v>9.1</v>
      </c>
      <c r="I47" s="97">
        <v>138</v>
      </c>
      <c r="J47" s="230" cm="1">
        <f t="array" ref="J47">_xlfn.XLOOKUP($I47,Inputs!C$6:C$23,Inputs!$D$6:D$23)*$G47</f>
        <v>6.3734999999999999</v>
      </c>
      <c r="K47" s="121"/>
      <c r="L47" s="121"/>
      <c r="M47" s="214">
        <v>712.7</v>
      </c>
      <c r="N47" s="121"/>
      <c r="O47" s="214">
        <v>170.4</v>
      </c>
      <c r="P47" s="221">
        <f>Inputs!$Y$6</f>
        <v>0.9</v>
      </c>
      <c r="Q47" s="197">
        <f t="shared" si="4"/>
        <v>127.80000000000001</v>
      </c>
      <c r="R47" s="214">
        <f t="shared" si="5"/>
        <v>153.36000000000001</v>
      </c>
      <c r="S47" s="96" t="s">
        <v>653</v>
      </c>
      <c r="T47" s="37" t="s">
        <v>1044</v>
      </c>
      <c r="U47" s="96" t="s">
        <v>718</v>
      </c>
      <c r="V47" s="37" t="s">
        <v>1100</v>
      </c>
      <c r="W47" s="194"/>
      <c r="X47" s="17"/>
      <c r="AA47" s="114"/>
    </row>
    <row r="48" spans="2:27" s="3" customFormat="1" ht="18">
      <c r="B48" s="96" t="s">
        <v>451</v>
      </c>
      <c r="C48" s="98" t="s">
        <v>123</v>
      </c>
      <c r="D48" s="37" t="s">
        <v>1277</v>
      </c>
      <c r="E48" s="96">
        <v>1</v>
      </c>
      <c r="F48" s="96" t="s">
        <v>266</v>
      </c>
      <c r="G48" s="264">
        <v>10.5</v>
      </c>
      <c r="H48" s="264">
        <v>6.5</v>
      </c>
      <c r="I48" s="97">
        <v>66</v>
      </c>
      <c r="J48" s="230" cm="1">
        <f t="array" ref="J48">_xlfn.XLOOKUP($I48,Inputs!C$6:C$23,Inputs!$D$6:D$23)*$G48</f>
        <v>4.0125000000000002</v>
      </c>
      <c r="K48" s="121"/>
      <c r="L48" s="121"/>
      <c r="M48" s="214">
        <v>779.9</v>
      </c>
      <c r="N48" s="121"/>
      <c r="O48" s="214">
        <v>89.2</v>
      </c>
      <c r="P48" s="221">
        <f>Inputs!$Y$6</f>
        <v>0.9</v>
      </c>
      <c r="Q48" s="197">
        <f t="shared" si="4"/>
        <v>66.900000000000006</v>
      </c>
      <c r="R48" s="214">
        <f t="shared" si="5"/>
        <v>80.28</v>
      </c>
      <c r="S48" s="96" t="s">
        <v>633</v>
      </c>
      <c r="T48" s="37" t="s">
        <v>1231</v>
      </c>
      <c r="U48" s="96" t="s">
        <v>634</v>
      </c>
      <c r="V48" s="37" t="s">
        <v>1021</v>
      </c>
      <c r="W48" s="194"/>
      <c r="X48" s="17"/>
      <c r="AA48" s="114"/>
    </row>
    <row r="49" spans="2:27" s="3" customFormat="1" ht="18">
      <c r="B49" s="130" t="s">
        <v>408</v>
      </c>
      <c r="C49" s="129" t="s">
        <v>101</v>
      </c>
      <c r="D49" s="37" t="s">
        <v>1135</v>
      </c>
      <c r="E49" s="130">
        <v>1</v>
      </c>
      <c r="F49" s="130" t="s">
        <v>266</v>
      </c>
      <c r="G49" s="264">
        <v>240</v>
      </c>
      <c r="H49" s="264">
        <v>148.1</v>
      </c>
      <c r="I49" s="131">
        <v>138</v>
      </c>
      <c r="J49" s="230" cm="1">
        <f t="array" ref="J49">_xlfn.XLOOKUP($I49,Inputs!C$6:C$23,Inputs!$D$6:D$23)*$G49</f>
        <v>104.05714285714286</v>
      </c>
      <c r="K49" s="268">
        <f t="shared" ref="K49:K58" si="6">IF((42.4*(H49)^(-0.6595))&gt;=3,3,(IF(42.4*(H49)^(-0.6595)&lt;=0.5,0.5,(42.4*(H49)^(-0.6595)))))</f>
        <v>1.5699462923139753</v>
      </c>
      <c r="L49" s="121"/>
      <c r="M49" s="197"/>
      <c r="N49" s="121"/>
      <c r="O49" s="222"/>
      <c r="P49" s="221">
        <f>Inputs!$Y$6</f>
        <v>0.9</v>
      </c>
      <c r="Q49" s="269">
        <f>_xlfn.XLOOKUP($I49,Inputs!$G$6:$G$23,Inputs!$J$6:$J$23)*$K49</f>
        <v>73.787475738756839</v>
      </c>
      <c r="R49" s="269">
        <f>_xlfn.XLOOKUP($I49,Inputs!$G$6:$G$23,Inputs!$K$6:$K$23)*$K49</f>
        <v>81.637207200326714</v>
      </c>
      <c r="S49" s="130" t="s">
        <v>617</v>
      </c>
      <c r="T49" s="37" t="s">
        <v>989</v>
      </c>
      <c r="U49" s="130" t="s">
        <v>977</v>
      </c>
      <c r="V49" s="37" t="s">
        <v>1120</v>
      </c>
      <c r="W49" s="194"/>
      <c r="X49" s="64"/>
      <c r="AA49" s="42"/>
    </row>
    <row r="50" spans="2:27" s="3" customFormat="1" ht="18">
      <c r="B50" s="130" t="s">
        <v>412</v>
      </c>
      <c r="C50" s="129" t="s">
        <v>101</v>
      </c>
      <c r="D50" s="37" t="s">
        <v>1135</v>
      </c>
      <c r="E50" s="130">
        <v>1</v>
      </c>
      <c r="F50" s="130" t="s">
        <v>266</v>
      </c>
      <c r="G50" s="264">
        <v>170</v>
      </c>
      <c r="H50" s="264">
        <v>104.9</v>
      </c>
      <c r="I50" s="131">
        <v>735</v>
      </c>
      <c r="J50" s="230" cm="1">
        <f t="array" ref="J50">_xlfn.XLOOKUP($I50,Inputs!C$6:C$23,Inputs!$D$6:D$23)*$G50</f>
        <v>64.599999999999994</v>
      </c>
      <c r="K50" s="268">
        <f t="shared" si="6"/>
        <v>1.9708992404425156</v>
      </c>
      <c r="L50" s="121"/>
      <c r="M50" s="197"/>
      <c r="N50" s="121"/>
      <c r="O50" s="222"/>
      <c r="P50" s="221">
        <f>Inputs!$Y$6</f>
        <v>0.9</v>
      </c>
      <c r="Q50" s="269">
        <f>_xlfn.XLOOKUP($I50,Inputs!$G$6:$G$23,Inputs!$J$6:$J$23)*$K50</f>
        <v>3943.4408969187334</v>
      </c>
      <c r="R50" s="269">
        <f>_xlfn.XLOOKUP($I50,Inputs!$G$6:$G$23,Inputs!$K$6:$K$23)*$K50</f>
        <v>4258.9161686722318</v>
      </c>
      <c r="S50" s="130" t="s">
        <v>617</v>
      </c>
      <c r="T50" s="37" t="s">
        <v>989</v>
      </c>
      <c r="U50" s="130" t="s">
        <v>1280</v>
      </c>
      <c r="V50" s="37" t="s">
        <v>850</v>
      </c>
      <c r="W50" s="37"/>
      <c r="X50" s="17"/>
      <c r="AA50" s="42"/>
    </row>
    <row r="51" spans="2:27" s="3" customFormat="1" ht="18">
      <c r="B51" s="130" t="s">
        <v>413</v>
      </c>
      <c r="C51" s="129" t="s">
        <v>101</v>
      </c>
      <c r="D51" s="37" t="s">
        <v>1135</v>
      </c>
      <c r="E51" s="130">
        <v>1</v>
      </c>
      <c r="F51" s="130" t="s">
        <v>266</v>
      </c>
      <c r="G51" s="264">
        <v>170</v>
      </c>
      <c r="H51" s="264">
        <v>104.9</v>
      </c>
      <c r="I51" s="131">
        <v>735</v>
      </c>
      <c r="J51" s="230" cm="1">
        <f t="array" ref="J51">_xlfn.XLOOKUP($I51,Inputs!C$6:C$23,Inputs!$D$6:D$23)*$G51</f>
        <v>64.599999999999994</v>
      </c>
      <c r="K51" s="268">
        <f t="shared" si="6"/>
        <v>1.9708992404425156</v>
      </c>
      <c r="L51" s="121"/>
      <c r="M51" s="197"/>
      <c r="N51" s="121"/>
      <c r="O51" s="222"/>
      <c r="P51" s="221">
        <f>Inputs!$Y$6</f>
        <v>0.9</v>
      </c>
      <c r="Q51" s="269">
        <f>_xlfn.XLOOKUP($I51,Inputs!$G$6:$G$23,Inputs!$J$6:$J$23)*$K51</f>
        <v>3943.4408969187334</v>
      </c>
      <c r="R51" s="269">
        <f>_xlfn.XLOOKUP($I51,Inputs!$G$6:$G$23,Inputs!$K$6:$K$23)*$K51</f>
        <v>4258.9161686722318</v>
      </c>
      <c r="S51" s="130" t="s">
        <v>617</v>
      </c>
      <c r="T51" s="37" t="s">
        <v>989</v>
      </c>
      <c r="U51" s="130" t="s">
        <v>1280</v>
      </c>
      <c r="V51" s="37" t="s">
        <v>850</v>
      </c>
      <c r="W51" s="37"/>
      <c r="X51" s="17"/>
      <c r="AA51" s="114"/>
    </row>
    <row r="52" spans="2:27" s="3" customFormat="1" ht="18">
      <c r="B52" s="130" t="s">
        <v>414</v>
      </c>
      <c r="C52" s="129" t="s">
        <v>101</v>
      </c>
      <c r="D52" s="37" t="s">
        <v>1135</v>
      </c>
      <c r="E52" s="130">
        <v>1</v>
      </c>
      <c r="F52" s="130" t="s">
        <v>266</v>
      </c>
      <c r="G52" s="264">
        <v>170</v>
      </c>
      <c r="H52" s="264">
        <v>104.9</v>
      </c>
      <c r="I52" s="131">
        <v>735</v>
      </c>
      <c r="J52" s="230" cm="1">
        <f t="array" ref="J52">_xlfn.XLOOKUP($I52,Inputs!C$6:C$23,Inputs!$D$6:D$23)*$G52</f>
        <v>64.599999999999994</v>
      </c>
      <c r="K52" s="268">
        <f t="shared" si="6"/>
        <v>1.9708992404425156</v>
      </c>
      <c r="L52" s="121"/>
      <c r="M52" s="197"/>
      <c r="N52" s="121"/>
      <c r="O52" s="222"/>
      <c r="P52" s="221">
        <f>Inputs!$Y$6</f>
        <v>0.9</v>
      </c>
      <c r="Q52" s="269">
        <f>_xlfn.XLOOKUP($I52,Inputs!$G$6:$G$23,Inputs!$J$6:$J$23)*$K52</f>
        <v>3943.4408969187334</v>
      </c>
      <c r="R52" s="269">
        <f>_xlfn.XLOOKUP($I52,Inputs!$G$6:$G$23,Inputs!$K$6:$K$23)*$K52</f>
        <v>4258.9161686722318</v>
      </c>
      <c r="S52" s="130" t="s">
        <v>617</v>
      </c>
      <c r="T52" s="37" t="s">
        <v>989</v>
      </c>
      <c r="U52" s="130" t="s">
        <v>1280</v>
      </c>
      <c r="V52" s="37" t="s">
        <v>850</v>
      </c>
      <c r="W52" s="37"/>
      <c r="X52" s="17"/>
      <c r="AA52" s="42"/>
    </row>
    <row r="53" spans="2:27" s="3" customFormat="1" ht="18">
      <c r="B53" s="130" t="s">
        <v>267</v>
      </c>
      <c r="C53" s="129" t="s">
        <v>101</v>
      </c>
      <c r="D53" s="37" t="s">
        <v>1135</v>
      </c>
      <c r="E53" s="130">
        <v>1</v>
      </c>
      <c r="F53" s="130" t="s">
        <v>266</v>
      </c>
      <c r="G53" s="264">
        <v>250</v>
      </c>
      <c r="H53" s="264">
        <v>154.30000000000001</v>
      </c>
      <c r="I53" s="131">
        <v>315</v>
      </c>
      <c r="J53" s="230" cm="1">
        <f t="array" ref="J53">_xlfn.XLOOKUP($I53,Inputs!C$6:C$23,Inputs!$D$6:D$23)*$G53</f>
        <v>113.31018518518518</v>
      </c>
      <c r="K53" s="268">
        <f t="shared" si="6"/>
        <v>1.5280533887784766</v>
      </c>
      <c r="L53" s="121"/>
      <c r="M53" s="197"/>
      <c r="N53" s="121"/>
      <c r="O53" s="222"/>
      <c r="P53" s="221">
        <f>Inputs!$Y$6</f>
        <v>0.9</v>
      </c>
      <c r="Q53" s="269">
        <f>_xlfn.XLOOKUP($I53,Inputs!$G$6:$G$23,Inputs!$J$6:$J$23)*$K53</f>
        <v>404.32292667078497</v>
      </c>
      <c r="R53" s="269">
        <f>_xlfn.XLOOKUP($I53,Inputs!$G$6:$G$23,Inputs!$K$6:$K$23)*$K53</f>
        <v>489.10031452111087</v>
      </c>
      <c r="S53" s="130" t="s">
        <v>617</v>
      </c>
      <c r="T53" s="37" t="s">
        <v>989</v>
      </c>
      <c r="U53" s="130" t="s">
        <v>618</v>
      </c>
      <c r="V53" s="37" t="s">
        <v>1223</v>
      </c>
      <c r="W53" s="37"/>
      <c r="X53" s="17"/>
      <c r="AA53" s="42"/>
    </row>
    <row r="54" spans="2:27" s="3" customFormat="1" ht="18">
      <c r="B54" s="130" t="s">
        <v>268</v>
      </c>
      <c r="C54" s="129" t="s">
        <v>101</v>
      </c>
      <c r="D54" s="37" t="s">
        <v>1135</v>
      </c>
      <c r="E54" s="130">
        <v>1</v>
      </c>
      <c r="F54" s="130" t="s">
        <v>266</v>
      </c>
      <c r="G54" s="264">
        <v>250</v>
      </c>
      <c r="H54" s="264">
        <v>154.30000000000001</v>
      </c>
      <c r="I54" s="131">
        <v>315</v>
      </c>
      <c r="J54" s="230" cm="1">
        <f t="array" ref="J54">_xlfn.XLOOKUP($I54,Inputs!C$6:C$23,Inputs!$D$6:D$23)*$G54</f>
        <v>113.31018518518518</v>
      </c>
      <c r="K54" s="268">
        <f t="shared" si="6"/>
        <v>1.5280533887784766</v>
      </c>
      <c r="L54" s="121"/>
      <c r="M54" s="197"/>
      <c r="N54" s="121"/>
      <c r="O54" s="222"/>
      <c r="P54" s="221">
        <f>Inputs!$Y$6</f>
        <v>0.9</v>
      </c>
      <c r="Q54" s="269">
        <f>_xlfn.XLOOKUP($I54,Inputs!$G$6:$G$23,Inputs!$J$6:$J$23)*$K54</f>
        <v>404.32292667078497</v>
      </c>
      <c r="R54" s="269">
        <f>_xlfn.XLOOKUP($I54,Inputs!$G$6:$G$23,Inputs!$K$6:$K$23)*$K54</f>
        <v>489.10031452111087</v>
      </c>
      <c r="S54" s="130" t="s">
        <v>617</v>
      </c>
      <c r="T54" s="37" t="s">
        <v>989</v>
      </c>
      <c r="U54" s="130" t="s">
        <v>618</v>
      </c>
      <c r="V54" s="37" t="s">
        <v>1223</v>
      </c>
      <c r="W54" s="37"/>
      <c r="X54" s="17"/>
      <c r="AA54" s="42"/>
    </row>
    <row r="55" spans="2:27" s="3" customFormat="1" ht="18">
      <c r="B55" s="130" t="s">
        <v>269</v>
      </c>
      <c r="C55" s="129" t="s">
        <v>101</v>
      </c>
      <c r="D55" s="37" t="s">
        <v>1135</v>
      </c>
      <c r="E55" s="130">
        <v>1</v>
      </c>
      <c r="F55" s="130" t="s">
        <v>266</v>
      </c>
      <c r="G55" s="264">
        <v>245</v>
      </c>
      <c r="H55" s="264">
        <v>151.19999999999999</v>
      </c>
      <c r="I55" s="131">
        <v>230</v>
      </c>
      <c r="J55" s="230" cm="1">
        <f t="array" ref="J55">_xlfn.XLOOKUP($I55,Inputs!C$6:C$23,Inputs!$D$6:D$23)*$G55</f>
        <v>117.6</v>
      </c>
      <c r="K55" s="268">
        <f t="shared" si="6"/>
        <v>1.5486434867346077</v>
      </c>
      <c r="L55" s="121"/>
      <c r="M55" s="197"/>
      <c r="N55" s="121"/>
      <c r="O55" s="222"/>
      <c r="P55" s="221">
        <f>Inputs!$Y$6</f>
        <v>0.9</v>
      </c>
      <c r="Q55" s="269">
        <f>_xlfn.XLOOKUP($I55,Inputs!$G$6:$G$23,Inputs!$J$6:$J$23)*$K55</f>
        <v>207.51822722243745</v>
      </c>
      <c r="R55" s="269">
        <f>_xlfn.XLOOKUP($I55,Inputs!$G$6:$G$23,Inputs!$K$6:$K$23)*$K55</f>
        <v>224.55330557651811</v>
      </c>
      <c r="S55" s="130" t="s">
        <v>617</v>
      </c>
      <c r="T55" s="37" t="s">
        <v>989</v>
      </c>
      <c r="U55" s="130" t="s">
        <v>802</v>
      </c>
      <c r="V55" s="37" t="s">
        <v>1110</v>
      </c>
      <c r="W55" s="37"/>
      <c r="X55" s="17"/>
      <c r="AA55" s="42"/>
    </row>
    <row r="56" spans="2:27" s="3" customFormat="1" ht="18">
      <c r="B56" s="130" t="s">
        <v>270</v>
      </c>
      <c r="C56" s="129" t="s">
        <v>101</v>
      </c>
      <c r="D56" s="37" t="s">
        <v>1135</v>
      </c>
      <c r="E56" s="130">
        <v>1</v>
      </c>
      <c r="F56" s="130" t="s">
        <v>266</v>
      </c>
      <c r="G56" s="264">
        <v>245</v>
      </c>
      <c r="H56" s="264">
        <v>151.19999999999999</v>
      </c>
      <c r="I56" s="131">
        <v>230</v>
      </c>
      <c r="J56" s="230" cm="1">
        <f t="array" ref="J56">_xlfn.XLOOKUP($I56,Inputs!C$6:C$23,Inputs!$D$6:D$23)*$G56</f>
        <v>117.6</v>
      </c>
      <c r="K56" s="268">
        <f t="shared" si="6"/>
        <v>1.5486434867346077</v>
      </c>
      <c r="L56" s="121"/>
      <c r="M56" s="197"/>
      <c r="N56" s="121"/>
      <c r="O56" s="222"/>
      <c r="P56" s="221">
        <f>Inputs!$Y$6</f>
        <v>0.9</v>
      </c>
      <c r="Q56" s="269">
        <f>_xlfn.XLOOKUP($I56,Inputs!$G$6:$G$23,Inputs!$J$6:$J$23)*$K56</f>
        <v>207.51822722243745</v>
      </c>
      <c r="R56" s="269">
        <f>_xlfn.XLOOKUP($I56,Inputs!$G$6:$G$23,Inputs!$K$6:$K$23)*$K56</f>
        <v>224.55330557651811</v>
      </c>
      <c r="S56" s="130" t="s">
        <v>617</v>
      </c>
      <c r="T56" s="37" t="s">
        <v>989</v>
      </c>
      <c r="U56" s="130" t="s">
        <v>802</v>
      </c>
      <c r="V56" s="37" t="s">
        <v>1110</v>
      </c>
      <c r="W56" s="37"/>
      <c r="X56" s="17"/>
      <c r="AA56" s="42"/>
    </row>
    <row r="57" spans="2:27" s="3" customFormat="1" ht="18">
      <c r="B57" s="130" t="s">
        <v>408</v>
      </c>
      <c r="C57" s="129" t="s">
        <v>101</v>
      </c>
      <c r="D57" s="37" t="s">
        <v>1135</v>
      </c>
      <c r="E57" s="130">
        <v>1</v>
      </c>
      <c r="F57" s="130" t="s">
        <v>266</v>
      </c>
      <c r="G57" s="264">
        <v>16</v>
      </c>
      <c r="H57" s="264">
        <v>9.9</v>
      </c>
      <c r="I57" s="131">
        <v>138</v>
      </c>
      <c r="J57" s="230" cm="1">
        <f t="array" ref="J57">_xlfn.XLOOKUP($I57,Inputs!C$6:C$23,Inputs!$D$6:D$23)*$G57</f>
        <v>6.9371428571428577</v>
      </c>
      <c r="K57" s="268">
        <f t="shared" si="6"/>
        <v>3</v>
      </c>
      <c r="L57" s="121"/>
      <c r="M57" s="197"/>
      <c r="N57" s="121"/>
      <c r="O57" s="222"/>
      <c r="P57" s="221">
        <f>Inputs!$Y$6</f>
        <v>0.9</v>
      </c>
      <c r="Q57" s="269">
        <f>_xlfn.XLOOKUP($I57,Inputs!$G$6:$G$23,Inputs!$J$6:$J$23)*$K57</f>
        <v>141</v>
      </c>
      <c r="R57" s="269">
        <f>_xlfn.XLOOKUP($I57,Inputs!$G$6:$G$23,Inputs!$K$6:$K$23)*$K57</f>
        <v>156</v>
      </c>
      <c r="S57" s="130" t="s">
        <v>977</v>
      </c>
      <c r="T57" s="37" t="s">
        <v>1120</v>
      </c>
      <c r="U57" s="130" t="s">
        <v>676</v>
      </c>
      <c r="V57" s="37" t="s">
        <v>1121</v>
      </c>
      <c r="W57" s="194"/>
      <c r="X57" s="64"/>
      <c r="AA57" s="42"/>
    </row>
    <row r="58" spans="2:27" s="3" customFormat="1" ht="18">
      <c r="B58" s="130" t="s">
        <v>409</v>
      </c>
      <c r="C58" s="129" t="s">
        <v>101</v>
      </c>
      <c r="D58" s="37" t="s">
        <v>1135</v>
      </c>
      <c r="E58" s="130">
        <v>1</v>
      </c>
      <c r="F58" s="130" t="s">
        <v>266</v>
      </c>
      <c r="G58" s="264">
        <v>12</v>
      </c>
      <c r="H58" s="264">
        <v>7.4</v>
      </c>
      <c r="I58" s="131">
        <v>138</v>
      </c>
      <c r="J58" s="230" cm="1">
        <f t="array" ref="J58">_xlfn.XLOOKUP($I58,Inputs!C$6:C$23,Inputs!$D$6:D$23)*$G58</f>
        <v>5.2028571428571428</v>
      </c>
      <c r="K58" s="268">
        <f t="shared" si="6"/>
        <v>3</v>
      </c>
      <c r="L58" s="121"/>
      <c r="M58" s="197"/>
      <c r="N58" s="121"/>
      <c r="O58" s="222"/>
      <c r="P58" s="221">
        <f>Inputs!$Y$6</f>
        <v>0.9</v>
      </c>
      <c r="Q58" s="269">
        <f>_xlfn.XLOOKUP($I58,Inputs!$G$6:$G$23,Inputs!$J$6:$J$23)*$K58</f>
        <v>141</v>
      </c>
      <c r="R58" s="269">
        <f>_xlfn.XLOOKUP($I58,Inputs!$G$6:$G$23,Inputs!$K$6:$K$23)*$K58</f>
        <v>156</v>
      </c>
      <c r="S58" s="130" t="s">
        <v>676</v>
      </c>
      <c r="T58" s="37" t="s">
        <v>1121</v>
      </c>
      <c r="U58" s="130" t="s">
        <v>801</v>
      </c>
      <c r="V58" s="37" t="s">
        <v>1236</v>
      </c>
      <c r="W58" s="37"/>
      <c r="X58" s="64"/>
      <c r="AA58" s="42"/>
    </row>
    <row r="59" spans="2:27" s="3" customFormat="1" ht="18">
      <c r="B59" s="96" t="s">
        <v>279</v>
      </c>
      <c r="C59" s="98" t="s">
        <v>123</v>
      </c>
      <c r="D59" s="37" t="s">
        <v>1277</v>
      </c>
      <c r="E59" s="96">
        <v>1</v>
      </c>
      <c r="F59" s="96" t="s">
        <v>266</v>
      </c>
      <c r="G59" s="264">
        <v>6</v>
      </c>
      <c r="H59" s="264">
        <v>3.7</v>
      </c>
      <c r="I59" s="97">
        <v>138</v>
      </c>
      <c r="J59" s="230" cm="1">
        <f t="array" ref="J59">_xlfn.XLOOKUP($I59,Inputs!C$6:C$23,Inputs!$D$6:D$23)*$G59</f>
        <v>2.6014285714285714</v>
      </c>
      <c r="K59" s="121"/>
      <c r="L59" s="121"/>
      <c r="M59" s="214">
        <v>350.4</v>
      </c>
      <c r="N59" s="121"/>
      <c r="O59" s="214">
        <v>40.1</v>
      </c>
      <c r="P59" s="221">
        <f>Inputs!$Y$6</f>
        <v>0.9</v>
      </c>
      <c r="Q59" s="197">
        <f t="shared" ref="Q59:Q99" si="7">R59/1.2</f>
        <v>30.075000000000003</v>
      </c>
      <c r="R59" s="214">
        <f t="shared" ref="R59:R99" si="8">O59*P59</f>
        <v>36.090000000000003</v>
      </c>
      <c r="S59" s="96" t="s">
        <v>648</v>
      </c>
      <c r="T59" s="37" t="s">
        <v>1037</v>
      </c>
      <c r="U59" s="96" t="s">
        <v>814</v>
      </c>
      <c r="V59" s="37" t="s">
        <v>1126</v>
      </c>
      <c r="W59" s="37"/>
      <c r="X59" s="17"/>
      <c r="AA59" s="42"/>
    </row>
    <row r="60" spans="2:27" s="3" customFormat="1" ht="18">
      <c r="B60" s="96" t="s">
        <v>287</v>
      </c>
      <c r="C60" s="98" t="s">
        <v>123</v>
      </c>
      <c r="D60" s="37" t="s">
        <v>1277</v>
      </c>
      <c r="E60" s="96">
        <v>1</v>
      </c>
      <c r="F60" s="96" t="s">
        <v>266</v>
      </c>
      <c r="G60" s="264">
        <v>18</v>
      </c>
      <c r="H60" s="264">
        <v>11.1</v>
      </c>
      <c r="I60" s="97">
        <v>138</v>
      </c>
      <c r="J60" s="230" cm="1">
        <f t="array" ref="J60">_xlfn.XLOOKUP($I60,Inputs!C$6:C$23,Inputs!$D$6:D$23)*$G60</f>
        <v>7.8042857142857152</v>
      </c>
      <c r="K60" s="121"/>
      <c r="L60" s="121"/>
      <c r="M60" s="214">
        <v>712.7</v>
      </c>
      <c r="N60" s="121"/>
      <c r="O60" s="214">
        <v>170.4</v>
      </c>
      <c r="P60" s="221">
        <f>Inputs!$Y$6</f>
        <v>0.9</v>
      </c>
      <c r="Q60" s="197">
        <f t="shared" si="7"/>
        <v>127.80000000000001</v>
      </c>
      <c r="R60" s="214">
        <f t="shared" si="8"/>
        <v>153.36000000000001</v>
      </c>
      <c r="S60" s="96" t="s">
        <v>648</v>
      </c>
      <c r="T60" s="37" t="s">
        <v>1037</v>
      </c>
      <c r="U60" s="96" t="s">
        <v>819</v>
      </c>
      <c r="V60" s="37" t="s">
        <v>1046</v>
      </c>
      <c r="W60" s="37"/>
      <c r="X60" s="17"/>
      <c r="AA60" s="42"/>
    </row>
    <row r="61" spans="2:27" s="3" customFormat="1" ht="18">
      <c r="B61" s="96" t="s">
        <v>286</v>
      </c>
      <c r="C61" s="98" t="s">
        <v>123</v>
      </c>
      <c r="D61" s="37" t="s">
        <v>1277</v>
      </c>
      <c r="E61" s="96">
        <v>1</v>
      </c>
      <c r="F61" s="96" t="s">
        <v>266</v>
      </c>
      <c r="G61" s="264">
        <v>85.3</v>
      </c>
      <c r="H61" s="264">
        <v>52.7</v>
      </c>
      <c r="I61" s="97">
        <v>138</v>
      </c>
      <c r="J61" s="230" cm="1">
        <f t="array" ref="J61">_xlfn.XLOOKUP($I61,Inputs!C$6:C$23,Inputs!$D$6:D$23)*$G61</f>
        <v>36.983642857142861</v>
      </c>
      <c r="K61" s="121"/>
      <c r="L61" s="121"/>
      <c r="M61" s="214">
        <v>712.7</v>
      </c>
      <c r="N61" s="121"/>
      <c r="O61" s="214">
        <v>170.4</v>
      </c>
      <c r="P61" s="221">
        <f>Inputs!$Y$6</f>
        <v>0.9</v>
      </c>
      <c r="Q61" s="197">
        <f t="shared" si="7"/>
        <v>127.80000000000001</v>
      </c>
      <c r="R61" s="214">
        <f t="shared" si="8"/>
        <v>153.36000000000001</v>
      </c>
      <c r="S61" s="96" t="s">
        <v>648</v>
      </c>
      <c r="T61" s="37" t="s">
        <v>1037</v>
      </c>
      <c r="U61" s="96" t="s">
        <v>836</v>
      </c>
      <c r="V61" s="37" t="s">
        <v>1153</v>
      </c>
      <c r="W61" s="194"/>
      <c r="X61" s="17"/>
      <c r="AA61" s="42"/>
    </row>
    <row r="62" spans="2:27" s="3" customFormat="1" ht="18">
      <c r="B62" s="96" t="s">
        <v>281</v>
      </c>
      <c r="C62" s="98" t="s">
        <v>123</v>
      </c>
      <c r="D62" s="37" t="s">
        <v>1277</v>
      </c>
      <c r="E62" s="96">
        <v>1</v>
      </c>
      <c r="F62" s="96" t="s">
        <v>266</v>
      </c>
      <c r="G62" s="264">
        <v>12</v>
      </c>
      <c r="H62" s="264">
        <v>7.4</v>
      </c>
      <c r="I62" s="97">
        <v>66</v>
      </c>
      <c r="J62" s="230" cm="1">
        <f t="array" ref="J62">_xlfn.XLOOKUP($I62,Inputs!C$6:C$23,Inputs!$D$6:D$23)*$G62</f>
        <v>4.5857142857142863</v>
      </c>
      <c r="K62" s="121"/>
      <c r="L62" s="121"/>
      <c r="M62" s="214">
        <v>474.3</v>
      </c>
      <c r="N62" s="121"/>
      <c r="O62" s="214">
        <v>54.2</v>
      </c>
      <c r="P62" s="221">
        <f>Inputs!$Y$6</f>
        <v>0.9</v>
      </c>
      <c r="Q62" s="197">
        <f t="shared" si="7"/>
        <v>40.650000000000006</v>
      </c>
      <c r="R62" s="214">
        <f t="shared" si="8"/>
        <v>48.78</v>
      </c>
      <c r="S62" s="96" t="s">
        <v>886</v>
      </c>
      <c r="T62" s="37" t="s">
        <v>1039</v>
      </c>
      <c r="U62" s="96" t="s">
        <v>698</v>
      </c>
      <c r="V62" s="37" t="s">
        <v>1041</v>
      </c>
      <c r="W62" s="37"/>
      <c r="X62" s="17"/>
      <c r="AA62" s="42"/>
    </row>
    <row r="63" spans="2:27" s="3" customFormat="1" ht="18">
      <c r="B63" s="96" t="s">
        <v>292</v>
      </c>
      <c r="C63" s="98" t="s">
        <v>123</v>
      </c>
      <c r="D63" s="37" t="s">
        <v>1277</v>
      </c>
      <c r="E63" s="96">
        <v>1</v>
      </c>
      <c r="F63" s="96" t="s">
        <v>266</v>
      </c>
      <c r="G63" s="264">
        <v>41.2</v>
      </c>
      <c r="H63" s="264">
        <v>25.4</v>
      </c>
      <c r="I63" s="97">
        <v>66</v>
      </c>
      <c r="J63" s="230" cm="1">
        <f t="array" ref="J63">_xlfn.XLOOKUP($I63,Inputs!C$6:C$23,Inputs!$D$6:D$23)*$G63</f>
        <v>15.744285714285716</v>
      </c>
      <c r="K63" s="121"/>
      <c r="L63" s="121"/>
      <c r="M63" s="214">
        <v>712.7</v>
      </c>
      <c r="N63" s="121"/>
      <c r="O63" s="214">
        <v>170.4</v>
      </c>
      <c r="P63" s="221">
        <f>Inputs!$Y$6</f>
        <v>0.9</v>
      </c>
      <c r="Q63" s="197">
        <f t="shared" si="7"/>
        <v>127.80000000000001</v>
      </c>
      <c r="R63" s="214">
        <f t="shared" si="8"/>
        <v>153.36000000000001</v>
      </c>
      <c r="S63" s="96" t="s">
        <v>657</v>
      </c>
      <c r="T63" s="37" t="s">
        <v>1047</v>
      </c>
      <c r="U63" s="96" t="s">
        <v>656</v>
      </c>
      <c r="V63" s="37" t="s">
        <v>1228</v>
      </c>
      <c r="W63" s="37"/>
      <c r="X63" s="17"/>
      <c r="AA63" s="42"/>
    </row>
    <row r="64" spans="2:27" s="3" customFormat="1" ht="18">
      <c r="B64" s="96" t="s">
        <v>294</v>
      </c>
      <c r="C64" s="98" t="s">
        <v>123</v>
      </c>
      <c r="D64" s="37" t="s">
        <v>1277</v>
      </c>
      <c r="E64" s="96">
        <v>1</v>
      </c>
      <c r="F64" s="96" t="s">
        <v>266</v>
      </c>
      <c r="G64" s="264">
        <v>35</v>
      </c>
      <c r="H64" s="264">
        <v>21.6</v>
      </c>
      <c r="I64" s="97">
        <v>66</v>
      </c>
      <c r="J64" s="230" cm="1">
        <f t="array" ref="J64">_xlfn.XLOOKUP($I64,Inputs!C$6:C$23,Inputs!$D$6:D$23)*$G64</f>
        <v>13.375000000000002</v>
      </c>
      <c r="K64" s="121"/>
      <c r="L64" s="121"/>
      <c r="M64" s="214">
        <v>712.7</v>
      </c>
      <c r="N64" s="121"/>
      <c r="O64" s="214">
        <v>81.5</v>
      </c>
      <c r="P64" s="221">
        <f>Inputs!$Y$6</f>
        <v>0.9</v>
      </c>
      <c r="Q64" s="197">
        <f t="shared" si="7"/>
        <v>61.125000000000007</v>
      </c>
      <c r="R64" s="214">
        <f t="shared" si="8"/>
        <v>73.350000000000009</v>
      </c>
      <c r="S64" s="96" t="s">
        <v>657</v>
      </c>
      <c r="T64" s="37" t="s">
        <v>1047</v>
      </c>
      <c r="U64" s="96" t="s">
        <v>886</v>
      </c>
      <c r="V64" s="37" t="s">
        <v>1039</v>
      </c>
      <c r="W64" s="37"/>
      <c r="X64" s="17"/>
      <c r="AA64" s="42"/>
    </row>
    <row r="65" spans="1:27" s="3" customFormat="1" ht="18">
      <c r="B65" s="96" t="s">
        <v>295</v>
      </c>
      <c r="C65" s="98" t="s">
        <v>123</v>
      </c>
      <c r="D65" s="37" t="s">
        <v>1277</v>
      </c>
      <c r="E65" s="96">
        <v>1</v>
      </c>
      <c r="F65" s="96" t="s">
        <v>266</v>
      </c>
      <c r="G65" s="264">
        <v>8.8000000000000007</v>
      </c>
      <c r="H65" s="264">
        <v>5.4</v>
      </c>
      <c r="I65" s="97">
        <v>138</v>
      </c>
      <c r="J65" s="230" cm="1">
        <f t="array" ref="J65">_xlfn.XLOOKUP($I65,Inputs!C$6:C$23,Inputs!$D$6:D$23)*$G65</f>
        <v>3.8154285714285718</v>
      </c>
      <c r="K65" s="121"/>
      <c r="L65" s="121"/>
      <c r="M65" s="214">
        <v>712.7</v>
      </c>
      <c r="N65" s="121"/>
      <c r="O65" s="214">
        <v>170.4</v>
      </c>
      <c r="P65" s="221">
        <f>Inputs!$Y$6</f>
        <v>0.9</v>
      </c>
      <c r="Q65" s="197">
        <f t="shared" si="7"/>
        <v>127.80000000000001</v>
      </c>
      <c r="R65" s="214">
        <f t="shared" si="8"/>
        <v>153.36000000000001</v>
      </c>
      <c r="S65" s="96" t="s">
        <v>657</v>
      </c>
      <c r="T65" s="37" t="s">
        <v>1047</v>
      </c>
      <c r="U65" s="96" t="s">
        <v>645</v>
      </c>
      <c r="V65" s="37" t="s">
        <v>1034</v>
      </c>
      <c r="W65" s="37"/>
      <c r="X65" s="17"/>
      <c r="AA65" s="42"/>
    </row>
    <row r="66" spans="1:27" s="3" customFormat="1" ht="18">
      <c r="B66" s="79" t="s">
        <v>214</v>
      </c>
      <c r="C66" s="78" t="s">
        <v>101</v>
      </c>
      <c r="D66" s="37" t="s">
        <v>1277</v>
      </c>
      <c r="E66" s="79">
        <v>1</v>
      </c>
      <c r="F66" s="79" t="s">
        <v>266</v>
      </c>
      <c r="G66" s="264">
        <v>11.6</v>
      </c>
      <c r="H66" s="264">
        <v>7.2</v>
      </c>
      <c r="I66" s="81">
        <v>138</v>
      </c>
      <c r="J66" s="230" cm="1">
        <f t="array" ref="J66">_xlfn.XLOOKUP($I66,Inputs!C$6:C$23,Inputs!$D$6:D$23)*$G66</f>
        <v>5.0294285714285714</v>
      </c>
      <c r="K66" s="270"/>
      <c r="L66" s="121"/>
      <c r="M66" s="197"/>
      <c r="N66" s="121"/>
      <c r="O66" s="267">
        <v>144.1</v>
      </c>
      <c r="P66" s="221">
        <f>Inputs!$Y$6</f>
        <v>0.9</v>
      </c>
      <c r="Q66" s="197">
        <f t="shared" si="7"/>
        <v>108.075</v>
      </c>
      <c r="R66" s="267">
        <f t="shared" si="8"/>
        <v>129.69</v>
      </c>
      <c r="S66" s="165" t="s">
        <v>657</v>
      </c>
      <c r="T66" s="37" t="s">
        <v>1047</v>
      </c>
      <c r="U66" s="165" t="s">
        <v>645</v>
      </c>
      <c r="V66" s="37" t="s">
        <v>1034</v>
      </c>
      <c r="W66" s="194"/>
      <c r="X66" s="17"/>
      <c r="AA66" s="114"/>
    </row>
    <row r="67" spans="1:27" s="3" customFormat="1" ht="18">
      <c r="B67" s="96" t="s">
        <v>443</v>
      </c>
      <c r="C67" s="98" t="s">
        <v>123</v>
      </c>
      <c r="D67" s="37" t="s">
        <v>1277</v>
      </c>
      <c r="E67" s="96">
        <v>1</v>
      </c>
      <c r="F67" s="96" t="s">
        <v>266</v>
      </c>
      <c r="G67" s="264">
        <v>9</v>
      </c>
      <c r="H67" s="264">
        <v>5.6</v>
      </c>
      <c r="I67" s="97">
        <v>66</v>
      </c>
      <c r="J67" s="230" cm="1">
        <f t="array" ref="J67">_xlfn.XLOOKUP($I67,Inputs!C$6:C$23,Inputs!$D$6:D$23)*$G67</f>
        <v>3.4392857142857145</v>
      </c>
      <c r="K67" s="121"/>
      <c r="L67" s="121"/>
      <c r="M67" s="214">
        <v>712.7</v>
      </c>
      <c r="N67" s="121"/>
      <c r="O67" s="214">
        <v>170.4</v>
      </c>
      <c r="P67" s="221">
        <f>Inputs!$Y$6</f>
        <v>0.9</v>
      </c>
      <c r="Q67" s="197">
        <f t="shared" si="7"/>
        <v>127.80000000000001</v>
      </c>
      <c r="R67" s="214">
        <f t="shared" si="8"/>
        <v>153.36000000000001</v>
      </c>
      <c r="S67" s="96" t="s">
        <v>805</v>
      </c>
      <c r="T67" s="37" t="s">
        <v>1018</v>
      </c>
      <c r="U67" s="96" t="s">
        <v>822</v>
      </c>
      <c r="V67" s="37" t="s">
        <v>1016</v>
      </c>
      <c r="W67" s="37"/>
      <c r="X67" s="17"/>
      <c r="AA67" s="114"/>
    </row>
    <row r="68" spans="1:27" s="3" customFormat="1" ht="18">
      <c r="B68" s="79" t="s">
        <v>238</v>
      </c>
      <c r="C68" s="78" t="s">
        <v>101</v>
      </c>
      <c r="D68" s="37" t="s">
        <v>1277</v>
      </c>
      <c r="E68" s="79">
        <v>1</v>
      </c>
      <c r="F68" s="79" t="s">
        <v>266</v>
      </c>
      <c r="G68" s="264">
        <v>34.9</v>
      </c>
      <c r="H68" s="264">
        <v>21.5</v>
      </c>
      <c r="I68" s="81">
        <v>230</v>
      </c>
      <c r="J68" s="230" cm="1">
        <f t="array" ref="J68">_xlfn.XLOOKUP($I68,Inputs!C$6:C$23,Inputs!$D$6:D$23)*$G68</f>
        <v>16.751999999999999</v>
      </c>
      <c r="K68" s="121"/>
      <c r="L68" s="121"/>
      <c r="M68" s="197"/>
      <c r="N68" s="121"/>
      <c r="O68" s="267">
        <v>459.6</v>
      </c>
      <c r="P68" s="221">
        <f>Inputs!$Y$6</f>
        <v>0.9</v>
      </c>
      <c r="Q68" s="197">
        <f t="shared" si="7"/>
        <v>344.70000000000005</v>
      </c>
      <c r="R68" s="267">
        <f t="shared" si="8"/>
        <v>413.64000000000004</v>
      </c>
      <c r="S68" s="165" t="s">
        <v>694</v>
      </c>
      <c r="T68" s="37" t="s">
        <v>1216</v>
      </c>
      <c r="U68" s="165" t="s">
        <v>641</v>
      </c>
      <c r="V68" s="37" t="s">
        <v>1029</v>
      </c>
      <c r="W68" s="37"/>
      <c r="X68" s="17"/>
      <c r="AA68" s="42"/>
    </row>
    <row r="69" spans="1:27" s="3" customFormat="1" ht="18">
      <c r="B69" s="79" t="s">
        <v>222</v>
      </c>
      <c r="C69" s="78" t="s">
        <v>101</v>
      </c>
      <c r="D69" s="37" t="s">
        <v>1277</v>
      </c>
      <c r="E69" s="79">
        <v>1</v>
      </c>
      <c r="F69" s="79" t="s">
        <v>266</v>
      </c>
      <c r="G69" s="264">
        <v>34.9</v>
      </c>
      <c r="H69" s="264">
        <v>21.5</v>
      </c>
      <c r="I69" s="81">
        <v>66</v>
      </c>
      <c r="J69" s="230" cm="1">
        <f t="array" ref="J69">_xlfn.XLOOKUP($I69,Inputs!C$6:C$23,Inputs!$D$6:D$23)*$G69</f>
        <v>13.336785714285714</v>
      </c>
      <c r="K69" s="121"/>
      <c r="L69" s="121"/>
      <c r="M69" s="197"/>
      <c r="N69" s="121"/>
      <c r="O69" s="267">
        <v>56.2</v>
      </c>
      <c r="P69" s="221">
        <f>Inputs!$Y$6</f>
        <v>0.9</v>
      </c>
      <c r="Q69" s="197">
        <f t="shared" si="7"/>
        <v>42.150000000000006</v>
      </c>
      <c r="R69" s="267">
        <f t="shared" si="8"/>
        <v>50.580000000000005</v>
      </c>
      <c r="S69" s="165" t="s">
        <v>795</v>
      </c>
      <c r="T69" s="37" t="s">
        <v>1071</v>
      </c>
      <c r="U69" s="165" t="s">
        <v>796</v>
      </c>
      <c r="V69" s="37" t="s">
        <v>1070</v>
      </c>
      <c r="W69" s="37"/>
      <c r="X69" s="17"/>
      <c r="AA69" s="42"/>
    </row>
    <row r="70" spans="1:27" s="3" customFormat="1" ht="18">
      <c r="B70" s="79" t="s">
        <v>229</v>
      </c>
      <c r="C70" s="78" t="s">
        <v>101</v>
      </c>
      <c r="D70" s="37" t="s">
        <v>1277</v>
      </c>
      <c r="E70" s="79">
        <v>1</v>
      </c>
      <c r="F70" s="79" t="s">
        <v>266</v>
      </c>
      <c r="G70" s="264">
        <v>11.6</v>
      </c>
      <c r="H70" s="264">
        <v>7.2</v>
      </c>
      <c r="I70" s="81">
        <v>66</v>
      </c>
      <c r="J70" s="230" cm="1">
        <f t="array" ref="J70">_xlfn.XLOOKUP($I70,Inputs!C$6:C$23,Inputs!$D$6:D$23)*$G70</f>
        <v>4.4328571428571433</v>
      </c>
      <c r="K70" s="121"/>
      <c r="L70" s="121"/>
      <c r="M70" s="197"/>
      <c r="N70" s="121"/>
      <c r="O70" s="267">
        <v>53.8</v>
      </c>
      <c r="P70" s="221">
        <f>Inputs!$Y$6</f>
        <v>0.9</v>
      </c>
      <c r="Q70" s="197">
        <f t="shared" si="7"/>
        <v>40.35</v>
      </c>
      <c r="R70" s="267">
        <f t="shared" si="8"/>
        <v>48.42</v>
      </c>
      <c r="S70" s="165" t="s">
        <v>690</v>
      </c>
      <c r="T70" s="37" t="s">
        <v>1080</v>
      </c>
      <c r="U70" s="165" t="s">
        <v>691</v>
      </c>
      <c r="V70" s="37" t="s">
        <v>1079</v>
      </c>
      <c r="W70" s="37"/>
      <c r="X70" s="17"/>
      <c r="AA70" s="114"/>
    </row>
    <row r="71" spans="1:27" s="3" customFormat="1" ht="18">
      <c r="B71" s="79" t="s">
        <v>246</v>
      </c>
      <c r="C71" s="78" t="s">
        <v>101</v>
      </c>
      <c r="D71" s="37" t="s">
        <v>1277</v>
      </c>
      <c r="E71" s="79">
        <v>1</v>
      </c>
      <c r="F71" s="79" t="s">
        <v>266</v>
      </c>
      <c r="G71" s="264">
        <v>122.1</v>
      </c>
      <c r="H71" s="264">
        <v>75.400000000000006</v>
      </c>
      <c r="I71" s="81">
        <v>230</v>
      </c>
      <c r="J71" s="230" cm="1">
        <f t="array" ref="J71">_xlfn.XLOOKUP($I71,Inputs!C$6:C$23,Inputs!$D$6:D$23)*$G71</f>
        <v>58.607999999999997</v>
      </c>
      <c r="K71" s="121"/>
      <c r="L71" s="121"/>
      <c r="M71" s="197"/>
      <c r="N71" s="121"/>
      <c r="O71" s="267">
        <v>466.6</v>
      </c>
      <c r="P71" s="221">
        <f>Inputs!$Y$6</f>
        <v>0.9</v>
      </c>
      <c r="Q71" s="197">
        <f t="shared" si="7"/>
        <v>349.95000000000005</v>
      </c>
      <c r="R71" s="267">
        <f t="shared" si="8"/>
        <v>419.94000000000005</v>
      </c>
      <c r="S71" s="165" t="s">
        <v>687</v>
      </c>
      <c r="T71" s="37" t="s">
        <v>1232</v>
      </c>
      <c r="U71" s="165" t="s">
        <v>731</v>
      </c>
      <c r="V71" s="37" t="s">
        <v>988</v>
      </c>
      <c r="W71" s="37"/>
      <c r="X71" s="17"/>
      <c r="AA71" s="42"/>
    </row>
    <row r="72" spans="1:27" s="3" customFormat="1" ht="18">
      <c r="B72" s="79" t="s">
        <v>227</v>
      </c>
      <c r="C72" s="78" t="s">
        <v>101</v>
      </c>
      <c r="D72" s="37" t="s">
        <v>1277</v>
      </c>
      <c r="E72" s="79">
        <v>1</v>
      </c>
      <c r="F72" s="79" t="s">
        <v>266</v>
      </c>
      <c r="G72" s="264">
        <v>11.6</v>
      </c>
      <c r="H72" s="264">
        <v>7.2</v>
      </c>
      <c r="I72" s="81">
        <v>66</v>
      </c>
      <c r="J72" s="230" cm="1">
        <f t="array" ref="J72">_xlfn.XLOOKUP($I72,Inputs!C$6:C$23,Inputs!$D$6:D$23)*$G72</f>
        <v>4.4328571428571433</v>
      </c>
      <c r="K72" s="121"/>
      <c r="L72" s="121"/>
      <c r="M72" s="197"/>
      <c r="N72" s="121"/>
      <c r="O72" s="267">
        <v>53.8</v>
      </c>
      <c r="P72" s="221">
        <f>Inputs!$Y$6</f>
        <v>0.9</v>
      </c>
      <c r="Q72" s="197">
        <f t="shared" si="7"/>
        <v>40.35</v>
      </c>
      <c r="R72" s="267">
        <f t="shared" si="8"/>
        <v>48.42</v>
      </c>
      <c r="S72" s="165" t="s">
        <v>687</v>
      </c>
      <c r="T72" s="37" t="s">
        <v>1232</v>
      </c>
      <c r="U72" s="165" t="s">
        <v>985</v>
      </c>
      <c r="V72" s="37" t="s">
        <v>990</v>
      </c>
      <c r="W72" s="194"/>
      <c r="X72" s="17"/>
      <c r="AA72" s="42"/>
    </row>
    <row r="73" spans="1:27" s="3" customFormat="1" ht="18">
      <c r="B73" s="79" t="s">
        <v>245</v>
      </c>
      <c r="C73" s="78" t="s">
        <v>101</v>
      </c>
      <c r="D73" s="37" t="s">
        <v>1277</v>
      </c>
      <c r="E73" s="79">
        <v>1</v>
      </c>
      <c r="F73" s="79" t="s">
        <v>266</v>
      </c>
      <c r="G73" s="264">
        <v>29.1</v>
      </c>
      <c r="H73" s="264">
        <v>17.899999999999999</v>
      </c>
      <c r="I73" s="81">
        <v>138</v>
      </c>
      <c r="J73" s="230" cm="1">
        <f t="array" ref="J73">_xlfn.XLOOKUP($I73,Inputs!C$6:C$23,Inputs!$D$6:D$23)*$G73</f>
        <v>12.616928571428573</v>
      </c>
      <c r="K73" s="121"/>
      <c r="L73" s="121"/>
      <c r="M73" s="197"/>
      <c r="N73" s="121"/>
      <c r="O73" s="267">
        <v>112.6</v>
      </c>
      <c r="P73" s="221">
        <f>Inputs!$Y$6</f>
        <v>0.9</v>
      </c>
      <c r="Q73" s="197">
        <f t="shared" si="7"/>
        <v>84.45</v>
      </c>
      <c r="R73" s="267">
        <f t="shared" si="8"/>
        <v>101.34</v>
      </c>
      <c r="S73" s="165" t="s">
        <v>687</v>
      </c>
      <c r="T73" s="37" t="s">
        <v>1232</v>
      </c>
      <c r="U73" s="165" t="s">
        <v>686</v>
      </c>
      <c r="V73" s="37" t="s">
        <v>1075</v>
      </c>
      <c r="W73" s="37"/>
      <c r="X73" s="17"/>
      <c r="AA73" s="114"/>
    </row>
    <row r="74" spans="1:27" ht="18">
      <c r="A74" s="3"/>
      <c r="B74" s="79" t="s">
        <v>247</v>
      </c>
      <c r="C74" s="78" t="s">
        <v>101</v>
      </c>
      <c r="D74" s="37" t="s">
        <v>1277</v>
      </c>
      <c r="E74" s="79">
        <v>1</v>
      </c>
      <c r="F74" s="79" t="s">
        <v>266</v>
      </c>
      <c r="G74" s="264">
        <v>52.3</v>
      </c>
      <c r="H74" s="264">
        <v>32.299999999999997</v>
      </c>
      <c r="I74" s="81">
        <v>230</v>
      </c>
      <c r="J74" s="230" cm="1">
        <f t="array" ref="J74">_xlfn.XLOOKUP($I74,Inputs!C$6:C$23,Inputs!$D$6:D$23)*$G74</f>
        <v>25.103999999999999</v>
      </c>
      <c r="K74" s="121"/>
      <c r="L74" s="121"/>
      <c r="M74" s="197"/>
      <c r="N74" s="121"/>
      <c r="O74" s="267">
        <v>466.6</v>
      </c>
      <c r="P74" s="221">
        <f>Inputs!$Y$6</f>
        <v>0.9</v>
      </c>
      <c r="Q74" s="197">
        <f t="shared" si="7"/>
        <v>349.95000000000005</v>
      </c>
      <c r="R74" s="267">
        <f t="shared" si="8"/>
        <v>419.94000000000005</v>
      </c>
      <c r="S74" s="165" t="s">
        <v>687</v>
      </c>
      <c r="T74" s="37" t="s">
        <v>1232</v>
      </c>
      <c r="U74" s="165" t="s">
        <v>665</v>
      </c>
      <c r="V74" s="37" t="s">
        <v>1125</v>
      </c>
      <c r="W74" s="194"/>
      <c r="X74" s="17"/>
    </row>
    <row r="75" spans="1:27" ht="18">
      <c r="A75" s="3"/>
      <c r="B75" s="79" t="s">
        <v>228</v>
      </c>
      <c r="C75" s="78" t="s">
        <v>101</v>
      </c>
      <c r="D75" s="37" t="s">
        <v>1277</v>
      </c>
      <c r="E75" s="79">
        <v>1</v>
      </c>
      <c r="F75" s="79" t="s">
        <v>266</v>
      </c>
      <c r="G75" s="264">
        <v>40.700000000000003</v>
      </c>
      <c r="H75" s="264">
        <v>25.1</v>
      </c>
      <c r="I75" s="81">
        <v>66</v>
      </c>
      <c r="J75" s="230" cm="1">
        <f t="array" ref="J75">_xlfn.XLOOKUP($I75,Inputs!C$6:C$23,Inputs!$D$6:D$23)*$G75</f>
        <v>15.553214285714288</v>
      </c>
      <c r="K75" s="121"/>
      <c r="L75" s="121"/>
      <c r="M75" s="197"/>
      <c r="N75" s="121"/>
      <c r="O75" s="267">
        <v>53.8</v>
      </c>
      <c r="P75" s="221">
        <f>Inputs!$Y$6</f>
        <v>0.9</v>
      </c>
      <c r="Q75" s="197">
        <f t="shared" si="7"/>
        <v>40.35</v>
      </c>
      <c r="R75" s="267">
        <f t="shared" si="8"/>
        <v>48.42</v>
      </c>
      <c r="S75" s="165" t="s">
        <v>687</v>
      </c>
      <c r="T75" s="37" t="s">
        <v>1232</v>
      </c>
      <c r="U75" s="165" t="s">
        <v>689</v>
      </c>
      <c r="V75" s="37" t="s">
        <v>1077</v>
      </c>
      <c r="W75" s="37"/>
      <c r="X75" s="17"/>
    </row>
    <row r="76" spans="1:27" ht="18">
      <c r="A76" s="3"/>
      <c r="B76" s="79" t="s">
        <v>218</v>
      </c>
      <c r="C76" s="78" t="s">
        <v>123</v>
      </c>
      <c r="D76" s="37" t="s">
        <v>1277</v>
      </c>
      <c r="E76" s="79">
        <v>1</v>
      </c>
      <c r="F76" s="79" t="s">
        <v>266</v>
      </c>
      <c r="G76" s="264">
        <v>29.1</v>
      </c>
      <c r="H76" s="264">
        <v>17.899999999999999</v>
      </c>
      <c r="I76" s="81">
        <v>66</v>
      </c>
      <c r="J76" s="230" cm="1">
        <f t="array" ref="J76">_xlfn.XLOOKUP($I76,Inputs!C$6:C$23,Inputs!$D$6:D$23)*$G76</f>
        <v>11.120357142857145</v>
      </c>
      <c r="K76" s="121"/>
      <c r="L76" s="121"/>
      <c r="M76" s="197"/>
      <c r="N76" s="121"/>
      <c r="O76" s="267">
        <v>46</v>
      </c>
      <c r="P76" s="221">
        <f>Inputs!$Y$6</f>
        <v>0.9</v>
      </c>
      <c r="Q76" s="197">
        <f t="shared" si="7"/>
        <v>34.5</v>
      </c>
      <c r="R76" s="267">
        <f t="shared" si="8"/>
        <v>41.4</v>
      </c>
      <c r="S76" s="165" t="s">
        <v>682</v>
      </c>
      <c r="T76" s="37" t="s">
        <v>1069</v>
      </c>
      <c r="U76" s="165" t="s">
        <v>675</v>
      </c>
      <c r="V76" s="37" t="s">
        <v>1064</v>
      </c>
      <c r="W76" s="37"/>
      <c r="X76" s="17"/>
    </row>
    <row r="77" spans="1:27" ht="18">
      <c r="A77" s="3"/>
      <c r="B77" s="96" t="s">
        <v>443</v>
      </c>
      <c r="C77" s="98" t="s">
        <v>123</v>
      </c>
      <c r="D77" s="37" t="s">
        <v>1277</v>
      </c>
      <c r="E77" s="96">
        <v>1</v>
      </c>
      <c r="F77" s="96" t="s">
        <v>266</v>
      </c>
      <c r="G77" s="264">
        <v>10</v>
      </c>
      <c r="H77" s="264">
        <v>6.2</v>
      </c>
      <c r="I77" s="97">
        <v>66</v>
      </c>
      <c r="J77" s="230" cm="1">
        <f t="array" ref="J77">_xlfn.XLOOKUP($I77,Inputs!C$6:C$23,Inputs!$D$6:D$23)*$G77</f>
        <v>3.8214285714285716</v>
      </c>
      <c r="K77" s="121"/>
      <c r="L77" s="121"/>
      <c r="M77" s="214">
        <v>712.7</v>
      </c>
      <c r="N77" s="121"/>
      <c r="O77" s="214">
        <v>170.4</v>
      </c>
      <c r="P77" s="221">
        <f>Inputs!$Y$6</f>
        <v>0.9</v>
      </c>
      <c r="Q77" s="197">
        <f t="shared" si="7"/>
        <v>127.80000000000001</v>
      </c>
      <c r="R77" s="214">
        <f t="shared" si="8"/>
        <v>153.36000000000001</v>
      </c>
      <c r="S77" s="96" t="s">
        <v>629</v>
      </c>
      <c r="T77" s="37" t="s">
        <v>1015</v>
      </c>
      <c r="U77" s="96" t="s">
        <v>683</v>
      </c>
      <c r="V77" s="37" t="s">
        <v>1017</v>
      </c>
      <c r="W77" s="37"/>
      <c r="X77" s="17"/>
    </row>
    <row r="78" spans="1:27" ht="18">
      <c r="A78" s="3"/>
      <c r="B78" s="96" t="s">
        <v>442</v>
      </c>
      <c r="C78" s="98" t="s">
        <v>123</v>
      </c>
      <c r="D78" s="37" t="s">
        <v>1277</v>
      </c>
      <c r="E78" s="96">
        <v>1</v>
      </c>
      <c r="F78" s="96" t="s">
        <v>266</v>
      </c>
      <c r="G78" s="264">
        <v>7</v>
      </c>
      <c r="H78" s="264">
        <v>4.3</v>
      </c>
      <c r="I78" s="97">
        <v>66</v>
      </c>
      <c r="J78" s="230" cm="1">
        <f t="array" ref="J78">_xlfn.XLOOKUP($I78,Inputs!C$6:C$23,Inputs!$D$6:D$23)*$G78</f>
        <v>2.6750000000000003</v>
      </c>
      <c r="K78" s="121"/>
      <c r="L78" s="121"/>
      <c r="M78" s="214">
        <v>1003.9</v>
      </c>
      <c r="N78" s="121"/>
      <c r="O78" s="214">
        <v>114.8</v>
      </c>
      <c r="P78" s="221">
        <f>Inputs!$Y$6</f>
        <v>0.9</v>
      </c>
      <c r="Q78" s="197">
        <f t="shared" si="7"/>
        <v>86.1</v>
      </c>
      <c r="R78" s="214">
        <f t="shared" si="8"/>
        <v>103.32</v>
      </c>
      <c r="S78" s="96" t="s">
        <v>629</v>
      </c>
      <c r="T78" s="37" t="s">
        <v>1015</v>
      </c>
      <c r="U78" s="96" t="s">
        <v>709</v>
      </c>
      <c r="V78" s="37" t="s">
        <v>1249</v>
      </c>
      <c r="W78" s="199"/>
      <c r="X78" s="17"/>
    </row>
    <row r="79" spans="1:27" ht="18">
      <c r="A79" s="3"/>
      <c r="B79" s="96" t="s">
        <v>454</v>
      </c>
      <c r="C79" s="98" t="s">
        <v>123</v>
      </c>
      <c r="D79" s="37" t="s">
        <v>1277</v>
      </c>
      <c r="E79" s="96">
        <v>1</v>
      </c>
      <c r="F79" s="96" t="s">
        <v>266</v>
      </c>
      <c r="G79" s="264">
        <v>8</v>
      </c>
      <c r="H79" s="264">
        <v>4.9000000000000004</v>
      </c>
      <c r="I79" s="97">
        <v>66</v>
      </c>
      <c r="J79" s="230" cm="1">
        <f t="array" ref="J79">_xlfn.XLOOKUP($I79,Inputs!C$6:C$23,Inputs!$D$6:D$23)*$G79</f>
        <v>3.0571428571428574</v>
      </c>
      <c r="K79" s="121"/>
      <c r="L79" s="121"/>
      <c r="M79" s="214">
        <v>474.3</v>
      </c>
      <c r="N79" s="121"/>
      <c r="O79" s="214">
        <v>54.2</v>
      </c>
      <c r="P79" s="221">
        <f>Inputs!$Y$6</f>
        <v>0.9</v>
      </c>
      <c r="Q79" s="197">
        <f t="shared" si="7"/>
        <v>40.650000000000006</v>
      </c>
      <c r="R79" s="214">
        <f t="shared" si="8"/>
        <v>48.78</v>
      </c>
      <c r="S79" s="96" t="s">
        <v>806</v>
      </c>
      <c r="T79" s="37" t="s">
        <v>1023</v>
      </c>
      <c r="U79" s="96" t="s">
        <v>852</v>
      </c>
      <c r="V79" s="37" t="s">
        <v>1095</v>
      </c>
      <c r="W79" s="37"/>
      <c r="X79" s="17"/>
    </row>
    <row r="80" spans="1:27" ht="18">
      <c r="A80" s="3"/>
      <c r="B80" s="79" t="s">
        <v>222</v>
      </c>
      <c r="C80" s="78" t="s">
        <v>101</v>
      </c>
      <c r="D80" s="37" t="s">
        <v>1277</v>
      </c>
      <c r="E80" s="79">
        <v>1</v>
      </c>
      <c r="F80" s="79" t="s">
        <v>266</v>
      </c>
      <c r="G80" s="264">
        <v>34.9</v>
      </c>
      <c r="H80" s="264">
        <v>21.5</v>
      </c>
      <c r="I80" s="81">
        <v>66</v>
      </c>
      <c r="J80" s="230" cm="1">
        <f t="array" ref="J80">_xlfn.XLOOKUP($I80,Inputs!C$6:C$23,Inputs!$D$6:D$23)*$G80</f>
        <v>13.336785714285714</v>
      </c>
      <c r="K80" s="121"/>
      <c r="L80" s="121"/>
      <c r="M80" s="197"/>
      <c r="N80" s="121"/>
      <c r="O80" s="267">
        <v>56.2</v>
      </c>
      <c r="P80" s="221">
        <f>Inputs!$Y$6</f>
        <v>0.9</v>
      </c>
      <c r="Q80" s="197">
        <f t="shared" si="7"/>
        <v>42.150000000000006</v>
      </c>
      <c r="R80" s="267">
        <f t="shared" si="8"/>
        <v>50.580000000000005</v>
      </c>
      <c r="S80" s="165" t="s">
        <v>796</v>
      </c>
      <c r="T80" s="37" t="s">
        <v>1070</v>
      </c>
      <c r="U80" s="165" t="s">
        <v>727</v>
      </c>
      <c r="V80" s="37" t="s">
        <v>1111</v>
      </c>
      <c r="W80" s="200"/>
      <c r="X80" s="17"/>
    </row>
    <row r="81" spans="1:40" ht="18">
      <c r="A81" s="3"/>
      <c r="B81" s="96" t="s">
        <v>312</v>
      </c>
      <c r="C81" s="98" t="s">
        <v>123</v>
      </c>
      <c r="D81" s="37" t="s">
        <v>1277</v>
      </c>
      <c r="E81" s="96">
        <v>1</v>
      </c>
      <c r="F81" s="96" t="s">
        <v>266</v>
      </c>
      <c r="G81" s="264">
        <v>8.8000000000000007</v>
      </c>
      <c r="H81" s="264">
        <v>5.4</v>
      </c>
      <c r="I81" s="97">
        <v>66</v>
      </c>
      <c r="J81" s="230" cm="1">
        <f t="array" ref="J81">_xlfn.XLOOKUP($I81,Inputs!C$6:C$23,Inputs!$D$6:D$23)*$G81</f>
        <v>3.3628571428571434</v>
      </c>
      <c r="K81" s="121"/>
      <c r="L81" s="121"/>
      <c r="M81" s="214">
        <v>712.7</v>
      </c>
      <c r="N81" s="121"/>
      <c r="O81" s="214">
        <v>81.5</v>
      </c>
      <c r="P81" s="221">
        <f>Inputs!$Y$6</f>
        <v>0.9</v>
      </c>
      <c r="Q81" s="197">
        <f t="shared" si="7"/>
        <v>61.125000000000007</v>
      </c>
      <c r="R81" s="214">
        <f t="shared" si="8"/>
        <v>73.350000000000009</v>
      </c>
      <c r="S81" s="96" t="s">
        <v>979</v>
      </c>
      <c r="T81" s="37" t="s">
        <v>1059</v>
      </c>
      <c r="U81" s="96" t="s">
        <v>674</v>
      </c>
      <c r="V81" s="37" t="s">
        <v>1062</v>
      </c>
      <c r="W81" s="194"/>
      <c r="X81" s="17"/>
    </row>
    <row r="82" spans="1:40" s="114" customFormat="1" ht="18">
      <c r="A82" s="3"/>
      <c r="B82" s="96" t="s">
        <v>282</v>
      </c>
      <c r="C82" s="98" t="s">
        <v>123</v>
      </c>
      <c r="D82" s="37" t="s">
        <v>1277</v>
      </c>
      <c r="E82" s="96">
        <v>1</v>
      </c>
      <c r="F82" s="96" t="s">
        <v>266</v>
      </c>
      <c r="G82" s="264">
        <v>23.5</v>
      </c>
      <c r="H82" s="264">
        <v>14.5</v>
      </c>
      <c r="I82" s="97">
        <v>66</v>
      </c>
      <c r="J82" s="230" cm="1">
        <f t="array" ref="J82">_xlfn.XLOOKUP($I82,Inputs!C$6:C$23,Inputs!$D$6:D$23)*$G82</f>
        <v>8.9803571428571427</v>
      </c>
      <c r="K82" s="121"/>
      <c r="L82" s="121"/>
      <c r="M82" s="214">
        <v>474.3</v>
      </c>
      <c r="N82" s="121"/>
      <c r="O82" s="214">
        <v>54.2</v>
      </c>
      <c r="P82" s="221">
        <f>Inputs!$Y$6</f>
        <v>0.9</v>
      </c>
      <c r="Q82" s="197">
        <f t="shared" si="7"/>
        <v>40.650000000000006</v>
      </c>
      <c r="R82" s="214">
        <f t="shared" si="8"/>
        <v>48.78</v>
      </c>
      <c r="S82" s="96" t="s">
        <v>651</v>
      </c>
      <c r="T82" s="37" t="s">
        <v>1042</v>
      </c>
      <c r="U82" s="96" t="s">
        <v>652</v>
      </c>
      <c r="V82" s="37" t="s">
        <v>1043</v>
      </c>
      <c r="W82" s="194"/>
      <c r="X82" s="17"/>
    </row>
    <row r="83" spans="1:40" ht="18">
      <c r="A83" s="3"/>
      <c r="B83" s="96" t="s">
        <v>296</v>
      </c>
      <c r="C83" s="98" t="s">
        <v>123</v>
      </c>
      <c r="D83" s="37" t="s">
        <v>1277</v>
      </c>
      <c r="E83" s="96">
        <v>1</v>
      </c>
      <c r="F83" s="96" t="s">
        <v>266</v>
      </c>
      <c r="G83" s="264">
        <v>35.299999999999997</v>
      </c>
      <c r="H83" s="264">
        <v>21.8</v>
      </c>
      <c r="I83" s="97">
        <v>138</v>
      </c>
      <c r="J83" s="230" cm="1">
        <f t="array" ref="J83">_xlfn.XLOOKUP($I83,Inputs!C$6:C$23,Inputs!$D$6:D$23)*$G83</f>
        <v>15.305071428571429</v>
      </c>
      <c r="K83" s="121"/>
      <c r="L83" s="121"/>
      <c r="M83" s="214">
        <v>563.79999999999995</v>
      </c>
      <c r="N83" s="121"/>
      <c r="O83" s="214">
        <v>134.80000000000001</v>
      </c>
      <c r="P83" s="221">
        <f>Inputs!$Y$6</f>
        <v>0.9</v>
      </c>
      <c r="Q83" s="197">
        <f t="shared" si="7"/>
        <v>101.10000000000001</v>
      </c>
      <c r="R83" s="214">
        <f t="shared" si="8"/>
        <v>121.32000000000001</v>
      </c>
      <c r="S83" s="96" t="s">
        <v>645</v>
      </c>
      <c r="T83" s="37" t="s">
        <v>1034</v>
      </c>
      <c r="U83" s="96" t="s">
        <v>651</v>
      </c>
      <c r="V83" s="37" t="s">
        <v>1042</v>
      </c>
      <c r="W83" s="37"/>
      <c r="X83" s="17"/>
    </row>
    <row r="84" spans="1:40" s="114" customFormat="1" ht="18">
      <c r="A84" s="3"/>
      <c r="B84" s="96" t="s">
        <v>277</v>
      </c>
      <c r="C84" s="98" t="s">
        <v>123</v>
      </c>
      <c r="D84" s="37" t="s">
        <v>1277</v>
      </c>
      <c r="E84" s="96">
        <v>1</v>
      </c>
      <c r="F84" s="96" t="s">
        <v>266</v>
      </c>
      <c r="G84" s="264">
        <v>20</v>
      </c>
      <c r="H84" s="264">
        <v>12.3</v>
      </c>
      <c r="I84" s="97">
        <v>66</v>
      </c>
      <c r="J84" s="230" cm="1">
        <f t="array" ref="J84">_xlfn.XLOOKUP($I84,Inputs!C$6:C$23,Inputs!$D$6:D$23)*$G84</f>
        <v>7.6428571428571432</v>
      </c>
      <c r="K84" s="121"/>
      <c r="L84" s="121"/>
      <c r="M84" s="214">
        <v>350.1</v>
      </c>
      <c r="N84" s="121"/>
      <c r="O84" s="214">
        <v>40.1</v>
      </c>
      <c r="P84" s="221">
        <f>Inputs!$Y$6</f>
        <v>0.9</v>
      </c>
      <c r="Q84" s="197">
        <f t="shared" si="7"/>
        <v>30.075000000000003</v>
      </c>
      <c r="R84" s="214">
        <f t="shared" si="8"/>
        <v>36.090000000000003</v>
      </c>
      <c r="S84" s="96" t="s">
        <v>645</v>
      </c>
      <c r="T84" s="37" t="s">
        <v>1034</v>
      </c>
      <c r="U84" s="96" t="s">
        <v>811</v>
      </c>
      <c r="V84" s="37" t="s">
        <v>1035</v>
      </c>
      <c r="W84" s="194"/>
      <c r="X84" s="17"/>
    </row>
    <row r="85" spans="1:40" ht="18">
      <c r="A85" s="3"/>
      <c r="B85" s="96" t="s">
        <v>273</v>
      </c>
      <c r="C85" s="98" t="s">
        <v>123</v>
      </c>
      <c r="D85" s="37" t="s">
        <v>1277</v>
      </c>
      <c r="E85" s="96">
        <v>1</v>
      </c>
      <c r="F85" s="96" t="s">
        <v>266</v>
      </c>
      <c r="G85" s="264">
        <v>28</v>
      </c>
      <c r="H85" s="264">
        <v>17.3</v>
      </c>
      <c r="I85" s="97">
        <v>66</v>
      </c>
      <c r="J85" s="230" cm="1">
        <f t="array" ref="J85">_xlfn.XLOOKUP($I85,Inputs!C$6:C$23,Inputs!$D$6:D$23)*$G85</f>
        <v>10.700000000000001</v>
      </c>
      <c r="K85" s="121"/>
      <c r="L85" s="121"/>
      <c r="M85" s="214">
        <v>350.4</v>
      </c>
      <c r="N85" s="121"/>
      <c r="O85" s="214">
        <v>40.1</v>
      </c>
      <c r="P85" s="221">
        <f>Inputs!$Y$6</f>
        <v>0.9</v>
      </c>
      <c r="Q85" s="197">
        <f t="shared" si="7"/>
        <v>30.075000000000003</v>
      </c>
      <c r="R85" s="214">
        <f t="shared" si="8"/>
        <v>36.090000000000003</v>
      </c>
      <c r="S85" s="96" t="s">
        <v>645</v>
      </c>
      <c r="T85" s="37" t="s">
        <v>1034</v>
      </c>
      <c r="U85" s="96" t="s">
        <v>647</v>
      </c>
      <c r="V85" s="37" t="s">
        <v>1128</v>
      </c>
      <c r="W85" s="194"/>
      <c r="X85" s="17"/>
    </row>
    <row r="86" spans="1:40" s="114" customFormat="1" ht="18">
      <c r="A86" s="3"/>
      <c r="B86" s="96" t="s">
        <v>281</v>
      </c>
      <c r="C86" s="98" t="s">
        <v>123</v>
      </c>
      <c r="D86" s="37" t="s">
        <v>1277</v>
      </c>
      <c r="E86" s="96">
        <v>1</v>
      </c>
      <c r="F86" s="96" t="s">
        <v>266</v>
      </c>
      <c r="G86" s="264">
        <v>4</v>
      </c>
      <c r="H86" s="264">
        <v>2.5</v>
      </c>
      <c r="I86" s="97">
        <v>66</v>
      </c>
      <c r="J86" s="230" cm="1">
        <f t="array" ref="J86">_xlfn.XLOOKUP($I86,Inputs!C$6:C$23,Inputs!$D$6:D$23)*$G86</f>
        <v>1.5285714285714287</v>
      </c>
      <c r="K86" s="121"/>
      <c r="L86" s="121"/>
      <c r="M86" s="214">
        <v>474.3</v>
      </c>
      <c r="N86" s="121"/>
      <c r="O86" s="214">
        <v>54.2</v>
      </c>
      <c r="P86" s="221">
        <f>Inputs!$Y$6</f>
        <v>0.9</v>
      </c>
      <c r="Q86" s="197">
        <f t="shared" si="7"/>
        <v>40.650000000000006</v>
      </c>
      <c r="R86" s="214">
        <f t="shared" si="8"/>
        <v>48.78</v>
      </c>
      <c r="S86" s="96" t="s">
        <v>650</v>
      </c>
      <c r="T86" s="37" t="s">
        <v>1040</v>
      </c>
      <c r="U86" s="96" t="s">
        <v>886</v>
      </c>
      <c r="V86" s="37" t="s">
        <v>1039</v>
      </c>
      <c r="W86" s="37"/>
      <c r="X86" s="17"/>
    </row>
    <row r="87" spans="1:40" s="114" customFormat="1" ht="18">
      <c r="A87" s="3"/>
      <c r="B87" s="96" t="s">
        <v>298</v>
      </c>
      <c r="C87" s="98" t="s">
        <v>123</v>
      </c>
      <c r="D87" s="37" t="s">
        <v>1277</v>
      </c>
      <c r="E87" s="96">
        <v>1</v>
      </c>
      <c r="F87" s="96" t="s">
        <v>266</v>
      </c>
      <c r="G87" s="264">
        <v>13</v>
      </c>
      <c r="H87" s="264">
        <v>8</v>
      </c>
      <c r="I87" s="97">
        <v>66</v>
      </c>
      <c r="J87" s="230" cm="1">
        <f t="array" ref="J87">_xlfn.XLOOKUP($I87,Inputs!C$6:C$23,Inputs!$D$6:D$23)*$G87</f>
        <v>4.9678571428571434</v>
      </c>
      <c r="K87" s="121"/>
      <c r="L87" s="121"/>
      <c r="M87" s="214">
        <v>474.3</v>
      </c>
      <c r="N87" s="121"/>
      <c r="O87" s="214">
        <v>54.2</v>
      </c>
      <c r="P87" s="221">
        <f>Inputs!$Y$6</f>
        <v>0.9</v>
      </c>
      <c r="Q87" s="197">
        <f t="shared" si="7"/>
        <v>40.650000000000006</v>
      </c>
      <c r="R87" s="214">
        <f t="shared" si="8"/>
        <v>48.78</v>
      </c>
      <c r="S87" s="96" t="s">
        <v>807</v>
      </c>
      <c r="T87" s="37" t="s">
        <v>1051</v>
      </c>
      <c r="U87" s="96" t="s">
        <v>661</v>
      </c>
      <c r="V87" s="37" t="s">
        <v>1052</v>
      </c>
      <c r="W87" s="37"/>
      <c r="X87" s="17"/>
    </row>
    <row r="88" spans="1:40" s="114" customFormat="1" ht="18">
      <c r="A88" s="3"/>
      <c r="B88" s="79" t="s">
        <v>231</v>
      </c>
      <c r="C88" s="78" t="s">
        <v>101</v>
      </c>
      <c r="D88" s="37" t="s">
        <v>1277</v>
      </c>
      <c r="E88" s="79">
        <v>1</v>
      </c>
      <c r="F88" s="79" t="s">
        <v>266</v>
      </c>
      <c r="G88" s="264">
        <v>23.3</v>
      </c>
      <c r="H88" s="264">
        <v>14.4</v>
      </c>
      <c r="I88" s="81">
        <v>66</v>
      </c>
      <c r="J88" s="230" cm="1">
        <f t="array" ref="J88">_xlfn.XLOOKUP($I88,Inputs!C$6:C$23,Inputs!$D$6:D$23)*$G88</f>
        <v>8.9039285714285725</v>
      </c>
      <c r="K88" s="121"/>
      <c r="L88" s="121"/>
      <c r="M88" s="197"/>
      <c r="N88" s="121"/>
      <c r="O88" s="267">
        <v>53.4</v>
      </c>
      <c r="P88" s="221">
        <f>Inputs!$Y$6</f>
        <v>0.9</v>
      </c>
      <c r="Q88" s="197">
        <f t="shared" si="7"/>
        <v>40.050000000000004</v>
      </c>
      <c r="R88" s="267">
        <f t="shared" si="8"/>
        <v>48.06</v>
      </c>
      <c r="S88" s="165" t="s">
        <v>693</v>
      </c>
      <c r="T88" s="37" t="s">
        <v>1082</v>
      </c>
      <c r="U88" s="165" t="s">
        <v>689</v>
      </c>
      <c r="V88" s="37" t="s">
        <v>1077</v>
      </c>
      <c r="W88" s="37"/>
      <c r="X88" s="17"/>
    </row>
    <row r="89" spans="1:40" s="114" customFormat="1" ht="18">
      <c r="A89" s="3"/>
      <c r="B89" s="79" t="s">
        <v>214</v>
      </c>
      <c r="C89" s="78" t="s">
        <v>101</v>
      </c>
      <c r="D89" s="37" t="s">
        <v>1277</v>
      </c>
      <c r="E89" s="79">
        <v>1</v>
      </c>
      <c r="F89" s="79" t="s">
        <v>266</v>
      </c>
      <c r="G89" s="264">
        <v>23.3</v>
      </c>
      <c r="H89" s="264">
        <v>14.4</v>
      </c>
      <c r="I89" s="81">
        <v>138</v>
      </c>
      <c r="J89" s="230" cm="1">
        <f t="array" ref="J89">_xlfn.XLOOKUP($I89,Inputs!C$6:C$23,Inputs!$D$6:D$23)*$G89</f>
        <v>10.102214285714286</v>
      </c>
      <c r="K89" s="270"/>
      <c r="L89" s="121"/>
      <c r="M89" s="197"/>
      <c r="N89" s="121"/>
      <c r="O89" s="267">
        <v>144.1</v>
      </c>
      <c r="P89" s="221">
        <f>Inputs!$Y$6</f>
        <v>0.9</v>
      </c>
      <c r="Q89" s="197">
        <f t="shared" si="7"/>
        <v>108.075</v>
      </c>
      <c r="R89" s="267">
        <f t="shared" si="8"/>
        <v>129.69</v>
      </c>
      <c r="S89" s="165" t="s">
        <v>679</v>
      </c>
      <c r="T89" s="37" t="s">
        <v>1067</v>
      </c>
      <c r="U89" s="165" t="s">
        <v>657</v>
      </c>
      <c r="V89" s="37" t="s">
        <v>1047</v>
      </c>
      <c r="W89" s="194"/>
      <c r="X89" s="17"/>
    </row>
    <row r="90" spans="1:40" ht="18">
      <c r="A90" s="3"/>
      <c r="B90" s="96" t="s">
        <v>428</v>
      </c>
      <c r="C90" s="98" t="s">
        <v>123</v>
      </c>
      <c r="D90" s="37" t="s">
        <v>1277</v>
      </c>
      <c r="E90" s="96">
        <v>1</v>
      </c>
      <c r="F90" s="96" t="s">
        <v>266</v>
      </c>
      <c r="G90" s="264">
        <v>11.6</v>
      </c>
      <c r="H90" s="264">
        <v>7.1</v>
      </c>
      <c r="I90" s="97">
        <v>66</v>
      </c>
      <c r="J90" s="230" cm="1">
        <f t="array" ref="J90">_xlfn.XLOOKUP($I90,Inputs!C$6:C$23,Inputs!$D$6:D$23)*$G90</f>
        <v>4.4328571428571433</v>
      </c>
      <c r="K90" s="121"/>
      <c r="L90" s="121"/>
      <c r="M90" s="214">
        <v>712.7</v>
      </c>
      <c r="N90" s="121"/>
      <c r="O90" s="214">
        <v>81.5</v>
      </c>
      <c r="P90" s="221">
        <f>Inputs!$Y$6</f>
        <v>0.9</v>
      </c>
      <c r="Q90" s="197">
        <f t="shared" si="7"/>
        <v>61.125000000000007</v>
      </c>
      <c r="R90" s="214">
        <f t="shared" si="8"/>
        <v>73.350000000000009</v>
      </c>
      <c r="S90" s="96" t="s">
        <v>619</v>
      </c>
      <c r="T90" s="37" t="s">
        <v>1007</v>
      </c>
      <c r="U90" s="96" t="s">
        <v>626</v>
      </c>
      <c r="V90" s="37" t="s">
        <v>1012</v>
      </c>
      <c r="W90" s="194"/>
      <c r="X90" s="17"/>
    </row>
    <row r="91" spans="1:40" s="114" customFormat="1" ht="18">
      <c r="A91" s="3"/>
      <c r="B91" s="96" t="s">
        <v>429</v>
      </c>
      <c r="C91" s="98" t="s">
        <v>123</v>
      </c>
      <c r="D91" s="37" t="s">
        <v>1277</v>
      </c>
      <c r="E91" s="96">
        <v>1</v>
      </c>
      <c r="F91" s="96" t="s">
        <v>266</v>
      </c>
      <c r="G91" s="264">
        <v>7.4</v>
      </c>
      <c r="H91" s="264">
        <v>4.5</v>
      </c>
      <c r="I91" s="97">
        <v>66</v>
      </c>
      <c r="J91" s="230" cm="1">
        <f t="array" ref="J91">_xlfn.XLOOKUP($I91,Inputs!C$6:C$23,Inputs!$D$6:D$23)*$G91</f>
        <v>2.8278571428571433</v>
      </c>
      <c r="K91" s="121"/>
      <c r="L91" s="121"/>
      <c r="M91" s="214">
        <v>550.4</v>
      </c>
      <c r="N91" s="121"/>
      <c r="O91" s="214">
        <v>62.9</v>
      </c>
      <c r="P91" s="221">
        <f>Inputs!$Y$6</f>
        <v>0.9</v>
      </c>
      <c r="Q91" s="197">
        <f t="shared" si="7"/>
        <v>47.175000000000004</v>
      </c>
      <c r="R91" s="214">
        <f t="shared" si="8"/>
        <v>56.61</v>
      </c>
      <c r="S91" s="96" t="s">
        <v>619</v>
      </c>
      <c r="T91" s="37" t="s">
        <v>1007</v>
      </c>
      <c r="U91" s="96" t="s">
        <v>708</v>
      </c>
      <c r="V91" s="37" t="s">
        <v>1094</v>
      </c>
      <c r="W91" s="37"/>
      <c r="X91" s="17"/>
    </row>
    <row r="92" spans="1:40" s="4" customFormat="1" ht="18">
      <c r="A92" s="3"/>
      <c r="B92" s="96" t="s">
        <v>444</v>
      </c>
      <c r="C92" s="98" t="s">
        <v>123</v>
      </c>
      <c r="D92" s="37" t="s">
        <v>1277</v>
      </c>
      <c r="E92" s="96">
        <v>1</v>
      </c>
      <c r="F92" s="96" t="s">
        <v>266</v>
      </c>
      <c r="G92" s="264">
        <v>5.3</v>
      </c>
      <c r="H92" s="264">
        <v>3.2</v>
      </c>
      <c r="I92" s="97">
        <v>66</v>
      </c>
      <c r="J92" s="230" cm="1">
        <f t="array" ref="J92">_xlfn.XLOOKUP($I92,Inputs!C$6:C$23,Inputs!$D$6:D$23)*$G92</f>
        <v>2.0253571428571431</v>
      </c>
      <c r="K92" s="121"/>
      <c r="L92" s="121"/>
      <c r="M92" s="214">
        <v>474.3</v>
      </c>
      <c r="N92" s="121"/>
      <c r="O92" s="214">
        <v>27.1</v>
      </c>
      <c r="P92" s="221">
        <f>Inputs!$Y$6</f>
        <v>0.9</v>
      </c>
      <c r="Q92" s="197">
        <f t="shared" si="7"/>
        <v>20.325000000000003</v>
      </c>
      <c r="R92" s="214">
        <f t="shared" si="8"/>
        <v>24.39</v>
      </c>
      <c r="S92" s="96" t="s">
        <v>619</v>
      </c>
      <c r="T92" s="37" t="s">
        <v>1007</v>
      </c>
      <c r="U92" s="96" t="s">
        <v>705</v>
      </c>
      <c r="V92" s="37" t="s">
        <v>1245</v>
      </c>
      <c r="W92" s="37"/>
      <c r="X92" s="17"/>
      <c r="Y92" s="30"/>
      <c r="Z92" s="31"/>
      <c r="AA92" s="42"/>
      <c r="AB92" s="42"/>
      <c r="AC92" s="42"/>
      <c r="AD92" s="24"/>
      <c r="AE92" s="39"/>
      <c r="AF92" s="42"/>
      <c r="AG92" s="42"/>
      <c r="AI92" s="42"/>
      <c r="AJ92" s="42"/>
      <c r="AN92" s="31"/>
    </row>
    <row r="93" spans="1:40" s="4" customFormat="1" ht="18">
      <c r="A93" s="3"/>
      <c r="B93" s="96" t="s">
        <v>450</v>
      </c>
      <c r="C93" s="98" t="s">
        <v>123</v>
      </c>
      <c r="D93" s="37" t="s">
        <v>1277</v>
      </c>
      <c r="E93" s="96">
        <v>1</v>
      </c>
      <c r="F93" s="96" t="s">
        <v>266</v>
      </c>
      <c r="G93" s="264">
        <v>14.7</v>
      </c>
      <c r="H93" s="264">
        <v>9.1</v>
      </c>
      <c r="I93" s="97">
        <v>66</v>
      </c>
      <c r="J93" s="230" cm="1">
        <f t="array" ref="J93">_xlfn.XLOOKUP($I93,Inputs!C$6:C$23,Inputs!$D$6:D$23)*$G93</f>
        <v>5.6175000000000006</v>
      </c>
      <c r="K93" s="121"/>
      <c r="L93" s="121"/>
      <c r="M93" s="214">
        <v>779.9</v>
      </c>
      <c r="N93" s="121"/>
      <c r="O93" s="214">
        <v>89.2</v>
      </c>
      <c r="P93" s="221">
        <f>Inputs!$Y$6</f>
        <v>0.9</v>
      </c>
      <c r="Q93" s="197">
        <f t="shared" si="7"/>
        <v>66.900000000000006</v>
      </c>
      <c r="R93" s="214">
        <f t="shared" si="8"/>
        <v>80.28</v>
      </c>
      <c r="S93" s="96" t="s">
        <v>619</v>
      </c>
      <c r="T93" s="37" t="s">
        <v>1007</v>
      </c>
      <c r="U93" s="96" t="s">
        <v>623</v>
      </c>
      <c r="V93" s="37" t="s">
        <v>1009</v>
      </c>
      <c r="W93" s="37"/>
      <c r="X93" s="17"/>
      <c r="Y93" s="30"/>
      <c r="Z93" s="31"/>
      <c r="AA93" s="114"/>
      <c r="AB93" s="114"/>
      <c r="AC93" s="114"/>
      <c r="AD93" s="24"/>
      <c r="AE93" s="39"/>
      <c r="AF93" s="114"/>
      <c r="AG93" s="114"/>
      <c r="AI93" s="114"/>
      <c r="AJ93" s="114"/>
      <c r="AN93" s="31"/>
    </row>
    <row r="94" spans="1:40" s="4" customFormat="1" ht="18">
      <c r="A94" s="3"/>
      <c r="B94" s="96" t="s">
        <v>436</v>
      </c>
      <c r="C94" s="98" t="s">
        <v>123</v>
      </c>
      <c r="D94" s="37" t="s">
        <v>1277</v>
      </c>
      <c r="E94" s="96">
        <v>1</v>
      </c>
      <c r="F94" s="96" t="s">
        <v>266</v>
      </c>
      <c r="G94" s="264">
        <v>14.7</v>
      </c>
      <c r="H94" s="264">
        <v>9.1</v>
      </c>
      <c r="I94" s="97">
        <v>66</v>
      </c>
      <c r="J94" s="230" cm="1">
        <f t="array" ref="J94">_xlfn.XLOOKUP($I94,Inputs!C$6:C$23,Inputs!$D$6:D$23)*$G94</f>
        <v>5.6175000000000006</v>
      </c>
      <c r="K94" s="121"/>
      <c r="L94" s="121"/>
      <c r="M94" s="214">
        <v>800.5</v>
      </c>
      <c r="N94" s="121"/>
      <c r="O94" s="214">
        <v>91.5</v>
      </c>
      <c r="P94" s="221">
        <f>Inputs!$Y$6</f>
        <v>0.9</v>
      </c>
      <c r="Q94" s="197">
        <f t="shared" si="7"/>
        <v>68.625000000000014</v>
      </c>
      <c r="R94" s="214">
        <f t="shared" si="8"/>
        <v>82.350000000000009</v>
      </c>
      <c r="S94" s="96" t="s">
        <v>619</v>
      </c>
      <c r="T94" s="37" t="s">
        <v>1007</v>
      </c>
      <c r="U94" s="96" t="s">
        <v>623</v>
      </c>
      <c r="V94" s="37" t="s">
        <v>1009</v>
      </c>
      <c r="W94" s="194"/>
      <c r="X94" s="17"/>
      <c r="Y94" s="30"/>
      <c r="Z94" s="31"/>
      <c r="AA94" s="114"/>
      <c r="AB94" s="114"/>
      <c r="AC94" s="114"/>
      <c r="AD94" s="24"/>
      <c r="AE94" s="39"/>
      <c r="AF94" s="114"/>
      <c r="AG94" s="114"/>
      <c r="AI94" s="114"/>
      <c r="AJ94" s="114"/>
      <c r="AN94" s="31"/>
    </row>
    <row r="95" spans="1:40" s="4" customFormat="1" ht="18">
      <c r="A95" s="3"/>
      <c r="B95" s="96" t="s">
        <v>319</v>
      </c>
      <c r="C95" s="98" t="s">
        <v>123</v>
      </c>
      <c r="D95" s="37" t="s">
        <v>1277</v>
      </c>
      <c r="E95" s="96">
        <v>1</v>
      </c>
      <c r="F95" s="96" t="s">
        <v>266</v>
      </c>
      <c r="G95" s="264">
        <v>29.4</v>
      </c>
      <c r="H95" s="264">
        <v>18.2</v>
      </c>
      <c r="I95" s="97">
        <v>66</v>
      </c>
      <c r="J95" s="230" cm="1">
        <f t="array" ref="J95">_xlfn.XLOOKUP($I95,Inputs!C$6:C$23,Inputs!$D$6:D$23)*$G95</f>
        <v>11.235000000000001</v>
      </c>
      <c r="K95" s="121"/>
      <c r="L95" s="121"/>
      <c r="M95" s="214">
        <v>550.4</v>
      </c>
      <c r="N95" s="121"/>
      <c r="O95" s="214">
        <v>62.9</v>
      </c>
      <c r="P95" s="221">
        <f>Inputs!$Y$6</f>
        <v>0.9</v>
      </c>
      <c r="Q95" s="197">
        <f t="shared" si="7"/>
        <v>47.175000000000004</v>
      </c>
      <c r="R95" s="214">
        <f t="shared" si="8"/>
        <v>56.61</v>
      </c>
      <c r="S95" s="96" t="s">
        <v>675</v>
      </c>
      <c r="T95" s="37" t="s">
        <v>1064</v>
      </c>
      <c r="U95" s="96" t="s">
        <v>724</v>
      </c>
      <c r="V95" s="37" t="s">
        <v>1240</v>
      </c>
      <c r="W95" s="37"/>
      <c r="X95" s="17"/>
      <c r="Y95" s="15"/>
      <c r="AA95" s="42"/>
      <c r="AE95" s="7"/>
      <c r="AI95" s="42"/>
      <c r="AJ95" s="42"/>
    </row>
    <row r="96" spans="1:40" s="40" customFormat="1" ht="18">
      <c r="A96" s="3"/>
      <c r="B96" s="96" t="s">
        <v>320</v>
      </c>
      <c r="C96" s="98" t="s">
        <v>123</v>
      </c>
      <c r="D96" s="37" t="s">
        <v>1277</v>
      </c>
      <c r="E96" s="96">
        <v>1</v>
      </c>
      <c r="F96" s="96" t="s">
        <v>266</v>
      </c>
      <c r="G96" s="264">
        <v>14.7</v>
      </c>
      <c r="H96" s="264">
        <v>9.1</v>
      </c>
      <c r="I96" s="97">
        <v>66</v>
      </c>
      <c r="J96" s="230" cm="1">
        <f t="array" ref="J96">_xlfn.XLOOKUP($I96,Inputs!C$6:C$23,Inputs!$D$6:D$23)*$G96</f>
        <v>5.6175000000000006</v>
      </c>
      <c r="K96" s="121"/>
      <c r="L96" s="121"/>
      <c r="M96" s="214">
        <v>471.5</v>
      </c>
      <c r="N96" s="121"/>
      <c r="O96" s="214">
        <v>53.9</v>
      </c>
      <c r="P96" s="221">
        <f>Inputs!$Y$6</f>
        <v>0.9</v>
      </c>
      <c r="Q96" s="197">
        <f t="shared" si="7"/>
        <v>40.424999999999997</v>
      </c>
      <c r="R96" s="214">
        <f t="shared" si="8"/>
        <v>48.51</v>
      </c>
      <c r="S96" s="96" t="s">
        <v>675</v>
      </c>
      <c r="T96" s="37" t="s">
        <v>1064</v>
      </c>
      <c r="U96" s="96" t="s">
        <v>725</v>
      </c>
      <c r="V96" s="37" t="s">
        <v>1246</v>
      </c>
      <c r="W96" s="194"/>
      <c r="X96" s="17"/>
      <c r="AA96" s="42"/>
    </row>
    <row r="97" spans="1:45" s="40" customFormat="1" ht="18">
      <c r="A97" s="3"/>
      <c r="B97" s="96" t="s">
        <v>298</v>
      </c>
      <c r="C97" s="98" t="s">
        <v>123</v>
      </c>
      <c r="D97" s="37" t="s">
        <v>1277</v>
      </c>
      <c r="E97" s="96">
        <v>1</v>
      </c>
      <c r="F97" s="96" t="s">
        <v>266</v>
      </c>
      <c r="G97" s="264">
        <v>17</v>
      </c>
      <c r="H97" s="264">
        <v>10.5</v>
      </c>
      <c r="I97" s="97">
        <v>66</v>
      </c>
      <c r="J97" s="230" cm="1">
        <f t="array" ref="J97">_xlfn.XLOOKUP($I97,Inputs!C$6:C$23,Inputs!$D$6:D$23)*$G97</f>
        <v>6.4964285714285719</v>
      </c>
      <c r="K97" s="121"/>
      <c r="L97" s="121"/>
      <c r="M97" s="214">
        <v>574.29999999999995</v>
      </c>
      <c r="N97" s="121"/>
      <c r="O97" s="214">
        <v>54.2</v>
      </c>
      <c r="P97" s="221">
        <f>Inputs!$Y$6</f>
        <v>0.9</v>
      </c>
      <c r="Q97" s="197">
        <f t="shared" si="7"/>
        <v>40.650000000000006</v>
      </c>
      <c r="R97" s="214">
        <f t="shared" si="8"/>
        <v>48.78</v>
      </c>
      <c r="S97" s="96" t="s">
        <v>808</v>
      </c>
      <c r="T97" s="37" t="s">
        <v>1050</v>
      </c>
      <c r="U97" s="96" t="s">
        <v>807</v>
      </c>
      <c r="V97" s="37" t="s">
        <v>1051</v>
      </c>
      <c r="W97" s="37"/>
      <c r="X97" s="17"/>
      <c r="AA97" s="114"/>
    </row>
    <row r="98" spans="1:45" s="40" customFormat="1" ht="18">
      <c r="A98" s="3"/>
      <c r="B98" s="96" t="s">
        <v>272</v>
      </c>
      <c r="C98" s="98" t="s">
        <v>123</v>
      </c>
      <c r="D98" s="37" t="s">
        <v>1277</v>
      </c>
      <c r="E98" s="96">
        <v>1</v>
      </c>
      <c r="F98" s="96" t="s">
        <v>266</v>
      </c>
      <c r="G98" s="264">
        <v>2</v>
      </c>
      <c r="H98" s="264">
        <v>1.2</v>
      </c>
      <c r="I98" s="97">
        <v>66</v>
      </c>
      <c r="J98" s="230" cm="1">
        <f t="array" ref="J98">_xlfn.XLOOKUP($I98,Inputs!C$6:C$23,Inputs!$D$6:D$23)*$G98</f>
        <v>0.76428571428571435</v>
      </c>
      <c r="K98" s="121"/>
      <c r="L98" s="121"/>
      <c r="M98" s="214">
        <v>474.3</v>
      </c>
      <c r="N98" s="121"/>
      <c r="O98" s="214">
        <v>54.2</v>
      </c>
      <c r="P98" s="221">
        <f>Inputs!$Y$6</f>
        <v>0.9</v>
      </c>
      <c r="Q98" s="197">
        <f t="shared" si="7"/>
        <v>40.650000000000006</v>
      </c>
      <c r="R98" s="214">
        <f t="shared" si="8"/>
        <v>48.78</v>
      </c>
      <c r="S98" s="96" t="s">
        <v>644</v>
      </c>
      <c r="T98" s="37" t="s">
        <v>1234</v>
      </c>
      <c r="U98" s="255" t="s">
        <v>980</v>
      </c>
      <c r="V98" s="37" t="s">
        <v>1032</v>
      </c>
      <c r="W98" s="194"/>
      <c r="X98" s="17"/>
      <c r="AA98" s="114"/>
    </row>
    <row r="99" spans="1:45" s="40" customFormat="1" ht="18">
      <c r="A99" s="3"/>
      <c r="B99" s="96" t="s">
        <v>276</v>
      </c>
      <c r="C99" s="98" t="s">
        <v>123</v>
      </c>
      <c r="D99" s="37" t="s">
        <v>1277</v>
      </c>
      <c r="E99" s="96">
        <v>1</v>
      </c>
      <c r="F99" s="96" t="s">
        <v>266</v>
      </c>
      <c r="G99" s="264">
        <v>32.4</v>
      </c>
      <c r="H99" s="264">
        <v>20</v>
      </c>
      <c r="I99" s="97">
        <v>66</v>
      </c>
      <c r="J99" s="230" cm="1">
        <f t="array" ref="J99">_xlfn.XLOOKUP($I99,Inputs!C$6:C$23,Inputs!$D$6:D$23)*$G99</f>
        <v>12.381428571428572</v>
      </c>
      <c r="K99" s="121"/>
      <c r="L99" s="121"/>
      <c r="M99" s="214">
        <v>350.4</v>
      </c>
      <c r="N99" s="121"/>
      <c r="O99" s="214">
        <v>40.1</v>
      </c>
      <c r="P99" s="221">
        <f>Inputs!$Y$6</f>
        <v>0.9</v>
      </c>
      <c r="Q99" s="197">
        <f t="shared" si="7"/>
        <v>30.075000000000003</v>
      </c>
      <c r="R99" s="214">
        <f t="shared" si="8"/>
        <v>36.090000000000003</v>
      </c>
      <c r="S99" s="96" t="s">
        <v>644</v>
      </c>
      <c r="T99" s="37" t="s">
        <v>1234</v>
      </c>
      <c r="U99" s="96" t="s">
        <v>1147</v>
      </c>
      <c r="V99" s="37" t="s">
        <v>1000</v>
      </c>
      <c r="W99" s="194"/>
      <c r="X99" s="17"/>
      <c r="AA99" s="42"/>
    </row>
    <row r="100" spans="1:45" s="4" customFormat="1" ht="18">
      <c r="A100" s="3"/>
      <c r="B100" s="130" t="s">
        <v>853</v>
      </c>
      <c r="C100" s="202" t="s">
        <v>101</v>
      </c>
      <c r="D100" s="37" t="s">
        <v>1277</v>
      </c>
      <c r="E100" s="130">
        <v>1</v>
      </c>
      <c r="F100" s="130" t="s">
        <v>266</v>
      </c>
      <c r="G100" s="264">
        <v>10</v>
      </c>
      <c r="H100" s="264">
        <v>6.2</v>
      </c>
      <c r="I100" s="131">
        <v>230</v>
      </c>
      <c r="J100" s="230" cm="1">
        <f t="array" ref="J100">_xlfn.XLOOKUP($I100,Inputs!C$6:C$23,Inputs!$D$6:D$23)*$G100</f>
        <v>4.8</v>
      </c>
      <c r="K100" s="268">
        <f>IF((42.4*(H100)^(-0.6595))&gt;=3,3,(IF(42.4*(H100)^(-0.6595)&lt;=0.5,0.5,(42.4*(H100)^(-0.6595)))))</f>
        <v>3</v>
      </c>
      <c r="L100" s="121"/>
      <c r="M100" s="197"/>
      <c r="N100" s="121"/>
      <c r="O100" s="222"/>
      <c r="P100" s="221">
        <f>Inputs!$Y$6</f>
        <v>0.9</v>
      </c>
      <c r="Q100" s="269">
        <f>_xlfn.XLOOKUP($I100,Inputs!$G$6:$G$23,Inputs!$J$6:$J$23)*$K100</f>
        <v>402</v>
      </c>
      <c r="R100" s="269">
        <f>_xlfn.XLOOKUP($I100,Inputs!$G$6:$G$23,Inputs!$K$6:$K$23)*$K100</f>
        <v>435</v>
      </c>
      <c r="S100" s="130" t="s">
        <v>1119</v>
      </c>
      <c r="T100" s="37" t="s">
        <v>1122</v>
      </c>
      <c r="U100" s="130" t="s">
        <v>798</v>
      </c>
      <c r="V100" s="37" t="s">
        <v>991</v>
      </c>
      <c r="W100" s="37"/>
      <c r="X100" s="17"/>
      <c r="Y100" s="30"/>
      <c r="Z100" s="31"/>
      <c r="AA100" s="42"/>
      <c r="AB100" s="42"/>
      <c r="AC100" s="42"/>
      <c r="AD100" s="24"/>
      <c r="AE100" s="39"/>
      <c r="AF100" s="42"/>
      <c r="AG100" s="42"/>
      <c r="AI100" s="42"/>
      <c r="AJ100" s="42"/>
      <c r="AN100" s="31"/>
    </row>
    <row r="101" spans="1:45" s="4" customFormat="1" ht="18">
      <c r="A101" s="3"/>
      <c r="B101" s="96" t="s">
        <v>298</v>
      </c>
      <c r="C101" s="98" t="s">
        <v>123</v>
      </c>
      <c r="D101" s="37" t="s">
        <v>1277</v>
      </c>
      <c r="E101" s="96">
        <v>1</v>
      </c>
      <c r="F101" s="96" t="s">
        <v>266</v>
      </c>
      <c r="G101" s="264">
        <v>17</v>
      </c>
      <c r="H101" s="264">
        <v>10.5</v>
      </c>
      <c r="I101" s="97">
        <v>66</v>
      </c>
      <c r="J101" s="230" cm="1">
        <f t="array" ref="J101">_xlfn.XLOOKUP($I101,Inputs!C$6:C$23,Inputs!$D$6:D$23)*$G101</f>
        <v>6.4964285714285719</v>
      </c>
      <c r="K101" s="121"/>
      <c r="L101" s="121"/>
      <c r="M101" s="214">
        <v>474.3</v>
      </c>
      <c r="N101" s="121"/>
      <c r="O101" s="214">
        <v>54.2</v>
      </c>
      <c r="P101" s="221">
        <f>Inputs!$Y$6</f>
        <v>0.9</v>
      </c>
      <c r="Q101" s="197">
        <f t="shared" ref="Q101:Q138" si="9">R101/1.2</f>
        <v>40.650000000000006</v>
      </c>
      <c r="R101" s="214">
        <f t="shared" ref="R101:R138" si="10">O101*P101</f>
        <v>48.78</v>
      </c>
      <c r="S101" s="96" t="s">
        <v>660</v>
      </c>
      <c r="T101" s="37" t="s">
        <v>1235</v>
      </c>
      <c r="U101" s="96" t="s">
        <v>808</v>
      </c>
      <c r="V101" s="37" t="s">
        <v>1050</v>
      </c>
      <c r="W101" s="194"/>
      <c r="X101" s="17"/>
      <c r="Y101" s="30"/>
      <c r="Z101" s="31"/>
      <c r="AA101" s="42"/>
      <c r="AB101" s="42"/>
      <c r="AC101" s="42"/>
      <c r="AD101" s="24"/>
      <c r="AE101" s="39"/>
      <c r="AF101" s="42"/>
      <c r="AG101" s="42"/>
      <c r="AI101" s="42"/>
      <c r="AJ101" s="42"/>
      <c r="AN101" s="31"/>
    </row>
    <row r="102" spans="1:45" s="4" customFormat="1" ht="18">
      <c r="A102" s="3"/>
      <c r="B102" s="96" t="s">
        <v>283</v>
      </c>
      <c r="C102" s="98" t="s">
        <v>123</v>
      </c>
      <c r="D102" s="37" t="s">
        <v>1277</v>
      </c>
      <c r="E102" s="96">
        <v>1</v>
      </c>
      <c r="F102" s="96" t="s">
        <v>266</v>
      </c>
      <c r="G102" s="264">
        <v>20</v>
      </c>
      <c r="H102" s="264">
        <v>12.3</v>
      </c>
      <c r="I102" s="97">
        <v>66</v>
      </c>
      <c r="J102" s="230" cm="1">
        <f t="array" ref="J102">_xlfn.XLOOKUP($I102,Inputs!C$6:C$23,Inputs!$D$6:D$23)*$G102</f>
        <v>7.6428571428571432</v>
      </c>
      <c r="K102" s="121"/>
      <c r="L102" s="121"/>
      <c r="M102" s="214">
        <v>474.3</v>
      </c>
      <c r="N102" s="121"/>
      <c r="O102" s="214">
        <v>54.2</v>
      </c>
      <c r="P102" s="221">
        <f>Inputs!$Y$6</f>
        <v>0.9</v>
      </c>
      <c r="Q102" s="197">
        <f t="shared" si="9"/>
        <v>40.650000000000006</v>
      </c>
      <c r="R102" s="214">
        <f t="shared" si="10"/>
        <v>48.78</v>
      </c>
      <c r="S102" s="96" t="s">
        <v>809</v>
      </c>
      <c r="T102" s="37" t="s">
        <v>1222</v>
      </c>
      <c r="U102" s="96" t="s">
        <v>717</v>
      </c>
      <c r="V102" s="37" t="s">
        <v>1251</v>
      </c>
      <c r="W102" s="37"/>
      <c r="X102" s="17"/>
      <c r="Y102" s="30"/>
      <c r="Z102" s="31"/>
      <c r="AA102" s="114"/>
      <c r="AB102" s="114"/>
      <c r="AC102" s="114"/>
      <c r="AD102" s="24"/>
      <c r="AE102" s="39"/>
      <c r="AF102" s="114"/>
      <c r="AG102" s="114"/>
      <c r="AI102" s="114"/>
      <c r="AJ102" s="114"/>
      <c r="AN102" s="31"/>
    </row>
    <row r="103" spans="1:45" s="4" customFormat="1" ht="18">
      <c r="A103" s="3"/>
      <c r="B103" s="79" t="s">
        <v>249</v>
      </c>
      <c r="C103" s="78" t="s">
        <v>101</v>
      </c>
      <c r="D103" s="37" t="s">
        <v>1277</v>
      </c>
      <c r="E103" s="79">
        <v>1</v>
      </c>
      <c r="F103" s="79" t="s">
        <v>266</v>
      </c>
      <c r="G103" s="264">
        <v>11.6</v>
      </c>
      <c r="H103" s="264">
        <v>7.2</v>
      </c>
      <c r="I103" s="81">
        <v>66</v>
      </c>
      <c r="J103" s="230" cm="1">
        <f t="array" ref="J103">_xlfn.XLOOKUP($I103,Inputs!C$6:C$23,Inputs!$D$6:D$23)*$G103</f>
        <v>4.4328571428571433</v>
      </c>
      <c r="K103" s="121"/>
      <c r="L103" s="121"/>
      <c r="M103" s="197"/>
      <c r="N103" s="121"/>
      <c r="O103" s="267">
        <v>56.2</v>
      </c>
      <c r="P103" s="221">
        <f>Inputs!$Y$6</f>
        <v>0.9</v>
      </c>
      <c r="Q103" s="197">
        <f t="shared" si="9"/>
        <v>42.150000000000006</v>
      </c>
      <c r="R103" s="267">
        <f t="shared" si="10"/>
        <v>50.580000000000005</v>
      </c>
      <c r="S103" s="165" t="s">
        <v>696</v>
      </c>
      <c r="T103" s="37" t="s">
        <v>1085</v>
      </c>
      <c r="U103" s="165" t="s">
        <v>732</v>
      </c>
      <c r="V103" s="37" t="s">
        <v>1113</v>
      </c>
      <c r="W103" s="37"/>
      <c r="X103" s="17"/>
      <c r="Y103" s="30"/>
      <c r="Z103" s="31"/>
      <c r="AA103" s="42"/>
      <c r="AB103" s="42"/>
      <c r="AC103" s="42"/>
      <c r="AD103" s="24"/>
      <c r="AE103" s="39"/>
      <c r="AF103" s="42"/>
      <c r="AG103" s="42"/>
      <c r="AI103" s="42"/>
      <c r="AJ103" s="42"/>
      <c r="AN103" s="31"/>
      <c r="AS103" s="6"/>
    </row>
    <row r="104" spans="1:45" s="4" customFormat="1" ht="18">
      <c r="A104" s="3"/>
      <c r="B104" s="79" t="s">
        <v>250</v>
      </c>
      <c r="C104" s="78" t="s">
        <v>101</v>
      </c>
      <c r="D104" s="37" t="s">
        <v>1277</v>
      </c>
      <c r="E104" s="79">
        <v>1</v>
      </c>
      <c r="F104" s="79" t="s">
        <v>266</v>
      </c>
      <c r="G104" s="264">
        <v>40.700000000000003</v>
      </c>
      <c r="H104" s="264">
        <v>25.1</v>
      </c>
      <c r="I104" s="81">
        <v>66</v>
      </c>
      <c r="J104" s="230" cm="1">
        <f t="array" ref="J104">_xlfn.XLOOKUP($I104,Inputs!C$6:C$23,Inputs!$D$6:D$23)*$G104</f>
        <v>15.553214285714288</v>
      </c>
      <c r="K104" s="121"/>
      <c r="L104" s="121"/>
      <c r="M104" s="197"/>
      <c r="N104" s="121"/>
      <c r="O104" s="267">
        <v>56.2</v>
      </c>
      <c r="P104" s="221">
        <f>Inputs!$Y$6</f>
        <v>0.9</v>
      </c>
      <c r="Q104" s="197">
        <f t="shared" si="9"/>
        <v>42.150000000000006</v>
      </c>
      <c r="R104" s="267">
        <f t="shared" si="10"/>
        <v>50.580000000000005</v>
      </c>
      <c r="S104" s="165" t="s">
        <v>696</v>
      </c>
      <c r="T104" s="37" t="s">
        <v>1085</v>
      </c>
      <c r="U104" s="165" t="s">
        <v>697</v>
      </c>
      <c r="V104" s="37" t="s">
        <v>1086</v>
      </c>
      <c r="W104" s="37"/>
      <c r="X104" s="17"/>
      <c r="Y104" s="30"/>
      <c r="Z104" s="31"/>
      <c r="AA104" s="114"/>
      <c r="AB104" s="114"/>
      <c r="AC104" s="114"/>
      <c r="AD104" s="24"/>
      <c r="AE104" s="39"/>
      <c r="AF104" s="114"/>
      <c r="AG104" s="114"/>
      <c r="AI104" s="114"/>
      <c r="AJ104" s="114"/>
      <c r="AN104" s="31"/>
      <c r="AS104" s="6"/>
    </row>
    <row r="105" spans="1:45" s="4" customFormat="1" ht="18">
      <c r="A105" s="3"/>
      <c r="B105" s="96" t="s">
        <v>464</v>
      </c>
      <c r="C105" s="98" t="s">
        <v>123</v>
      </c>
      <c r="D105" s="37" t="s">
        <v>1277</v>
      </c>
      <c r="E105" s="96">
        <v>1</v>
      </c>
      <c r="F105" s="96" t="s">
        <v>266</v>
      </c>
      <c r="G105" s="264">
        <v>8.8000000000000007</v>
      </c>
      <c r="H105" s="264">
        <v>5.4</v>
      </c>
      <c r="I105" s="97">
        <v>66</v>
      </c>
      <c r="J105" s="230" cm="1">
        <f t="array" ref="J105">_xlfn.XLOOKUP($I105,Inputs!C$6:C$23,Inputs!$D$6:D$23)*$G105</f>
        <v>3.3628571428571434</v>
      </c>
      <c r="K105" s="121"/>
      <c r="L105" s="121"/>
      <c r="M105" s="214">
        <v>471.5</v>
      </c>
      <c r="N105" s="121"/>
      <c r="O105" s="214">
        <v>53.9</v>
      </c>
      <c r="P105" s="221">
        <f>Inputs!$Y$6</f>
        <v>0.9</v>
      </c>
      <c r="Q105" s="197">
        <f t="shared" si="9"/>
        <v>40.424999999999997</v>
      </c>
      <c r="R105" s="214">
        <f t="shared" si="10"/>
        <v>48.51</v>
      </c>
      <c r="S105" s="96" t="s">
        <v>640</v>
      </c>
      <c r="T105" s="37" t="s">
        <v>1028</v>
      </c>
      <c r="U105" s="96" t="s">
        <v>630</v>
      </c>
      <c r="V105" s="37" t="s">
        <v>1019</v>
      </c>
      <c r="W105" s="37"/>
      <c r="X105" s="17"/>
      <c r="Y105" s="30"/>
      <c r="Z105" s="31"/>
      <c r="AA105" s="114"/>
      <c r="AB105" s="114"/>
      <c r="AC105" s="114"/>
      <c r="AD105" s="24"/>
      <c r="AE105" s="39"/>
      <c r="AF105" s="114"/>
      <c r="AG105" s="114"/>
      <c r="AI105" s="114"/>
      <c r="AJ105" s="114"/>
      <c r="AN105" s="31"/>
      <c r="AS105" s="6"/>
    </row>
    <row r="106" spans="1:45" s="4" customFormat="1" ht="18">
      <c r="A106" s="3"/>
      <c r="B106" s="96" t="s">
        <v>459</v>
      </c>
      <c r="C106" s="98" t="s">
        <v>123</v>
      </c>
      <c r="D106" s="37" t="s">
        <v>1277</v>
      </c>
      <c r="E106" s="96">
        <v>1</v>
      </c>
      <c r="F106" s="96" t="s">
        <v>266</v>
      </c>
      <c r="G106" s="264">
        <v>13.7</v>
      </c>
      <c r="H106" s="264">
        <v>8.4</v>
      </c>
      <c r="I106" s="97">
        <v>66</v>
      </c>
      <c r="J106" s="230" cm="1">
        <f t="array" ref="J106">_xlfn.XLOOKUP($I106,Inputs!C$6:C$23,Inputs!$D$6:D$23)*$G106</f>
        <v>5.2353571428571426</v>
      </c>
      <c r="K106" s="121"/>
      <c r="L106" s="121"/>
      <c r="M106" s="214">
        <v>779.9</v>
      </c>
      <c r="N106" s="121"/>
      <c r="O106" s="214">
        <v>89.2</v>
      </c>
      <c r="P106" s="221">
        <f>Inputs!$Y$6</f>
        <v>0.9</v>
      </c>
      <c r="Q106" s="197">
        <f t="shared" si="9"/>
        <v>66.900000000000006</v>
      </c>
      <c r="R106" s="214">
        <f t="shared" si="10"/>
        <v>80.28</v>
      </c>
      <c r="S106" s="96" t="s">
        <v>620</v>
      </c>
      <c r="T106" s="37" t="s">
        <v>1237</v>
      </c>
      <c r="U106" s="96" t="s">
        <v>706</v>
      </c>
      <c r="V106" s="37" t="s">
        <v>1091</v>
      </c>
      <c r="W106" s="37"/>
      <c r="X106" s="17"/>
      <c r="Y106" s="30"/>
      <c r="Z106" s="31"/>
      <c r="AA106" s="42"/>
      <c r="AB106" s="42"/>
      <c r="AC106" s="42"/>
      <c r="AD106" s="24"/>
      <c r="AE106" s="39"/>
      <c r="AF106" s="42"/>
      <c r="AG106" s="42"/>
      <c r="AI106" s="42"/>
      <c r="AJ106" s="42"/>
      <c r="AN106" s="31"/>
    </row>
    <row r="107" spans="1:45" s="4" customFormat="1" ht="18">
      <c r="A107" s="3"/>
      <c r="B107" s="96" t="s">
        <v>449</v>
      </c>
      <c r="C107" s="98" t="s">
        <v>123</v>
      </c>
      <c r="D107" s="37" t="s">
        <v>1277</v>
      </c>
      <c r="E107" s="96">
        <v>1</v>
      </c>
      <c r="F107" s="96" t="s">
        <v>266</v>
      </c>
      <c r="G107" s="264">
        <v>6.3</v>
      </c>
      <c r="H107" s="264">
        <v>3.9</v>
      </c>
      <c r="I107" s="97">
        <v>66</v>
      </c>
      <c r="J107" s="230" cm="1">
        <f t="array" ref="J107">_xlfn.XLOOKUP($I107,Inputs!C$6:C$23,Inputs!$D$6:D$23)*$G107</f>
        <v>2.4075000000000002</v>
      </c>
      <c r="K107" s="121"/>
      <c r="L107" s="121"/>
      <c r="M107" s="214">
        <v>639.9</v>
      </c>
      <c r="N107" s="121"/>
      <c r="O107" s="214">
        <v>73.2</v>
      </c>
      <c r="P107" s="221">
        <f>Inputs!$Y$6</f>
        <v>0.9</v>
      </c>
      <c r="Q107" s="197">
        <f t="shared" si="9"/>
        <v>54.900000000000013</v>
      </c>
      <c r="R107" s="214">
        <f t="shared" si="10"/>
        <v>65.88000000000001</v>
      </c>
      <c r="S107" s="96" t="s">
        <v>620</v>
      </c>
      <c r="T107" s="37" t="s">
        <v>1237</v>
      </c>
      <c r="U107" s="96" t="s">
        <v>633</v>
      </c>
      <c r="V107" s="37" t="s">
        <v>1231</v>
      </c>
      <c r="W107" s="37"/>
      <c r="X107" s="17"/>
      <c r="Y107" s="30"/>
      <c r="Z107" s="31"/>
      <c r="AA107" s="42"/>
      <c r="AB107" s="42"/>
      <c r="AC107" s="42"/>
      <c r="AD107" s="24"/>
      <c r="AE107" s="39"/>
      <c r="AF107" s="42"/>
      <c r="AG107" s="42"/>
      <c r="AI107" s="42"/>
      <c r="AJ107" s="42"/>
      <c r="AN107" s="31"/>
      <c r="AS107" s="6"/>
    </row>
    <row r="108" spans="1:45" ht="18">
      <c r="A108" s="3"/>
      <c r="B108" s="96" t="s">
        <v>470</v>
      </c>
      <c r="C108" s="98" t="s">
        <v>123</v>
      </c>
      <c r="D108" s="37" t="s">
        <v>1277</v>
      </c>
      <c r="E108" s="96">
        <v>1</v>
      </c>
      <c r="F108" s="96" t="s">
        <v>266</v>
      </c>
      <c r="G108" s="264">
        <v>6.3</v>
      </c>
      <c r="H108" s="264">
        <v>3.9</v>
      </c>
      <c r="I108" s="97">
        <v>66</v>
      </c>
      <c r="J108" s="230" cm="1">
        <f t="array" ref="J108">_xlfn.XLOOKUP($I108,Inputs!C$6:C$23,Inputs!$D$6:D$23)*$G108</f>
        <v>2.4075000000000002</v>
      </c>
      <c r="K108" s="121"/>
      <c r="L108" s="121"/>
      <c r="M108" s="214">
        <v>779.9</v>
      </c>
      <c r="N108" s="121"/>
      <c r="O108" s="214">
        <v>89.2</v>
      </c>
      <c r="P108" s="221">
        <f>Inputs!$Y$6</f>
        <v>0.9</v>
      </c>
      <c r="Q108" s="197">
        <f t="shared" si="9"/>
        <v>66.900000000000006</v>
      </c>
      <c r="R108" s="214">
        <f t="shared" si="10"/>
        <v>80.28</v>
      </c>
      <c r="S108" s="96" t="s">
        <v>620</v>
      </c>
      <c r="T108" s="37" t="s">
        <v>1237</v>
      </c>
      <c r="U108" s="96" t="s">
        <v>633</v>
      </c>
      <c r="V108" s="37" t="s">
        <v>1231</v>
      </c>
      <c r="W108" s="37"/>
      <c r="X108" s="17"/>
    </row>
    <row r="109" spans="1:45" ht="18">
      <c r="A109" s="3"/>
      <c r="B109" s="96" t="s">
        <v>468</v>
      </c>
      <c r="C109" s="98" t="s">
        <v>123</v>
      </c>
      <c r="D109" s="37" t="s">
        <v>1277</v>
      </c>
      <c r="E109" s="96">
        <v>1</v>
      </c>
      <c r="F109" s="96" t="s">
        <v>266</v>
      </c>
      <c r="G109" s="264">
        <v>7.4</v>
      </c>
      <c r="H109" s="264">
        <v>4.5</v>
      </c>
      <c r="I109" s="97">
        <v>66</v>
      </c>
      <c r="J109" s="230" cm="1">
        <f t="array" ref="J109">_xlfn.XLOOKUP($I109,Inputs!C$6:C$23,Inputs!$D$6:D$23)*$G109</f>
        <v>2.8278571428571433</v>
      </c>
      <c r="K109" s="121"/>
      <c r="L109" s="121"/>
      <c r="M109" s="214">
        <v>1003.9</v>
      </c>
      <c r="N109" s="121"/>
      <c r="O109" s="214">
        <v>114.8</v>
      </c>
      <c r="P109" s="221">
        <f>Inputs!$Y$6</f>
        <v>0.9</v>
      </c>
      <c r="Q109" s="197">
        <f t="shared" si="9"/>
        <v>86.1</v>
      </c>
      <c r="R109" s="214">
        <f t="shared" si="10"/>
        <v>103.32</v>
      </c>
      <c r="S109" s="96" t="s">
        <v>620</v>
      </c>
      <c r="T109" s="37" t="s">
        <v>1237</v>
      </c>
      <c r="U109" s="96" t="s">
        <v>708</v>
      </c>
      <c r="V109" s="37" t="s">
        <v>1094</v>
      </c>
      <c r="W109" s="37"/>
      <c r="X109" s="17"/>
    </row>
    <row r="110" spans="1:45" ht="18">
      <c r="A110" s="3"/>
      <c r="B110" s="96" t="s">
        <v>467</v>
      </c>
      <c r="C110" s="98" t="s">
        <v>123</v>
      </c>
      <c r="D110" s="37" t="s">
        <v>1277</v>
      </c>
      <c r="E110" s="96">
        <v>1</v>
      </c>
      <c r="F110" s="96" t="s">
        <v>266</v>
      </c>
      <c r="G110" s="264">
        <v>15.8</v>
      </c>
      <c r="H110" s="264">
        <v>9.6999999999999993</v>
      </c>
      <c r="I110" s="97">
        <v>66</v>
      </c>
      <c r="J110" s="230" cm="1">
        <f t="array" ref="J110">_xlfn.XLOOKUP($I110,Inputs!C$6:C$23,Inputs!$D$6:D$23)*$G110</f>
        <v>6.0378571428571437</v>
      </c>
      <c r="K110" s="121"/>
      <c r="L110" s="121"/>
      <c r="M110" s="214">
        <v>1003.9</v>
      </c>
      <c r="N110" s="121"/>
      <c r="O110" s="214">
        <v>114.8</v>
      </c>
      <c r="P110" s="221">
        <f>Inputs!$Y$6</f>
        <v>0.9</v>
      </c>
      <c r="Q110" s="197">
        <f t="shared" si="9"/>
        <v>86.1</v>
      </c>
      <c r="R110" s="214">
        <f t="shared" si="10"/>
        <v>103.32</v>
      </c>
      <c r="S110" s="96" t="s">
        <v>620</v>
      </c>
      <c r="T110" s="37" t="s">
        <v>1237</v>
      </c>
      <c r="U110" s="96" t="s">
        <v>619</v>
      </c>
      <c r="V110" s="37" t="s">
        <v>1007</v>
      </c>
      <c r="W110" s="37"/>
      <c r="X110" s="17"/>
    </row>
    <row r="111" spans="1:45" ht="18">
      <c r="A111" s="3"/>
      <c r="B111" s="96" t="s">
        <v>430</v>
      </c>
      <c r="C111" s="98" t="s">
        <v>123</v>
      </c>
      <c r="D111" s="37" t="s">
        <v>1277</v>
      </c>
      <c r="E111" s="96">
        <v>1</v>
      </c>
      <c r="F111" s="96" t="s">
        <v>266</v>
      </c>
      <c r="G111" s="264">
        <v>16.8</v>
      </c>
      <c r="H111" s="264">
        <v>10.4</v>
      </c>
      <c r="I111" s="97">
        <v>66</v>
      </c>
      <c r="J111" s="230" cm="1">
        <f t="array" ref="J111">_xlfn.XLOOKUP($I111,Inputs!C$6:C$23,Inputs!$D$6:D$23)*$G111</f>
        <v>6.4200000000000008</v>
      </c>
      <c r="K111" s="121"/>
      <c r="L111" s="121"/>
      <c r="M111" s="214">
        <v>779.9</v>
      </c>
      <c r="N111" s="121"/>
      <c r="O111" s="214">
        <v>73.2</v>
      </c>
      <c r="P111" s="221">
        <f>Inputs!$Y$6</f>
        <v>0.9</v>
      </c>
      <c r="Q111" s="197">
        <f t="shared" si="9"/>
        <v>54.900000000000013</v>
      </c>
      <c r="R111" s="214">
        <f t="shared" si="10"/>
        <v>65.88000000000001</v>
      </c>
      <c r="S111" s="96" t="s">
        <v>620</v>
      </c>
      <c r="T111" s="37" t="s">
        <v>1237</v>
      </c>
      <c r="U111" s="96" t="s">
        <v>983</v>
      </c>
      <c r="V111" s="37" t="s">
        <v>1092</v>
      </c>
      <c r="W111" s="37"/>
      <c r="X111" s="17"/>
    </row>
    <row r="112" spans="1:45" ht="18">
      <c r="B112" s="96" t="s">
        <v>283</v>
      </c>
      <c r="C112" s="98" t="s">
        <v>123</v>
      </c>
      <c r="D112" s="37" t="s">
        <v>1277</v>
      </c>
      <c r="E112" s="96">
        <v>1</v>
      </c>
      <c r="F112" s="96" t="s">
        <v>266</v>
      </c>
      <c r="G112" s="264">
        <v>20</v>
      </c>
      <c r="H112" s="264">
        <v>12.3</v>
      </c>
      <c r="I112" s="97">
        <v>66</v>
      </c>
      <c r="J112" s="230" cm="1">
        <f t="array" ref="J112">_xlfn.XLOOKUP($I112,Inputs!C$6:C$23,Inputs!$D$6:D$23)*$G112</f>
        <v>7.6428571428571432</v>
      </c>
      <c r="K112" s="121"/>
      <c r="L112" s="121"/>
      <c r="M112" s="214">
        <v>474.3</v>
      </c>
      <c r="N112" s="121"/>
      <c r="O112" s="214">
        <v>54.2</v>
      </c>
      <c r="P112" s="221">
        <f>Inputs!$Y$6</f>
        <v>0.9</v>
      </c>
      <c r="Q112" s="197">
        <f t="shared" si="9"/>
        <v>40.650000000000006</v>
      </c>
      <c r="R112" s="214">
        <f t="shared" si="10"/>
        <v>48.78</v>
      </c>
      <c r="S112" s="96" t="s">
        <v>652</v>
      </c>
      <c r="T112" s="37" t="s">
        <v>1043</v>
      </c>
      <c r="U112" s="96" t="s">
        <v>825</v>
      </c>
      <c r="V112" s="37" t="s">
        <v>1132</v>
      </c>
      <c r="W112" s="37"/>
      <c r="X112" s="17"/>
    </row>
    <row r="113" spans="1:24" ht="18">
      <c r="B113" s="96" t="s">
        <v>316</v>
      </c>
      <c r="C113" s="98" t="s">
        <v>123</v>
      </c>
      <c r="D113" s="37" t="s">
        <v>1277</v>
      </c>
      <c r="E113" s="96">
        <v>1</v>
      </c>
      <c r="F113" s="96" t="s">
        <v>266</v>
      </c>
      <c r="G113" s="264">
        <v>8.8000000000000007</v>
      </c>
      <c r="H113" s="264">
        <v>5.4</v>
      </c>
      <c r="I113" s="97">
        <v>66</v>
      </c>
      <c r="J113" s="230" cm="1">
        <f t="array" ref="J113">_xlfn.XLOOKUP($I113,Inputs!C$6:C$23,Inputs!$D$6:D$23)*$G113</f>
        <v>3.3628571428571434</v>
      </c>
      <c r="K113" s="121"/>
      <c r="L113" s="121"/>
      <c r="M113" s="214">
        <v>550.4</v>
      </c>
      <c r="N113" s="121"/>
      <c r="O113" s="214">
        <v>62.9</v>
      </c>
      <c r="P113" s="221">
        <f>Inputs!$Y$6</f>
        <v>0.9</v>
      </c>
      <c r="Q113" s="197">
        <f t="shared" si="9"/>
        <v>47.175000000000004</v>
      </c>
      <c r="R113" s="214">
        <f t="shared" si="10"/>
        <v>56.61</v>
      </c>
      <c r="S113" s="96" t="s">
        <v>673</v>
      </c>
      <c r="T113" s="37" t="s">
        <v>1060</v>
      </c>
      <c r="U113" s="96" t="s">
        <v>979</v>
      </c>
      <c r="V113" s="37" t="s">
        <v>1059</v>
      </c>
      <c r="W113" s="37"/>
      <c r="X113" s="17"/>
    </row>
    <row r="114" spans="1:24" ht="18">
      <c r="A114" s="3"/>
      <c r="B114" s="96" t="s">
        <v>315</v>
      </c>
      <c r="C114" s="98" t="s">
        <v>123</v>
      </c>
      <c r="D114" s="37" t="s">
        <v>1277</v>
      </c>
      <c r="E114" s="96">
        <v>1</v>
      </c>
      <c r="F114" s="96" t="s">
        <v>266</v>
      </c>
      <c r="G114" s="264">
        <v>23.5</v>
      </c>
      <c r="H114" s="264">
        <v>14.5</v>
      </c>
      <c r="I114" s="97">
        <v>66</v>
      </c>
      <c r="J114" s="230" cm="1">
        <f t="array" ref="J114">_xlfn.XLOOKUP($I114,Inputs!C$6:C$23,Inputs!$D$6:D$23)*$G114</f>
        <v>8.9803571428571427</v>
      </c>
      <c r="K114" s="121"/>
      <c r="L114" s="121"/>
      <c r="M114" s="214">
        <v>712.7</v>
      </c>
      <c r="N114" s="121"/>
      <c r="O114" s="214">
        <v>81.5</v>
      </c>
      <c r="P114" s="221">
        <f>Inputs!$Y$6</f>
        <v>0.9</v>
      </c>
      <c r="Q114" s="197">
        <f t="shared" si="9"/>
        <v>61.125000000000007</v>
      </c>
      <c r="R114" s="214">
        <f t="shared" si="10"/>
        <v>73.350000000000009</v>
      </c>
      <c r="S114" s="96" t="s">
        <v>673</v>
      </c>
      <c r="T114" s="37" t="s">
        <v>1060</v>
      </c>
      <c r="U114" s="96" t="s">
        <v>670</v>
      </c>
      <c r="V114" s="37" t="s">
        <v>999</v>
      </c>
      <c r="W114" s="37"/>
      <c r="X114" s="17"/>
    </row>
    <row r="115" spans="1:24" ht="18">
      <c r="A115" s="3"/>
      <c r="B115" s="96" t="s">
        <v>447</v>
      </c>
      <c r="C115" s="98" t="s">
        <v>123</v>
      </c>
      <c r="D115" s="37" t="s">
        <v>1277</v>
      </c>
      <c r="E115" s="96">
        <v>1</v>
      </c>
      <c r="F115" s="96" t="s">
        <v>266</v>
      </c>
      <c r="G115" s="264">
        <v>20.6</v>
      </c>
      <c r="H115" s="264">
        <v>12.7</v>
      </c>
      <c r="I115" s="97">
        <v>66</v>
      </c>
      <c r="J115" s="230" cm="1">
        <f t="array" ref="J115">_xlfn.XLOOKUP($I115,Inputs!C$6:C$23,Inputs!$D$6:D$23)*$G115</f>
        <v>7.8721428571428582</v>
      </c>
      <c r="K115" s="121"/>
      <c r="L115" s="121"/>
      <c r="M115" s="214">
        <v>712.7</v>
      </c>
      <c r="N115" s="121"/>
      <c r="O115" s="214">
        <v>81.5</v>
      </c>
      <c r="P115" s="221">
        <f>Inputs!$Y$6</f>
        <v>0.9</v>
      </c>
      <c r="Q115" s="197">
        <f t="shared" si="9"/>
        <v>61.125000000000007</v>
      </c>
      <c r="R115" s="214">
        <f t="shared" si="10"/>
        <v>73.350000000000009</v>
      </c>
      <c r="S115" s="96" t="s">
        <v>631</v>
      </c>
      <c r="T115" s="37" t="s">
        <v>1238</v>
      </c>
      <c r="U115" s="96" t="s">
        <v>638</v>
      </c>
      <c r="V115" s="37" t="s">
        <v>1243</v>
      </c>
      <c r="W115" s="37"/>
      <c r="X115" s="17"/>
    </row>
    <row r="116" spans="1:24" ht="18">
      <c r="A116" s="3"/>
      <c r="B116" s="96" t="s">
        <v>443</v>
      </c>
      <c r="C116" s="98" t="s">
        <v>123</v>
      </c>
      <c r="D116" s="37" t="s">
        <v>1135</v>
      </c>
      <c r="E116" s="96">
        <v>1</v>
      </c>
      <c r="F116" s="96" t="s">
        <v>266</v>
      </c>
      <c r="G116" s="264">
        <v>9</v>
      </c>
      <c r="H116" s="264">
        <v>5.6</v>
      </c>
      <c r="I116" s="97">
        <v>66</v>
      </c>
      <c r="J116" s="230" cm="1">
        <f t="array" ref="J116">_xlfn.XLOOKUP($I116,Inputs!C$6:C$23,Inputs!$D$6:D$23)*$G116</f>
        <v>3.4392857142857145</v>
      </c>
      <c r="K116" s="121"/>
      <c r="L116" s="121"/>
      <c r="M116" s="214">
        <v>712.7</v>
      </c>
      <c r="N116" s="121"/>
      <c r="O116" s="214">
        <v>170.4</v>
      </c>
      <c r="P116" s="221">
        <f>Inputs!$Y$6</f>
        <v>0.9</v>
      </c>
      <c r="Q116" s="197">
        <f t="shared" si="9"/>
        <v>127.80000000000001</v>
      </c>
      <c r="R116" s="214">
        <f t="shared" si="10"/>
        <v>153.36000000000001</v>
      </c>
      <c r="S116" s="96" t="s">
        <v>683</v>
      </c>
      <c r="T116" s="37" t="s">
        <v>1017</v>
      </c>
      <c r="U116" s="96" t="s">
        <v>805</v>
      </c>
      <c r="V116" s="37" t="s">
        <v>1018</v>
      </c>
      <c r="W116" s="37"/>
      <c r="X116" s="17"/>
    </row>
    <row r="117" spans="1:24" ht="18">
      <c r="A117" s="3"/>
      <c r="B117" s="79" t="s">
        <v>220</v>
      </c>
      <c r="C117" s="78" t="s">
        <v>101</v>
      </c>
      <c r="D117" s="37" t="s">
        <v>1135</v>
      </c>
      <c r="E117" s="79">
        <v>1</v>
      </c>
      <c r="F117" s="79" t="s">
        <v>266</v>
      </c>
      <c r="G117" s="264">
        <v>34.9</v>
      </c>
      <c r="H117" s="264">
        <v>21.5</v>
      </c>
      <c r="I117" s="81">
        <v>230</v>
      </c>
      <c r="J117" s="230" cm="1">
        <f t="array" ref="J117">_xlfn.XLOOKUP($I117,Inputs!C$6:C$23,Inputs!$D$6:D$23)*$G117</f>
        <v>16.751999999999999</v>
      </c>
      <c r="K117" s="121"/>
      <c r="L117" s="121"/>
      <c r="M117" s="197"/>
      <c r="N117" s="121"/>
      <c r="O117" s="267">
        <v>369.5</v>
      </c>
      <c r="P117" s="221">
        <f>Inputs!$Y$6</f>
        <v>0.9</v>
      </c>
      <c r="Q117" s="197">
        <f t="shared" si="9"/>
        <v>277.125</v>
      </c>
      <c r="R117" s="267">
        <f t="shared" si="10"/>
        <v>332.55</v>
      </c>
      <c r="S117" s="165" t="s">
        <v>1254</v>
      </c>
      <c r="T117" s="37" t="s">
        <v>994</v>
      </c>
      <c r="U117" s="165" t="s">
        <v>628</v>
      </c>
      <c r="V117" s="37" t="s">
        <v>1014</v>
      </c>
      <c r="W117" s="37"/>
      <c r="X117" s="17"/>
    </row>
    <row r="118" spans="1:24" s="114" customFormat="1" ht="18">
      <c r="A118" s="3"/>
      <c r="B118" s="96" t="s">
        <v>431</v>
      </c>
      <c r="C118" s="98" t="s">
        <v>123</v>
      </c>
      <c r="D118" s="37" t="s">
        <v>1277</v>
      </c>
      <c r="E118" s="96">
        <v>1</v>
      </c>
      <c r="F118" s="96" t="s">
        <v>266</v>
      </c>
      <c r="G118" s="264">
        <v>10</v>
      </c>
      <c r="H118" s="264">
        <v>6.2</v>
      </c>
      <c r="I118" s="97">
        <v>66</v>
      </c>
      <c r="J118" s="230" cm="1">
        <f t="array" ref="J118">_xlfn.XLOOKUP($I118,Inputs!C$6:C$23,Inputs!$D$6:D$23)*$G118</f>
        <v>3.8214285714285716</v>
      </c>
      <c r="K118" s="121"/>
      <c r="L118" s="121"/>
      <c r="M118" s="214">
        <v>875.6</v>
      </c>
      <c r="N118" s="121"/>
      <c r="O118" s="214">
        <v>100.1</v>
      </c>
      <c r="P118" s="221">
        <f>Inputs!$Y$6</f>
        <v>0.9</v>
      </c>
      <c r="Q118" s="197">
        <f t="shared" si="9"/>
        <v>75.075000000000003</v>
      </c>
      <c r="R118" s="214">
        <f t="shared" si="10"/>
        <v>90.09</v>
      </c>
      <c r="S118" s="96" t="s">
        <v>1148</v>
      </c>
      <c r="T118" s="37" t="s">
        <v>839</v>
      </c>
      <c r="U118" s="96" t="s">
        <v>639</v>
      </c>
      <c r="V118" s="37" t="s">
        <v>1230</v>
      </c>
      <c r="W118" s="37"/>
      <c r="X118" s="17"/>
    </row>
    <row r="119" spans="1:24" s="114" customFormat="1" ht="18">
      <c r="A119" s="3"/>
      <c r="B119" s="96" t="s">
        <v>432</v>
      </c>
      <c r="C119" s="98" t="s">
        <v>123</v>
      </c>
      <c r="D119" s="37" t="s">
        <v>1277</v>
      </c>
      <c r="E119" s="96">
        <v>1</v>
      </c>
      <c r="F119" s="96" t="s">
        <v>266</v>
      </c>
      <c r="G119" s="264">
        <v>14.7</v>
      </c>
      <c r="H119" s="264">
        <v>9.1</v>
      </c>
      <c r="I119" s="97">
        <v>66</v>
      </c>
      <c r="J119" s="230" cm="1">
        <f t="array" ref="J119">_xlfn.XLOOKUP($I119,Inputs!C$6:C$23,Inputs!$D$6:D$23)*$G119</f>
        <v>5.6175000000000006</v>
      </c>
      <c r="K119" s="121"/>
      <c r="L119" s="121"/>
      <c r="M119" s="214">
        <v>550.4</v>
      </c>
      <c r="N119" s="121"/>
      <c r="O119" s="214">
        <v>62.9</v>
      </c>
      <c r="P119" s="221">
        <f>Inputs!$Y$6</f>
        <v>0.9</v>
      </c>
      <c r="Q119" s="197">
        <f t="shared" si="9"/>
        <v>47.175000000000004</v>
      </c>
      <c r="R119" s="214">
        <f t="shared" si="10"/>
        <v>56.61</v>
      </c>
      <c r="S119" s="96" t="s">
        <v>1148</v>
      </c>
      <c r="T119" s="37" t="s">
        <v>839</v>
      </c>
      <c r="U119" s="96" t="s">
        <v>1150</v>
      </c>
      <c r="V119" s="37" t="s">
        <v>995</v>
      </c>
      <c r="W119" s="194"/>
      <c r="X119" s="17"/>
    </row>
    <row r="120" spans="1:24" ht="18">
      <c r="A120" s="3"/>
      <c r="B120" s="79" t="s">
        <v>226</v>
      </c>
      <c r="C120" s="78" t="s">
        <v>101</v>
      </c>
      <c r="D120" s="37" t="s">
        <v>1277</v>
      </c>
      <c r="E120" s="79">
        <v>1</v>
      </c>
      <c r="F120" s="79" t="s">
        <v>266</v>
      </c>
      <c r="G120" s="264">
        <v>58.1</v>
      </c>
      <c r="H120" s="264">
        <v>35.9</v>
      </c>
      <c r="I120" s="81">
        <v>138</v>
      </c>
      <c r="J120" s="230" cm="1">
        <f t="array" ref="J120">_xlfn.XLOOKUP($I120,Inputs!C$6:C$23,Inputs!$D$6:D$23)*$G120</f>
        <v>25.190500000000004</v>
      </c>
      <c r="K120" s="121"/>
      <c r="L120" s="121"/>
      <c r="M120" s="197"/>
      <c r="N120" s="121"/>
      <c r="O120" s="267">
        <v>92.7</v>
      </c>
      <c r="P120" s="221">
        <f>Inputs!$Y$6</f>
        <v>0.9</v>
      </c>
      <c r="Q120" s="197">
        <f t="shared" si="9"/>
        <v>69.525000000000006</v>
      </c>
      <c r="R120" s="267">
        <f t="shared" si="10"/>
        <v>83.43</v>
      </c>
      <c r="S120" s="165" t="s">
        <v>686</v>
      </c>
      <c r="T120" s="37" t="s">
        <v>1075</v>
      </c>
      <c r="U120" s="165" t="s">
        <v>669</v>
      </c>
      <c r="V120" s="37" t="s">
        <v>1058</v>
      </c>
      <c r="W120" s="37"/>
      <c r="X120" s="17" t="s">
        <v>330</v>
      </c>
    </row>
    <row r="121" spans="1:24" ht="18">
      <c r="A121" s="3"/>
      <c r="B121" s="79" t="s">
        <v>249</v>
      </c>
      <c r="C121" s="78" t="s">
        <v>101</v>
      </c>
      <c r="D121" s="37" t="s">
        <v>1277</v>
      </c>
      <c r="E121" s="79">
        <v>1</v>
      </c>
      <c r="F121" s="79" t="s">
        <v>266</v>
      </c>
      <c r="G121" s="264">
        <v>34.9</v>
      </c>
      <c r="H121" s="264">
        <v>21.5</v>
      </c>
      <c r="I121" s="81">
        <v>66</v>
      </c>
      <c r="J121" s="230" cm="1">
        <f t="array" ref="J121">_xlfn.XLOOKUP($I121,Inputs!C$6:C$23,Inputs!$D$6:D$23)*$G121</f>
        <v>13.336785714285714</v>
      </c>
      <c r="K121" s="121"/>
      <c r="L121" s="121"/>
      <c r="M121" s="197"/>
      <c r="N121" s="121"/>
      <c r="O121" s="267">
        <v>56.2</v>
      </c>
      <c r="P121" s="221">
        <f>Inputs!$Y$6</f>
        <v>0.9</v>
      </c>
      <c r="Q121" s="197">
        <f t="shared" si="9"/>
        <v>42.150000000000006</v>
      </c>
      <c r="R121" s="267">
        <f t="shared" si="10"/>
        <v>50.580000000000005</v>
      </c>
      <c r="S121" s="165" t="s">
        <v>686</v>
      </c>
      <c r="T121" s="37" t="s">
        <v>1075</v>
      </c>
      <c r="U121" s="165" t="s">
        <v>696</v>
      </c>
      <c r="V121" s="37" t="s">
        <v>1085</v>
      </c>
      <c r="W121" s="37"/>
      <c r="X121" s="17"/>
    </row>
    <row r="122" spans="1:24" ht="18">
      <c r="A122" s="3"/>
      <c r="B122" s="79" t="s">
        <v>243</v>
      </c>
      <c r="C122" s="78" t="s">
        <v>101</v>
      </c>
      <c r="D122" s="37" t="s">
        <v>1277</v>
      </c>
      <c r="E122" s="79">
        <v>1</v>
      </c>
      <c r="F122" s="79" t="s">
        <v>266</v>
      </c>
      <c r="G122" s="264">
        <v>17.399999999999999</v>
      </c>
      <c r="H122" s="264">
        <v>10.8</v>
      </c>
      <c r="I122" s="81">
        <v>138</v>
      </c>
      <c r="J122" s="230" cm="1">
        <f t="array" ref="J122">_xlfn.XLOOKUP($I122,Inputs!C$6:C$23,Inputs!$D$6:D$23)*$G122</f>
        <v>7.544142857142857</v>
      </c>
      <c r="K122" s="270"/>
      <c r="L122" s="121"/>
      <c r="M122" s="197"/>
      <c r="N122" s="121"/>
      <c r="O122" s="267">
        <v>161.69999999999999</v>
      </c>
      <c r="P122" s="221">
        <f>Inputs!$Y$6</f>
        <v>0.9</v>
      </c>
      <c r="Q122" s="197">
        <f t="shared" si="9"/>
        <v>121.27500000000001</v>
      </c>
      <c r="R122" s="267">
        <f t="shared" si="10"/>
        <v>145.53</v>
      </c>
      <c r="S122" s="165" t="s">
        <v>686</v>
      </c>
      <c r="T122" s="37" t="s">
        <v>1075</v>
      </c>
      <c r="U122" s="165" t="s">
        <v>730</v>
      </c>
      <c r="V122" s="37" t="s">
        <v>993</v>
      </c>
      <c r="W122" s="37"/>
      <c r="X122" s="17"/>
    </row>
    <row r="123" spans="1:24" ht="18">
      <c r="A123" s="3"/>
      <c r="B123" s="96" t="s">
        <v>308</v>
      </c>
      <c r="C123" s="98" t="s">
        <v>123</v>
      </c>
      <c r="D123" s="37" t="s">
        <v>1277</v>
      </c>
      <c r="E123" s="96">
        <v>1</v>
      </c>
      <c r="F123" s="96" t="s">
        <v>266</v>
      </c>
      <c r="G123" s="264">
        <v>26.5</v>
      </c>
      <c r="H123" s="264">
        <v>16.3</v>
      </c>
      <c r="I123" s="97">
        <v>66</v>
      </c>
      <c r="J123" s="230" cm="1">
        <f t="array" ref="J123">_xlfn.XLOOKUP($I123,Inputs!C$6:C$23,Inputs!$D$6:D$23)*$G123</f>
        <v>10.126785714285715</v>
      </c>
      <c r="K123" s="121"/>
      <c r="L123" s="121"/>
      <c r="M123" s="214">
        <v>779.9</v>
      </c>
      <c r="N123" s="121"/>
      <c r="O123" s="214">
        <v>89.2</v>
      </c>
      <c r="P123" s="221">
        <f>Inputs!$Y$6</f>
        <v>0.9</v>
      </c>
      <c r="Q123" s="197">
        <f t="shared" si="9"/>
        <v>66.900000000000006</v>
      </c>
      <c r="R123" s="214">
        <f t="shared" si="10"/>
        <v>80.28</v>
      </c>
      <c r="S123" s="96" t="s">
        <v>668</v>
      </c>
      <c r="T123" s="37" t="s">
        <v>1057</v>
      </c>
      <c r="U123" s="96" t="s">
        <v>667</v>
      </c>
      <c r="V123" s="37" t="s">
        <v>1056</v>
      </c>
      <c r="W123" s="37"/>
      <c r="X123" s="17"/>
    </row>
    <row r="124" spans="1:24" ht="18">
      <c r="A124" s="3"/>
      <c r="B124" s="96" t="s">
        <v>471</v>
      </c>
      <c r="C124" s="98" t="s">
        <v>123</v>
      </c>
      <c r="D124" s="37" t="s">
        <v>1277</v>
      </c>
      <c r="E124" s="96">
        <v>1</v>
      </c>
      <c r="F124" s="96" t="s">
        <v>266</v>
      </c>
      <c r="G124" s="264">
        <v>19</v>
      </c>
      <c r="H124" s="264">
        <v>11.7</v>
      </c>
      <c r="I124" s="97">
        <v>66</v>
      </c>
      <c r="J124" s="230" cm="1">
        <f t="array" ref="J124">_xlfn.XLOOKUP($I124,Inputs!C$6:C$23,Inputs!$D$6:D$23)*$G124</f>
        <v>7.2607142857142861</v>
      </c>
      <c r="K124" s="121"/>
      <c r="L124" s="121"/>
      <c r="M124" s="214">
        <v>474.3</v>
      </c>
      <c r="N124" s="121"/>
      <c r="O124" s="214">
        <v>54.2</v>
      </c>
      <c r="P124" s="221">
        <f>Inputs!$Y$6</f>
        <v>0.9</v>
      </c>
      <c r="Q124" s="197">
        <f t="shared" si="9"/>
        <v>40.650000000000006</v>
      </c>
      <c r="R124" s="214">
        <f t="shared" si="10"/>
        <v>48.78</v>
      </c>
      <c r="S124" s="96" t="s">
        <v>810</v>
      </c>
      <c r="T124" s="37" t="s">
        <v>1123</v>
      </c>
      <c r="U124" s="96" t="s">
        <v>631</v>
      </c>
      <c r="V124" s="37" t="s">
        <v>1238</v>
      </c>
      <c r="W124" s="37"/>
      <c r="X124" s="17"/>
    </row>
    <row r="125" spans="1:24" ht="18">
      <c r="A125" s="3"/>
      <c r="B125" s="79" t="s">
        <v>250</v>
      </c>
      <c r="C125" s="78" t="s">
        <v>101</v>
      </c>
      <c r="D125" s="37" t="s">
        <v>1277</v>
      </c>
      <c r="E125" s="79">
        <v>1</v>
      </c>
      <c r="F125" s="79" t="s">
        <v>266</v>
      </c>
      <c r="G125" s="264">
        <v>17.399999999999999</v>
      </c>
      <c r="H125" s="264">
        <v>10.8</v>
      </c>
      <c r="I125" s="81">
        <v>66</v>
      </c>
      <c r="J125" s="230" cm="1">
        <f t="array" ref="J125">_xlfn.XLOOKUP($I125,Inputs!C$6:C$23,Inputs!$D$6:D$23)*$G125</f>
        <v>6.649285714285714</v>
      </c>
      <c r="K125" s="121"/>
      <c r="L125" s="121"/>
      <c r="M125" s="197"/>
      <c r="N125" s="121"/>
      <c r="O125" s="267">
        <v>56.2</v>
      </c>
      <c r="P125" s="221">
        <f>Inputs!$Y$6</f>
        <v>0.9</v>
      </c>
      <c r="Q125" s="197">
        <f t="shared" si="9"/>
        <v>42.150000000000006</v>
      </c>
      <c r="R125" s="267">
        <f t="shared" si="10"/>
        <v>50.580000000000005</v>
      </c>
      <c r="S125" s="165" t="s">
        <v>697</v>
      </c>
      <c r="T125" s="37" t="s">
        <v>1086</v>
      </c>
      <c r="U125" s="165" t="s">
        <v>733</v>
      </c>
      <c r="V125" s="37" t="s">
        <v>1114</v>
      </c>
      <c r="W125" s="37"/>
      <c r="X125" s="17"/>
    </row>
    <row r="126" spans="1:24" ht="18">
      <c r="A126" s="3"/>
      <c r="B126" s="79" t="s">
        <v>251</v>
      </c>
      <c r="C126" s="78" t="s">
        <v>101</v>
      </c>
      <c r="D126" s="37" t="s">
        <v>1277</v>
      </c>
      <c r="E126" s="79">
        <v>1</v>
      </c>
      <c r="F126" s="79" t="s">
        <v>266</v>
      </c>
      <c r="G126" s="264">
        <v>15</v>
      </c>
      <c r="H126" s="264">
        <v>9.3000000000000007</v>
      </c>
      <c r="I126" s="81">
        <v>66</v>
      </c>
      <c r="J126" s="230" cm="1">
        <f t="array" ref="J126">_xlfn.XLOOKUP($I126,Inputs!C$6:C$23,Inputs!$D$6:D$23)*$G126</f>
        <v>5.7321428571428577</v>
      </c>
      <c r="K126" s="121"/>
      <c r="L126" s="121"/>
      <c r="M126" s="197"/>
      <c r="N126" s="121"/>
      <c r="O126" s="267">
        <v>56.2</v>
      </c>
      <c r="P126" s="221">
        <f>Inputs!$Y$6</f>
        <v>0.9</v>
      </c>
      <c r="Q126" s="197">
        <f t="shared" si="9"/>
        <v>42.150000000000006</v>
      </c>
      <c r="R126" s="267">
        <f t="shared" si="10"/>
        <v>50.580000000000005</v>
      </c>
      <c r="S126" s="165" t="s">
        <v>697</v>
      </c>
      <c r="T126" s="37" t="s">
        <v>1086</v>
      </c>
      <c r="U126" s="165" t="s">
        <v>792</v>
      </c>
      <c r="V126" s="37" t="s">
        <v>998</v>
      </c>
      <c r="W126" s="37"/>
      <c r="X126" s="17" t="s">
        <v>799</v>
      </c>
    </row>
    <row r="127" spans="1:24" ht="18">
      <c r="A127" s="3"/>
      <c r="B127" s="96" t="s">
        <v>277</v>
      </c>
      <c r="C127" s="98" t="s">
        <v>123</v>
      </c>
      <c r="D127" s="37" t="s">
        <v>1277</v>
      </c>
      <c r="E127" s="96">
        <v>1</v>
      </c>
      <c r="F127" s="96" t="s">
        <v>266</v>
      </c>
      <c r="G127" s="264">
        <v>15</v>
      </c>
      <c r="H127" s="264">
        <v>9.3000000000000007</v>
      </c>
      <c r="I127" s="97">
        <v>66</v>
      </c>
      <c r="J127" s="230" cm="1">
        <f t="array" ref="J127">_xlfn.XLOOKUP($I127,Inputs!C$6:C$23,Inputs!$D$6:D$23)*$G127</f>
        <v>5.7321428571428577</v>
      </c>
      <c r="K127" s="121"/>
      <c r="L127" s="121"/>
      <c r="M127" s="214">
        <v>350.4</v>
      </c>
      <c r="N127" s="121"/>
      <c r="O127" s="214">
        <v>40.1</v>
      </c>
      <c r="P127" s="221">
        <f>Inputs!$Y$6</f>
        <v>0.9</v>
      </c>
      <c r="Q127" s="197">
        <f t="shared" si="9"/>
        <v>30.075000000000003</v>
      </c>
      <c r="R127" s="214">
        <f t="shared" si="10"/>
        <v>36.090000000000003</v>
      </c>
      <c r="S127" s="96" t="s">
        <v>811</v>
      </c>
      <c r="T127" s="37" t="s">
        <v>1035</v>
      </c>
      <c r="U127" s="96" t="s">
        <v>650</v>
      </c>
      <c r="V127" s="37" t="s">
        <v>1040</v>
      </c>
      <c r="W127" s="194"/>
      <c r="X127" s="17"/>
    </row>
    <row r="128" spans="1:24" ht="18">
      <c r="A128" s="3"/>
      <c r="B128" s="96" t="s">
        <v>452</v>
      </c>
      <c r="C128" s="98" t="s">
        <v>123</v>
      </c>
      <c r="D128" s="37" t="s">
        <v>1277</v>
      </c>
      <c r="E128" s="96">
        <v>1</v>
      </c>
      <c r="F128" s="96" t="s">
        <v>266</v>
      </c>
      <c r="G128" s="264">
        <v>8.4</v>
      </c>
      <c r="H128" s="264">
        <v>5.2</v>
      </c>
      <c r="I128" s="97">
        <v>66</v>
      </c>
      <c r="J128" s="230" cm="1">
        <f t="array" ref="J128">_xlfn.XLOOKUP($I128,Inputs!C$6:C$23,Inputs!$D$6:D$23)*$G128</f>
        <v>3.2100000000000004</v>
      </c>
      <c r="K128" s="121"/>
      <c r="L128" s="121"/>
      <c r="M128" s="214">
        <v>779.9</v>
      </c>
      <c r="N128" s="121"/>
      <c r="O128" s="214">
        <v>89.2</v>
      </c>
      <c r="P128" s="221">
        <f>Inputs!$Y$6</f>
        <v>0.9</v>
      </c>
      <c r="Q128" s="197">
        <f t="shared" si="9"/>
        <v>66.900000000000006</v>
      </c>
      <c r="R128" s="214">
        <f t="shared" si="10"/>
        <v>80.28</v>
      </c>
      <c r="S128" s="96" t="s">
        <v>634</v>
      </c>
      <c r="T128" s="37" t="s">
        <v>1021</v>
      </c>
      <c r="U128" s="96" t="s">
        <v>709</v>
      </c>
      <c r="V128" s="37" t="s">
        <v>1249</v>
      </c>
      <c r="W128" s="37"/>
      <c r="X128" s="17"/>
    </row>
    <row r="129" spans="1:24" ht="18">
      <c r="A129" s="3"/>
      <c r="B129" s="96" t="s">
        <v>453</v>
      </c>
      <c r="C129" s="98" t="s">
        <v>123</v>
      </c>
      <c r="D129" s="37" t="s">
        <v>1277</v>
      </c>
      <c r="E129" s="96">
        <v>1</v>
      </c>
      <c r="F129" s="96" t="s">
        <v>266</v>
      </c>
      <c r="G129" s="264">
        <v>6.3</v>
      </c>
      <c r="H129" s="264">
        <v>3.9</v>
      </c>
      <c r="I129" s="97">
        <v>66</v>
      </c>
      <c r="J129" s="230" cm="1">
        <f t="array" ref="J129">_xlfn.XLOOKUP($I129,Inputs!C$6:C$23,Inputs!$D$6:D$23)*$G129</f>
        <v>2.4075000000000002</v>
      </c>
      <c r="K129" s="121"/>
      <c r="L129" s="121"/>
      <c r="M129" s="214">
        <v>1003.9</v>
      </c>
      <c r="N129" s="121"/>
      <c r="O129" s="214">
        <v>114.8</v>
      </c>
      <c r="P129" s="221">
        <f>Inputs!$Y$6</f>
        <v>0.9</v>
      </c>
      <c r="Q129" s="197">
        <f t="shared" si="9"/>
        <v>86.1</v>
      </c>
      <c r="R129" s="214">
        <f t="shared" si="10"/>
        <v>103.32</v>
      </c>
      <c r="S129" s="96" t="s">
        <v>635</v>
      </c>
      <c r="T129" s="37" t="s">
        <v>1022</v>
      </c>
      <c r="U129" s="96" t="s">
        <v>620</v>
      </c>
      <c r="V129" s="37" t="s">
        <v>1237</v>
      </c>
      <c r="W129" s="37"/>
      <c r="X129" s="17"/>
    </row>
    <row r="130" spans="1:24" ht="18">
      <c r="A130" s="3"/>
      <c r="B130" s="96" t="s">
        <v>465</v>
      </c>
      <c r="C130" s="98" t="s">
        <v>123</v>
      </c>
      <c r="D130" s="37" t="s">
        <v>1277</v>
      </c>
      <c r="E130" s="96">
        <v>1</v>
      </c>
      <c r="F130" s="96" t="s">
        <v>266</v>
      </c>
      <c r="G130" s="264">
        <v>10.5</v>
      </c>
      <c r="H130" s="264">
        <v>6.5</v>
      </c>
      <c r="I130" s="97">
        <v>66</v>
      </c>
      <c r="J130" s="230" cm="1">
        <f t="array" ref="J130">_xlfn.XLOOKUP($I130,Inputs!C$6:C$23,Inputs!$D$6:D$23)*$G130</f>
        <v>4.0125000000000002</v>
      </c>
      <c r="K130" s="121"/>
      <c r="L130" s="121"/>
      <c r="M130" s="214">
        <v>550.4</v>
      </c>
      <c r="N130" s="121"/>
      <c r="O130" s="214">
        <v>52.9</v>
      </c>
      <c r="P130" s="221">
        <f>Inputs!$Y$6</f>
        <v>0.9</v>
      </c>
      <c r="Q130" s="197">
        <f t="shared" si="9"/>
        <v>39.675000000000004</v>
      </c>
      <c r="R130" s="214">
        <f t="shared" si="10"/>
        <v>47.61</v>
      </c>
      <c r="S130" s="96" t="s">
        <v>635</v>
      </c>
      <c r="T130" s="37" t="s">
        <v>1022</v>
      </c>
      <c r="U130" s="96" t="s">
        <v>625</v>
      </c>
      <c r="V130" s="37" t="s">
        <v>1011</v>
      </c>
      <c r="W130" s="37"/>
      <c r="X130" s="17"/>
    </row>
    <row r="131" spans="1:24" ht="18">
      <c r="A131" s="3"/>
      <c r="B131" s="96" t="s">
        <v>423</v>
      </c>
      <c r="C131" s="98" t="s">
        <v>123</v>
      </c>
      <c r="D131" s="37" t="s">
        <v>1277</v>
      </c>
      <c r="E131" s="96">
        <v>1</v>
      </c>
      <c r="F131" s="96" t="s">
        <v>266</v>
      </c>
      <c r="G131" s="264">
        <v>6.3</v>
      </c>
      <c r="H131" s="264">
        <v>3.9</v>
      </c>
      <c r="I131" s="97">
        <v>66</v>
      </c>
      <c r="J131" s="230" cm="1">
        <f t="array" ref="J131">_xlfn.XLOOKUP($I131,Inputs!C$6:C$23,Inputs!$D$6:D$23)*$G131</f>
        <v>2.4075000000000002</v>
      </c>
      <c r="K131" s="121"/>
      <c r="L131" s="121"/>
      <c r="M131" s="214">
        <v>379.3</v>
      </c>
      <c r="N131" s="121"/>
      <c r="O131" s="214">
        <v>43.4</v>
      </c>
      <c r="P131" s="221">
        <f>Inputs!$Y$6</f>
        <v>0.9</v>
      </c>
      <c r="Q131" s="197">
        <f t="shared" si="9"/>
        <v>32.550000000000004</v>
      </c>
      <c r="R131" s="214">
        <f t="shared" si="10"/>
        <v>39.06</v>
      </c>
      <c r="S131" s="96" t="s">
        <v>622</v>
      </c>
      <c r="T131" s="37" t="s">
        <v>1008</v>
      </c>
      <c r="U131" s="96" t="s">
        <v>624</v>
      </c>
      <c r="V131" s="37" t="s">
        <v>1010</v>
      </c>
      <c r="W131" s="37"/>
      <c r="X131" s="17"/>
    </row>
    <row r="132" spans="1:24" ht="18">
      <c r="A132" s="3"/>
      <c r="B132" s="96" t="s">
        <v>427</v>
      </c>
      <c r="C132" s="98" t="s">
        <v>123</v>
      </c>
      <c r="D132" s="37" t="s">
        <v>1277</v>
      </c>
      <c r="E132" s="96">
        <v>1</v>
      </c>
      <c r="F132" s="96" t="s">
        <v>266</v>
      </c>
      <c r="G132" s="264">
        <v>5.3</v>
      </c>
      <c r="H132" s="264">
        <v>3.2</v>
      </c>
      <c r="I132" s="97">
        <v>66</v>
      </c>
      <c r="J132" s="230" cm="1">
        <f t="array" ref="J132">_xlfn.XLOOKUP($I132,Inputs!C$6:C$23,Inputs!$D$6:D$23)*$G132</f>
        <v>2.0253571428571431</v>
      </c>
      <c r="K132" s="121"/>
      <c r="L132" s="121"/>
      <c r="M132" s="214">
        <v>379.3</v>
      </c>
      <c r="N132" s="121"/>
      <c r="O132" s="214">
        <v>43.4</v>
      </c>
      <c r="P132" s="221">
        <f>Inputs!$Y$6</f>
        <v>0.9</v>
      </c>
      <c r="Q132" s="197">
        <f t="shared" si="9"/>
        <v>32.550000000000004</v>
      </c>
      <c r="R132" s="214">
        <f t="shared" si="10"/>
        <v>39.06</v>
      </c>
      <c r="S132" s="96" t="s">
        <v>622</v>
      </c>
      <c r="T132" s="37" t="s">
        <v>1008</v>
      </c>
      <c r="U132" s="96" t="s">
        <v>984</v>
      </c>
      <c r="V132" s="37" t="s">
        <v>1093</v>
      </c>
      <c r="W132" s="37"/>
      <c r="X132" s="17"/>
    </row>
    <row r="133" spans="1:24" ht="18">
      <c r="A133" s="3"/>
      <c r="B133" s="96" t="s">
        <v>300</v>
      </c>
      <c r="C133" s="98" t="s">
        <v>123</v>
      </c>
      <c r="D133" s="37" t="s">
        <v>1277</v>
      </c>
      <c r="E133" s="96">
        <v>1</v>
      </c>
      <c r="F133" s="96" t="s">
        <v>266</v>
      </c>
      <c r="G133" s="264">
        <v>10</v>
      </c>
      <c r="H133" s="264">
        <v>6.2</v>
      </c>
      <c r="I133" s="97">
        <v>66</v>
      </c>
      <c r="J133" s="230" cm="1">
        <f t="array" ref="J133">_xlfn.XLOOKUP($I133,Inputs!C$6:C$23,Inputs!$D$6:D$23)*$G133</f>
        <v>3.8214285714285716</v>
      </c>
      <c r="K133" s="121"/>
      <c r="L133" s="121"/>
      <c r="M133" s="214">
        <v>712.7</v>
      </c>
      <c r="N133" s="121"/>
      <c r="O133" s="214">
        <v>81.5</v>
      </c>
      <c r="P133" s="221">
        <f>Inputs!$Y$6</f>
        <v>0.9</v>
      </c>
      <c r="Q133" s="197">
        <f t="shared" si="9"/>
        <v>61.125000000000007</v>
      </c>
      <c r="R133" s="214">
        <f t="shared" si="10"/>
        <v>73.350000000000009</v>
      </c>
      <c r="S133" s="96" t="s">
        <v>662</v>
      </c>
      <c r="T133" s="37" t="s">
        <v>1053</v>
      </c>
      <c r="U133" s="96" t="s">
        <v>663</v>
      </c>
      <c r="V133" s="37" t="s">
        <v>1250</v>
      </c>
      <c r="W133" s="37"/>
      <c r="X133" s="17"/>
    </row>
    <row r="134" spans="1:24" s="114" customFormat="1" ht="18">
      <c r="A134" s="3"/>
      <c r="B134" s="96" t="s">
        <v>279</v>
      </c>
      <c r="C134" s="98" t="s">
        <v>123</v>
      </c>
      <c r="D134" s="37" t="s">
        <v>1277</v>
      </c>
      <c r="E134" s="96">
        <v>1</v>
      </c>
      <c r="F134" s="96" t="s">
        <v>266</v>
      </c>
      <c r="G134" s="264">
        <v>15</v>
      </c>
      <c r="H134" s="264">
        <v>9.3000000000000007</v>
      </c>
      <c r="I134" s="97">
        <v>138</v>
      </c>
      <c r="J134" s="230" cm="1">
        <f t="array" ref="J134">_xlfn.XLOOKUP($I134,Inputs!C$6:C$23,Inputs!$D$6:D$23)*$G134</f>
        <v>6.503571428571429</v>
      </c>
      <c r="K134" s="121"/>
      <c r="L134" s="121"/>
      <c r="M134" s="214">
        <v>302.3</v>
      </c>
      <c r="N134" s="121"/>
      <c r="O134" s="214">
        <v>34.6</v>
      </c>
      <c r="P134" s="221">
        <f>Inputs!$Y$6</f>
        <v>0.9</v>
      </c>
      <c r="Q134" s="197">
        <f t="shared" si="9"/>
        <v>25.950000000000003</v>
      </c>
      <c r="R134" s="214">
        <f t="shared" si="10"/>
        <v>31.14</v>
      </c>
      <c r="S134" s="96" t="s">
        <v>812</v>
      </c>
      <c r="T134" s="37" t="s">
        <v>1124</v>
      </c>
      <c r="U134" s="96" t="s">
        <v>823</v>
      </c>
      <c r="V134" s="37" t="s">
        <v>1130</v>
      </c>
      <c r="W134" s="194"/>
      <c r="X134" s="17"/>
    </row>
    <row r="135" spans="1:24" ht="18">
      <c r="A135" s="3"/>
      <c r="B135" s="96" t="s">
        <v>297</v>
      </c>
      <c r="C135" s="98" t="s">
        <v>123</v>
      </c>
      <c r="D135" s="37" t="s">
        <v>1277</v>
      </c>
      <c r="E135" s="96">
        <v>1</v>
      </c>
      <c r="F135" s="96" t="s">
        <v>266</v>
      </c>
      <c r="G135" s="264">
        <v>8.8000000000000007</v>
      </c>
      <c r="H135" s="264">
        <v>5.4</v>
      </c>
      <c r="I135" s="97">
        <v>66</v>
      </c>
      <c r="J135" s="230" cm="1">
        <f t="array" ref="J135">_xlfn.XLOOKUP($I135,Inputs!C$6:C$23,Inputs!$D$6:D$23)*$G135</f>
        <v>3.3628571428571434</v>
      </c>
      <c r="K135" s="121"/>
      <c r="L135" s="121"/>
      <c r="M135" s="214">
        <v>712.7</v>
      </c>
      <c r="N135" s="121"/>
      <c r="O135" s="214">
        <v>170.4</v>
      </c>
      <c r="P135" s="221">
        <f>Inputs!$Y$6</f>
        <v>0.9</v>
      </c>
      <c r="Q135" s="197">
        <f t="shared" si="9"/>
        <v>127.80000000000001</v>
      </c>
      <c r="R135" s="214">
        <f t="shared" si="10"/>
        <v>153.36000000000001</v>
      </c>
      <c r="S135" s="96" t="s">
        <v>659</v>
      </c>
      <c r="T135" s="37" t="s">
        <v>1049</v>
      </c>
      <c r="U135" s="96" t="s">
        <v>664</v>
      </c>
      <c r="V135" s="37" t="s">
        <v>1054</v>
      </c>
      <c r="W135" s="37"/>
      <c r="X135" s="17"/>
    </row>
    <row r="136" spans="1:24" ht="18">
      <c r="A136" s="3"/>
      <c r="B136" s="79" t="s">
        <v>216</v>
      </c>
      <c r="C136" s="78" t="s">
        <v>101</v>
      </c>
      <c r="D136" s="37" t="s">
        <v>1277</v>
      </c>
      <c r="E136" s="79">
        <v>1</v>
      </c>
      <c r="F136" s="79" t="s">
        <v>266</v>
      </c>
      <c r="G136" s="264">
        <v>16</v>
      </c>
      <c r="H136" s="264">
        <v>9.9</v>
      </c>
      <c r="I136" s="81">
        <v>138</v>
      </c>
      <c r="J136" s="230" cm="1">
        <f t="array" ref="J136">_xlfn.XLOOKUP($I136,Inputs!C$6:C$23,Inputs!$D$6:D$23)*$G136</f>
        <v>6.9371428571428577</v>
      </c>
      <c r="K136" s="121"/>
      <c r="L136" s="121"/>
      <c r="M136" s="197"/>
      <c r="N136" s="121"/>
      <c r="O136" s="267">
        <v>112.4</v>
      </c>
      <c r="P136" s="221">
        <f>Inputs!$Y$6</f>
        <v>0.9</v>
      </c>
      <c r="Q136" s="197">
        <f t="shared" si="9"/>
        <v>84.300000000000011</v>
      </c>
      <c r="R136" s="267">
        <f t="shared" si="10"/>
        <v>101.16000000000001</v>
      </c>
      <c r="S136" s="165" t="s">
        <v>659</v>
      </c>
      <c r="T136" s="37" t="s">
        <v>1049</v>
      </c>
      <c r="U136" s="165" t="s">
        <v>661</v>
      </c>
      <c r="V136" s="37" t="s">
        <v>1052</v>
      </c>
      <c r="W136" s="37"/>
      <c r="X136" s="17"/>
    </row>
    <row r="137" spans="1:24" s="114" customFormat="1" ht="18">
      <c r="A137" s="3"/>
      <c r="B137" s="96" t="s">
        <v>280</v>
      </c>
      <c r="C137" s="98" t="s">
        <v>123</v>
      </c>
      <c r="D137" s="37" t="s">
        <v>1277</v>
      </c>
      <c r="E137" s="96">
        <v>1</v>
      </c>
      <c r="F137" s="96" t="s">
        <v>266</v>
      </c>
      <c r="G137" s="264">
        <v>16</v>
      </c>
      <c r="H137" s="264">
        <v>9.9</v>
      </c>
      <c r="I137" s="97">
        <v>66</v>
      </c>
      <c r="J137" s="230" cm="1">
        <f t="array" ref="J137">_xlfn.XLOOKUP($I137,Inputs!C$6:C$23,Inputs!$D$6:D$23)*$G137</f>
        <v>6.1142857142857148</v>
      </c>
      <c r="K137" s="121"/>
      <c r="L137" s="121"/>
      <c r="M137" s="214">
        <v>779.9</v>
      </c>
      <c r="N137" s="121"/>
      <c r="O137" s="214">
        <v>89.2</v>
      </c>
      <c r="P137" s="221">
        <f>Inputs!$Y$6</f>
        <v>0.9</v>
      </c>
      <c r="Q137" s="197">
        <f t="shared" si="9"/>
        <v>66.900000000000006</v>
      </c>
      <c r="R137" s="214">
        <f t="shared" si="10"/>
        <v>80.28</v>
      </c>
      <c r="S137" s="96" t="s">
        <v>649</v>
      </c>
      <c r="T137" s="37" t="s">
        <v>1239</v>
      </c>
      <c r="U137" s="96" t="s">
        <v>885</v>
      </c>
      <c r="V137" s="37" t="s">
        <v>1038</v>
      </c>
      <c r="W137" s="37"/>
      <c r="X137" s="17"/>
    </row>
    <row r="138" spans="1:24" s="114" customFormat="1" ht="18">
      <c r="A138" s="3"/>
      <c r="B138" s="79" t="s">
        <v>256</v>
      </c>
      <c r="C138" s="78" t="s">
        <v>101</v>
      </c>
      <c r="D138" s="37" t="s">
        <v>1277</v>
      </c>
      <c r="E138" s="79">
        <v>1</v>
      </c>
      <c r="F138" s="79" t="s">
        <v>266</v>
      </c>
      <c r="G138" s="264">
        <v>29.1</v>
      </c>
      <c r="H138" s="264">
        <v>17.899999999999999</v>
      </c>
      <c r="I138" s="81">
        <v>66</v>
      </c>
      <c r="J138" s="230" cm="1">
        <f t="array" ref="J138">_xlfn.XLOOKUP($I138,Inputs!C$6:C$23,Inputs!$D$6:D$23)*$G138</f>
        <v>11.120357142857145</v>
      </c>
      <c r="K138" s="121"/>
      <c r="L138" s="121"/>
      <c r="M138" s="197"/>
      <c r="N138" s="121"/>
      <c r="O138" s="267">
        <v>56.2</v>
      </c>
      <c r="P138" s="221">
        <f>Inputs!$Y$6</f>
        <v>0.9</v>
      </c>
      <c r="Q138" s="197">
        <f t="shared" si="9"/>
        <v>42.150000000000006</v>
      </c>
      <c r="R138" s="267">
        <f t="shared" si="10"/>
        <v>50.580000000000005</v>
      </c>
      <c r="S138" s="165" t="s">
        <v>700</v>
      </c>
      <c r="T138" s="37" t="s">
        <v>1088</v>
      </c>
      <c r="U138" s="165" t="s">
        <v>736</v>
      </c>
      <c r="V138" s="37" t="s">
        <v>1146</v>
      </c>
      <c r="W138" s="194"/>
      <c r="X138" s="17"/>
    </row>
    <row r="139" spans="1:24" ht="18">
      <c r="A139" s="3"/>
      <c r="B139" s="96" t="s">
        <v>834</v>
      </c>
      <c r="C139" s="98" t="s">
        <v>123</v>
      </c>
      <c r="D139" s="37" t="s">
        <v>1277</v>
      </c>
      <c r="E139" s="96">
        <v>1</v>
      </c>
      <c r="F139" s="96" t="s">
        <v>266</v>
      </c>
      <c r="G139" s="264">
        <v>13</v>
      </c>
      <c r="H139" s="264">
        <v>8</v>
      </c>
      <c r="I139" s="97">
        <v>66</v>
      </c>
      <c r="J139" s="230" cm="1">
        <f t="array" ref="J139">_xlfn.XLOOKUP($I139,Inputs!C$6:C$23,Inputs!$D$6:D$23)*$G139</f>
        <v>4.9678571428571434</v>
      </c>
      <c r="K139" s="268">
        <f>IF((42.4*(H139)^(-0.6595))&gt;=3,3,(IF(42.4*(H139)^(-0.6595)&lt;=0.5,0.5,(42.4*(H139)^(-0.6595)))))</f>
        <v>3</v>
      </c>
      <c r="L139" s="121"/>
      <c r="M139" s="197"/>
      <c r="N139" s="121"/>
      <c r="O139" s="222"/>
      <c r="P139" s="221">
        <f>Inputs!$Y$6</f>
        <v>0.9</v>
      </c>
      <c r="Q139" s="269">
        <f>_xlfn.XLOOKUP($I139,Inputs!$G$6:$G$23,Inputs!$J$6:$J$23)*$K139</f>
        <v>32.67</v>
      </c>
      <c r="R139" s="269">
        <f>_xlfn.XLOOKUP($I139,Inputs!$G$6:$G$23,Inputs!$K$6:$K$23)*$K139</f>
        <v>35.704918032786885</v>
      </c>
      <c r="S139" s="96" t="s">
        <v>813</v>
      </c>
      <c r="T139" s="37" t="s">
        <v>1066</v>
      </c>
      <c r="U139" s="96" t="s">
        <v>817</v>
      </c>
      <c r="V139" s="37" t="s">
        <v>1065</v>
      </c>
      <c r="W139" s="37"/>
      <c r="X139" s="17"/>
    </row>
    <row r="140" spans="1:24" ht="18">
      <c r="A140" s="3"/>
      <c r="B140" s="96" t="s">
        <v>301</v>
      </c>
      <c r="C140" s="98" t="s">
        <v>123</v>
      </c>
      <c r="D140" s="37" t="s">
        <v>1277</v>
      </c>
      <c r="E140" s="96">
        <v>1</v>
      </c>
      <c r="F140" s="96" t="s">
        <v>266</v>
      </c>
      <c r="G140" s="264">
        <v>8.8000000000000007</v>
      </c>
      <c r="H140" s="264">
        <v>5.4</v>
      </c>
      <c r="I140" s="97">
        <v>66</v>
      </c>
      <c r="J140" s="230" cm="1">
        <f t="array" ref="J140">_xlfn.XLOOKUP($I140,Inputs!C$6:C$23,Inputs!$D$6:D$23)*$G140</f>
        <v>3.3628571428571434</v>
      </c>
      <c r="K140" s="121"/>
      <c r="L140" s="121"/>
      <c r="M140" s="214">
        <v>712.7</v>
      </c>
      <c r="N140" s="121"/>
      <c r="O140" s="214">
        <v>170.4</v>
      </c>
      <c r="P140" s="221">
        <f>Inputs!$Y$6</f>
        <v>0.9</v>
      </c>
      <c r="Q140" s="197">
        <f>R140/1.2</f>
        <v>127.80000000000001</v>
      </c>
      <c r="R140" s="214">
        <f>O140*P140</f>
        <v>153.36000000000001</v>
      </c>
      <c r="S140" s="96" t="s">
        <v>664</v>
      </c>
      <c r="T140" s="37" t="s">
        <v>1054</v>
      </c>
      <c r="U140" s="96" t="s">
        <v>661</v>
      </c>
      <c r="V140" s="37" t="s">
        <v>1052</v>
      </c>
      <c r="W140" s="37"/>
      <c r="X140" s="17"/>
    </row>
    <row r="141" spans="1:24" ht="18">
      <c r="A141" s="3"/>
      <c r="B141" s="96" t="s">
        <v>306</v>
      </c>
      <c r="C141" s="98" t="s">
        <v>123</v>
      </c>
      <c r="D141" s="37" t="s">
        <v>1277</v>
      </c>
      <c r="E141" s="96">
        <v>1</v>
      </c>
      <c r="F141" s="96" t="s">
        <v>266</v>
      </c>
      <c r="G141" s="264">
        <v>23.5</v>
      </c>
      <c r="H141" s="264">
        <v>14.5</v>
      </c>
      <c r="I141" s="97">
        <v>66</v>
      </c>
      <c r="J141" s="230" cm="1">
        <f t="array" ref="J141">_xlfn.XLOOKUP($I141,Inputs!C$6:C$23,Inputs!$D$6:D$23)*$G141</f>
        <v>8.9803571428571427</v>
      </c>
      <c r="K141" s="121"/>
      <c r="L141" s="121"/>
      <c r="M141" s="214">
        <v>779.9</v>
      </c>
      <c r="N141" s="121"/>
      <c r="O141" s="214">
        <v>89.2</v>
      </c>
      <c r="P141" s="221">
        <f>Inputs!$Y$6</f>
        <v>0.9</v>
      </c>
      <c r="Q141" s="197">
        <f>R141/1.2</f>
        <v>66.900000000000006</v>
      </c>
      <c r="R141" s="214">
        <f>O141*P141</f>
        <v>80.28</v>
      </c>
      <c r="S141" s="96" t="s">
        <v>665</v>
      </c>
      <c r="T141" s="37" t="s">
        <v>1125</v>
      </c>
      <c r="U141" s="96" t="s">
        <v>667</v>
      </c>
      <c r="V141" s="37" t="s">
        <v>1056</v>
      </c>
      <c r="W141" s="37"/>
      <c r="X141" s="17"/>
    </row>
    <row r="142" spans="1:24" ht="18">
      <c r="A142" s="3"/>
      <c r="B142" s="79" t="s">
        <v>215</v>
      </c>
      <c r="C142" s="78" t="s">
        <v>101</v>
      </c>
      <c r="D142" s="37" t="s">
        <v>1277</v>
      </c>
      <c r="E142" s="79">
        <v>1</v>
      </c>
      <c r="F142" s="79" t="s">
        <v>266</v>
      </c>
      <c r="G142" s="264">
        <v>58.1</v>
      </c>
      <c r="H142" s="264">
        <v>35.9</v>
      </c>
      <c r="I142" s="81">
        <v>230</v>
      </c>
      <c r="J142" s="230" cm="1">
        <f t="array" ref="J142">_xlfn.XLOOKUP($I142,Inputs!C$6:C$23,Inputs!$D$6:D$23)*$G142</f>
        <v>27.887999999999998</v>
      </c>
      <c r="K142" s="121"/>
      <c r="L142" s="121"/>
      <c r="M142" s="197"/>
      <c r="N142" s="121"/>
      <c r="O142" s="267">
        <v>322.2</v>
      </c>
      <c r="P142" s="221">
        <f>Inputs!$Y$6</f>
        <v>0.9</v>
      </c>
      <c r="Q142" s="197">
        <f>R142/1.2</f>
        <v>241.65000000000003</v>
      </c>
      <c r="R142" s="267">
        <f>O142*P142</f>
        <v>289.98</v>
      </c>
      <c r="S142" s="165" t="s">
        <v>665</v>
      </c>
      <c r="T142" s="37" t="s">
        <v>1125</v>
      </c>
      <c r="U142" s="165" t="s">
        <v>616</v>
      </c>
      <c r="V142" s="37" t="s">
        <v>1006</v>
      </c>
      <c r="W142" s="37"/>
      <c r="X142" s="17"/>
    </row>
    <row r="143" spans="1:24" s="114" customFormat="1" ht="18">
      <c r="A143" s="3"/>
      <c r="B143" s="79" t="s">
        <v>230</v>
      </c>
      <c r="C143" s="78" t="s">
        <v>101</v>
      </c>
      <c r="D143" s="37" t="s">
        <v>1277</v>
      </c>
      <c r="E143" s="79">
        <v>1</v>
      </c>
      <c r="F143" s="79" t="s">
        <v>266</v>
      </c>
      <c r="G143" s="264">
        <v>110.5</v>
      </c>
      <c r="H143" s="264">
        <v>68.2</v>
      </c>
      <c r="I143" s="81">
        <v>230</v>
      </c>
      <c r="J143" s="230" cm="1">
        <f t="array" ref="J143">_xlfn.XLOOKUP($I143,Inputs!C$6:C$23,Inputs!$D$6:D$23)*$G143</f>
        <v>53.04</v>
      </c>
      <c r="K143" s="121"/>
      <c r="L143" s="121"/>
      <c r="M143" s="197"/>
      <c r="N143" s="121"/>
      <c r="O143" s="267">
        <v>282.3</v>
      </c>
      <c r="P143" s="221">
        <f>Inputs!$Y$6</f>
        <v>0.9</v>
      </c>
      <c r="Q143" s="197">
        <f>R143/1.2</f>
        <v>211.72500000000002</v>
      </c>
      <c r="R143" s="267">
        <f>O143*P143</f>
        <v>254.07000000000002</v>
      </c>
      <c r="S143" s="165" t="s">
        <v>665</v>
      </c>
      <c r="T143" s="37" t="s">
        <v>1125</v>
      </c>
      <c r="U143" s="165" t="s">
        <v>678</v>
      </c>
      <c r="V143" s="37" t="s">
        <v>1229</v>
      </c>
      <c r="W143" s="37"/>
      <c r="X143" s="17"/>
    </row>
    <row r="144" spans="1:24" ht="18">
      <c r="A144" s="3"/>
      <c r="B144" s="96" t="s">
        <v>305</v>
      </c>
      <c r="C144" s="98" t="s">
        <v>123</v>
      </c>
      <c r="D144" s="37" t="s">
        <v>1277</v>
      </c>
      <c r="E144" s="96">
        <v>1</v>
      </c>
      <c r="F144" s="96" t="s">
        <v>266</v>
      </c>
      <c r="G144" s="264">
        <v>23.5</v>
      </c>
      <c r="H144" s="264">
        <v>14.5</v>
      </c>
      <c r="I144" s="97">
        <v>66</v>
      </c>
      <c r="J144" s="230" cm="1">
        <f t="array" ref="J144">_xlfn.XLOOKUP($I144,Inputs!C$6:C$23,Inputs!$D$6:D$23)*$G144</f>
        <v>8.9803571428571427</v>
      </c>
      <c r="K144" s="121"/>
      <c r="L144" s="121"/>
      <c r="M144" s="214">
        <v>816.4</v>
      </c>
      <c r="N144" s="121"/>
      <c r="O144" s="214">
        <v>93.3</v>
      </c>
      <c r="P144" s="221">
        <f>Inputs!$Y$6</f>
        <v>0.9</v>
      </c>
      <c r="Q144" s="197">
        <f>R144/1.2</f>
        <v>69.975000000000009</v>
      </c>
      <c r="R144" s="214">
        <f>O144*P144</f>
        <v>83.97</v>
      </c>
      <c r="S144" s="96" t="s">
        <v>665</v>
      </c>
      <c r="T144" s="37" t="s">
        <v>1125</v>
      </c>
      <c r="U144" s="96" t="s">
        <v>668</v>
      </c>
      <c r="V144" s="37" t="s">
        <v>1057</v>
      </c>
      <c r="W144" s="37"/>
      <c r="X144" s="17"/>
    </row>
    <row r="145" spans="1:24" s="114" customFormat="1" ht="18">
      <c r="A145" s="3"/>
      <c r="B145" s="96" t="s">
        <v>834</v>
      </c>
      <c r="C145" s="98" t="s">
        <v>123</v>
      </c>
      <c r="D145" s="37" t="s">
        <v>1277</v>
      </c>
      <c r="E145" s="96">
        <v>1</v>
      </c>
      <c r="F145" s="96" t="s">
        <v>266</v>
      </c>
      <c r="G145" s="264">
        <v>17</v>
      </c>
      <c r="H145" s="264">
        <v>10.5</v>
      </c>
      <c r="I145" s="97">
        <v>66</v>
      </c>
      <c r="J145" s="230" cm="1">
        <f t="array" ref="J145">_xlfn.XLOOKUP($I145,Inputs!C$6:C$23,Inputs!$D$6:D$23)*$G145</f>
        <v>6.4964285714285719</v>
      </c>
      <c r="K145" s="268">
        <f>IF((42.4*(H145)^(-0.6595))&gt;=3,3,(IF(42.4*(H145)^(-0.6595)&lt;=0.5,0.5,(42.4*(H145)^(-0.6595)))))</f>
        <v>3</v>
      </c>
      <c r="L145" s="121"/>
      <c r="M145" s="197"/>
      <c r="N145" s="121"/>
      <c r="O145" s="222"/>
      <c r="P145" s="221">
        <f>Inputs!$Y$6</f>
        <v>0.9</v>
      </c>
      <c r="Q145" s="269">
        <f>_xlfn.XLOOKUP($I145,Inputs!$G$6:$G$23,Inputs!$J$6:$J$23)*$K145</f>
        <v>32.67</v>
      </c>
      <c r="R145" s="269">
        <f>_xlfn.XLOOKUP($I145,Inputs!$G$6:$G$23,Inputs!$K$6:$K$23)*$K145</f>
        <v>35.704918032786885</v>
      </c>
      <c r="S145" s="96" t="s">
        <v>665</v>
      </c>
      <c r="T145" s="37" t="s">
        <v>1125</v>
      </c>
      <c r="U145" s="96" t="s">
        <v>813</v>
      </c>
      <c r="V145" s="37" t="s">
        <v>1066</v>
      </c>
      <c r="W145" s="37"/>
      <c r="X145" s="17"/>
    </row>
    <row r="146" spans="1:24" ht="18">
      <c r="A146" s="3"/>
      <c r="B146" s="96" t="s">
        <v>302</v>
      </c>
      <c r="C146" s="98" t="s">
        <v>123</v>
      </c>
      <c r="D146" s="37" t="s">
        <v>1277</v>
      </c>
      <c r="E146" s="96">
        <v>1</v>
      </c>
      <c r="F146" s="96" t="s">
        <v>266</v>
      </c>
      <c r="G146" s="264">
        <v>23.5</v>
      </c>
      <c r="H146" s="264">
        <v>14.5</v>
      </c>
      <c r="I146" s="97">
        <v>66</v>
      </c>
      <c r="J146" s="230" cm="1">
        <f t="array" ref="J146">_xlfn.XLOOKUP($I146,Inputs!C$6:C$23,Inputs!$D$6:D$23)*$G146</f>
        <v>8.9803571428571427</v>
      </c>
      <c r="K146" s="121"/>
      <c r="L146" s="121"/>
      <c r="M146" s="214">
        <v>550.4</v>
      </c>
      <c r="N146" s="121"/>
      <c r="O146" s="214">
        <v>62.9</v>
      </c>
      <c r="P146" s="221">
        <f>Inputs!$Y$6</f>
        <v>0.9</v>
      </c>
      <c r="Q146" s="197">
        <f t="shared" ref="Q146:Q153" si="11">R146/1.2</f>
        <v>47.175000000000004</v>
      </c>
      <c r="R146" s="214">
        <f t="shared" ref="R146:R153" si="12">O146*P146</f>
        <v>56.61</v>
      </c>
      <c r="S146" s="96" t="s">
        <v>665</v>
      </c>
      <c r="T146" s="37" t="s">
        <v>1125</v>
      </c>
      <c r="U146" s="96" t="s">
        <v>666</v>
      </c>
      <c r="V146" s="37" t="s">
        <v>1055</v>
      </c>
      <c r="W146" s="37"/>
      <c r="X146" s="17"/>
    </row>
    <row r="147" spans="1:24" ht="18">
      <c r="A147" s="3"/>
      <c r="B147" s="96" t="s">
        <v>303</v>
      </c>
      <c r="C147" s="98" t="s">
        <v>123</v>
      </c>
      <c r="D147" s="37" t="s">
        <v>1277</v>
      </c>
      <c r="E147" s="96">
        <v>1</v>
      </c>
      <c r="F147" s="96" t="s">
        <v>266</v>
      </c>
      <c r="G147" s="264">
        <v>23.5</v>
      </c>
      <c r="H147" s="264">
        <v>14.5</v>
      </c>
      <c r="I147" s="97">
        <v>66</v>
      </c>
      <c r="J147" s="230" cm="1">
        <f t="array" ref="J147">_xlfn.XLOOKUP($I147,Inputs!C$6:C$23,Inputs!$D$6:D$23)*$G147</f>
        <v>8.9803571428571427</v>
      </c>
      <c r="K147" s="121"/>
      <c r="L147" s="121"/>
      <c r="M147" s="214">
        <v>550.4</v>
      </c>
      <c r="N147" s="121"/>
      <c r="O147" s="214">
        <v>62.9</v>
      </c>
      <c r="P147" s="221">
        <f>Inputs!$Y$6</f>
        <v>0.9</v>
      </c>
      <c r="Q147" s="197">
        <f t="shared" si="11"/>
        <v>47.175000000000004</v>
      </c>
      <c r="R147" s="214">
        <f t="shared" si="12"/>
        <v>56.61</v>
      </c>
      <c r="S147" s="96" t="s">
        <v>665</v>
      </c>
      <c r="T147" s="37" t="s">
        <v>1125</v>
      </c>
      <c r="U147" s="96" t="s">
        <v>666</v>
      </c>
      <c r="V147" s="37" t="s">
        <v>1055</v>
      </c>
      <c r="W147" s="37"/>
      <c r="X147" s="17"/>
    </row>
    <row r="148" spans="1:24" s="114" customFormat="1" ht="18">
      <c r="A148" s="3"/>
      <c r="B148" s="96" t="s">
        <v>425</v>
      </c>
      <c r="C148" s="98" t="s">
        <v>123</v>
      </c>
      <c r="D148" s="37" t="s">
        <v>1277</v>
      </c>
      <c r="E148" s="96">
        <v>1</v>
      </c>
      <c r="F148" s="96" t="s">
        <v>266</v>
      </c>
      <c r="G148" s="264">
        <v>4.2</v>
      </c>
      <c r="H148" s="264">
        <v>2.6</v>
      </c>
      <c r="I148" s="97">
        <v>66</v>
      </c>
      <c r="J148" s="230" cm="1">
        <f t="array" ref="J148">_xlfn.XLOOKUP($I148,Inputs!C$6:C$23,Inputs!$D$6:D$23)*$G148</f>
        <v>1.6050000000000002</v>
      </c>
      <c r="K148" s="121"/>
      <c r="L148" s="121"/>
      <c r="M148" s="214">
        <v>608</v>
      </c>
      <c r="N148" s="121"/>
      <c r="O148" s="214">
        <v>69.5</v>
      </c>
      <c r="P148" s="221">
        <f>Inputs!$Y$6</f>
        <v>0.9</v>
      </c>
      <c r="Q148" s="197">
        <f t="shared" si="11"/>
        <v>52.125000000000007</v>
      </c>
      <c r="R148" s="214">
        <f t="shared" si="12"/>
        <v>62.550000000000004</v>
      </c>
      <c r="S148" s="96" t="s">
        <v>624</v>
      </c>
      <c r="T148" s="37" t="s">
        <v>1010</v>
      </c>
      <c r="U148" s="96" t="s">
        <v>625</v>
      </c>
      <c r="V148" s="37" t="s">
        <v>1011</v>
      </c>
      <c r="W148" s="37"/>
      <c r="X148" s="17"/>
    </row>
    <row r="149" spans="1:24" s="114" customFormat="1" ht="18">
      <c r="A149" s="3"/>
      <c r="B149" s="96" t="s">
        <v>279</v>
      </c>
      <c r="C149" s="98" t="s">
        <v>123</v>
      </c>
      <c r="D149" s="37" t="s">
        <v>1277</v>
      </c>
      <c r="E149" s="96">
        <v>1</v>
      </c>
      <c r="F149" s="96" t="s">
        <v>266</v>
      </c>
      <c r="G149" s="264">
        <v>15</v>
      </c>
      <c r="H149" s="264">
        <v>9.3000000000000007</v>
      </c>
      <c r="I149" s="97">
        <v>138</v>
      </c>
      <c r="J149" s="230" cm="1">
        <f t="array" ref="J149">_xlfn.XLOOKUP($I149,Inputs!C$6:C$23,Inputs!$D$6:D$23)*$G149</f>
        <v>6.503571428571429</v>
      </c>
      <c r="K149" s="121"/>
      <c r="L149" s="121"/>
      <c r="M149" s="214">
        <v>302.3</v>
      </c>
      <c r="N149" s="121"/>
      <c r="O149" s="214">
        <v>34.6</v>
      </c>
      <c r="P149" s="221">
        <f>Inputs!$Y$6</f>
        <v>0.9</v>
      </c>
      <c r="Q149" s="197">
        <f t="shared" si="11"/>
        <v>25.950000000000003</v>
      </c>
      <c r="R149" s="214">
        <f t="shared" si="12"/>
        <v>31.14</v>
      </c>
      <c r="S149" s="96" t="s">
        <v>814</v>
      </c>
      <c r="T149" s="37" t="s">
        <v>1126</v>
      </c>
      <c r="U149" s="96" t="s">
        <v>812</v>
      </c>
      <c r="V149" s="37" t="s">
        <v>1124</v>
      </c>
      <c r="W149" s="194"/>
      <c r="X149" s="17"/>
    </row>
    <row r="150" spans="1:24" s="114" customFormat="1" ht="18">
      <c r="A150" s="3"/>
      <c r="B150" s="96" t="s">
        <v>431</v>
      </c>
      <c r="C150" s="98" t="s">
        <v>123</v>
      </c>
      <c r="D150" s="37" t="s">
        <v>1277</v>
      </c>
      <c r="E150" s="96">
        <v>1</v>
      </c>
      <c r="F150" s="96" t="s">
        <v>266</v>
      </c>
      <c r="G150" s="264">
        <v>10</v>
      </c>
      <c r="H150" s="264">
        <v>6.2</v>
      </c>
      <c r="I150" s="97">
        <v>66</v>
      </c>
      <c r="J150" s="230" cm="1">
        <f t="array" ref="J150">_xlfn.XLOOKUP($I150,Inputs!C$6:C$23,Inputs!$D$6:D$23)*$G150</f>
        <v>3.8214285714285716</v>
      </c>
      <c r="K150" s="121"/>
      <c r="L150" s="121"/>
      <c r="M150" s="214">
        <v>875.6</v>
      </c>
      <c r="N150" s="121"/>
      <c r="O150" s="214">
        <v>100.1</v>
      </c>
      <c r="P150" s="221">
        <f>Inputs!$Y$6</f>
        <v>0.9</v>
      </c>
      <c r="Q150" s="197">
        <f t="shared" si="11"/>
        <v>75.075000000000003</v>
      </c>
      <c r="R150" s="214">
        <f t="shared" si="12"/>
        <v>90.09</v>
      </c>
      <c r="S150" s="96" t="s">
        <v>621</v>
      </c>
      <c r="T150" s="37" t="s">
        <v>1242</v>
      </c>
      <c r="U150" s="96" t="s">
        <v>1149</v>
      </c>
      <c r="V150" s="37" t="s">
        <v>844</v>
      </c>
      <c r="W150" s="37"/>
      <c r="X150" s="17"/>
    </row>
    <row r="151" spans="1:24" ht="18">
      <c r="A151" s="3"/>
      <c r="B151" s="96" t="s">
        <v>434</v>
      </c>
      <c r="C151" s="98" t="s">
        <v>123</v>
      </c>
      <c r="D151" s="37" t="s">
        <v>1277</v>
      </c>
      <c r="E151" s="96">
        <v>1</v>
      </c>
      <c r="F151" s="96" t="s">
        <v>266</v>
      </c>
      <c r="G151" s="264">
        <v>6.3</v>
      </c>
      <c r="H151" s="264">
        <v>3.9</v>
      </c>
      <c r="I151" s="97">
        <v>66</v>
      </c>
      <c r="J151" s="230" cm="1">
        <f t="array" ref="J151">_xlfn.XLOOKUP($I151,Inputs!C$6:C$23,Inputs!$D$6:D$23)*$G151</f>
        <v>2.4075000000000002</v>
      </c>
      <c r="K151" s="121"/>
      <c r="L151" s="121"/>
      <c r="M151" s="214">
        <v>518.4</v>
      </c>
      <c r="N151" s="121"/>
      <c r="O151" s="214">
        <v>29.6</v>
      </c>
      <c r="P151" s="221">
        <f>Inputs!$Y$6</f>
        <v>0.9</v>
      </c>
      <c r="Q151" s="197">
        <f t="shared" si="11"/>
        <v>22.200000000000003</v>
      </c>
      <c r="R151" s="214">
        <f t="shared" si="12"/>
        <v>26.64</v>
      </c>
      <c r="S151" s="96" t="s">
        <v>621</v>
      </c>
      <c r="T151" s="37" t="s">
        <v>1242</v>
      </c>
      <c r="U151" s="96" t="s">
        <v>1152</v>
      </c>
      <c r="V151" s="37" t="s">
        <v>997</v>
      </c>
      <c r="W151" s="37"/>
      <c r="X151" s="17"/>
    </row>
    <row r="152" spans="1:24" ht="18">
      <c r="A152" s="3"/>
      <c r="B152" s="96" t="s">
        <v>422</v>
      </c>
      <c r="C152" s="98" t="s">
        <v>123</v>
      </c>
      <c r="D152" s="37" t="s">
        <v>1277</v>
      </c>
      <c r="E152" s="96">
        <v>1</v>
      </c>
      <c r="F152" s="96" t="s">
        <v>266</v>
      </c>
      <c r="G152" s="264">
        <v>8.8000000000000007</v>
      </c>
      <c r="H152" s="264">
        <v>5.4</v>
      </c>
      <c r="I152" s="97">
        <v>66</v>
      </c>
      <c r="J152" s="230" cm="1">
        <f t="array" ref="J152">_xlfn.XLOOKUP($I152,Inputs!C$6:C$23,Inputs!$D$6:D$23)*$G152</f>
        <v>3.3628571428571434</v>
      </c>
      <c r="K152" s="121"/>
      <c r="L152" s="121"/>
      <c r="M152" s="214">
        <v>474.3</v>
      </c>
      <c r="N152" s="121"/>
      <c r="O152" s="214">
        <v>54.2</v>
      </c>
      <c r="P152" s="221">
        <f>Inputs!$Y$6</f>
        <v>0.9</v>
      </c>
      <c r="Q152" s="197">
        <f t="shared" si="11"/>
        <v>40.650000000000006</v>
      </c>
      <c r="R152" s="214">
        <f t="shared" si="12"/>
        <v>48.78</v>
      </c>
      <c r="S152" s="96" t="s">
        <v>621</v>
      </c>
      <c r="T152" s="37" t="s">
        <v>1242</v>
      </c>
      <c r="U152" s="96" t="s">
        <v>707</v>
      </c>
      <c r="V152" s="37" t="s">
        <v>1004</v>
      </c>
      <c r="W152" s="37"/>
      <c r="X152" s="17"/>
    </row>
    <row r="153" spans="1:24" ht="18">
      <c r="A153" s="3"/>
      <c r="B153" s="79" t="s">
        <v>216</v>
      </c>
      <c r="C153" s="78" t="s">
        <v>101</v>
      </c>
      <c r="D153" s="37" t="s">
        <v>1277</v>
      </c>
      <c r="E153" s="79">
        <v>1</v>
      </c>
      <c r="F153" s="79" t="s">
        <v>266</v>
      </c>
      <c r="G153" s="264">
        <v>34.9</v>
      </c>
      <c r="H153" s="264">
        <v>21.5</v>
      </c>
      <c r="I153" s="81">
        <v>138</v>
      </c>
      <c r="J153" s="230" cm="1">
        <f t="array" ref="J153">_xlfn.XLOOKUP($I153,Inputs!C$6:C$23,Inputs!$D$6:D$23)*$G153</f>
        <v>15.131642857142857</v>
      </c>
      <c r="K153" s="121"/>
      <c r="L153" s="121"/>
      <c r="M153" s="197"/>
      <c r="N153" s="121"/>
      <c r="O153" s="267">
        <v>112.4</v>
      </c>
      <c r="P153" s="221">
        <f>Inputs!$Y$6</f>
        <v>0.9</v>
      </c>
      <c r="Q153" s="197">
        <f t="shared" si="11"/>
        <v>84.300000000000011</v>
      </c>
      <c r="R153" s="267">
        <f t="shared" si="12"/>
        <v>101.16000000000001</v>
      </c>
      <c r="S153" s="165" t="s">
        <v>681</v>
      </c>
      <c r="T153" s="37" t="s">
        <v>1221</v>
      </c>
      <c r="U153" s="165" t="s">
        <v>680</v>
      </c>
      <c r="V153" s="37" t="s">
        <v>1068</v>
      </c>
      <c r="W153" s="37"/>
      <c r="X153" s="17"/>
    </row>
    <row r="154" spans="1:24" ht="18">
      <c r="A154" s="3"/>
      <c r="B154" s="79" t="s">
        <v>794</v>
      </c>
      <c r="C154" s="78" t="s">
        <v>101</v>
      </c>
      <c r="D154" s="37" t="s">
        <v>1277</v>
      </c>
      <c r="E154" s="79">
        <v>1</v>
      </c>
      <c r="F154" s="79" t="s">
        <v>266</v>
      </c>
      <c r="G154" s="264">
        <v>81.400000000000006</v>
      </c>
      <c r="H154" s="264">
        <v>50.2</v>
      </c>
      <c r="I154" s="81">
        <v>138</v>
      </c>
      <c r="J154" s="230" cm="1">
        <f t="array" ref="J154">_xlfn.XLOOKUP($I154,Inputs!C$6:C$23,Inputs!$D$6:D$23)*$G154</f>
        <v>35.29271428571429</v>
      </c>
      <c r="K154" s="268">
        <f>IF((42.4*(H154)^(-0.6595))&gt;=3,3,(IF(42.4*(H154)^(-0.6595)&lt;=0.5,0.5,(42.4*(H154)^(-0.6595)))))</f>
        <v>3</v>
      </c>
      <c r="L154" s="121"/>
      <c r="M154" s="197"/>
      <c r="N154" s="121"/>
      <c r="O154" s="222"/>
      <c r="P154" s="221">
        <f>Inputs!$Y$6</f>
        <v>0.9</v>
      </c>
      <c r="Q154" s="269">
        <f>_xlfn.XLOOKUP($I154,Inputs!$G$6:$G$23,Inputs!$J$6:$J$23)*$K154</f>
        <v>141</v>
      </c>
      <c r="R154" s="269">
        <f>_xlfn.XLOOKUP($I154,Inputs!$G$6:$G$23,Inputs!$K$6:$K$23)*$K154</f>
        <v>156</v>
      </c>
      <c r="S154" s="165" t="s">
        <v>681</v>
      </c>
      <c r="T154" s="37" t="s">
        <v>1221</v>
      </c>
      <c r="U154" s="165" t="s">
        <v>797</v>
      </c>
      <c r="V154" s="37" t="s">
        <v>1244</v>
      </c>
      <c r="W154" s="37"/>
      <c r="X154" s="17"/>
    </row>
    <row r="155" spans="1:24" ht="18">
      <c r="A155" s="3"/>
      <c r="B155" s="96" t="s">
        <v>431</v>
      </c>
      <c r="C155" s="98" t="s">
        <v>123</v>
      </c>
      <c r="D155" s="37" t="s">
        <v>1277</v>
      </c>
      <c r="E155" s="96">
        <v>1</v>
      </c>
      <c r="F155" s="96" t="s">
        <v>266</v>
      </c>
      <c r="G155" s="264">
        <v>10</v>
      </c>
      <c r="H155" s="264">
        <v>6.2</v>
      </c>
      <c r="I155" s="97">
        <v>66</v>
      </c>
      <c r="J155" s="230" cm="1">
        <f t="array" ref="J155">_xlfn.XLOOKUP($I155,Inputs!C$6:C$23,Inputs!$D$6:D$23)*$G155</f>
        <v>3.8214285714285716</v>
      </c>
      <c r="K155" s="121"/>
      <c r="L155" s="121"/>
      <c r="M155" s="214">
        <v>875.6</v>
      </c>
      <c r="N155" s="121"/>
      <c r="O155" s="214">
        <v>100.1</v>
      </c>
      <c r="P155" s="221">
        <f>Inputs!$Y$6</f>
        <v>0.9</v>
      </c>
      <c r="Q155" s="197">
        <f>R155/1.2</f>
        <v>75.075000000000003</v>
      </c>
      <c r="R155" s="214">
        <f>O155*P155</f>
        <v>90.09</v>
      </c>
      <c r="S155" s="96" t="s">
        <v>1149</v>
      </c>
      <c r="T155" s="37" t="s">
        <v>844</v>
      </c>
      <c r="U155" s="198" t="s">
        <v>1148</v>
      </c>
      <c r="V155" s="37" t="s">
        <v>839</v>
      </c>
      <c r="W155" s="199"/>
      <c r="X155" s="17"/>
    </row>
    <row r="156" spans="1:24" ht="18">
      <c r="A156" s="3"/>
      <c r="B156" s="96" t="s">
        <v>433</v>
      </c>
      <c r="C156" s="98" t="s">
        <v>123</v>
      </c>
      <c r="D156" s="37" t="s">
        <v>1277</v>
      </c>
      <c r="E156" s="96">
        <v>1</v>
      </c>
      <c r="F156" s="96" t="s">
        <v>266</v>
      </c>
      <c r="G156" s="264">
        <v>17.600000000000001</v>
      </c>
      <c r="H156" s="264">
        <v>10.9</v>
      </c>
      <c r="I156" s="97">
        <v>66</v>
      </c>
      <c r="J156" s="230" cm="1">
        <f t="array" ref="J156">_xlfn.XLOOKUP($I156,Inputs!C$6:C$23,Inputs!$D$6:D$23)*$G156</f>
        <v>6.7257142857142869</v>
      </c>
      <c r="K156" s="121"/>
      <c r="L156" s="121"/>
      <c r="M156" s="214">
        <v>474.3</v>
      </c>
      <c r="N156" s="121"/>
      <c r="O156" s="214">
        <v>54.2</v>
      </c>
      <c r="P156" s="221">
        <f>Inputs!$Y$6</f>
        <v>0.9</v>
      </c>
      <c r="Q156" s="197">
        <f>R156/1.2</f>
        <v>40.650000000000006</v>
      </c>
      <c r="R156" s="214">
        <f>O156*P156</f>
        <v>48.78</v>
      </c>
      <c r="S156" s="96" t="s">
        <v>1149</v>
      </c>
      <c r="T156" s="37" t="s">
        <v>844</v>
      </c>
      <c r="U156" s="96" t="s">
        <v>1151</v>
      </c>
      <c r="V156" s="37" t="s">
        <v>996</v>
      </c>
      <c r="W156" s="37"/>
      <c r="X156" s="17"/>
    </row>
    <row r="157" spans="1:24" ht="18">
      <c r="A157" s="3"/>
      <c r="B157" s="96" t="s">
        <v>431</v>
      </c>
      <c r="C157" s="98" t="s">
        <v>123</v>
      </c>
      <c r="D157" s="37" t="s">
        <v>1277</v>
      </c>
      <c r="E157" s="96">
        <v>1</v>
      </c>
      <c r="F157" s="96" t="s">
        <v>266</v>
      </c>
      <c r="G157" s="264">
        <v>8</v>
      </c>
      <c r="H157" s="264">
        <v>4.9000000000000004</v>
      </c>
      <c r="I157" s="97">
        <v>66</v>
      </c>
      <c r="J157" s="230" cm="1">
        <f t="array" ref="J157">_xlfn.XLOOKUP($I157,Inputs!C$6:C$23,Inputs!$D$6:D$23)*$G157</f>
        <v>3.0571428571428574</v>
      </c>
      <c r="K157" s="121"/>
      <c r="L157" s="121"/>
      <c r="M157" s="214">
        <v>875.6</v>
      </c>
      <c r="N157" s="121"/>
      <c r="O157" s="214">
        <v>100.1</v>
      </c>
      <c r="P157" s="221">
        <f>Inputs!$Y$6</f>
        <v>0.9</v>
      </c>
      <c r="Q157" s="197">
        <f>R157/1.2</f>
        <v>75.075000000000003</v>
      </c>
      <c r="R157" s="214">
        <f>O157*P157</f>
        <v>90.09</v>
      </c>
      <c r="S157" s="96" t="s">
        <v>1149</v>
      </c>
      <c r="T157" s="37" t="s">
        <v>844</v>
      </c>
      <c r="U157" s="198" t="s">
        <v>858</v>
      </c>
      <c r="V157" s="37" t="s">
        <v>859</v>
      </c>
      <c r="W157" s="199"/>
      <c r="X157" s="17"/>
    </row>
    <row r="158" spans="1:24" ht="18">
      <c r="A158" s="3"/>
      <c r="B158" s="130" t="s">
        <v>410</v>
      </c>
      <c r="C158" s="129" t="s">
        <v>101</v>
      </c>
      <c r="D158" s="37" t="s">
        <v>1135</v>
      </c>
      <c r="E158" s="130">
        <v>1</v>
      </c>
      <c r="F158" s="130" t="s">
        <v>263</v>
      </c>
      <c r="G158" s="264">
        <v>400</v>
      </c>
      <c r="H158" s="264">
        <v>246.9</v>
      </c>
      <c r="I158" s="131">
        <v>350</v>
      </c>
      <c r="J158" s="121"/>
      <c r="K158" s="121"/>
      <c r="L158" s="121"/>
      <c r="M158" s="197"/>
      <c r="N158" s="121"/>
      <c r="O158" s="197"/>
      <c r="P158" s="197"/>
      <c r="Q158" s="108">
        <v>450</v>
      </c>
      <c r="R158" s="108">
        <v>450</v>
      </c>
      <c r="S158" s="130" t="s">
        <v>618</v>
      </c>
      <c r="T158" s="37" t="s">
        <v>1223</v>
      </c>
      <c r="U158" s="130" t="s">
        <v>1136</v>
      </c>
      <c r="V158" s="37" t="s">
        <v>1137</v>
      </c>
      <c r="W158" s="37"/>
      <c r="X158" s="17"/>
    </row>
    <row r="159" spans="1:24" ht="18">
      <c r="A159" s="3"/>
      <c r="B159" s="130" t="s">
        <v>411</v>
      </c>
      <c r="C159" s="129" t="s">
        <v>101</v>
      </c>
      <c r="D159" s="37" t="s">
        <v>1135</v>
      </c>
      <c r="E159" s="130">
        <v>1</v>
      </c>
      <c r="F159" s="130" t="s">
        <v>263</v>
      </c>
      <c r="G159" s="264">
        <v>400</v>
      </c>
      <c r="H159" s="264">
        <v>246.9</v>
      </c>
      <c r="I159" s="131">
        <v>350</v>
      </c>
      <c r="J159" s="121"/>
      <c r="K159" s="121"/>
      <c r="L159" s="121"/>
      <c r="M159" s="197"/>
      <c r="N159" s="121"/>
      <c r="O159" s="197"/>
      <c r="P159" s="197"/>
      <c r="Q159" s="108">
        <v>450</v>
      </c>
      <c r="R159" s="108">
        <v>450</v>
      </c>
      <c r="S159" s="130" t="s">
        <v>618</v>
      </c>
      <c r="T159" s="37" t="s">
        <v>1223</v>
      </c>
      <c r="U159" s="130" t="s">
        <v>1136</v>
      </c>
      <c r="V159" s="37" t="s">
        <v>1137</v>
      </c>
      <c r="W159" s="37"/>
      <c r="X159" s="17"/>
    </row>
    <row r="160" spans="1:24" s="114" customFormat="1" ht="18">
      <c r="A160" s="3"/>
      <c r="B160" s="96" t="s">
        <v>461</v>
      </c>
      <c r="C160" s="98" t="s">
        <v>123</v>
      </c>
      <c r="D160" s="37" t="s">
        <v>1277</v>
      </c>
      <c r="E160" s="96">
        <v>1</v>
      </c>
      <c r="F160" s="96" t="s">
        <v>266</v>
      </c>
      <c r="G160" s="264">
        <v>17.600000000000001</v>
      </c>
      <c r="H160" s="264">
        <v>10.9</v>
      </c>
      <c r="I160" s="97">
        <v>66</v>
      </c>
      <c r="J160" s="230" cm="1">
        <f t="array" ref="J160">_xlfn.XLOOKUP($I160,Inputs!C$6:C$23,Inputs!$D$6:D$23)*$G160</f>
        <v>6.7257142857142869</v>
      </c>
      <c r="K160" s="121"/>
      <c r="L160" s="121"/>
      <c r="M160" s="214">
        <v>474.3</v>
      </c>
      <c r="N160" s="121"/>
      <c r="O160" s="214">
        <v>54.2</v>
      </c>
      <c r="P160" s="221">
        <f>Inputs!$Y$6</f>
        <v>0.9</v>
      </c>
      <c r="Q160" s="197">
        <f t="shared" ref="Q160:Q176" si="13">R160/1.2</f>
        <v>40.650000000000006</v>
      </c>
      <c r="R160" s="214">
        <f t="shared" ref="R160:R176" si="14">O160*P160</f>
        <v>48.78</v>
      </c>
      <c r="S160" s="96" t="s">
        <v>638</v>
      </c>
      <c r="T160" s="37" t="s">
        <v>1243</v>
      </c>
      <c r="U160" s="96" t="s">
        <v>712</v>
      </c>
      <c r="V160" s="37" t="s">
        <v>1097</v>
      </c>
      <c r="W160" s="37"/>
      <c r="X160" s="17"/>
    </row>
    <row r="161" spans="1:24" s="114" customFormat="1" ht="18">
      <c r="A161" s="3"/>
      <c r="B161" s="96" t="s">
        <v>289</v>
      </c>
      <c r="C161" s="98" t="s">
        <v>123</v>
      </c>
      <c r="D161" s="37" t="s">
        <v>1277</v>
      </c>
      <c r="E161" s="96">
        <v>1</v>
      </c>
      <c r="F161" s="96" t="s">
        <v>266</v>
      </c>
      <c r="G161" s="264">
        <v>23.5</v>
      </c>
      <c r="H161" s="264">
        <v>14.5</v>
      </c>
      <c r="I161" s="97">
        <v>138</v>
      </c>
      <c r="J161" s="230" cm="1">
        <f t="array" ref="J161">_xlfn.XLOOKUP($I161,Inputs!C$6:C$23,Inputs!$D$6:D$23)*$G161</f>
        <v>10.188928571428573</v>
      </c>
      <c r="K161" s="121"/>
      <c r="L161" s="121"/>
      <c r="M161" s="214">
        <v>712.7</v>
      </c>
      <c r="N161" s="121"/>
      <c r="O161" s="214">
        <v>170.4</v>
      </c>
      <c r="P161" s="221">
        <f>Inputs!$Y$6</f>
        <v>0.9</v>
      </c>
      <c r="Q161" s="197">
        <f t="shared" si="13"/>
        <v>127.80000000000001</v>
      </c>
      <c r="R161" s="214">
        <f t="shared" si="14"/>
        <v>153.36000000000001</v>
      </c>
      <c r="S161" s="255" t="s">
        <v>980</v>
      </c>
      <c r="T161" s="37" t="s">
        <v>1032</v>
      </c>
      <c r="U161" s="96" t="s">
        <v>656</v>
      </c>
      <c r="V161" s="37" t="s">
        <v>1228</v>
      </c>
      <c r="W161" s="194"/>
      <c r="X161" s="17"/>
    </row>
    <row r="162" spans="1:24" s="114" customFormat="1" ht="18">
      <c r="A162" s="3"/>
      <c r="B162" s="96" t="s">
        <v>272</v>
      </c>
      <c r="C162" s="98" t="s">
        <v>123</v>
      </c>
      <c r="D162" s="37" t="s">
        <v>1277</v>
      </c>
      <c r="E162" s="96">
        <v>1</v>
      </c>
      <c r="F162" s="96" t="s">
        <v>266</v>
      </c>
      <c r="G162" s="264">
        <v>42.1</v>
      </c>
      <c r="H162" s="264">
        <v>26</v>
      </c>
      <c r="I162" s="97">
        <v>66</v>
      </c>
      <c r="J162" s="230" cm="1">
        <f t="array" ref="J162">_xlfn.XLOOKUP($I162,Inputs!C$6:C$23,Inputs!$D$6:D$23)*$G162</f>
        <v>16.088214285714287</v>
      </c>
      <c r="K162" s="121"/>
      <c r="L162" s="121"/>
      <c r="M162" s="214">
        <v>474.3</v>
      </c>
      <c r="N162" s="121"/>
      <c r="O162" s="214">
        <v>54.2</v>
      </c>
      <c r="P162" s="221">
        <f>Inputs!$Y$6</f>
        <v>0.9</v>
      </c>
      <c r="Q162" s="197">
        <f t="shared" si="13"/>
        <v>40.650000000000006</v>
      </c>
      <c r="R162" s="214">
        <f t="shared" si="14"/>
        <v>48.78</v>
      </c>
      <c r="S162" s="255" t="s">
        <v>980</v>
      </c>
      <c r="T162" s="37" t="s">
        <v>1032</v>
      </c>
      <c r="U162" s="96" t="s">
        <v>715</v>
      </c>
      <c r="V162" s="37" t="s">
        <v>1247</v>
      </c>
      <c r="W162" s="194"/>
      <c r="X162" s="17"/>
    </row>
    <row r="163" spans="1:24" ht="18">
      <c r="A163" s="3"/>
      <c r="B163" s="96" t="s">
        <v>288</v>
      </c>
      <c r="C163" s="98" t="s">
        <v>123</v>
      </c>
      <c r="D163" s="37" t="s">
        <v>1277</v>
      </c>
      <c r="E163" s="96">
        <v>1</v>
      </c>
      <c r="F163" s="96" t="s">
        <v>266</v>
      </c>
      <c r="G163" s="264">
        <v>23.5</v>
      </c>
      <c r="H163" s="264">
        <v>14.5</v>
      </c>
      <c r="I163" s="97">
        <v>138</v>
      </c>
      <c r="J163" s="230" cm="1">
        <f t="array" ref="J163">_xlfn.XLOOKUP($I163,Inputs!C$6:C$23,Inputs!$D$6:D$23)*$G163</f>
        <v>10.188928571428573</v>
      </c>
      <c r="K163" s="121"/>
      <c r="L163" s="121"/>
      <c r="M163" s="214">
        <v>712.7</v>
      </c>
      <c r="N163" s="121"/>
      <c r="O163" s="214">
        <v>170.4</v>
      </c>
      <c r="P163" s="221">
        <f>Inputs!$Y$6</f>
        <v>0.9</v>
      </c>
      <c r="Q163" s="197">
        <f t="shared" si="13"/>
        <v>127.80000000000001</v>
      </c>
      <c r="R163" s="214">
        <f t="shared" si="14"/>
        <v>153.36000000000001</v>
      </c>
      <c r="S163" s="255" t="s">
        <v>980</v>
      </c>
      <c r="T163" s="37" t="s">
        <v>1032</v>
      </c>
      <c r="U163" s="96" t="s">
        <v>655</v>
      </c>
      <c r="V163" s="37" t="s">
        <v>1133</v>
      </c>
      <c r="W163" s="37"/>
      <c r="X163" s="17"/>
    </row>
    <row r="164" spans="1:24" ht="18">
      <c r="A164" s="3"/>
      <c r="B164" s="96" t="s">
        <v>471</v>
      </c>
      <c r="C164" s="98" t="s">
        <v>123</v>
      </c>
      <c r="D164" s="37" t="s">
        <v>1277</v>
      </c>
      <c r="E164" s="96">
        <v>1</v>
      </c>
      <c r="F164" s="96" t="s">
        <v>266</v>
      </c>
      <c r="G164" s="264">
        <v>15</v>
      </c>
      <c r="H164" s="264">
        <v>9.3000000000000007</v>
      </c>
      <c r="I164" s="97">
        <v>66</v>
      </c>
      <c r="J164" s="230" cm="1">
        <f t="array" ref="J164">_xlfn.XLOOKUP($I164,Inputs!C$6:C$23,Inputs!$D$6:D$23)*$G164</f>
        <v>5.7321428571428577</v>
      </c>
      <c r="K164" s="121"/>
      <c r="L164" s="121"/>
      <c r="M164" s="214">
        <v>712.7</v>
      </c>
      <c r="N164" s="121"/>
      <c r="O164" s="214">
        <v>81.5</v>
      </c>
      <c r="P164" s="221">
        <f>Inputs!$Y$6</f>
        <v>0.9</v>
      </c>
      <c r="Q164" s="197">
        <f t="shared" si="13"/>
        <v>61.125000000000007</v>
      </c>
      <c r="R164" s="214">
        <f t="shared" si="14"/>
        <v>73.350000000000009</v>
      </c>
      <c r="S164" s="96" t="s">
        <v>815</v>
      </c>
      <c r="T164" s="37" t="s">
        <v>1127</v>
      </c>
      <c r="U164" s="96" t="s">
        <v>810</v>
      </c>
      <c r="V164" s="37" t="s">
        <v>1123</v>
      </c>
      <c r="W164" s="194"/>
      <c r="X164" s="17"/>
    </row>
    <row r="165" spans="1:24" s="114" customFormat="1" ht="18">
      <c r="A165" s="3"/>
      <c r="B165" s="96" t="s">
        <v>278</v>
      </c>
      <c r="C165" s="98" t="s">
        <v>123</v>
      </c>
      <c r="D165" s="37" t="s">
        <v>1277</v>
      </c>
      <c r="E165" s="96">
        <v>1</v>
      </c>
      <c r="F165" s="96" t="s">
        <v>266</v>
      </c>
      <c r="G165" s="264">
        <v>20</v>
      </c>
      <c r="H165" s="264">
        <v>12.3</v>
      </c>
      <c r="I165" s="97">
        <v>138</v>
      </c>
      <c r="J165" s="230" cm="1">
        <f t="array" ref="J165">_xlfn.XLOOKUP($I165,Inputs!C$6:C$23,Inputs!$D$6:D$23)*$G165</f>
        <v>8.6714285714285726</v>
      </c>
      <c r="K165" s="121"/>
      <c r="L165" s="121"/>
      <c r="M165" s="214">
        <v>712.7</v>
      </c>
      <c r="N165" s="121"/>
      <c r="O165" s="214">
        <v>170.4</v>
      </c>
      <c r="P165" s="221">
        <f>Inputs!$Y$6</f>
        <v>0.9</v>
      </c>
      <c r="Q165" s="197">
        <f t="shared" si="13"/>
        <v>127.80000000000001</v>
      </c>
      <c r="R165" s="214">
        <f t="shared" si="14"/>
        <v>153.36000000000001</v>
      </c>
      <c r="S165" s="96" t="s">
        <v>816</v>
      </c>
      <c r="T165" s="37" t="s">
        <v>1036</v>
      </c>
      <c r="U165" s="96" t="s">
        <v>648</v>
      </c>
      <c r="V165" s="37" t="s">
        <v>1037</v>
      </c>
      <c r="W165" s="37"/>
      <c r="X165" s="17"/>
    </row>
    <row r="166" spans="1:24" ht="18">
      <c r="A166" s="3"/>
      <c r="B166" s="96" t="s">
        <v>274</v>
      </c>
      <c r="C166" s="98" t="s">
        <v>123</v>
      </c>
      <c r="D166" s="37" t="s">
        <v>1277</v>
      </c>
      <c r="E166" s="96">
        <v>1</v>
      </c>
      <c r="F166" s="96" t="s">
        <v>266</v>
      </c>
      <c r="G166" s="264">
        <v>11.8</v>
      </c>
      <c r="H166" s="264">
        <v>7.3</v>
      </c>
      <c r="I166" s="97">
        <v>66</v>
      </c>
      <c r="J166" s="230" cm="1">
        <f t="array" ref="J166">_xlfn.XLOOKUP($I166,Inputs!C$6:C$23,Inputs!$D$6:D$23)*$G166</f>
        <v>4.5092857142857152</v>
      </c>
      <c r="K166" s="121"/>
      <c r="L166" s="121"/>
      <c r="M166" s="214">
        <v>474.3</v>
      </c>
      <c r="N166" s="121"/>
      <c r="O166" s="214">
        <v>54.2</v>
      </c>
      <c r="P166" s="221">
        <f>Inputs!$Y$6</f>
        <v>0.9</v>
      </c>
      <c r="Q166" s="197">
        <f t="shared" si="13"/>
        <v>40.650000000000006</v>
      </c>
      <c r="R166" s="214">
        <f t="shared" si="14"/>
        <v>48.78</v>
      </c>
      <c r="S166" s="96" t="s">
        <v>646</v>
      </c>
      <c r="T166" s="37" t="s">
        <v>1033</v>
      </c>
      <c r="U166" s="96" t="s">
        <v>716</v>
      </c>
      <c r="V166" s="37" t="s">
        <v>1099</v>
      </c>
      <c r="W166" s="200"/>
      <c r="X166" s="17"/>
    </row>
    <row r="167" spans="1:24" ht="18">
      <c r="A167" s="3"/>
      <c r="B167" s="96" t="s">
        <v>273</v>
      </c>
      <c r="C167" s="98" t="s">
        <v>123</v>
      </c>
      <c r="D167" s="37" t="s">
        <v>1277</v>
      </c>
      <c r="E167" s="96">
        <v>1</v>
      </c>
      <c r="F167" s="96" t="s">
        <v>266</v>
      </c>
      <c r="G167" s="264">
        <v>14</v>
      </c>
      <c r="H167" s="264">
        <v>8.6</v>
      </c>
      <c r="I167" s="97">
        <v>66</v>
      </c>
      <c r="J167" s="230" cm="1">
        <f t="array" ref="J167">_xlfn.XLOOKUP($I167,Inputs!C$6:C$23,Inputs!$D$6:D$23)*$G167</f>
        <v>5.3500000000000005</v>
      </c>
      <c r="K167" s="121"/>
      <c r="L167" s="121"/>
      <c r="M167" s="214">
        <v>350.4</v>
      </c>
      <c r="N167" s="121"/>
      <c r="O167" s="214">
        <v>40.1</v>
      </c>
      <c r="P167" s="221">
        <f>Inputs!$Y$6</f>
        <v>0.9</v>
      </c>
      <c r="Q167" s="197">
        <f t="shared" si="13"/>
        <v>30.075000000000003</v>
      </c>
      <c r="R167" s="214">
        <f t="shared" si="14"/>
        <v>36.090000000000003</v>
      </c>
      <c r="S167" s="96" t="s">
        <v>646</v>
      </c>
      <c r="T167" s="37" t="s">
        <v>1033</v>
      </c>
      <c r="U167" s="96" t="s">
        <v>715</v>
      </c>
      <c r="V167" s="37" t="s">
        <v>1247</v>
      </c>
      <c r="W167" s="194"/>
      <c r="X167" s="17"/>
    </row>
    <row r="168" spans="1:24" ht="18">
      <c r="A168" s="3"/>
      <c r="B168" s="79" t="s">
        <v>237</v>
      </c>
      <c r="C168" s="78" t="s">
        <v>101</v>
      </c>
      <c r="D168" s="37" t="s">
        <v>1277</v>
      </c>
      <c r="E168" s="79">
        <v>1</v>
      </c>
      <c r="F168" s="79" t="s">
        <v>266</v>
      </c>
      <c r="G168" s="264">
        <v>17.399999999999999</v>
      </c>
      <c r="H168" s="264">
        <v>10.8</v>
      </c>
      <c r="I168" s="81">
        <v>230</v>
      </c>
      <c r="J168" s="230" cm="1">
        <f t="array" ref="J168">_xlfn.XLOOKUP($I168,Inputs!C$6:C$23,Inputs!$D$6:D$23)*$G168</f>
        <v>8.3519999999999985</v>
      </c>
      <c r="K168" s="121"/>
      <c r="L168" s="121"/>
      <c r="M168" s="197"/>
      <c r="N168" s="121"/>
      <c r="O168" s="267">
        <v>459.6</v>
      </c>
      <c r="P168" s="221">
        <f>Inputs!$Y$6</f>
        <v>0.9</v>
      </c>
      <c r="Q168" s="197">
        <f t="shared" si="13"/>
        <v>344.70000000000005</v>
      </c>
      <c r="R168" s="267">
        <f t="shared" si="14"/>
        <v>413.64000000000004</v>
      </c>
      <c r="S168" s="165" t="s">
        <v>628</v>
      </c>
      <c r="T168" s="37" t="s">
        <v>1014</v>
      </c>
      <c r="U168" s="165" t="s">
        <v>620</v>
      </c>
      <c r="V168" s="37" t="s">
        <v>1237</v>
      </c>
      <c r="W168" s="37"/>
      <c r="X168" s="17"/>
    </row>
    <row r="169" spans="1:24" ht="18">
      <c r="A169" s="3"/>
      <c r="B169" s="96" t="s">
        <v>441</v>
      </c>
      <c r="C169" s="98" t="s">
        <v>123</v>
      </c>
      <c r="D169" s="37" t="s">
        <v>1277</v>
      </c>
      <c r="E169" s="96">
        <v>1</v>
      </c>
      <c r="F169" s="96" t="s">
        <v>266</v>
      </c>
      <c r="G169" s="264">
        <v>6.3</v>
      </c>
      <c r="H169" s="264">
        <v>3.9</v>
      </c>
      <c r="I169" s="97">
        <v>66</v>
      </c>
      <c r="J169" s="230" cm="1">
        <f t="array" ref="J169">_xlfn.XLOOKUP($I169,Inputs!C$6:C$23,Inputs!$D$6:D$23)*$G169</f>
        <v>2.4075000000000002</v>
      </c>
      <c r="K169" s="121"/>
      <c r="L169" s="121"/>
      <c r="M169" s="214">
        <v>471.5</v>
      </c>
      <c r="N169" s="121"/>
      <c r="O169" s="214">
        <v>53.9</v>
      </c>
      <c r="P169" s="221">
        <f>Inputs!$Y$6</f>
        <v>0.9</v>
      </c>
      <c r="Q169" s="197">
        <f t="shared" si="13"/>
        <v>40.424999999999997</v>
      </c>
      <c r="R169" s="214">
        <f t="shared" si="14"/>
        <v>48.51</v>
      </c>
      <c r="S169" s="96" t="s">
        <v>628</v>
      </c>
      <c r="T169" s="37" t="s">
        <v>1014</v>
      </c>
      <c r="U169" s="96" t="s">
        <v>635</v>
      </c>
      <c r="V169" s="37" t="s">
        <v>1022</v>
      </c>
      <c r="W169" s="194"/>
      <c r="X169" s="17"/>
    </row>
    <row r="170" spans="1:24" ht="18">
      <c r="A170" s="3"/>
      <c r="B170" s="96" t="s">
        <v>439</v>
      </c>
      <c r="C170" s="98" t="s">
        <v>123</v>
      </c>
      <c r="D170" s="37" t="s">
        <v>1277</v>
      </c>
      <c r="E170" s="96">
        <v>1</v>
      </c>
      <c r="F170" s="96" t="s">
        <v>266</v>
      </c>
      <c r="G170" s="264">
        <v>6.3</v>
      </c>
      <c r="H170" s="264">
        <v>3.9</v>
      </c>
      <c r="I170" s="97">
        <v>66</v>
      </c>
      <c r="J170" s="230" cm="1">
        <f t="array" ref="J170">_xlfn.XLOOKUP($I170,Inputs!C$6:C$23,Inputs!$D$6:D$23)*$G170</f>
        <v>2.4075000000000002</v>
      </c>
      <c r="K170" s="121"/>
      <c r="L170" s="121"/>
      <c r="M170" s="214">
        <v>779.9</v>
      </c>
      <c r="N170" s="121"/>
      <c r="O170" s="214">
        <v>89.2</v>
      </c>
      <c r="P170" s="221">
        <f>Inputs!$Y$6</f>
        <v>0.9</v>
      </c>
      <c r="Q170" s="197">
        <f t="shared" si="13"/>
        <v>66.900000000000006</v>
      </c>
      <c r="R170" s="214">
        <f t="shared" si="14"/>
        <v>80.28</v>
      </c>
      <c r="S170" s="96" t="s">
        <v>628</v>
      </c>
      <c r="T170" s="37" t="s">
        <v>1014</v>
      </c>
      <c r="U170" s="96" t="s">
        <v>627</v>
      </c>
      <c r="V170" s="37" t="s">
        <v>1013</v>
      </c>
      <c r="W170" s="37"/>
      <c r="X170" s="17"/>
    </row>
    <row r="171" spans="1:24" ht="18">
      <c r="A171" s="3"/>
      <c r="B171" s="96" t="s">
        <v>463</v>
      </c>
      <c r="C171" s="98" t="s">
        <v>123</v>
      </c>
      <c r="D171" s="37" t="s">
        <v>1277</v>
      </c>
      <c r="E171" s="96">
        <v>1</v>
      </c>
      <c r="F171" s="96" t="s">
        <v>266</v>
      </c>
      <c r="G171" s="264">
        <v>6.3</v>
      </c>
      <c r="H171" s="264">
        <v>3.9</v>
      </c>
      <c r="I171" s="97">
        <v>66</v>
      </c>
      <c r="J171" s="230" cm="1">
        <f t="array" ref="J171">_xlfn.XLOOKUP($I171,Inputs!C$6:C$23,Inputs!$D$6:D$23)*$G171</f>
        <v>2.4075000000000002</v>
      </c>
      <c r="K171" s="121"/>
      <c r="L171" s="121"/>
      <c r="M171" s="214">
        <v>779.9</v>
      </c>
      <c r="N171" s="121"/>
      <c r="O171" s="214">
        <v>89.2</v>
      </c>
      <c r="P171" s="221">
        <f>Inputs!$Y$6</f>
        <v>0.9</v>
      </c>
      <c r="Q171" s="197">
        <f t="shared" si="13"/>
        <v>66.900000000000006</v>
      </c>
      <c r="R171" s="214">
        <f t="shared" si="14"/>
        <v>80.28</v>
      </c>
      <c r="S171" s="96" t="s">
        <v>628</v>
      </c>
      <c r="T171" s="37" t="s">
        <v>1014</v>
      </c>
      <c r="U171" s="96" t="s">
        <v>627</v>
      </c>
      <c r="V171" s="37" t="s">
        <v>1013</v>
      </c>
      <c r="W171" s="37"/>
      <c r="X171" s="17"/>
    </row>
    <row r="172" spans="1:24" ht="18">
      <c r="A172" s="3"/>
      <c r="B172" s="96" t="s">
        <v>438</v>
      </c>
      <c r="C172" s="98" t="s">
        <v>123</v>
      </c>
      <c r="D172" s="37" t="s">
        <v>1277</v>
      </c>
      <c r="E172" s="96">
        <v>1</v>
      </c>
      <c r="F172" s="96" t="s">
        <v>266</v>
      </c>
      <c r="G172" s="264">
        <v>7.4</v>
      </c>
      <c r="H172" s="264">
        <v>4.5</v>
      </c>
      <c r="I172" s="97">
        <v>66</v>
      </c>
      <c r="J172" s="230" cm="1">
        <f t="array" ref="J172">_xlfn.XLOOKUP($I172,Inputs!C$6:C$23,Inputs!$D$6:D$23)*$G172</f>
        <v>2.8278571428571433</v>
      </c>
      <c r="K172" s="121"/>
      <c r="L172" s="121"/>
      <c r="M172" s="214">
        <v>1003.9</v>
      </c>
      <c r="N172" s="121"/>
      <c r="O172" s="214">
        <v>114.4</v>
      </c>
      <c r="P172" s="221">
        <f>Inputs!$Y$6</f>
        <v>0.9</v>
      </c>
      <c r="Q172" s="197">
        <f t="shared" si="13"/>
        <v>85.800000000000011</v>
      </c>
      <c r="R172" s="214">
        <f t="shared" si="14"/>
        <v>102.96000000000001</v>
      </c>
      <c r="S172" s="96" t="s">
        <v>628</v>
      </c>
      <c r="T172" s="37" t="s">
        <v>1014</v>
      </c>
      <c r="U172" s="96" t="s">
        <v>625</v>
      </c>
      <c r="V172" s="37" t="s">
        <v>1011</v>
      </c>
      <c r="W172" s="194"/>
      <c r="X172" s="17"/>
    </row>
    <row r="173" spans="1:24" ht="18">
      <c r="A173" s="3"/>
      <c r="B173" s="96" t="s">
        <v>466</v>
      </c>
      <c r="C173" s="98" t="s">
        <v>123</v>
      </c>
      <c r="D173" s="37" t="s">
        <v>1277</v>
      </c>
      <c r="E173" s="96">
        <v>1</v>
      </c>
      <c r="F173" s="96" t="s">
        <v>266</v>
      </c>
      <c r="G173" s="264">
        <v>7.4</v>
      </c>
      <c r="H173" s="264">
        <v>4.5</v>
      </c>
      <c r="I173" s="97">
        <v>66</v>
      </c>
      <c r="J173" s="230" cm="1">
        <f t="array" ref="J173">_xlfn.XLOOKUP($I173,Inputs!C$6:C$23,Inputs!$D$6:D$23)*$G173</f>
        <v>2.8278571428571433</v>
      </c>
      <c r="K173" s="121"/>
      <c r="L173" s="121"/>
      <c r="M173" s="214">
        <v>1003.9</v>
      </c>
      <c r="N173" s="121"/>
      <c r="O173" s="214">
        <v>114.8</v>
      </c>
      <c r="P173" s="221">
        <f>Inputs!$Y$6</f>
        <v>0.9</v>
      </c>
      <c r="Q173" s="197">
        <f t="shared" si="13"/>
        <v>86.1</v>
      </c>
      <c r="R173" s="214">
        <f t="shared" si="14"/>
        <v>103.32</v>
      </c>
      <c r="S173" s="96" t="s">
        <v>628</v>
      </c>
      <c r="T173" s="37" t="s">
        <v>1014</v>
      </c>
      <c r="U173" s="96" t="s">
        <v>625</v>
      </c>
      <c r="V173" s="37" t="s">
        <v>1011</v>
      </c>
      <c r="W173" s="194"/>
      <c r="X173" s="17"/>
    </row>
    <row r="174" spans="1:24" ht="18">
      <c r="A174" s="3"/>
      <c r="B174" s="96" t="s">
        <v>440</v>
      </c>
      <c r="C174" s="98" t="s">
        <v>123</v>
      </c>
      <c r="D174" s="37" t="s">
        <v>1277</v>
      </c>
      <c r="E174" s="96">
        <v>1</v>
      </c>
      <c r="F174" s="96" t="s">
        <v>266</v>
      </c>
      <c r="G174" s="264">
        <v>13.7</v>
      </c>
      <c r="H174" s="264">
        <v>8.4</v>
      </c>
      <c r="I174" s="97">
        <v>66</v>
      </c>
      <c r="J174" s="230" cm="1">
        <f t="array" ref="J174">_xlfn.XLOOKUP($I174,Inputs!C$6:C$23,Inputs!$D$6:D$23)*$G174</f>
        <v>5.2353571428571426</v>
      </c>
      <c r="K174" s="121"/>
      <c r="L174" s="121"/>
      <c r="M174" s="214">
        <v>1003.9</v>
      </c>
      <c r="N174" s="121"/>
      <c r="O174" s="214">
        <v>114.4</v>
      </c>
      <c r="P174" s="221">
        <f>Inputs!$Y$6</f>
        <v>0.9</v>
      </c>
      <c r="Q174" s="197">
        <f t="shared" si="13"/>
        <v>85.800000000000011</v>
      </c>
      <c r="R174" s="214">
        <f t="shared" si="14"/>
        <v>102.96000000000001</v>
      </c>
      <c r="S174" s="96" t="s">
        <v>628</v>
      </c>
      <c r="T174" s="37" t="s">
        <v>1014</v>
      </c>
      <c r="U174" s="96" t="s">
        <v>637</v>
      </c>
      <c r="V174" s="37" t="s">
        <v>1027</v>
      </c>
      <c r="W174" s="37"/>
      <c r="X174" s="17"/>
    </row>
    <row r="175" spans="1:24" ht="18">
      <c r="A175" s="3"/>
      <c r="B175" s="96" t="s">
        <v>457</v>
      </c>
      <c r="C175" s="98" t="s">
        <v>123</v>
      </c>
      <c r="D175" s="37" t="s">
        <v>1277</v>
      </c>
      <c r="E175" s="96">
        <v>1</v>
      </c>
      <c r="F175" s="96" t="s">
        <v>266</v>
      </c>
      <c r="G175" s="264">
        <v>12.6</v>
      </c>
      <c r="H175" s="264">
        <v>7.8</v>
      </c>
      <c r="I175" s="97">
        <v>66</v>
      </c>
      <c r="J175" s="230" cm="1">
        <f t="array" ref="J175">_xlfn.XLOOKUP($I175,Inputs!C$6:C$23,Inputs!$D$6:D$23)*$G175</f>
        <v>4.8150000000000004</v>
      </c>
      <c r="K175" s="121"/>
      <c r="L175" s="121"/>
      <c r="M175" s="214">
        <v>1003.9</v>
      </c>
      <c r="N175" s="121"/>
      <c r="O175" s="214">
        <v>114.8</v>
      </c>
      <c r="P175" s="221">
        <f>Inputs!$Y$6</f>
        <v>0.9</v>
      </c>
      <c r="Q175" s="197">
        <f t="shared" si="13"/>
        <v>86.1</v>
      </c>
      <c r="R175" s="214">
        <f t="shared" si="14"/>
        <v>103.32</v>
      </c>
      <c r="S175" s="96" t="s">
        <v>628</v>
      </c>
      <c r="T175" s="37" t="s">
        <v>1014</v>
      </c>
      <c r="U175" s="96" t="s">
        <v>637</v>
      </c>
      <c r="V175" s="37" t="s">
        <v>1027</v>
      </c>
      <c r="W175" s="37"/>
      <c r="X175" s="17"/>
    </row>
    <row r="176" spans="1:24" ht="18">
      <c r="A176" s="3"/>
      <c r="B176" s="79" t="s">
        <v>229</v>
      </c>
      <c r="C176" s="78" t="s">
        <v>101</v>
      </c>
      <c r="D176" s="37" t="s">
        <v>1277</v>
      </c>
      <c r="E176" s="79">
        <v>1</v>
      </c>
      <c r="F176" s="79" t="s">
        <v>266</v>
      </c>
      <c r="G176" s="264">
        <v>29.1</v>
      </c>
      <c r="H176" s="264">
        <v>17.899999999999999</v>
      </c>
      <c r="I176" s="81">
        <v>66</v>
      </c>
      <c r="J176" s="230" cm="1">
        <f t="array" ref="J176">_xlfn.XLOOKUP($I176,Inputs!C$6:C$23,Inputs!$D$6:D$23)*$G176</f>
        <v>11.120357142857145</v>
      </c>
      <c r="K176" s="121"/>
      <c r="L176" s="121"/>
      <c r="M176" s="197"/>
      <c r="N176" s="121"/>
      <c r="O176" s="267">
        <v>53.8</v>
      </c>
      <c r="P176" s="221">
        <f>Inputs!$Y$6</f>
        <v>0.9</v>
      </c>
      <c r="Q176" s="197">
        <f t="shared" si="13"/>
        <v>40.35</v>
      </c>
      <c r="R176" s="267">
        <f t="shared" si="14"/>
        <v>48.42</v>
      </c>
      <c r="S176" s="165" t="s">
        <v>691</v>
      </c>
      <c r="T176" s="37" t="s">
        <v>1079</v>
      </c>
      <c r="U176" s="165" t="s">
        <v>684</v>
      </c>
      <c r="V176" s="37" t="s">
        <v>1072</v>
      </c>
      <c r="W176" s="37"/>
      <c r="X176" s="17"/>
    </row>
    <row r="177" spans="1:24" ht="18">
      <c r="A177" s="3"/>
      <c r="B177" s="96" t="s">
        <v>834</v>
      </c>
      <c r="C177" s="98" t="s">
        <v>123</v>
      </c>
      <c r="D177" s="37" t="s">
        <v>1277</v>
      </c>
      <c r="E177" s="96">
        <v>1</v>
      </c>
      <c r="F177" s="96" t="s">
        <v>266</v>
      </c>
      <c r="G177" s="264">
        <v>15</v>
      </c>
      <c r="H177" s="264">
        <v>9.3000000000000007</v>
      </c>
      <c r="I177" s="97">
        <v>66</v>
      </c>
      <c r="J177" s="230" cm="1">
        <f t="array" ref="J177">_xlfn.XLOOKUP($I177,Inputs!C$6:C$23,Inputs!$D$6:D$23)*$G177</f>
        <v>5.7321428571428577</v>
      </c>
      <c r="K177" s="268">
        <f>IF((42.4*(H177)^(-0.6595))&gt;=3,3,(IF(42.4*(H177)^(-0.6595)&lt;=0.5,0.5,(42.4*(H177)^(-0.6595)))))</f>
        <v>3</v>
      </c>
      <c r="L177" s="121"/>
      <c r="M177" s="197"/>
      <c r="N177" s="121"/>
      <c r="O177" s="222"/>
      <c r="P177" s="221">
        <f>Inputs!$Y$6</f>
        <v>0.9</v>
      </c>
      <c r="Q177" s="269">
        <f>_xlfn.XLOOKUP($I177,Inputs!$G$6:$G$23,Inputs!$J$6:$J$23)*$K177</f>
        <v>32.67</v>
      </c>
      <c r="R177" s="269">
        <f>_xlfn.XLOOKUP($I177,Inputs!$G$6:$G$23,Inputs!$K$6:$K$23)*$K177</f>
        <v>35.704918032786885</v>
      </c>
      <c r="S177" s="96" t="s">
        <v>817</v>
      </c>
      <c r="T177" s="37" t="s">
        <v>1065</v>
      </c>
      <c r="U177" s="96" t="s">
        <v>985</v>
      </c>
      <c r="V177" s="37" t="s">
        <v>990</v>
      </c>
      <c r="W177" s="37"/>
      <c r="X177" s="17"/>
    </row>
    <row r="178" spans="1:24" ht="18">
      <c r="A178" s="3"/>
      <c r="B178" s="79" t="s">
        <v>265</v>
      </c>
      <c r="C178" s="78" t="s">
        <v>101</v>
      </c>
      <c r="D178" s="37" t="s">
        <v>1277</v>
      </c>
      <c r="E178" s="79">
        <v>1</v>
      </c>
      <c r="F178" s="79" t="s">
        <v>266</v>
      </c>
      <c r="G178" s="264">
        <v>11.6</v>
      </c>
      <c r="H178" s="264">
        <v>7.2</v>
      </c>
      <c r="I178" s="81">
        <v>66</v>
      </c>
      <c r="J178" s="230" cm="1">
        <f t="array" ref="J178">_xlfn.XLOOKUP($I178,Inputs!C$6:C$23,Inputs!$D$6:D$23)*$G178</f>
        <v>4.4328571428571433</v>
      </c>
      <c r="K178" s="121"/>
      <c r="L178" s="121"/>
      <c r="M178" s="197"/>
      <c r="N178" s="121"/>
      <c r="O178" s="267">
        <v>53.8</v>
      </c>
      <c r="P178" s="221">
        <f>Inputs!$Y$6</f>
        <v>0.9</v>
      </c>
      <c r="Q178" s="197">
        <f t="shared" ref="Q178:Q198" si="15">R178/1.2</f>
        <v>40.35</v>
      </c>
      <c r="R178" s="267">
        <f t="shared" ref="R178:R198" si="16">O178*P178</f>
        <v>48.42</v>
      </c>
      <c r="S178" s="165" t="s">
        <v>702</v>
      </c>
      <c r="T178" s="37" t="s">
        <v>1090</v>
      </c>
      <c r="U178" s="165" t="s">
        <v>684</v>
      </c>
      <c r="V178" s="37" t="s">
        <v>1072</v>
      </c>
      <c r="W178" s="37"/>
      <c r="X178" s="17"/>
    </row>
    <row r="179" spans="1:24" ht="18">
      <c r="A179" s="3"/>
      <c r="B179" s="79" t="s">
        <v>223</v>
      </c>
      <c r="C179" s="78" t="s">
        <v>101</v>
      </c>
      <c r="D179" s="37" t="s">
        <v>1277</v>
      </c>
      <c r="E179" s="79">
        <v>1</v>
      </c>
      <c r="F179" s="79" t="s">
        <v>266</v>
      </c>
      <c r="G179" s="264">
        <v>60</v>
      </c>
      <c r="H179" s="264">
        <v>37</v>
      </c>
      <c r="I179" s="81">
        <v>66</v>
      </c>
      <c r="J179" s="230" cm="1">
        <f t="array" ref="J179">_xlfn.XLOOKUP($I179,Inputs!C$6:C$23,Inputs!$D$6:D$23)*$G179</f>
        <v>22.928571428571431</v>
      </c>
      <c r="K179" s="121"/>
      <c r="L179" s="121"/>
      <c r="M179" s="197"/>
      <c r="N179" s="121"/>
      <c r="O179" s="267">
        <v>53.8</v>
      </c>
      <c r="P179" s="221">
        <f>Inputs!$Y$6</f>
        <v>0.9</v>
      </c>
      <c r="Q179" s="197">
        <f t="shared" si="15"/>
        <v>40.35</v>
      </c>
      <c r="R179" s="267">
        <f t="shared" si="16"/>
        <v>48.42</v>
      </c>
      <c r="S179" s="165" t="s">
        <v>702</v>
      </c>
      <c r="T179" s="37" t="s">
        <v>1090</v>
      </c>
      <c r="U179" s="165" t="s">
        <v>728</v>
      </c>
      <c r="V179" s="37" t="s">
        <v>992</v>
      </c>
      <c r="W179" s="37"/>
      <c r="X179" s="17"/>
    </row>
    <row r="180" spans="1:24" ht="18">
      <c r="A180" s="3"/>
      <c r="B180" s="96" t="s">
        <v>454</v>
      </c>
      <c r="C180" s="98" t="s">
        <v>123</v>
      </c>
      <c r="D180" s="37" t="s">
        <v>1277</v>
      </c>
      <c r="E180" s="96">
        <v>1</v>
      </c>
      <c r="F180" s="96" t="s">
        <v>266</v>
      </c>
      <c r="G180" s="264">
        <v>15</v>
      </c>
      <c r="H180" s="264">
        <v>9.3000000000000007</v>
      </c>
      <c r="I180" s="97">
        <v>66</v>
      </c>
      <c r="J180" s="230" cm="1">
        <f t="array" ref="J180">_xlfn.XLOOKUP($I180,Inputs!C$6:C$23,Inputs!$D$6:D$23)*$G180</f>
        <v>5.7321428571428577</v>
      </c>
      <c r="K180" s="121"/>
      <c r="L180" s="121"/>
      <c r="M180" s="214">
        <v>474.3</v>
      </c>
      <c r="N180" s="121"/>
      <c r="O180" s="214">
        <v>54.2</v>
      </c>
      <c r="P180" s="221">
        <f>Inputs!$Y$6</f>
        <v>0.9</v>
      </c>
      <c r="Q180" s="197">
        <f t="shared" si="15"/>
        <v>40.650000000000006</v>
      </c>
      <c r="R180" s="214">
        <f t="shared" si="16"/>
        <v>48.78</v>
      </c>
      <c r="S180" s="96" t="s">
        <v>818</v>
      </c>
      <c r="T180" s="37" t="s">
        <v>1025</v>
      </c>
      <c r="U180" s="96" t="s">
        <v>820</v>
      </c>
      <c r="V180" s="37" t="s">
        <v>1217</v>
      </c>
      <c r="W180" s="37"/>
      <c r="X180" s="17"/>
    </row>
    <row r="181" spans="1:24" ht="18">
      <c r="A181" s="3"/>
      <c r="B181" s="79" t="s">
        <v>241</v>
      </c>
      <c r="C181" s="78" t="s">
        <v>101</v>
      </c>
      <c r="D181" s="37" t="s">
        <v>1277</v>
      </c>
      <c r="E181" s="79">
        <v>1</v>
      </c>
      <c r="F181" s="79" t="s">
        <v>266</v>
      </c>
      <c r="G181" s="264">
        <v>110.5</v>
      </c>
      <c r="H181" s="264">
        <v>68.2</v>
      </c>
      <c r="I181" s="81">
        <v>138</v>
      </c>
      <c r="J181" s="230" cm="1">
        <f t="array" ref="J181">_xlfn.XLOOKUP($I181,Inputs!C$6:C$23,Inputs!$D$6:D$23)*$G181</f>
        <v>47.909642857142863</v>
      </c>
      <c r="K181" s="270"/>
      <c r="L181" s="121"/>
      <c r="M181" s="197"/>
      <c r="N181" s="121"/>
      <c r="O181" s="267">
        <v>160.80000000000001</v>
      </c>
      <c r="P181" s="221">
        <f>Inputs!$Y$6</f>
        <v>0.9</v>
      </c>
      <c r="Q181" s="197">
        <f t="shared" si="15"/>
        <v>120.60000000000002</v>
      </c>
      <c r="R181" s="267">
        <f t="shared" si="16"/>
        <v>144.72000000000003</v>
      </c>
      <c r="S181" s="165" t="s">
        <v>695</v>
      </c>
      <c r="T181" s="37" t="s">
        <v>1083</v>
      </c>
      <c r="U181" s="165" t="s">
        <v>702</v>
      </c>
      <c r="V181" s="37" t="s">
        <v>1090</v>
      </c>
      <c r="W181" s="37"/>
      <c r="X181" s="17"/>
    </row>
    <row r="182" spans="1:24" s="114" customFormat="1" ht="18">
      <c r="A182" s="3"/>
      <c r="B182" s="96" t="s">
        <v>287</v>
      </c>
      <c r="C182" s="98" t="s">
        <v>123</v>
      </c>
      <c r="D182" s="37" t="s">
        <v>1277</v>
      </c>
      <c r="E182" s="96">
        <v>1</v>
      </c>
      <c r="F182" s="96" t="s">
        <v>266</v>
      </c>
      <c r="G182" s="264">
        <v>14</v>
      </c>
      <c r="H182" s="264">
        <v>8.6</v>
      </c>
      <c r="I182" s="97">
        <v>138</v>
      </c>
      <c r="J182" s="230" cm="1">
        <f t="array" ref="J182">_xlfn.XLOOKUP($I182,Inputs!C$6:C$23,Inputs!$D$6:D$23)*$G182</f>
        <v>6.07</v>
      </c>
      <c r="K182" s="121"/>
      <c r="L182" s="121"/>
      <c r="M182" s="214">
        <v>712.7</v>
      </c>
      <c r="N182" s="121"/>
      <c r="O182" s="214">
        <v>170.4</v>
      </c>
      <c r="P182" s="221">
        <f>Inputs!$Y$6</f>
        <v>0.9</v>
      </c>
      <c r="Q182" s="197">
        <f t="shared" si="15"/>
        <v>127.80000000000001</v>
      </c>
      <c r="R182" s="214">
        <f t="shared" si="16"/>
        <v>153.36000000000001</v>
      </c>
      <c r="S182" s="96" t="s">
        <v>819</v>
      </c>
      <c r="T182" s="37" t="s">
        <v>1046</v>
      </c>
      <c r="U182" s="96" t="s">
        <v>824</v>
      </c>
      <c r="V182" s="37" t="s">
        <v>1045</v>
      </c>
      <c r="W182" s="37"/>
      <c r="X182" s="17"/>
    </row>
    <row r="183" spans="1:24" ht="18">
      <c r="A183" s="3"/>
      <c r="B183" s="96" t="s">
        <v>280</v>
      </c>
      <c r="C183" s="98" t="s">
        <v>123</v>
      </c>
      <c r="D183" s="37" t="s">
        <v>1277</v>
      </c>
      <c r="E183" s="96">
        <v>1</v>
      </c>
      <c r="F183" s="96" t="s">
        <v>266</v>
      </c>
      <c r="G183" s="264">
        <v>10</v>
      </c>
      <c r="H183" s="264">
        <v>6.2</v>
      </c>
      <c r="I183" s="97">
        <v>66</v>
      </c>
      <c r="J183" s="230" cm="1">
        <f t="array" ref="J183">_xlfn.XLOOKUP($I183,Inputs!C$6:C$23,Inputs!$D$6:D$23)*$G183</f>
        <v>3.8214285714285716</v>
      </c>
      <c r="K183" s="121"/>
      <c r="L183" s="121"/>
      <c r="M183" s="214">
        <v>779.9</v>
      </c>
      <c r="N183" s="121"/>
      <c r="O183" s="214">
        <v>89.2</v>
      </c>
      <c r="P183" s="221">
        <f>Inputs!$Y$6</f>
        <v>0.9</v>
      </c>
      <c r="Q183" s="197">
        <f t="shared" si="15"/>
        <v>66.900000000000006</v>
      </c>
      <c r="R183" s="214">
        <f t="shared" si="16"/>
        <v>80.28</v>
      </c>
      <c r="S183" s="96" t="s">
        <v>885</v>
      </c>
      <c r="T183" s="37" t="s">
        <v>1038</v>
      </c>
      <c r="U183" s="96" t="s">
        <v>653</v>
      </c>
      <c r="V183" s="37" t="s">
        <v>1044</v>
      </c>
      <c r="W183" s="37"/>
      <c r="X183" s="17"/>
    </row>
    <row r="184" spans="1:24" ht="18">
      <c r="A184" s="3"/>
      <c r="B184" s="96" t="s">
        <v>286</v>
      </c>
      <c r="C184" s="98" t="s">
        <v>123</v>
      </c>
      <c r="D184" s="37" t="s">
        <v>1277</v>
      </c>
      <c r="E184" s="96">
        <v>1</v>
      </c>
      <c r="F184" s="96" t="s">
        <v>266</v>
      </c>
      <c r="G184" s="264">
        <v>85.3</v>
      </c>
      <c r="H184" s="264">
        <v>52.7</v>
      </c>
      <c r="I184" s="97">
        <v>138</v>
      </c>
      <c r="J184" s="230" cm="1">
        <f t="array" ref="J184">_xlfn.XLOOKUP($I184,Inputs!C$6:C$23,Inputs!$D$6:D$23)*$G184</f>
        <v>36.983642857142861</v>
      </c>
      <c r="K184" s="121"/>
      <c r="L184" s="121"/>
      <c r="M184" s="214">
        <v>712.7</v>
      </c>
      <c r="N184" s="121"/>
      <c r="O184" s="214">
        <v>170.4</v>
      </c>
      <c r="P184" s="221">
        <f>Inputs!$Y$6</f>
        <v>0.9</v>
      </c>
      <c r="Q184" s="197">
        <f t="shared" si="15"/>
        <v>127.80000000000001</v>
      </c>
      <c r="R184" s="214">
        <f t="shared" si="16"/>
        <v>153.36000000000001</v>
      </c>
      <c r="S184" s="96" t="s">
        <v>836</v>
      </c>
      <c r="T184" s="37" t="s">
        <v>1153</v>
      </c>
      <c r="U184" s="96" t="s">
        <v>653</v>
      </c>
      <c r="V184" s="37" t="s">
        <v>1044</v>
      </c>
      <c r="W184" s="37"/>
      <c r="X184" s="17"/>
    </row>
    <row r="185" spans="1:24" ht="18">
      <c r="A185" s="3"/>
      <c r="B185" s="96" t="s">
        <v>279</v>
      </c>
      <c r="C185" s="98" t="s">
        <v>123</v>
      </c>
      <c r="D185" s="37" t="s">
        <v>1277</v>
      </c>
      <c r="E185" s="96">
        <v>1</v>
      </c>
      <c r="F185" s="96" t="s">
        <v>266</v>
      </c>
      <c r="G185" s="264">
        <v>5</v>
      </c>
      <c r="H185" s="264">
        <v>3.1</v>
      </c>
      <c r="I185" s="97">
        <v>138</v>
      </c>
      <c r="J185" s="230" cm="1">
        <f t="array" ref="J185">_xlfn.XLOOKUP($I185,Inputs!C$6:C$23,Inputs!$D$6:D$23)*$G185</f>
        <v>2.1678571428571431</v>
      </c>
      <c r="K185" s="121"/>
      <c r="L185" s="121"/>
      <c r="M185" s="214">
        <v>779.9</v>
      </c>
      <c r="N185" s="121"/>
      <c r="O185" s="214">
        <v>89.2</v>
      </c>
      <c r="P185" s="221">
        <f>Inputs!$Y$6</f>
        <v>0.9</v>
      </c>
      <c r="Q185" s="197">
        <f t="shared" si="15"/>
        <v>66.900000000000006</v>
      </c>
      <c r="R185" s="214">
        <f t="shared" si="16"/>
        <v>80.28</v>
      </c>
      <c r="S185" s="96" t="s">
        <v>836</v>
      </c>
      <c r="T185" s="37" t="s">
        <v>1153</v>
      </c>
      <c r="U185" s="96" t="s">
        <v>649</v>
      </c>
      <c r="V185" s="37" t="s">
        <v>1239</v>
      </c>
      <c r="W185" s="37"/>
      <c r="X185" s="17"/>
    </row>
    <row r="186" spans="1:24" ht="18">
      <c r="A186" s="3"/>
      <c r="B186" s="96" t="s">
        <v>454</v>
      </c>
      <c r="C186" s="98" t="s">
        <v>123</v>
      </c>
      <c r="D186" s="37" t="s">
        <v>1277</v>
      </c>
      <c r="E186" s="96">
        <v>1</v>
      </c>
      <c r="F186" s="96" t="s">
        <v>266</v>
      </c>
      <c r="G186" s="264">
        <v>10</v>
      </c>
      <c r="H186" s="264">
        <v>6.2</v>
      </c>
      <c r="I186" s="97">
        <v>66</v>
      </c>
      <c r="J186" s="230" cm="1">
        <f t="array" ref="J186">_xlfn.XLOOKUP($I186,Inputs!C$6:C$23,Inputs!$D$6:D$23)*$G186</f>
        <v>3.8214285714285716</v>
      </c>
      <c r="K186" s="121"/>
      <c r="L186" s="121"/>
      <c r="M186" s="214">
        <v>474.3</v>
      </c>
      <c r="N186" s="121"/>
      <c r="O186" s="214">
        <v>54.2</v>
      </c>
      <c r="P186" s="221">
        <f>Inputs!$Y$6</f>
        <v>0.9</v>
      </c>
      <c r="Q186" s="197">
        <f t="shared" si="15"/>
        <v>40.650000000000006</v>
      </c>
      <c r="R186" s="214">
        <f t="shared" si="16"/>
        <v>48.78</v>
      </c>
      <c r="S186" s="96" t="s">
        <v>820</v>
      </c>
      <c r="T186" s="37" t="s">
        <v>1217</v>
      </c>
      <c r="U186" s="96" t="s">
        <v>806</v>
      </c>
      <c r="V186" s="37" t="s">
        <v>1023</v>
      </c>
      <c r="W186" s="37"/>
      <c r="X186" s="17"/>
    </row>
    <row r="187" spans="1:24" ht="18">
      <c r="A187" s="3"/>
      <c r="B187" s="79" t="s">
        <v>251</v>
      </c>
      <c r="C187" s="78" t="s">
        <v>101</v>
      </c>
      <c r="D187" s="37" t="s">
        <v>1277</v>
      </c>
      <c r="E187" s="79">
        <v>1</v>
      </c>
      <c r="F187" s="79" t="s">
        <v>266</v>
      </c>
      <c r="G187" s="264">
        <v>8</v>
      </c>
      <c r="H187" s="264">
        <v>4.9000000000000004</v>
      </c>
      <c r="I187" s="81">
        <v>66</v>
      </c>
      <c r="J187" s="230" cm="1">
        <f t="array" ref="J187">_xlfn.XLOOKUP($I187,Inputs!C$6:C$23,Inputs!$D$6:D$23)*$G187</f>
        <v>3.0571428571428574</v>
      </c>
      <c r="K187" s="121"/>
      <c r="L187" s="121"/>
      <c r="M187" s="197"/>
      <c r="N187" s="121"/>
      <c r="O187" s="267">
        <v>56.2</v>
      </c>
      <c r="P187" s="221">
        <f>Inputs!$Y$6</f>
        <v>0.9</v>
      </c>
      <c r="Q187" s="197">
        <f t="shared" si="15"/>
        <v>42.150000000000006</v>
      </c>
      <c r="R187" s="267">
        <f t="shared" si="16"/>
        <v>50.580000000000005</v>
      </c>
      <c r="S187" s="165" t="s">
        <v>792</v>
      </c>
      <c r="T187" s="37" t="s">
        <v>998</v>
      </c>
      <c r="U187" s="165" t="s">
        <v>734</v>
      </c>
      <c r="V187" s="37" t="s">
        <v>1115</v>
      </c>
      <c r="W187" s="37"/>
      <c r="X187" s="17"/>
    </row>
    <row r="188" spans="1:24" ht="18">
      <c r="A188" s="3"/>
      <c r="B188" s="96" t="s">
        <v>437</v>
      </c>
      <c r="C188" s="98" t="s">
        <v>123</v>
      </c>
      <c r="D188" s="37" t="s">
        <v>1277</v>
      </c>
      <c r="E188" s="96">
        <v>1</v>
      </c>
      <c r="F188" s="96" t="s">
        <v>266</v>
      </c>
      <c r="G188" s="264">
        <v>8.4</v>
      </c>
      <c r="H188" s="264">
        <v>5.2</v>
      </c>
      <c r="I188" s="97">
        <v>66</v>
      </c>
      <c r="J188" s="230" cm="1">
        <f t="array" ref="J188">_xlfn.XLOOKUP($I188,Inputs!C$6:C$23,Inputs!$D$6:D$23)*$G188</f>
        <v>3.2100000000000004</v>
      </c>
      <c r="K188" s="121"/>
      <c r="L188" s="121"/>
      <c r="M188" s="214">
        <v>779.9</v>
      </c>
      <c r="N188" s="121"/>
      <c r="O188" s="214">
        <v>89.2</v>
      </c>
      <c r="P188" s="221">
        <f>Inputs!$Y$6</f>
        <v>0.9</v>
      </c>
      <c r="Q188" s="197">
        <f t="shared" si="15"/>
        <v>66.900000000000006</v>
      </c>
      <c r="R188" s="214">
        <f t="shared" si="16"/>
        <v>80.28</v>
      </c>
      <c r="S188" s="96" t="s">
        <v>627</v>
      </c>
      <c r="T188" s="37" t="s">
        <v>1013</v>
      </c>
      <c r="U188" s="96" t="s">
        <v>622</v>
      </c>
      <c r="V188" s="37" t="s">
        <v>1008</v>
      </c>
      <c r="W188" s="37"/>
      <c r="X188" s="17"/>
    </row>
    <row r="189" spans="1:24" s="114" customFormat="1" ht="18">
      <c r="A189" s="3"/>
      <c r="B189" s="96" t="s">
        <v>474</v>
      </c>
      <c r="C189" s="98" t="s">
        <v>123</v>
      </c>
      <c r="D189" s="37" t="s">
        <v>1277</v>
      </c>
      <c r="E189" s="96">
        <v>1</v>
      </c>
      <c r="F189" s="96" t="s">
        <v>266</v>
      </c>
      <c r="G189" s="264">
        <v>23.5</v>
      </c>
      <c r="H189" s="264">
        <v>14.5</v>
      </c>
      <c r="I189" s="97">
        <v>66</v>
      </c>
      <c r="J189" s="230" cm="1">
        <f t="array" ref="J189">_xlfn.XLOOKUP($I189,Inputs!C$6:C$23,Inputs!$D$6:D$23)*$G189</f>
        <v>8.9803571428571427</v>
      </c>
      <c r="K189" s="121"/>
      <c r="L189" s="121"/>
      <c r="M189" s="214">
        <v>550.4</v>
      </c>
      <c r="N189" s="121"/>
      <c r="O189" s="214">
        <v>62.9</v>
      </c>
      <c r="P189" s="221">
        <f>Inputs!$Y$6</f>
        <v>0.9</v>
      </c>
      <c r="Q189" s="197">
        <f t="shared" si="15"/>
        <v>47.175000000000004</v>
      </c>
      <c r="R189" s="214">
        <f t="shared" si="16"/>
        <v>56.61</v>
      </c>
      <c r="S189" s="96" t="s">
        <v>642</v>
      </c>
      <c r="T189" s="37" t="s">
        <v>1031</v>
      </c>
      <c r="U189" s="96" t="s">
        <v>714</v>
      </c>
      <c r="V189" s="37" t="s">
        <v>1098</v>
      </c>
      <c r="W189" s="194"/>
      <c r="X189" s="17"/>
    </row>
    <row r="190" spans="1:24" s="114" customFormat="1" ht="18">
      <c r="A190" s="3"/>
      <c r="B190" s="96" t="s">
        <v>313</v>
      </c>
      <c r="C190" s="98" t="s">
        <v>123</v>
      </c>
      <c r="D190" s="37" t="s">
        <v>1277</v>
      </c>
      <c r="E190" s="96">
        <v>1</v>
      </c>
      <c r="F190" s="96" t="s">
        <v>266</v>
      </c>
      <c r="G190" s="264">
        <v>9</v>
      </c>
      <c r="H190" s="264">
        <v>5.6</v>
      </c>
      <c r="I190" s="97">
        <v>66</v>
      </c>
      <c r="J190" s="230" cm="1">
        <f t="array" ref="J190">_xlfn.XLOOKUP($I190,Inputs!C$6:C$23,Inputs!$D$6:D$23)*$G190</f>
        <v>3.4392857142857145</v>
      </c>
      <c r="K190" s="121"/>
      <c r="L190" s="121"/>
      <c r="M190" s="214">
        <v>474.3</v>
      </c>
      <c r="N190" s="121"/>
      <c r="O190" s="214">
        <v>54.2</v>
      </c>
      <c r="P190" s="221">
        <f>Inputs!$Y$6</f>
        <v>0.9</v>
      </c>
      <c r="Q190" s="197">
        <f t="shared" si="15"/>
        <v>40.650000000000006</v>
      </c>
      <c r="R190" s="214">
        <f t="shared" si="16"/>
        <v>48.78</v>
      </c>
      <c r="S190" s="96" t="s">
        <v>835</v>
      </c>
      <c r="T190" s="37" t="s">
        <v>845</v>
      </c>
      <c r="U190" s="96" t="s">
        <v>837</v>
      </c>
      <c r="V190" s="37" t="s">
        <v>1241</v>
      </c>
      <c r="W190" s="37"/>
      <c r="X190" s="17"/>
    </row>
    <row r="191" spans="1:24" ht="18">
      <c r="A191" s="3"/>
      <c r="B191" s="96" t="s">
        <v>313</v>
      </c>
      <c r="C191" s="98" t="s">
        <v>123</v>
      </c>
      <c r="D191" s="37" t="s">
        <v>1277</v>
      </c>
      <c r="E191" s="96">
        <v>1</v>
      </c>
      <c r="F191" s="96" t="s">
        <v>266</v>
      </c>
      <c r="G191" s="264">
        <v>15</v>
      </c>
      <c r="H191" s="264">
        <v>9.3000000000000007</v>
      </c>
      <c r="I191" s="97">
        <v>66</v>
      </c>
      <c r="J191" s="230" cm="1">
        <f t="array" ref="J191">_xlfn.XLOOKUP($I191,Inputs!C$6:C$23,Inputs!$D$6:D$23)*$G191</f>
        <v>5.7321428571428577</v>
      </c>
      <c r="K191" s="121"/>
      <c r="L191" s="121"/>
      <c r="M191" s="214">
        <v>302.3</v>
      </c>
      <c r="N191" s="121"/>
      <c r="O191" s="214">
        <v>34.6</v>
      </c>
      <c r="P191" s="221">
        <f>Inputs!$Y$6</f>
        <v>0.9</v>
      </c>
      <c r="Q191" s="197">
        <f t="shared" si="15"/>
        <v>25.950000000000003</v>
      </c>
      <c r="R191" s="214">
        <f t="shared" si="16"/>
        <v>31.14</v>
      </c>
      <c r="S191" s="96" t="s">
        <v>835</v>
      </c>
      <c r="T191" s="37" t="s">
        <v>845</v>
      </c>
      <c r="U191" s="96" t="s">
        <v>821</v>
      </c>
      <c r="V191" s="37" t="s">
        <v>1107</v>
      </c>
      <c r="W191" s="194"/>
      <c r="X191" s="17"/>
    </row>
    <row r="192" spans="1:24" ht="18">
      <c r="A192" s="3"/>
      <c r="B192" s="79" t="s">
        <v>228</v>
      </c>
      <c r="C192" s="78" t="s">
        <v>101</v>
      </c>
      <c r="D192" s="37" t="s">
        <v>1277</v>
      </c>
      <c r="E192" s="79">
        <v>1</v>
      </c>
      <c r="F192" s="79" t="s">
        <v>266</v>
      </c>
      <c r="G192" s="264">
        <v>5</v>
      </c>
      <c r="H192" s="264">
        <v>3.1</v>
      </c>
      <c r="I192" s="81">
        <v>66</v>
      </c>
      <c r="J192" s="230" cm="1">
        <f t="array" ref="J192">_xlfn.XLOOKUP($I192,Inputs!C$6:C$23,Inputs!$D$6:D$23)*$G192</f>
        <v>1.9107142857142858</v>
      </c>
      <c r="K192" s="121"/>
      <c r="L192" s="121"/>
      <c r="M192" s="197"/>
      <c r="N192" s="121"/>
      <c r="O192" s="267">
        <v>53.8</v>
      </c>
      <c r="P192" s="221">
        <f>Inputs!$Y$6</f>
        <v>0.9</v>
      </c>
      <c r="Q192" s="197">
        <f t="shared" si="15"/>
        <v>40.35</v>
      </c>
      <c r="R192" s="267">
        <f t="shared" si="16"/>
        <v>48.42</v>
      </c>
      <c r="S192" s="165" t="s">
        <v>790</v>
      </c>
      <c r="T192" s="37" t="s">
        <v>1076</v>
      </c>
      <c r="U192" s="165" t="s">
        <v>688</v>
      </c>
      <c r="V192" s="37" t="s">
        <v>1081</v>
      </c>
      <c r="W192" s="37"/>
      <c r="X192" s="17"/>
    </row>
    <row r="193" spans="1:24" s="114" customFormat="1" ht="18">
      <c r="A193" s="3"/>
      <c r="B193" s="96" t="s">
        <v>431</v>
      </c>
      <c r="C193" s="98" t="s">
        <v>123</v>
      </c>
      <c r="D193" s="37" t="s">
        <v>1277</v>
      </c>
      <c r="E193" s="96">
        <v>1</v>
      </c>
      <c r="F193" s="96" t="s">
        <v>266</v>
      </c>
      <c r="G193" s="264">
        <v>3</v>
      </c>
      <c r="H193" s="264">
        <v>1.9</v>
      </c>
      <c r="I193" s="97">
        <v>66</v>
      </c>
      <c r="J193" s="230" cm="1">
        <f t="array" ref="J193">_xlfn.XLOOKUP($I193,Inputs!C$6:C$23,Inputs!$D$6:D$23)*$G193</f>
        <v>1.1464285714285716</v>
      </c>
      <c r="K193" s="121"/>
      <c r="L193" s="121"/>
      <c r="M193" s="214">
        <v>875.6</v>
      </c>
      <c r="N193" s="121"/>
      <c r="O193" s="214">
        <v>100.1</v>
      </c>
      <c r="P193" s="221">
        <f>Inputs!$Y$6</f>
        <v>0.9</v>
      </c>
      <c r="Q193" s="197">
        <f t="shared" si="15"/>
        <v>75.075000000000003</v>
      </c>
      <c r="R193" s="214">
        <f t="shared" si="16"/>
        <v>90.09</v>
      </c>
      <c r="S193" s="198" t="s">
        <v>858</v>
      </c>
      <c r="T193" s="37" t="s">
        <v>859</v>
      </c>
      <c r="U193" s="198" t="s">
        <v>860</v>
      </c>
      <c r="V193" s="37" t="s">
        <v>1248</v>
      </c>
      <c r="W193" s="199"/>
      <c r="X193" s="17"/>
    </row>
    <row r="194" spans="1:24" ht="18">
      <c r="A194" s="3"/>
      <c r="B194" s="96" t="s">
        <v>273</v>
      </c>
      <c r="C194" s="98" t="s">
        <v>123</v>
      </c>
      <c r="D194" s="37" t="s">
        <v>1277</v>
      </c>
      <c r="E194" s="96">
        <v>1</v>
      </c>
      <c r="F194" s="96" t="s">
        <v>266</v>
      </c>
      <c r="G194" s="264">
        <v>14</v>
      </c>
      <c r="H194" s="264">
        <v>8.6</v>
      </c>
      <c r="I194" s="97">
        <v>66</v>
      </c>
      <c r="J194" s="230" cm="1">
        <f t="array" ref="J194">_xlfn.XLOOKUP($I194,Inputs!C$6:C$23,Inputs!$D$6:D$23)*$G194</f>
        <v>5.3500000000000005</v>
      </c>
      <c r="K194" s="121"/>
      <c r="L194" s="121"/>
      <c r="M194" s="214">
        <v>350.4</v>
      </c>
      <c r="N194" s="121"/>
      <c r="O194" s="214">
        <v>40.1</v>
      </c>
      <c r="P194" s="221">
        <f>Inputs!$Y$6</f>
        <v>0.9</v>
      </c>
      <c r="Q194" s="197">
        <f t="shared" si="15"/>
        <v>30.075000000000003</v>
      </c>
      <c r="R194" s="214">
        <f t="shared" si="16"/>
        <v>36.090000000000003</v>
      </c>
      <c r="S194" s="96" t="s">
        <v>647</v>
      </c>
      <c r="T194" s="37" t="s">
        <v>1128</v>
      </c>
      <c r="U194" s="96" t="s">
        <v>646</v>
      </c>
      <c r="V194" s="37" t="s">
        <v>1033</v>
      </c>
      <c r="W194" s="194"/>
      <c r="X194" s="17"/>
    </row>
    <row r="195" spans="1:24" ht="18">
      <c r="A195" s="3"/>
      <c r="B195" s="96" t="s">
        <v>275</v>
      </c>
      <c r="C195" s="98" t="s">
        <v>123</v>
      </c>
      <c r="D195" s="37" t="s">
        <v>1277</v>
      </c>
      <c r="E195" s="96">
        <v>1</v>
      </c>
      <c r="F195" s="96" t="s">
        <v>266</v>
      </c>
      <c r="G195" s="264">
        <v>35.299999999999997</v>
      </c>
      <c r="H195" s="264">
        <v>21.8</v>
      </c>
      <c r="I195" s="97">
        <v>66</v>
      </c>
      <c r="J195" s="230" cm="1">
        <f t="array" ref="J195">_xlfn.XLOOKUP($I195,Inputs!C$6:C$23,Inputs!$D$6:D$23)*$G195</f>
        <v>13.489642857142858</v>
      </c>
      <c r="K195" s="121"/>
      <c r="L195" s="121"/>
      <c r="M195" s="214">
        <v>303.3</v>
      </c>
      <c r="N195" s="121"/>
      <c r="O195" s="214">
        <v>34.700000000000003</v>
      </c>
      <c r="P195" s="221">
        <f>Inputs!$Y$6</f>
        <v>0.9</v>
      </c>
      <c r="Q195" s="197">
        <f t="shared" si="15"/>
        <v>26.025000000000006</v>
      </c>
      <c r="R195" s="214">
        <f t="shared" si="16"/>
        <v>31.230000000000004</v>
      </c>
      <c r="S195" s="96" t="s">
        <v>647</v>
      </c>
      <c r="T195" s="37" t="s">
        <v>1128</v>
      </c>
      <c r="U195" s="96" t="s">
        <v>838</v>
      </c>
      <c r="V195" s="37" t="s">
        <v>1218</v>
      </c>
      <c r="W195" s="37"/>
      <c r="X195" s="17"/>
    </row>
    <row r="196" spans="1:24" ht="18">
      <c r="A196" s="3"/>
      <c r="B196" s="79" t="s">
        <v>229</v>
      </c>
      <c r="C196" s="78" t="s">
        <v>101</v>
      </c>
      <c r="D196" s="37" t="s">
        <v>1277</v>
      </c>
      <c r="E196" s="79">
        <v>1</v>
      </c>
      <c r="F196" s="79" t="s">
        <v>266</v>
      </c>
      <c r="G196" s="264">
        <v>23.3</v>
      </c>
      <c r="H196" s="264">
        <v>14.4</v>
      </c>
      <c r="I196" s="81">
        <v>66</v>
      </c>
      <c r="J196" s="230" cm="1">
        <f t="array" ref="J196">_xlfn.XLOOKUP($I196,Inputs!C$6:C$23,Inputs!$D$6:D$23)*$G196</f>
        <v>8.9039285714285725</v>
      </c>
      <c r="K196" s="121"/>
      <c r="L196" s="121"/>
      <c r="M196" s="197"/>
      <c r="N196" s="121"/>
      <c r="O196" s="267">
        <v>53.8</v>
      </c>
      <c r="P196" s="221">
        <f>Inputs!$Y$6</f>
        <v>0.9</v>
      </c>
      <c r="Q196" s="197">
        <f t="shared" si="15"/>
        <v>40.35</v>
      </c>
      <c r="R196" s="267">
        <f t="shared" si="16"/>
        <v>48.42</v>
      </c>
      <c r="S196" s="165" t="s">
        <v>692</v>
      </c>
      <c r="T196" s="37" t="s">
        <v>1078</v>
      </c>
      <c r="U196" s="165" t="s">
        <v>690</v>
      </c>
      <c r="V196" s="37" t="s">
        <v>1080</v>
      </c>
      <c r="W196" s="194"/>
      <c r="X196" s="17"/>
    </row>
    <row r="197" spans="1:24" ht="18">
      <c r="A197" s="3"/>
      <c r="B197" s="96" t="s">
        <v>299</v>
      </c>
      <c r="C197" s="98" t="s">
        <v>123</v>
      </c>
      <c r="D197" s="37" t="s">
        <v>1277</v>
      </c>
      <c r="E197" s="96">
        <v>1</v>
      </c>
      <c r="F197" s="96" t="s">
        <v>266</v>
      </c>
      <c r="G197" s="264">
        <v>23.5</v>
      </c>
      <c r="H197" s="264">
        <v>14.5</v>
      </c>
      <c r="I197" s="97">
        <v>66</v>
      </c>
      <c r="J197" s="230" cm="1">
        <f t="array" ref="J197">_xlfn.XLOOKUP($I197,Inputs!C$6:C$23,Inputs!$D$6:D$23)*$G197</f>
        <v>8.9803571428571427</v>
      </c>
      <c r="K197" s="121"/>
      <c r="L197" s="121"/>
      <c r="M197" s="214">
        <v>352.1</v>
      </c>
      <c r="N197" s="121"/>
      <c r="O197" s="214">
        <v>40.200000000000003</v>
      </c>
      <c r="P197" s="221">
        <f>Inputs!$Y$6</f>
        <v>0.9</v>
      </c>
      <c r="Q197" s="197">
        <f t="shared" si="15"/>
        <v>30.150000000000006</v>
      </c>
      <c r="R197" s="214">
        <f t="shared" si="16"/>
        <v>36.180000000000007</v>
      </c>
      <c r="S197" s="96" t="s">
        <v>661</v>
      </c>
      <c r="T197" s="37" t="s">
        <v>1052</v>
      </c>
      <c r="U197" s="96" t="s">
        <v>662</v>
      </c>
      <c r="V197" s="37" t="s">
        <v>1053</v>
      </c>
      <c r="W197" s="37"/>
      <c r="X197" s="17"/>
    </row>
    <row r="198" spans="1:24" s="114" customFormat="1" ht="18">
      <c r="A198" s="3"/>
      <c r="B198" s="79" t="s">
        <v>254</v>
      </c>
      <c r="C198" s="78" t="s">
        <v>101</v>
      </c>
      <c r="D198" s="37" t="s">
        <v>1277</v>
      </c>
      <c r="E198" s="79">
        <v>1</v>
      </c>
      <c r="F198" s="79" t="s">
        <v>266</v>
      </c>
      <c r="G198" s="264">
        <v>29.1</v>
      </c>
      <c r="H198" s="264">
        <v>17.899999999999999</v>
      </c>
      <c r="I198" s="81">
        <v>138</v>
      </c>
      <c r="J198" s="230" cm="1">
        <f t="array" ref="J198">_xlfn.XLOOKUP($I198,Inputs!C$6:C$23,Inputs!$D$6:D$23)*$G198</f>
        <v>12.616928571428573</v>
      </c>
      <c r="K198" s="270"/>
      <c r="L198" s="121"/>
      <c r="M198" s="197"/>
      <c r="N198" s="121"/>
      <c r="O198" s="267">
        <v>161.69999999999999</v>
      </c>
      <c r="P198" s="221">
        <f>Inputs!$Y$6</f>
        <v>0.9</v>
      </c>
      <c r="Q198" s="197">
        <f t="shared" si="15"/>
        <v>121.27500000000001</v>
      </c>
      <c r="R198" s="267">
        <f t="shared" si="16"/>
        <v>145.53</v>
      </c>
      <c r="S198" s="165" t="s">
        <v>701</v>
      </c>
      <c r="T198" s="37" t="s">
        <v>1089</v>
      </c>
      <c r="U198" s="165" t="s">
        <v>737</v>
      </c>
      <c r="V198" s="37" t="s">
        <v>1117</v>
      </c>
      <c r="W198" s="194"/>
      <c r="X198" s="17"/>
    </row>
    <row r="199" spans="1:24" ht="18">
      <c r="A199" s="3"/>
      <c r="B199" s="130" t="s">
        <v>418</v>
      </c>
      <c r="C199" s="129" t="s">
        <v>101</v>
      </c>
      <c r="D199" s="37" t="s">
        <v>1277</v>
      </c>
      <c r="E199" s="130">
        <v>1</v>
      </c>
      <c r="F199" s="130" t="s">
        <v>266</v>
      </c>
      <c r="G199" s="264">
        <v>34.9</v>
      </c>
      <c r="H199" s="264">
        <v>21.5</v>
      </c>
      <c r="I199" s="131">
        <v>230</v>
      </c>
      <c r="J199" s="230" cm="1">
        <f t="array" ref="J199">_xlfn.XLOOKUP($I199,Inputs!C$6:C$23,Inputs!$D$6:D$23)*$G199</f>
        <v>16.751999999999999</v>
      </c>
      <c r="K199" s="268">
        <f>IF((42.4*(H199)^(-0.6595))&gt;=3,3,(IF(42.4*(H199)^(-0.6595)&lt;=0.5,0.5,(42.4*(H199)^(-0.6595)))))</f>
        <v>3</v>
      </c>
      <c r="L199" s="121"/>
      <c r="M199" s="197"/>
      <c r="N199" s="121"/>
      <c r="O199" s="222"/>
      <c r="P199" s="221">
        <f>Inputs!$Y$6</f>
        <v>0.9</v>
      </c>
      <c r="Q199" s="269">
        <f>_xlfn.XLOOKUP($I199,Inputs!$G$6:$G$23,Inputs!$J$6:$J$23)*$K199</f>
        <v>402</v>
      </c>
      <c r="R199" s="269">
        <f>_xlfn.XLOOKUP($I199,Inputs!$G$6:$G$23,Inputs!$K$6:$K$23)*$K199</f>
        <v>435</v>
      </c>
      <c r="S199" s="130" t="s">
        <v>800</v>
      </c>
      <c r="T199" s="37" t="s">
        <v>1129</v>
      </c>
      <c r="U199" s="130" t="s">
        <v>620</v>
      </c>
      <c r="V199" s="37" t="s">
        <v>1237</v>
      </c>
      <c r="W199" s="37"/>
      <c r="X199" s="17"/>
    </row>
    <row r="200" spans="1:24" ht="18">
      <c r="A200" s="3"/>
      <c r="B200" s="79" t="s">
        <v>242</v>
      </c>
      <c r="C200" s="78" t="s">
        <v>101</v>
      </c>
      <c r="D200" s="37" t="s">
        <v>1277</v>
      </c>
      <c r="E200" s="79">
        <v>1</v>
      </c>
      <c r="F200" s="79" t="s">
        <v>266</v>
      </c>
      <c r="G200" s="264">
        <v>34.9</v>
      </c>
      <c r="H200" s="264">
        <v>21.5</v>
      </c>
      <c r="I200" s="81">
        <v>230</v>
      </c>
      <c r="J200" s="230" cm="1">
        <f t="array" ref="J200">_xlfn.XLOOKUP($I200,Inputs!C$6:C$23,Inputs!$D$6:D$23)*$G200</f>
        <v>16.751999999999999</v>
      </c>
      <c r="K200" s="121"/>
      <c r="L200" s="121"/>
      <c r="M200" s="197"/>
      <c r="N200" s="121"/>
      <c r="O200" s="267">
        <v>459.6</v>
      </c>
      <c r="P200" s="221">
        <f>Inputs!$Y$6</f>
        <v>0.9</v>
      </c>
      <c r="Q200" s="197">
        <f>R200/1.2</f>
        <v>344.70000000000005</v>
      </c>
      <c r="R200" s="267">
        <f>O200*P200</f>
        <v>413.64000000000004</v>
      </c>
      <c r="S200" s="130" t="s">
        <v>800</v>
      </c>
      <c r="T200" s="37" t="s">
        <v>1129</v>
      </c>
      <c r="U200" s="165" t="s">
        <v>620</v>
      </c>
      <c r="V200" s="37" t="s">
        <v>1237</v>
      </c>
      <c r="W200" s="37"/>
      <c r="X200" s="17"/>
    </row>
    <row r="201" spans="1:24" ht="18">
      <c r="A201" s="3"/>
      <c r="B201" s="130" t="s">
        <v>417</v>
      </c>
      <c r="C201" s="129" t="s">
        <v>101</v>
      </c>
      <c r="D201" s="37" t="s">
        <v>1277</v>
      </c>
      <c r="E201" s="130">
        <v>1</v>
      </c>
      <c r="F201" s="130" t="s">
        <v>266</v>
      </c>
      <c r="G201" s="264">
        <v>5.8</v>
      </c>
      <c r="H201" s="264">
        <v>3.6</v>
      </c>
      <c r="I201" s="131">
        <v>230</v>
      </c>
      <c r="J201" s="230" cm="1">
        <f t="array" ref="J201">_xlfn.XLOOKUP($I201,Inputs!C$6:C$23,Inputs!$D$6:D$23)*$G201</f>
        <v>2.7839999999999998</v>
      </c>
      <c r="K201" s="268">
        <f>IF((42.4*(H201)^(-0.6595))&gt;=3,3,(IF(42.4*(H201)^(-0.6595)&lt;=0.5,0.5,(42.4*(H201)^(-0.6595)))))</f>
        <v>3</v>
      </c>
      <c r="L201" s="121"/>
      <c r="M201" s="197"/>
      <c r="N201" s="121"/>
      <c r="O201" s="222"/>
      <c r="P201" s="221">
        <f>Inputs!$Y$6</f>
        <v>0.9</v>
      </c>
      <c r="Q201" s="269">
        <f>_xlfn.XLOOKUP($I201,Inputs!$G$6:$G$23,Inputs!$J$6:$J$23)*$K201</f>
        <v>402</v>
      </c>
      <c r="R201" s="269">
        <f>_xlfn.XLOOKUP($I201,Inputs!$G$6:$G$23,Inputs!$K$6:$K$23)*$K201</f>
        <v>435</v>
      </c>
      <c r="S201" s="130" t="s">
        <v>800</v>
      </c>
      <c r="T201" s="37" t="s">
        <v>1129</v>
      </c>
      <c r="U201" s="130" t="s">
        <v>1254</v>
      </c>
      <c r="V201" s="37" t="s">
        <v>994</v>
      </c>
      <c r="W201" s="37"/>
      <c r="X201" s="17"/>
    </row>
    <row r="202" spans="1:24" ht="18">
      <c r="A202" s="3"/>
      <c r="B202" s="130" t="s">
        <v>419</v>
      </c>
      <c r="C202" s="129" t="s">
        <v>101</v>
      </c>
      <c r="D202" s="37" t="s">
        <v>1277</v>
      </c>
      <c r="E202" s="130">
        <v>1</v>
      </c>
      <c r="F202" s="130" t="s">
        <v>266</v>
      </c>
      <c r="G202" s="264">
        <v>5.8</v>
      </c>
      <c r="H202" s="264">
        <v>3.6</v>
      </c>
      <c r="I202" s="131">
        <v>230</v>
      </c>
      <c r="J202" s="230" cm="1">
        <f t="array" ref="J202">_xlfn.XLOOKUP($I202,Inputs!C$6:C$23,Inputs!$D$6:D$23)*$G202</f>
        <v>2.7839999999999998</v>
      </c>
      <c r="K202" s="268">
        <f>IF((42.4*(H202)^(-0.6595))&gt;=3,3,(IF(42.4*(H202)^(-0.6595)&lt;=0.5,0.5,(42.4*(H202)^(-0.6595)))))</f>
        <v>3</v>
      </c>
      <c r="L202" s="121"/>
      <c r="M202" s="197"/>
      <c r="N202" s="121"/>
      <c r="O202" s="222"/>
      <c r="P202" s="221">
        <f>Inputs!$Y$6</f>
        <v>0.9</v>
      </c>
      <c r="Q202" s="269">
        <f>_xlfn.XLOOKUP($I202,Inputs!$G$6:$G$23,Inputs!$J$6:$J$23)*$K202</f>
        <v>402</v>
      </c>
      <c r="R202" s="269">
        <f>_xlfn.XLOOKUP($I202,Inputs!$G$6:$G$23,Inputs!$K$6:$K$23)*$K202</f>
        <v>435</v>
      </c>
      <c r="S202" s="130" t="s">
        <v>800</v>
      </c>
      <c r="T202" s="37" t="s">
        <v>1129</v>
      </c>
      <c r="U202" s="130" t="s">
        <v>1254</v>
      </c>
      <c r="V202" s="37" t="s">
        <v>994</v>
      </c>
      <c r="W202" s="37"/>
      <c r="X202" s="17"/>
    </row>
    <row r="203" spans="1:24" ht="18">
      <c r="A203" s="3"/>
      <c r="B203" s="79" t="s">
        <v>224</v>
      </c>
      <c r="C203" s="78" t="s">
        <v>101</v>
      </c>
      <c r="D203" s="37" t="s">
        <v>1277</v>
      </c>
      <c r="E203" s="79">
        <v>1</v>
      </c>
      <c r="F203" s="79" t="s">
        <v>266</v>
      </c>
      <c r="G203" s="264">
        <v>70</v>
      </c>
      <c r="H203" s="264">
        <v>43.2</v>
      </c>
      <c r="I203" s="81">
        <v>138</v>
      </c>
      <c r="J203" s="230" cm="1">
        <f t="array" ref="J203">_xlfn.XLOOKUP($I203,Inputs!C$6:C$23,Inputs!$D$6:D$23)*$G203</f>
        <v>30.35</v>
      </c>
      <c r="K203" s="121"/>
      <c r="L203" s="121"/>
      <c r="M203" s="197"/>
      <c r="N203" s="121"/>
      <c r="O203" s="267">
        <v>112.4</v>
      </c>
      <c r="P203" s="221">
        <f>Inputs!$Y$6</f>
        <v>0.9</v>
      </c>
      <c r="Q203" s="197">
        <f t="shared" ref="Q203:Q212" si="17">R203/1.2</f>
        <v>84.300000000000011</v>
      </c>
      <c r="R203" s="267">
        <f t="shared" ref="R203:R212" si="18">O203*P203</f>
        <v>101.16000000000001</v>
      </c>
      <c r="S203" s="165" t="s">
        <v>793</v>
      </c>
      <c r="T203" s="37" t="s">
        <v>1074</v>
      </c>
      <c r="U203" s="165" t="s">
        <v>655</v>
      </c>
      <c r="V203" s="37" t="s">
        <v>1133</v>
      </c>
      <c r="W203" s="37"/>
      <c r="X203" s="17"/>
    </row>
    <row r="204" spans="1:24" ht="18">
      <c r="A204" s="3"/>
      <c r="B204" s="79" t="s">
        <v>224</v>
      </c>
      <c r="C204" s="78" t="s">
        <v>101</v>
      </c>
      <c r="D204" s="37" t="s">
        <v>1277</v>
      </c>
      <c r="E204" s="79">
        <v>1</v>
      </c>
      <c r="F204" s="79" t="s">
        <v>266</v>
      </c>
      <c r="G204" s="264">
        <v>17</v>
      </c>
      <c r="H204" s="264">
        <v>10.5</v>
      </c>
      <c r="I204" s="81">
        <v>138</v>
      </c>
      <c r="J204" s="230" cm="1">
        <f t="array" ref="J204">_xlfn.XLOOKUP($I204,Inputs!C$6:C$23,Inputs!$D$6:D$23)*$G204</f>
        <v>7.3707142857142864</v>
      </c>
      <c r="K204" s="121"/>
      <c r="L204" s="121"/>
      <c r="M204" s="197"/>
      <c r="N204" s="121"/>
      <c r="O204" s="267">
        <v>112.4</v>
      </c>
      <c r="P204" s="221">
        <f>Inputs!$Y$6</f>
        <v>0.9</v>
      </c>
      <c r="Q204" s="197">
        <f t="shared" si="17"/>
        <v>84.300000000000011</v>
      </c>
      <c r="R204" s="267">
        <f t="shared" si="18"/>
        <v>101.16000000000001</v>
      </c>
      <c r="S204" s="165" t="s">
        <v>685</v>
      </c>
      <c r="T204" s="37" t="s">
        <v>1073</v>
      </c>
      <c r="U204" s="165" t="s">
        <v>793</v>
      </c>
      <c r="V204" s="37" t="s">
        <v>1074</v>
      </c>
      <c r="W204" s="37"/>
      <c r="X204" s="17"/>
    </row>
    <row r="205" spans="1:24" ht="18">
      <c r="A205" s="3"/>
      <c r="B205" s="96" t="s">
        <v>443</v>
      </c>
      <c r="C205" s="98" t="s">
        <v>123</v>
      </c>
      <c r="D205" s="37" t="s">
        <v>1277</v>
      </c>
      <c r="E205" s="96">
        <v>1</v>
      </c>
      <c r="F205" s="96" t="s">
        <v>266</v>
      </c>
      <c r="G205" s="264">
        <v>10</v>
      </c>
      <c r="H205" s="264">
        <v>6.2</v>
      </c>
      <c r="I205" s="97">
        <v>66</v>
      </c>
      <c r="J205" s="230" cm="1">
        <f t="array" ref="J205">_xlfn.XLOOKUP($I205,Inputs!C$6:C$23,Inputs!$D$6:D$23)*$G205</f>
        <v>3.8214285714285716</v>
      </c>
      <c r="K205" s="121"/>
      <c r="L205" s="121"/>
      <c r="M205" s="214">
        <v>712.7</v>
      </c>
      <c r="N205" s="121"/>
      <c r="O205" s="214">
        <v>170.4</v>
      </c>
      <c r="P205" s="221">
        <f>Inputs!$Y$6</f>
        <v>0.9</v>
      </c>
      <c r="Q205" s="197">
        <f t="shared" si="17"/>
        <v>127.80000000000001</v>
      </c>
      <c r="R205" s="214">
        <f t="shared" si="18"/>
        <v>153.36000000000001</v>
      </c>
      <c r="S205" s="96" t="s">
        <v>822</v>
      </c>
      <c r="T205" s="37" t="s">
        <v>1016</v>
      </c>
      <c r="U205" s="96" t="s">
        <v>632</v>
      </c>
      <c r="V205" s="37" t="s">
        <v>1020</v>
      </c>
      <c r="W205" s="37"/>
      <c r="X205" s="17"/>
    </row>
    <row r="206" spans="1:24" ht="18">
      <c r="A206" s="3"/>
      <c r="B206" s="79" t="s">
        <v>204</v>
      </c>
      <c r="C206" s="78" t="s">
        <v>101</v>
      </c>
      <c r="D206" s="37" t="s">
        <v>1277</v>
      </c>
      <c r="E206" s="79">
        <v>1</v>
      </c>
      <c r="F206" s="79" t="s">
        <v>266</v>
      </c>
      <c r="G206" s="264">
        <v>40.700000000000003</v>
      </c>
      <c r="H206" s="264">
        <v>25.1</v>
      </c>
      <c r="I206" s="81">
        <v>138</v>
      </c>
      <c r="J206" s="230" cm="1">
        <f t="array" ref="J206">_xlfn.XLOOKUP($I206,Inputs!C$6:C$23,Inputs!$D$6:D$23)*$G206</f>
        <v>17.646357142857145</v>
      </c>
      <c r="K206" s="270"/>
      <c r="L206" s="121"/>
      <c r="M206" s="197"/>
      <c r="N206" s="121"/>
      <c r="O206" s="267">
        <v>160.80000000000001</v>
      </c>
      <c r="P206" s="221">
        <f>Inputs!$Y$6</f>
        <v>0.9</v>
      </c>
      <c r="Q206" s="197">
        <f t="shared" si="17"/>
        <v>120.60000000000002</v>
      </c>
      <c r="R206" s="267">
        <f t="shared" si="18"/>
        <v>144.72000000000003</v>
      </c>
      <c r="S206" s="165" t="s">
        <v>699</v>
      </c>
      <c r="T206" s="37" t="s">
        <v>1087</v>
      </c>
      <c r="U206" s="165" t="s">
        <v>982</v>
      </c>
      <c r="V206" s="37" t="s">
        <v>1084</v>
      </c>
      <c r="W206" s="37"/>
      <c r="X206" s="17"/>
    </row>
    <row r="207" spans="1:24" ht="18">
      <c r="A207" s="3"/>
      <c r="B207" s="79" t="s">
        <v>257</v>
      </c>
      <c r="C207" s="78" t="s">
        <v>101</v>
      </c>
      <c r="D207" s="37" t="s">
        <v>1277</v>
      </c>
      <c r="E207" s="79">
        <v>1</v>
      </c>
      <c r="F207" s="79" t="s">
        <v>266</v>
      </c>
      <c r="G207" s="264">
        <v>29.1</v>
      </c>
      <c r="H207" s="264">
        <v>17.899999999999999</v>
      </c>
      <c r="I207" s="81">
        <v>66</v>
      </c>
      <c r="J207" s="230" cm="1">
        <f t="array" ref="J207">_xlfn.XLOOKUP($I207,Inputs!C$6:C$23,Inputs!$D$6:D$23)*$G207</f>
        <v>11.120357142857145</v>
      </c>
      <c r="K207" s="121"/>
      <c r="L207" s="121"/>
      <c r="M207" s="197"/>
      <c r="N207" s="121"/>
      <c r="O207" s="267">
        <v>56.2</v>
      </c>
      <c r="P207" s="221">
        <f>Inputs!$Y$6</f>
        <v>0.9</v>
      </c>
      <c r="Q207" s="197">
        <f t="shared" si="17"/>
        <v>42.150000000000006</v>
      </c>
      <c r="R207" s="267">
        <f t="shared" si="18"/>
        <v>50.580000000000005</v>
      </c>
      <c r="S207" s="165" t="s">
        <v>699</v>
      </c>
      <c r="T207" s="37" t="s">
        <v>1087</v>
      </c>
      <c r="U207" s="165" t="s">
        <v>700</v>
      </c>
      <c r="V207" s="37" t="s">
        <v>1088</v>
      </c>
      <c r="W207" s="37"/>
      <c r="X207" s="17"/>
    </row>
    <row r="208" spans="1:24" ht="18">
      <c r="A208" s="3"/>
      <c r="B208" s="79" t="s">
        <v>255</v>
      </c>
      <c r="C208" s="78" t="s">
        <v>101</v>
      </c>
      <c r="D208" s="37" t="s">
        <v>1277</v>
      </c>
      <c r="E208" s="79">
        <v>1</v>
      </c>
      <c r="F208" s="79" t="s">
        <v>266</v>
      </c>
      <c r="G208" s="264">
        <v>34.9</v>
      </c>
      <c r="H208" s="264">
        <v>21.5</v>
      </c>
      <c r="I208" s="81">
        <v>66</v>
      </c>
      <c r="J208" s="230" cm="1">
        <f t="array" ref="J208">_xlfn.XLOOKUP($I208,Inputs!C$6:C$23,Inputs!$D$6:D$23)*$G208</f>
        <v>13.336785714285714</v>
      </c>
      <c r="K208" s="121"/>
      <c r="L208" s="121"/>
      <c r="M208" s="197"/>
      <c r="N208" s="121"/>
      <c r="O208" s="267">
        <v>76.900000000000006</v>
      </c>
      <c r="P208" s="221">
        <f>Inputs!$Y$6</f>
        <v>0.9</v>
      </c>
      <c r="Q208" s="197">
        <f t="shared" si="17"/>
        <v>57.675000000000011</v>
      </c>
      <c r="R208" s="267">
        <f t="shared" si="18"/>
        <v>69.210000000000008</v>
      </c>
      <c r="S208" s="165" t="s">
        <v>699</v>
      </c>
      <c r="T208" s="37" t="s">
        <v>1087</v>
      </c>
      <c r="U208" s="165" t="s">
        <v>738</v>
      </c>
      <c r="V208" s="37" t="s">
        <v>1002</v>
      </c>
      <c r="W208" s="37"/>
      <c r="X208" s="17"/>
    </row>
    <row r="209" spans="1:24" ht="18">
      <c r="A209" s="3"/>
      <c r="B209" s="96" t="s">
        <v>473</v>
      </c>
      <c r="C209" s="98" t="s">
        <v>123</v>
      </c>
      <c r="D209" s="37" t="s">
        <v>1277</v>
      </c>
      <c r="E209" s="96">
        <v>1</v>
      </c>
      <c r="F209" s="96" t="s">
        <v>266</v>
      </c>
      <c r="G209" s="264">
        <v>17</v>
      </c>
      <c r="H209" s="264">
        <v>10.5</v>
      </c>
      <c r="I209" s="97">
        <v>66</v>
      </c>
      <c r="J209" s="230" cm="1">
        <f t="array" ref="J209">_xlfn.XLOOKUP($I209,Inputs!C$6:C$23,Inputs!$D$6:D$23)*$G209</f>
        <v>6.4964285714285719</v>
      </c>
      <c r="K209" s="121"/>
      <c r="L209" s="121"/>
      <c r="M209" s="214">
        <v>550.4</v>
      </c>
      <c r="N209" s="121"/>
      <c r="O209" s="214">
        <v>62.9</v>
      </c>
      <c r="P209" s="221">
        <f>Inputs!$Y$6</f>
        <v>0.9</v>
      </c>
      <c r="Q209" s="197">
        <f t="shared" si="17"/>
        <v>47.175000000000004</v>
      </c>
      <c r="R209" s="214">
        <f t="shared" si="18"/>
        <v>56.61</v>
      </c>
      <c r="S209" s="96" t="s">
        <v>851</v>
      </c>
      <c r="T209" s="37" t="s">
        <v>1030</v>
      </c>
      <c r="U209" s="96" t="s">
        <v>642</v>
      </c>
      <c r="V209" s="37" t="s">
        <v>1031</v>
      </c>
      <c r="W209" s="37"/>
      <c r="X209" s="17"/>
    </row>
    <row r="210" spans="1:24" ht="18">
      <c r="A210" s="3"/>
      <c r="B210" s="96" t="s">
        <v>424</v>
      </c>
      <c r="C210" s="98" t="s">
        <v>123</v>
      </c>
      <c r="D210" s="37" t="s">
        <v>1277</v>
      </c>
      <c r="E210" s="96">
        <v>1</v>
      </c>
      <c r="F210" s="96" t="s">
        <v>266</v>
      </c>
      <c r="G210" s="264">
        <v>6.3</v>
      </c>
      <c r="H210" s="264">
        <v>3.9</v>
      </c>
      <c r="I210" s="97">
        <v>66</v>
      </c>
      <c r="J210" s="230" cm="1">
        <f t="array" ref="J210">_xlfn.XLOOKUP($I210,Inputs!C$6:C$23,Inputs!$D$6:D$23)*$G210</f>
        <v>2.4075000000000002</v>
      </c>
      <c r="K210" s="121"/>
      <c r="L210" s="121"/>
      <c r="M210" s="214">
        <v>779.9</v>
      </c>
      <c r="N210" s="121"/>
      <c r="O210" s="214">
        <v>89.2</v>
      </c>
      <c r="P210" s="221">
        <f>Inputs!$Y$6</f>
        <v>0.9</v>
      </c>
      <c r="Q210" s="197">
        <f t="shared" si="17"/>
        <v>66.900000000000006</v>
      </c>
      <c r="R210" s="214">
        <f t="shared" si="18"/>
        <v>80.28</v>
      </c>
      <c r="S210" s="96" t="s">
        <v>623</v>
      </c>
      <c r="T210" s="37" t="s">
        <v>1009</v>
      </c>
      <c r="U210" s="96" t="s">
        <v>625</v>
      </c>
      <c r="V210" s="37" t="s">
        <v>1011</v>
      </c>
      <c r="W210" s="37"/>
      <c r="X210" s="17"/>
    </row>
    <row r="211" spans="1:24" ht="18">
      <c r="A211" s="3"/>
      <c r="B211" s="96" t="s">
        <v>426</v>
      </c>
      <c r="C211" s="98" t="s">
        <v>123</v>
      </c>
      <c r="D211" s="37" t="s">
        <v>1277</v>
      </c>
      <c r="E211" s="96">
        <v>1</v>
      </c>
      <c r="F211" s="96" t="s">
        <v>266</v>
      </c>
      <c r="G211" s="264">
        <v>5.3</v>
      </c>
      <c r="H211" s="264">
        <v>3.2</v>
      </c>
      <c r="I211" s="97">
        <v>66</v>
      </c>
      <c r="J211" s="230" cm="1">
        <f t="array" ref="J211">_xlfn.XLOOKUP($I211,Inputs!C$6:C$23,Inputs!$D$6:D$23)*$G211</f>
        <v>2.0253571428571431</v>
      </c>
      <c r="K211" s="121"/>
      <c r="L211" s="121"/>
      <c r="M211" s="214">
        <v>550.4</v>
      </c>
      <c r="N211" s="121"/>
      <c r="O211" s="214">
        <v>51.6</v>
      </c>
      <c r="P211" s="221">
        <f>Inputs!$Y$6</f>
        <v>0.9</v>
      </c>
      <c r="Q211" s="197">
        <f t="shared" si="17"/>
        <v>38.700000000000003</v>
      </c>
      <c r="R211" s="214">
        <f t="shared" si="18"/>
        <v>46.440000000000005</v>
      </c>
      <c r="S211" s="96" t="s">
        <v>625</v>
      </c>
      <c r="T211" s="37" t="s">
        <v>1011</v>
      </c>
      <c r="U211" s="96" t="s">
        <v>983</v>
      </c>
      <c r="V211" s="37" t="s">
        <v>1092</v>
      </c>
      <c r="W211" s="37"/>
      <c r="X211" s="17"/>
    </row>
    <row r="212" spans="1:24" ht="18">
      <c r="A212" s="3"/>
      <c r="B212" s="96" t="s">
        <v>313</v>
      </c>
      <c r="C212" s="98" t="s">
        <v>123</v>
      </c>
      <c r="D212" s="37" t="s">
        <v>1277</v>
      </c>
      <c r="E212" s="96">
        <v>1</v>
      </c>
      <c r="F212" s="96" t="s">
        <v>266</v>
      </c>
      <c r="G212" s="264">
        <v>35</v>
      </c>
      <c r="H212" s="264">
        <v>21.6</v>
      </c>
      <c r="I212" s="97">
        <v>66</v>
      </c>
      <c r="J212" s="230" cm="1">
        <f t="array" ref="J212">_xlfn.XLOOKUP($I212,Inputs!C$6:C$23,Inputs!$D$6:D$23)*$G212</f>
        <v>13.375000000000002</v>
      </c>
      <c r="K212" s="121"/>
      <c r="L212" s="121"/>
      <c r="M212" s="214">
        <v>474.3</v>
      </c>
      <c r="N212" s="121"/>
      <c r="O212" s="214">
        <v>54.2</v>
      </c>
      <c r="P212" s="221">
        <f>Inputs!$Y$6</f>
        <v>0.9</v>
      </c>
      <c r="Q212" s="197">
        <f t="shared" si="17"/>
        <v>40.650000000000006</v>
      </c>
      <c r="R212" s="214">
        <f t="shared" si="18"/>
        <v>48.78</v>
      </c>
      <c r="S212" s="96" t="s">
        <v>670</v>
      </c>
      <c r="T212" s="37" t="s">
        <v>999</v>
      </c>
      <c r="U212" s="96" t="s">
        <v>835</v>
      </c>
      <c r="V212" s="37" t="s">
        <v>845</v>
      </c>
      <c r="W212" s="37"/>
      <c r="X212" s="17"/>
    </row>
    <row r="213" spans="1:24" ht="18">
      <c r="A213" s="3"/>
      <c r="B213" s="79" t="s">
        <v>239</v>
      </c>
      <c r="C213" s="78" t="s">
        <v>101</v>
      </c>
      <c r="D213" s="37" t="s">
        <v>1277</v>
      </c>
      <c r="E213" s="79">
        <v>1</v>
      </c>
      <c r="F213" s="79" t="s">
        <v>266</v>
      </c>
      <c r="G213" s="264">
        <v>11.6</v>
      </c>
      <c r="H213" s="264">
        <v>7.2</v>
      </c>
      <c r="I213" s="81">
        <v>230</v>
      </c>
      <c r="J213" s="230" cm="1">
        <f t="array" ref="J213">_xlfn.XLOOKUP($I213,Inputs!C$6:C$23,Inputs!$D$6:D$23)*$G213</f>
        <v>5.5679999999999996</v>
      </c>
      <c r="K213" s="268">
        <f>IF((42.4*(H213)^(-0.6595))&gt;=3,3,(IF(42.4*(H213)^(-0.6595)&lt;=0.5,0.5,(42.4*(H213)^(-0.6595)))))</f>
        <v>3</v>
      </c>
      <c r="L213" s="121"/>
      <c r="M213" s="197"/>
      <c r="N213" s="121"/>
      <c r="O213" s="222"/>
      <c r="P213" s="221">
        <f>Inputs!$Y$6</f>
        <v>0.9</v>
      </c>
      <c r="Q213" s="269">
        <f>_xlfn.XLOOKUP($I213,Inputs!$G$6:$G$23,Inputs!$J$6:$J$23)*$K213</f>
        <v>402</v>
      </c>
      <c r="R213" s="269">
        <f>_xlfn.XLOOKUP($I213,Inputs!$G$6:$G$23,Inputs!$K$6:$K$23)*$K213</f>
        <v>435</v>
      </c>
      <c r="S213" s="165" t="s">
        <v>670</v>
      </c>
      <c r="T213" s="37" t="s">
        <v>999</v>
      </c>
      <c r="U213" s="165" t="s">
        <v>729</v>
      </c>
      <c r="V213" s="37" t="s">
        <v>1061</v>
      </c>
      <c r="W213" s="37"/>
      <c r="X213" s="17"/>
    </row>
    <row r="214" spans="1:24" ht="18">
      <c r="A214" s="3"/>
      <c r="B214" s="96" t="s">
        <v>317</v>
      </c>
      <c r="C214" s="98" t="s">
        <v>123</v>
      </c>
      <c r="D214" s="37" t="s">
        <v>1277</v>
      </c>
      <c r="E214" s="96">
        <v>1</v>
      </c>
      <c r="F214" s="96" t="s">
        <v>266</v>
      </c>
      <c r="G214" s="264">
        <v>10</v>
      </c>
      <c r="H214" s="264">
        <v>6.2</v>
      </c>
      <c r="I214" s="97">
        <v>66</v>
      </c>
      <c r="J214" s="230" cm="1">
        <f t="array" ref="J214">_xlfn.XLOOKUP($I214,Inputs!C$6:C$23,Inputs!$D$6:D$23)*$G214</f>
        <v>3.8214285714285716</v>
      </c>
      <c r="K214" s="121"/>
      <c r="L214" s="121"/>
      <c r="M214" s="214">
        <v>474.3</v>
      </c>
      <c r="N214" s="121"/>
      <c r="O214" s="214">
        <v>54.2</v>
      </c>
      <c r="P214" s="221">
        <f>Inputs!$Y$6</f>
        <v>0.9</v>
      </c>
      <c r="Q214" s="197">
        <f t="shared" ref="Q214:Q221" si="19">R214/1.2</f>
        <v>40.650000000000006</v>
      </c>
      <c r="R214" s="214">
        <f t="shared" ref="R214:R221" si="20">O214*P214</f>
        <v>48.78</v>
      </c>
      <c r="S214" s="96" t="s">
        <v>670</v>
      </c>
      <c r="T214" s="37" t="s">
        <v>999</v>
      </c>
      <c r="U214" s="96" t="s">
        <v>729</v>
      </c>
      <c r="V214" s="37" t="s">
        <v>1061</v>
      </c>
      <c r="W214" s="37"/>
      <c r="X214" s="17"/>
    </row>
    <row r="215" spans="1:24" ht="18">
      <c r="A215" s="3"/>
      <c r="B215" s="96" t="s">
        <v>311</v>
      </c>
      <c r="C215" s="98" t="s">
        <v>123</v>
      </c>
      <c r="D215" s="37" t="s">
        <v>1277</v>
      </c>
      <c r="E215" s="96">
        <v>1</v>
      </c>
      <c r="F215" s="96" t="s">
        <v>266</v>
      </c>
      <c r="G215" s="264">
        <v>4</v>
      </c>
      <c r="H215" s="264">
        <v>2.5</v>
      </c>
      <c r="I215" s="97">
        <v>66</v>
      </c>
      <c r="J215" s="230" cm="1">
        <f t="array" ref="J215">_xlfn.XLOOKUP($I215,Inputs!C$6:C$23,Inputs!$D$6:D$23)*$G215</f>
        <v>1.5285714285714287</v>
      </c>
      <c r="K215" s="121"/>
      <c r="L215" s="121"/>
      <c r="M215" s="214">
        <v>779.9</v>
      </c>
      <c r="N215" s="121"/>
      <c r="O215" s="214">
        <v>89.2</v>
      </c>
      <c r="P215" s="221">
        <f>Inputs!$Y$6</f>
        <v>0.9</v>
      </c>
      <c r="Q215" s="197">
        <f t="shared" si="19"/>
        <v>66.900000000000006</v>
      </c>
      <c r="R215" s="214">
        <f t="shared" si="20"/>
        <v>80.28</v>
      </c>
      <c r="S215" s="96" t="s">
        <v>670</v>
      </c>
      <c r="T215" s="37" t="s">
        <v>999</v>
      </c>
      <c r="U215" s="96" t="s">
        <v>887</v>
      </c>
      <c r="V215" s="37" t="s">
        <v>888</v>
      </c>
      <c r="W215" s="37"/>
      <c r="X215" s="17"/>
    </row>
    <row r="216" spans="1:24" ht="18">
      <c r="A216" s="3"/>
      <c r="B216" s="96" t="s">
        <v>317</v>
      </c>
      <c r="C216" s="98" t="s">
        <v>123</v>
      </c>
      <c r="D216" s="37" t="s">
        <v>1277</v>
      </c>
      <c r="E216" s="96">
        <v>1</v>
      </c>
      <c r="F216" s="96" t="s">
        <v>266</v>
      </c>
      <c r="G216" s="264">
        <v>14</v>
      </c>
      <c r="H216" s="264">
        <v>8.6</v>
      </c>
      <c r="I216" s="97">
        <v>66</v>
      </c>
      <c r="J216" s="230" cm="1">
        <f t="array" ref="J216">_xlfn.XLOOKUP($I216,Inputs!C$6:C$23,Inputs!$D$6:D$23)*$G216</f>
        <v>5.3500000000000005</v>
      </c>
      <c r="K216" s="121"/>
      <c r="L216" s="121"/>
      <c r="M216" s="214">
        <v>474.3</v>
      </c>
      <c r="N216" s="121"/>
      <c r="O216" s="214">
        <v>54.2</v>
      </c>
      <c r="P216" s="221">
        <f>Inputs!$Y$6</f>
        <v>0.9</v>
      </c>
      <c r="Q216" s="197">
        <f t="shared" si="19"/>
        <v>40.650000000000006</v>
      </c>
      <c r="R216" s="214">
        <f t="shared" si="20"/>
        <v>48.78</v>
      </c>
      <c r="S216" s="96" t="s">
        <v>729</v>
      </c>
      <c r="T216" s="37" t="s">
        <v>1061</v>
      </c>
      <c r="U216" s="96" t="s">
        <v>671</v>
      </c>
      <c r="V216" s="37" t="s">
        <v>1108</v>
      </c>
      <c r="W216" s="37"/>
      <c r="X216" s="17"/>
    </row>
    <row r="217" spans="1:24" ht="18">
      <c r="A217" s="3"/>
      <c r="B217" s="79" t="s">
        <v>208</v>
      </c>
      <c r="C217" s="78" t="s">
        <v>101</v>
      </c>
      <c r="D217" s="37" t="s">
        <v>1277</v>
      </c>
      <c r="E217" s="79">
        <v>1</v>
      </c>
      <c r="F217" s="79" t="s">
        <v>266</v>
      </c>
      <c r="G217" s="264">
        <v>104.7</v>
      </c>
      <c r="H217" s="264">
        <v>64.599999999999994</v>
      </c>
      <c r="I217" s="81">
        <v>230</v>
      </c>
      <c r="J217" s="230" cm="1">
        <f t="array" ref="J217">_xlfn.XLOOKUP($I217,Inputs!C$6:C$23,Inputs!$D$6:D$23)*$G217</f>
        <v>50.256</v>
      </c>
      <c r="K217" s="121"/>
      <c r="L217" s="121"/>
      <c r="M217" s="197"/>
      <c r="N217" s="121"/>
      <c r="O217" s="267">
        <v>469.6</v>
      </c>
      <c r="P217" s="221">
        <f>Inputs!$Y$6</f>
        <v>0.9</v>
      </c>
      <c r="Q217" s="197">
        <f t="shared" si="19"/>
        <v>352.20000000000005</v>
      </c>
      <c r="R217" s="267">
        <f t="shared" si="20"/>
        <v>422.64000000000004</v>
      </c>
      <c r="S217" s="165" t="s">
        <v>655</v>
      </c>
      <c r="T217" s="37" t="s">
        <v>1133</v>
      </c>
      <c r="U217" s="165" t="s">
        <v>677</v>
      </c>
      <c r="V217" s="37" t="s">
        <v>987</v>
      </c>
      <c r="W217" s="37"/>
      <c r="X217" s="17"/>
    </row>
    <row r="218" spans="1:24" ht="18">
      <c r="A218" s="3"/>
      <c r="B218" s="79" t="s">
        <v>232</v>
      </c>
      <c r="C218" s="78" t="s">
        <v>101</v>
      </c>
      <c r="D218" s="37" t="s">
        <v>1277</v>
      </c>
      <c r="E218" s="79">
        <v>1</v>
      </c>
      <c r="F218" s="79" t="s">
        <v>266</v>
      </c>
      <c r="G218" s="264">
        <v>104.7</v>
      </c>
      <c r="H218" s="264">
        <v>64.599999999999994</v>
      </c>
      <c r="I218" s="81">
        <v>230</v>
      </c>
      <c r="J218" s="230" cm="1">
        <f t="array" ref="J218">_xlfn.XLOOKUP($I218,Inputs!C$6:C$23,Inputs!$D$6:D$23)*$G218</f>
        <v>50.256</v>
      </c>
      <c r="K218" s="121"/>
      <c r="L218" s="121"/>
      <c r="M218" s="197"/>
      <c r="N218" s="121"/>
      <c r="O218" s="267">
        <v>469.6</v>
      </c>
      <c r="P218" s="221">
        <f>Inputs!$Y$6</f>
        <v>0.9</v>
      </c>
      <c r="Q218" s="197">
        <f t="shared" si="19"/>
        <v>352.20000000000005</v>
      </c>
      <c r="R218" s="267">
        <f t="shared" si="20"/>
        <v>422.64000000000004</v>
      </c>
      <c r="S218" s="165" t="s">
        <v>655</v>
      </c>
      <c r="T218" s="37" t="s">
        <v>1133</v>
      </c>
      <c r="U218" s="165" t="s">
        <v>677</v>
      </c>
      <c r="V218" s="37" t="s">
        <v>987</v>
      </c>
      <c r="W218" s="37"/>
      <c r="X218" s="17"/>
    </row>
    <row r="219" spans="1:24" ht="18">
      <c r="A219" s="3"/>
      <c r="B219" s="96" t="s">
        <v>290</v>
      </c>
      <c r="C219" s="98" t="s">
        <v>123</v>
      </c>
      <c r="D219" s="37" t="s">
        <v>1277</v>
      </c>
      <c r="E219" s="96">
        <v>1</v>
      </c>
      <c r="F219" s="96" t="s">
        <v>266</v>
      </c>
      <c r="G219" s="264">
        <v>20.6</v>
      </c>
      <c r="H219" s="264">
        <v>12.7</v>
      </c>
      <c r="I219" s="97">
        <v>138</v>
      </c>
      <c r="J219" s="230" cm="1">
        <f t="array" ref="J219">_xlfn.XLOOKUP($I219,Inputs!C$6:C$23,Inputs!$D$6:D$23)*$G219</f>
        <v>8.9315714285714307</v>
      </c>
      <c r="K219" s="121"/>
      <c r="L219" s="121"/>
      <c r="M219" s="214">
        <v>712.7</v>
      </c>
      <c r="N219" s="121"/>
      <c r="O219" s="214">
        <v>170.4</v>
      </c>
      <c r="P219" s="221">
        <f>Inputs!$Y$6</f>
        <v>0.9</v>
      </c>
      <c r="Q219" s="197">
        <f t="shared" si="19"/>
        <v>127.80000000000001</v>
      </c>
      <c r="R219" s="214">
        <f t="shared" si="20"/>
        <v>153.36000000000001</v>
      </c>
      <c r="S219" s="96" t="s">
        <v>655</v>
      </c>
      <c r="T219" s="37" t="s">
        <v>1133</v>
      </c>
      <c r="U219" s="96" t="s">
        <v>656</v>
      </c>
      <c r="V219" s="37" t="s">
        <v>1228</v>
      </c>
      <c r="W219" s="37"/>
      <c r="X219" s="17"/>
    </row>
    <row r="220" spans="1:24" ht="18">
      <c r="A220" s="3"/>
      <c r="B220" s="79" t="s">
        <v>214</v>
      </c>
      <c r="C220" s="78" t="s">
        <v>101</v>
      </c>
      <c r="D220" s="37" t="s">
        <v>1277</v>
      </c>
      <c r="E220" s="79">
        <v>1</v>
      </c>
      <c r="F220" s="79" t="s">
        <v>266</v>
      </c>
      <c r="G220" s="264">
        <v>58.1</v>
      </c>
      <c r="H220" s="264">
        <v>35.9</v>
      </c>
      <c r="I220" s="81">
        <v>138</v>
      </c>
      <c r="J220" s="230" cm="1">
        <f t="array" ref="J220">_xlfn.XLOOKUP($I220,Inputs!C$6:C$23,Inputs!$D$6:D$23)*$G220</f>
        <v>25.190500000000004</v>
      </c>
      <c r="K220" s="270"/>
      <c r="L220" s="121"/>
      <c r="M220" s="197"/>
      <c r="N220" s="121"/>
      <c r="O220" s="267">
        <v>144.1</v>
      </c>
      <c r="P220" s="221">
        <f>Inputs!$Y$6</f>
        <v>0.9</v>
      </c>
      <c r="Q220" s="197">
        <f t="shared" si="19"/>
        <v>108.075</v>
      </c>
      <c r="R220" s="267">
        <f t="shared" si="20"/>
        <v>129.69</v>
      </c>
      <c r="S220" s="165" t="s">
        <v>655</v>
      </c>
      <c r="T220" s="37" t="s">
        <v>1133</v>
      </c>
      <c r="U220" s="165" t="s">
        <v>679</v>
      </c>
      <c r="V220" s="37" t="s">
        <v>1067</v>
      </c>
      <c r="W220" s="194"/>
      <c r="X220" s="17"/>
    </row>
    <row r="221" spans="1:24" ht="18">
      <c r="A221" s="3"/>
      <c r="B221" s="79" t="s">
        <v>236</v>
      </c>
      <c r="C221" s="78" t="s">
        <v>101</v>
      </c>
      <c r="D221" s="37" t="s">
        <v>1277</v>
      </c>
      <c r="E221" s="79">
        <v>1</v>
      </c>
      <c r="F221" s="79" t="s">
        <v>266</v>
      </c>
      <c r="G221" s="264">
        <v>11.6</v>
      </c>
      <c r="H221" s="264">
        <v>7.2</v>
      </c>
      <c r="I221" s="81">
        <v>230</v>
      </c>
      <c r="J221" s="230" cm="1">
        <f t="array" ref="J221">_xlfn.XLOOKUP($I221,Inputs!C$6:C$23,Inputs!$D$6:D$23)*$G221</f>
        <v>5.5679999999999996</v>
      </c>
      <c r="K221" s="121"/>
      <c r="L221" s="121"/>
      <c r="M221" s="197"/>
      <c r="N221" s="121"/>
      <c r="O221" s="267">
        <v>322.2</v>
      </c>
      <c r="P221" s="221">
        <f>Inputs!$Y$6</f>
        <v>0.9</v>
      </c>
      <c r="Q221" s="197">
        <f t="shared" si="19"/>
        <v>241.65000000000003</v>
      </c>
      <c r="R221" s="267">
        <f t="shared" si="20"/>
        <v>289.98</v>
      </c>
      <c r="S221" s="165" t="s">
        <v>655</v>
      </c>
      <c r="T221" s="37" t="s">
        <v>1133</v>
      </c>
      <c r="U221" s="255" t="s">
        <v>980</v>
      </c>
      <c r="V221" s="37" t="s">
        <v>1032</v>
      </c>
      <c r="W221" s="37"/>
      <c r="X221" s="17"/>
    </row>
    <row r="222" spans="1:24" ht="18">
      <c r="A222" s="3"/>
      <c r="B222" s="130" t="s">
        <v>410</v>
      </c>
      <c r="C222" s="129" t="s">
        <v>101</v>
      </c>
      <c r="D222" s="37" t="s">
        <v>1135</v>
      </c>
      <c r="E222" s="130">
        <v>1</v>
      </c>
      <c r="F222" s="130" t="s">
        <v>263</v>
      </c>
      <c r="G222" s="264">
        <v>700</v>
      </c>
      <c r="H222" s="264">
        <v>432.1</v>
      </c>
      <c r="I222" s="131">
        <v>350</v>
      </c>
      <c r="J222" s="121"/>
      <c r="K222" s="121"/>
      <c r="L222" s="121"/>
      <c r="M222" s="197"/>
      <c r="N222" s="121"/>
      <c r="O222" s="197"/>
      <c r="P222" s="197"/>
      <c r="Q222" s="108">
        <v>450</v>
      </c>
      <c r="R222" s="108">
        <v>450</v>
      </c>
      <c r="S222" s="130" t="s">
        <v>1136</v>
      </c>
      <c r="T222" s="37" t="s">
        <v>1137</v>
      </c>
      <c r="U222" s="130" t="s">
        <v>800</v>
      </c>
      <c r="V222" s="37" t="s">
        <v>1129</v>
      </c>
      <c r="W222" s="37"/>
      <c r="X222" s="17"/>
    </row>
    <row r="223" spans="1:24" ht="18">
      <c r="A223" s="3"/>
      <c r="B223" s="130" t="s">
        <v>411</v>
      </c>
      <c r="C223" s="129" t="s">
        <v>101</v>
      </c>
      <c r="D223" s="37" t="s">
        <v>1135</v>
      </c>
      <c r="E223" s="130">
        <v>1</v>
      </c>
      <c r="F223" s="130" t="s">
        <v>263</v>
      </c>
      <c r="G223" s="264">
        <v>700</v>
      </c>
      <c r="H223" s="264">
        <v>432.1</v>
      </c>
      <c r="I223" s="131">
        <v>350</v>
      </c>
      <c r="J223" s="121"/>
      <c r="K223" s="121"/>
      <c r="L223" s="121"/>
      <c r="M223" s="197"/>
      <c r="N223" s="121"/>
      <c r="O223" s="197"/>
      <c r="P223" s="197"/>
      <c r="Q223" s="108">
        <v>450</v>
      </c>
      <c r="R223" s="108">
        <v>450</v>
      </c>
      <c r="S223" s="130" t="s">
        <v>1136</v>
      </c>
      <c r="T223" s="37" t="s">
        <v>1137</v>
      </c>
      <c r="U223" s="130" t="s">
        <v>800</v>
      </c>
      <c r="V223" s="37" t="s">
        <v>1129</v>
      </c>
      <c r="W223" s="37"/>
      <c r="X223" s="17"/>
    </row>
    <row r="224" spans="1:24" ht="18">
      <c r="A224" s="3"/>
      <c r="B224" s="96" t="s">
        <v>293</v>
      </c>
      <c r="C224" s="98" t="s">
        <v>123</v>
      </c>
      <c r="D224" s="37" t="s">
        <v>1277</v>
      </c>
      <c r="E224" s="96">
        <v>1</v>
      </c>
      <c r="F224" s="96" t="s">
        <v>266</v>
      </c>
      <c r="G224" s="264">
        <v>23.5</v>
      </c>
      <c r="H224" s="264">
        <v>14.5</v>
      </c>
      <c r="I224" s="97">
        <v>66</v>
      </c>
      <c r="J224" s="230" cm="1">
        <f t="array" ref="J224">_xlfn.XLOOKUP($I224,Inputs!C$6:C$23,Inputs!$D$6:D$23)*$G224</f>
        <v>8.9803571428571427</v>
      </c>
      <c r="K224" s="121"/>
      <c r="L224" s="121"/>
      <c r="M224" s="214">
        <v>474.6</v>
      </c>
      <c r="N224" s="121"/>
      <c r="O224" s="214">
        <v>54.2</v>
      </c>
      <c r="P224" s="221">
        <f>Inputs!$Y$6</f>
        <v>0.9</v>
      </c>
      <c r="Q224" s="197">
        <f t="shared" ref="Q224:Q246" si="21">R224/1.2</f>
        <v>40.650000000000006</v>
      </c>
      <c r="R224" s="214">
        <f t="shared" ref="R224:R246" si="22">O224*P224</f>
        <v>48.78</v>
      </c>
      <c r="S224" s="96" t="s">
        <v>658</v>
      </c>
      <c r="T224" s="37" t="s">
        <v>1048</v>
      </c>
      <c r="U224" s="96" t="s">
        <v>721</v>
      </c>
      <c r="V224" s="37" t="s">
        <v>1103</v>
      </c>
      <c r="W224" s="37"/>
      <c r="X224" s="17"/>
    </row>
    <row r="225" spans="1:24" ht="18">
      <c r="A225" s="3"/>
      <c r="B225" s="96" t="s">
        <v>279</v>
      </c>
      <c r="C225" s="98" t="s">
        <v>123</v>
      </c>
      <c r="D225" s="37" t="s">
        <v>1277</v>
      </c>
      <c r="E225" s="96">
        <v>1</v>
      </c>
      <c r="F225" s="96" t="s">
        <v>266</v>
      </c>
      <c r="G225" s="264">
        <v>6</v>
      </c>
      <c r="H225" s="264">
        <v>3.7</v>
      </c>
      <c r="I225" s="97">
        <v>138</v>
      </c>
      <c r="J225" s="230" cm="1">
        <f t="array" ref="J225">_xlfn.XLOOKUP($I225,Inputs!C$6:C$23,Inputs!$D$6:D$23)*$G225</f>
        <v>2.6014285714285714</v>
      </c>
      <c r="K225" s="121"/>
      <c r="L225" s="121"/>
      <c r="M225" s="214">
        <v>779.9</v>
      </c>
      <c r="N225" s="121"/>
      <c r="O225" s="214">
        <v>89.2</v>
      </c>
      <c r="P225" s="221">
        <f>Inputs!$Y$6</f>
        <v>0.9</v>
      </c>
      <c r="Q225" s="197">
        <f t="shared" si="21"/>
        <v>66.900000000000006</v>
      </c>
      <c r="R225" s="214">
        <f t="shared" si="22"/>
        <v>80.28</v>
      </c>
      <c r="S225" s="96" t="s">
        <v>823</v>
      </c>
      <c r="T225" s="37" t="s">
        <v>1130</v>
      </c>
      <c r="U225" s="96" t="s">
        <v>836</v>
      </c>
      <c r="V225" s="37" t="s">
        <v>1153</v>
      </c>
      <c r="W225" s="37"/>
      <c r="X225" s="17"/>
    </row>
    <row r="226" spans="1:24" ht="18">
      <c r="A226" s="3"/>
      <c r="B226" s="96" t="s">
        <v>271</v>
      </c>
      <c r="C226" s="98" t="s">
        <v>123</v>
      </c>
      <c r="D226" s="37" t="s">
        <v>1277</v>
      </c>
      <c r="E226" s="96">
        <v>1</v>
      </c>
      <c r="F226" s="96" t="s">
        <v>266</v>
      </c>
      <c r="G226" s="264">
        <v>38.200000000000003</v>
      </c>
      <c r="H226" s="264">
        <v>23.6</v>
      </c>
      <c r="I226" s="97">
        <v>138</v>
      </c>
      <c r="J226" s="230" cm="1">
        <f t="array" ref="J226">_xlfn.XLOOKUP($I226,Inputs!C$6:C$23,Inputs!$D$6:D$23)*$G226</f>
        <v>16.562428571428573</v>
      </c>
      <c r="K226" s="121"/>
      <c r="L226" s="121"/>
      <c r="M226" s="214">
        <v>712.7</v>
      </c>
      <c r="N226" s="121"/>
      <c r="O226" s="214">
        <v>170.4</v>
      </c>
      <c r="P226" s="221">
        <f>Inputs!$Y$6</f>
        <v>0.9</v>
      </c>
      <c r="Q226" s="197">
        <f t="shared" si="21"/>
        <v>127.80000000000001</v>
      </c>
      <c r="R226" s="214">
        <f t="shared" si="22"/>
        <v>153.36000000000001</v>
      </c>
      <c r="S226" s="96" t="s">
        <v>643</v>
      </c>
      <c r="T226" s="37" t="s">
        <v>1131</v>
      </c>
      <c r="U226" s="96" t="s">
        <v>648</v>
      </c>
      <c r="V226" s="37" t="s">
        <v>1037</v>
      </c>
      <c r="W226" s="37"/>
      <c r="X226" s="17"/>
    </row>
    <row r="227" spans="1:24" ht="18">
      <c r="A227" s="3"/>
      <c r="B227" s="79" t="s">
        <v>211</v>
      </c>
      <c r="C227" s="78" t="s">
        <v>101</v>
      </c>
      <c r="D227" s="37" t="s">
        <v>1277</v>
      </c>
      <c r="E227" s="79">
        <v>1</v>
      </c>
      <c r="F227" s="79" t="s">
        <v>266</v>
      </c>
      <c r="G227" s="264">
        <v>11.6</v>
      </c>
      <c r="H227" s="264">
        <v>7.2</v>
      </c>
      <c r="I227" s="81">
        <v>230</v>
      </c>
      <c r="J227" s="230" cm="1">
        <f t="array" ref="J227">_xlfn.XLOOKUP($I227,Inputs!C$6:C$23,Inputs!$D$6:D$23)*$G227</f>
        <v>5.5679999999999996</v>
      </c>
      <c r="K227" s="121"/>
      <c r="L227" s="121"/>
      <c r="M227" s="197"/>
      <c r="N227" s="121"/>
      <c r="O227" s="267">
        <v>453.9</v>
      </c>
      <c r="P227" s="221">
        <f>Inputs!$Y$6</f>
        <v>0.9</v>
      </c>
      <c r="Q227" s="197">
        <f t="shared" si="21"/>
        <v>340.42500000000001</v>
      </c>
      <c r="R227" s="267">
        <f t="shared" si="22"/>
        <v>408.51</v>
      </c>
      <c r="S227" s="165" t="s">
        <v>643</v>
      </c>
      <c r="T227" s="37" t="s">
        <v>1131</v>
      </c>
      <c r="U227" s="165" t="s">
        <v>694</v>
      </c>
      <c r="V227" s="37" t="s">
        <v>1216</v>
      </c>
      <c r="W227" s="37"/>
      <c r="X227" s="17"/>
    </row>
    <row r="228" spans="1:24" s="114" customFormat="1" ht="18">
      <c r="A228" s="3"/>
      <c r="B228" s="79" t="s">
        <v>216</v>
      </c>
      <c r="C228" s="78" t="s">
        <v>101</v>
      </c>
      <c r="D228" s="37" t="s">
        <v>1277</v>
      </c>
      <c r="E228" s="79">
        <v>1</v>
      </c>
      <c r="F228" s="79" t="s">
        <v>266</v>
      </c>
      <c r="G228" s="264">
        <v>46.5</v>
      </c>
      <c r="H228" s="264">
        <v>28.7</v>
      </c>
      <c r="I228" s="81">
        <v>138</v>
      </c>
      <c r="J228" s="230" cm="1">
        <f t="array" ref="J228">_xlfn.XLOOKUP($I228,Inputs!C$6:C$23,Inputs!$D$6:D$23)*$G228</f>
        <v>20.161071428571429</v>
      </c>
      <c r="K228" s="121"/>
      <c r="L228" s="121"/>
      <c r="M228" s="197"/>
      <c r="N228" s="121"/>
      <c r="O228" s="267">
        <v>112.4</v>
      </c>
      <c r="P228" s="221">
        <f>Inputs!$Y$6</f>
        <v>0.9</v>
      </c>
      <c r="Q228" s="197">
        <f t="shared" si="21"/>
        <v>84.300000000000011</v>
      </c>
      <c r="R228" s="267">
        <f t="shared" si="22"/>
        <v>101.16000000000001</v>
      </c>
      <c r="S228" s="165" t="s">
        <v>643</v>
      </c>
      <c r="T228" s="37" t="s">
        <v>1131</v>
      </c>
      <c r="U228" s="165" t="s">
        <v>681</v>
      </c>
      <c r="V228" s="37" t="s">
        <v>1221</v>
      </c>
      <c r="W228" s="37"/>
      <c r="X228" s="17"/>
    </row>
    <row r="229" spans="1:24" ht="18">
      <c r="A229" s="3"/>
      <c r="B229" s="96" t="s">
        <v>278</v>
      </c>
      <c r="C229" s="98" t="s">
        <v>123</v>
      </c>
      <c r="D229" s="37" t="s">
        <v>1277</v>
      </c>
      <c r="E229" s="96">
        <v>1</v>
      </c>
      <c r="F229" s="96" t="s">
        <v>266</v>
      </c>
      <c r="G229" s="264">
        <v>18</v>
      </c>
      <c r="H229" s="264">
        <v>11.1</v>
      </c>
      <c r="I229" s="97">
        <v>138</v>
      </c>
      <c r="J229" s="230" cm="1">
        <f t="array" ref="J229">_xlfn.XLOOKUP($I229,Inputs!C$6:C$23,Inputs!$D$6:D$23)*$G229</f>
        <v>7.8042857142857152</v>
      </c>
      <c r="K229" s="121"/>
      <c r="L229" s="121"/>
      <c r="M229" s="214">
        <v>712.7</v>
      </c>
      <c r="N229" s="121"/>
      <c r="O229" s="214">
        <v>170.4</v>
      </c>
      <c r="P229" s="221">
        <f>Inputs!$Y$6</f>
        <v>0.9</v>
      </c>
      <c r="Q229" s="197">
        <f t="shared" si="21"/>
        <v>127.80000000000001</v>
      </c>
      <c r="R229" s="214">
        <f t="shared" si="22"/>
        <v>153.36000000000001</v>
      </c>
      <c r="S229" s="96" t="s">
        <v>643</v>
      </c>
      <c r="T229" s="37" t="s">
        <v>1131</v>
      </c>
      <c r="U229" s="96" t="s">
        <v>816</v>
      </c>
      <c r="V229" s="37" t="s">
        <v>1036</v>
      </c>
      <c r="W229" s="194"/>
      <c r="X229" s="17"/>
    </row>
    <row r="230" spans="1:24" ht="18">
      <c r="A230" s="3"/>
      <c r="B230" s="79" t="s">
        <v>221</v>
      </c>
      <c r="C230" s="78" t="s">
        <v>123</v>
      </c>
      <c r="D230" s="37" t="s">
        <v>1277</v>
      </c>
      <c r="E230" s="79">
        <v>1</v>
      </c>
      <c r="F230" s="79" t="s">
        <v>266</v>
      </c>
      <c r="G230" s="264">
        <v>162.80000000000001</v>
      </c>
      <c r="H230" s="264">
        <v>100.5</v>
      </c>
      <c r="I230" s="81">
        <v>138</v>
      </c>
      <c r="J230" s="230" cm="1">
        <f t="array" ref="J230">_xlfn.XLOOKUP($I230,Inputs!C$6:C$23,Inputs!$D$6:D$23)*$G230</f>
        <v>70.585428571428579</v>
      </c>
      <c r="K230" s="270"/>
      <c r="L230" s="121"/>
      <c r="M230" s="197"/>
      <c r="N230" s="121"/>
      <c r="O230" s="267">
        <v>161.69999999999999</v>
      </c>
      <c r="P230" s="221">
        <f>Inputs!$Y$6</f>
        <v>0.9</v>
      </c>
      <c r="Q230" s="197">
        <f t="shared" si="21"/>
        <v>121.27500000000001</v>
      </c>
      <c r="R230" s="267">
        <f t="shared" si="22"/>
        <v>145.53</v>
      </c>
      <c r="S230" s="165" t="s">
        <v>643</v>
      </c>
      <c r="T230" s="37" t="s">
        <v>1131</v>
      </c>
      <c r="U230" s="165" t="s">
        <v>661</v>
      </c>
      <c r="V230" s="37" t="s">
        <v>1052</v>
      </c>
      <c r="W230" s="37"/>
      <c r="X230" s="17"/>
    </row>
    <row r="231" spans="1:24" ht="18">
      <c r="A231" s="3"/>
      <c r="B231" s="130" t="s">
        <v>207</v>
      </c>
      <c r="C231" s="129" t="s">
        <v>101</v>
      </c>
      <c r="D231" s="37" t="s">
        <v>1277</v>
      </c>
      <c r="E231" s="130">
        <v>1</v>
      </c>
      <c r="F231" s="130" t="s">
        <v>266</v>
      </c>
      <c r="G231" s="264">
        <v>45</v>
      </c>
      <c r="H231" s="264">
        <v>27.8</v>
      </c>
      <c r="I231" s="131">
        <v>230</v>
      </c>
      <c r="J231" s="230" cm="1">
        <f t="array" ref="J231">_xlfn.XLOOKUP($I231,Inputs!C$6:C$23,Inputs!$D$6:D$23)*$G231</f>
        <v>21.599999999999998</v>
      </c>
      <c r="K231" s="121"/>
      <c r="L231" s="121"/>
      <c r="M231" s="197"/>
      <c r="N231" s="121"/>
      <c r="O231" s="267">
        <v>347</v>
      </c>
      <c r="P231" s="221">
        <f>Inputs!$Y$6</f>
        <v>0.9</v>
      </c>
      <c r="Q231" s="197">
        <f t="shared" si="21"/>
        <v>260.25</v>
      </c>
      <c r="R231" s="267">
        <f t="shared" si="22"/>
        <v>312.3</v>
      </c>
      <c r="S231" s="130" t="s">
        <v>643</v>
      </c>
      <c r="T231" s="37" t="s">
        <v>1131</v>
      </c>
      <c r="U231" s="165" t="s">
        <v>641</v>
      </c>
      <c r="V231" s="37" t="s">
        <v>1029</v>
      </c>
      <c r="W231" s="37"/>
      <c r="X231" s="17"/>
    </row>
    <row r="232" spans="1:24" ht="18">
      <c r="A232" s="3"/>
      <c r="B232" s="96" t="s">
        <v>287</v>
      </c>
      <c r="C232" s="98" t="s">
        <v>123</v>
      </c>
      <c r="D232" s="37" t="s">
        <v>1277</v>
      </c>
      <c r="E232" s="96">
        <v>1</v>
      </c>
      <c r="F232" s="96" t="s">
        <v>266</v>
      </c>
      <c r="G232" s="264">
        <v>14</v>
      </c>
      <c r="H232" s="264">
        <v>8.6</v>
      </c>
      <c r="I232" s="97">
        <v>138</v>
      </c>
      <c r="J232" s="230" cm="1">
        <f t="array" ref="J232">_xlfn.XLOOKUP($I232,Inputs!C$6:C$23,Inputs!$D$6:D$23)*$G232</f>
        <v>6.07</v>
      </c>
      <c r="K232" s="121"/>
      <c r="L232" s="121"/>
      <c r="M232" s="214">
        <v>712.7</v>
      </c>
      <c r="N232" s="121"/>
      <c r="O232" s="214">
        <v>170.4</v>
      </c>
      <c r="P232" s="221">
        <f>Inputs!$Y$6</f>
        <v>0.9</v>
      </c>
      <c r="Q232" s="197">
        <f t="shared" si="21"/>
        <v>127.80000000000001</v>
      </c>
      <c r="R232" s="214">
        <f t="shared" si="22"/>
        <v>153.36000000000001</v>
      </c>
      <c r="S232" s="96" t="s">
        <v>824</v>
      </c>
      <c r="T232" s="37" t="s">
        <v>1045</v>
      </c>
      <c r="U232" s="96" t="s">
        <v>654</v>
      </c>
      <c r="V232" s="37" t="s">
        <v>843</v>
      </c>
      <c r="W232" s="194"/>
      <c r="X232" s="17"/>
    </row>
    <row r="233" spans="1:24" s="114" customFormat="1" ht="18">
      <c r="A233" s="3"/>
      <c r="B233" s="96" t="s">
        <v>283</v>
      </c>
      <c r="C233" s="98" t="s">
        <v>123</v>
      </c>
      <c r="D233" s="37" t="s">
        <v>1277</v>
      </c>
      <c r="E233" s="96">
        <v>1</v>
      </c>
      <c r="F233" s="96" t="s">
        <v>266</v>
      </c>
      <c r="G233" s="264">
        <v>12</v>
      </c>
      <c r="H233" s="264">
        <v>7.4</v>
      </c>
      <c r="I233" s="97">
        <v>66</v>
      </c>
      <c r="J233" s="230" cm="1">
        <f t="array" ref="J233">_xlfn.XLOOKUP($I233,Inputs!C$6:C$23,Inputs!$D$6:D$23)*$G233</f>
        <v>4.5857142857142863</v>
      </c>
      <c r="K233" s="121"/>
      <c r="L233" s="121"/>
      <c r="M233" s="214">
        <v>474.3</v>
      </c>
      <c r="N233" s="121"/>
      <c r="O233" s="214">
        <v>54.2</v>
      </c>
      <c r="P233" s="221">
        <f>Inputs!$Y$6</f>
        <v>0.9</v>
      </c>
      <c r="Q233" s="197">
        <f t="shared" si="21"/>
        <v>40.650000000000006</v>
      </c>
      <c r="R233" s="214">
        <f t="shared" si="22"/>
        <v>48.78</v>
      </c>
      <c r="S233" s="96" t="s">
        <v>825</v>
      </c>
      <c r="T233" s="37" t="s">
        <v>1132</v>
      </c>
      <c r="U233" s="96" t="s">
        <v>809</v>
      </c>
      <c r="V233" s="37" t="s">
        <v>1222</v>
      </c>
      <c r="W233" s="37"/>
      <c r="X233" s="17"/>
    </row>
    <row r="234" spans="1:24" ht="18">
      <c r="A234" s="3"/>
      <c r="B234" s="96" t="s">
        <v>456</v>
      </c>
      <c r="C234" s="98" t="s">
        <v>123</v>
      </c>
      <c r="D234" s="37" t="s">
        <v>1277</v>
      </c>
      <c r="E234" s="96">
        <v>1</v>
      </c>
      <c r="F234" s="96" t="s">
        <v>266</v>
      </c>
      <c r="G234" s="264">
        <v>10</v>
      </c>
      <c r="H234" s="264">
        <v>6.2</v>
      </c>
      <c r="I234" s="97">
        <v>66</v>
      </c>
      <c r="J234" s="230" cm="1">
        <f t="array" ref="J234">_xlfn.XLOOKUP($I234,Inputs!C$6:C$23,Inputs!$D$6:D$23)*$G234</f>
        <v>3.8214285714285716</v>
      </c>
      <c r="K234" s="121"/>
      <c r="L234" s="121"/>
      <c r="M234" s="214">
        <v>471.5</v>
      </c>
      <c r="N234" s="121"/>
      <c r="O234" s="214">
        <v>53.9</v>
      </c>
      <c r="P234" s="221">
        <f>Inputs!$Y$6</f>
        <v>0.9</v>
      </c>
      <c r="Q234" s="197">
        <f t="shared" si="21"/>
        <v>40.424999999999997</v>
      </c>
      <c r="R234" s="214">
        <f t="shared" si="22"/>
        <v>48.51</v>
      </c>
      <c r="S234" s="96" t="s">
        <v>826</v>
      </c>
      <c r="T234" s="37" t="s">
        <v>1026</v>
      </c>
      <c r="U234" s="96" t="s">
        <v>640</v>
      </c>
      <c r="V234" s="37" t="s">
        <v>1028</v>
      </c>
      <c r="W234" s="194"/>
      <c r="X234" s="17"/>
    </row>
    <row r="235" spans="1:24" ht="18">
      <c r="A235" s="3"/>
      <c r="B235" s="79" t="s">
        <v>261</v>
      </c>
      <c r="C235" s="78" t="s">
        <v>101</v>
      </c>
      <c r="D235" s="37" t="s">
        <v>1277</v>
      </c>
      <c r="E235" s="79">
        <v>1</v>
      </c>
      <c r="F235" s="79" t="s">
        <v>266</v>
      </c>
      <c r="G235" s="264">
        <v>69.8</v>
      </c>
      <c r="H235" s="264">
        <v>43.1</v>
      </c>
      <c r="I235" s="81">
        <v>230</v>
      </c>
      <c r="J235" s="230" cm="1">
        <f t="array" ref="J235">_xlfn.XLOOKUP($I235,Inputs!C$6:C$23,Inputs!$D$6:D$23)*$G235</f>
        <v>33.503999999999998</v>
      </c>
      <c r="K235" s="121"/>
      <c r="L235" s="121"/>
      <c r="M235" s="197"/>
      <c r="N235" s="121"/>
      <c r="O235" s="267">
        <v>369.5</v>
      </c>
      <c r="P235" s="221">
        <f>Inputs!$Y$6</f>
        <v>0.9</v>
      </c>
      <c r="Q235" s="197">
        <f t="shared" si="21"/>
        <v>277.125</v>
      </c>
      <c r="R235" s="267">
        <f t="shared" si="22"/>
        <v>332.55</v>
      </c>
      <c r="S235" s="165" t="s">
        <v>703</v>
      </c>
      <c r="T235" s="37" t="s">
        <v>1005</v>
      </c>
      <c r="U235" s="130" t="s">
        <v>1119</v>
      </c>
      <c r="V235" s="37" t="s">
        <v>1122</v>
      </c>
      <c r="W235" s="37"/>
      <c r="X235" s="17"/>
    </row>
    <row r="236" spans="1:24" ht="18">
      <c r="A236" s="3"/>
      <c r="B236" s="96" t="s">
        <v>469</v>
      </c>
      <c r="C236" s="98" t="s">
        <v>123</v>
      </c>
      <c r="D236" s="37" t="s">
        <v>1277</v>
      </c>
      <c r="E236" s="96">
        <v>1</v>
      </c>
      <c r="F236" s="96" t="s">
        <v>266</v>
      </c>
      <c r="G236" s="264">
        <v>6.3</v>
      </c>
      <c r="H236" s="264">
        <v>3.9</v>
      </c>
      <c r="I236" s="97">
        <v>66</v>
      </c>
      <c r="J236" s="230" cm="1">
        <f t="array" ref="J236">_xlfn.XLOOKUP($I236,Inputs!C$6:C$23,Inputs!$D$6:D$23)*$G236</f>
        <v>2.4075000000000002</v>
      </c>
      <c r="K236" s="121"/>
      <c r="L236" s="121"/>
      <c r="M236" s="214">
        <v>1003.9</v>
      </c>
      <c r="N236" s="121"/>
      <c r="O236" s="214">
        <v>114.8</v>
      </c>
      <c r="P236" s="221">
        <f>Inputs!$Y$6</f>
        <v>0.9</v>
      </c>
      <c r="Q236" s="197">
        <f t="shared" si="21"/>
        <v>86.1</v>
      </c>
      <c r="R236" s="214">
        <f t="shared" si="22"/>
        <v>103.32</v>
      </c>
      <c r="S236" s="96" t="s">
        <v>637</v>
      </c>
      <c r="T236" s="37" t="s">
        <v>1027</v>
      </c>
      <c r="U236" s="96" t="s">
        <v>984</v>
      </c>
      <c r="V236" s="37" t="s">
        <v>1093</v>
      </c>
      <c r="W236" s="37"/>
      <c r="X236" s="17"/>
    </row>
    <row r="237" spans="1:24" ht="18">
      <c r="A237" s="3"/>
      <c r="B237" s="96" t="s">
        <v>458</v>
      </c>
      <c r="C237" s="98" t="s">
        <v>123</v>
      </c>
      <c r="D237" s="37" t="s">
        <v>1277</v>
      </c>
      <c r="E237" s="96">
        <v>1</v>
      </c>
      <c r="F237" s="96" t="s">
        <v>266</v>
      </c>
      <c r="G237" s="264">
        <v>5.3</v>
      </c>
      <c r="H237" s="264">
        <v>3.2</v>
      </c>
      <c r="I237" s="97">
        <v>66</v>
      </c>
      <c r="J237" s="230" cm="1">
        <f t="array" ref="J237">_xlfn.XLOOKUP($I237,Inputs!C$6:C$23,Inputs!$D$6:D$23)*$G237</f>
        <v>2.0253571428571431</v>
      </c>
      <c r="K237" s="121"/>
      <c r="L237" s="121"/>
      <c r="M237" s="214">
        <v>779.9</v>
      </c>
      <c r="N237" s="121"/>
      <c r="O237" s="214">
        <v>89.2</v>
      </c>
      <c r="P237" s="221">
        <f>Inputs!$Y$6</f>
        <v>0.9</v>
      </c>
      <c r="Q237" s="197">
        <f t="shared" si="21"/>
        <v>66.900000000000006</v>
      </c>
      <c r="R237" s="214">
        <f t="shared" si="22"/>
        <v>80.28</v>
      </c>
      <c r="S237" s="96" t="s">
        <v>637</v>
      </c>
      <c r="T237" s="37" t="s">
        <v>1027</v>
      </c>
      <c r="U237" s="96" t="s">
        <v>711</v>
      </c>
      <c r="V237" s="37" t="s">
        <v>1096</v>
      </c>
      <c r="W237" s="194"/>
      <c r="X237" s="17"/>
    </row>
    <row r="238" spans="1:24" ht="18">
      <c r="A238" s="3"/>
      <c r="B238" s="96" t="s">
        <v>304</v>
      </c>
      <c r="C238" s="98" t="s">
        <v>123</v>
      </c>
      <c r="D238" s="37" t="s">
        <v>1277</v>
      </c>
      <c r="E238" s="96">
        <v>1</v>
      </c>
      <c r="F238" s="96" t="s">
        <v>266</v>
      </c>
      <c r="G238" s="264">
        <v>17.600000000000001</v>
      </c>
      <c r="H238" s="264">
        <v>10.9</v>
      </c>
      <c r="I238" s="97">
        <v>66</v>
      </c>
      <c r="J238" s="230" cm="1">
        <f t="array" ref="J238">_xlfn.XLOOKUP($I238,Inputs!C$6:C$23,Inputs!$D$6:D$23)*$G238</f>
        <v>6.7257142857142869</v>
      </c>
      <c r="K238" s="121"/>
      <c r="L238" s="121"/>
      <c r="M238" s="214">
        <v>550.4</v>
      </c>
      <c r="N238" s="121"/>
      <c r="O238" s="214">
        <v>62.9</v>
      </c>
      <c r="P238" s="221">
        <f>Inputs!$Y$6</f>
        <v>0.9</v>
      </c>
      <c r="Q238" s="197">
        <f t="shared" si="21"/>
        <v>47.175000000000004</v>
      </c>
      <c r="R238" s="214">
        <f t="shared" si="22"/>
        <v>56.61</v>
      </c>
      <c r="S238" s="96" t="s">
        <v>666</v>
      </c>
      <c r="T238" s="37" t="s">
        <v>1055</v>
      </c>
      <c r="U238" s="96" t="s">
        <v>722</v>
      </c>
      <c r="V238" s="37" t="s">
        <v>1104</v>
      </c>
      <c r="W238" s="37"/>
      <c r="X238" s="17"/>
    </row>
    <row r="239" spans="1:24" ht="18">
      <c r="A239" s="3"/>
      <c r="B239" s="96" t="s">
        <v>300</v>
      </c>
      <c r="C239" s="98" t="s">
        <v>123</v>
      </c>
      <c r="D239" s="37" t="s">
        <v>1277</v>
      </c>
      <c r="E239" s="96">
        <v>1</v>
      </c>
      <c r="F239" s="96" t="s">
        <v>266</v>
      </c>
      <c r="G239" s="264">
        <v>19</v>
      </c>
      <c r="H239" s="264">
        <v>11.7</v>
      </c>
      <c r="I239" s="97">
        <v>66</v>
      </c>
      <c r="J239" s="230" cm="1">
        <f t="array" ref="J239">_xlfn.XLOOKUP($I239,Inputs!C$6:C$23,Inputs!$D$6:D$23)*$G239</f>
        <v>7.2607142857142861</v>
      </c>
      <c r="K239" s="121"/>
      <c r="L239" s="121"/>
      <c r="M239" s="214">
        <v>712.7</v>
      </c>
      <c r="N239" s="121"/>
      <c r="O239" s="214">
        <v>81.5</v>
      </c>
      <c r="P239" s="221">
        <f>Inputs!$Y$6</f>
        <v>0.9</v>
      </c>
      <c r="Q239" s="197">
        <f t="shared" si="21"/>
        <v>61.125000000000007</v>
      </c>
      <c r="R239" s="214">
        <f t="shared" si="22"/>
        <v>73.350000000000009</v>
      </c>
      <c r="S239" s="96" t="s">
        <v>663</v>
      </c>
      <c r="T239" s="37" t="s">
        <v>1250</v>
      </c>
      <c r="U239" s="96" t="s">
        <v>660</v>
      </c>
      <c r="V239" s="37" t="s">
        <v>1235</v>
      </c>
      <c r="W239" s="194"/>
      <c r="X239" s="17"/>
    </row>
    <row r="240" spans="1:24" ht="18">
      <c r="A240" s="3"/>
      <c r="B240" s="96" t="s">
        <v>472</v>
      </c>
      <c r="C240" s="98" t="s">
        <v>123</v>
      </c>
      <c r="D240" s="37" t="s">
        <v>1277</v>
      </c>
      <c r="E240" s="96">
        <v>1</v>
      </c>
      <c r="F240" s="96" t="s">
        <v>266</v>
      </c>
      <c r="G240" s="264">
        <v>17.600000000000001</v>
      </c>
      <c r="H240" s="264">
        <v>10.9</v>
      </c>
      <c r="I240" s="97">
        <v>66</v>
      </c>
      <c r="J240" s="230" cm="1">
        <f t="array" ref="J240">_xlfn.XLOOKUP($I240,Inputs!C$6:C$23,Inputs!$D$6:D$23)*$G240</f>
        <v>6.7257142857142869</v>
      </c>
      <c r="K240" s="121"/>
      <c r="L240" s="121"/>
      <c r="M240" s="214">
        <v>550.4</v>
      </c>
      <c r="N240" s="121"/>
      <c r="O240" s="214">
        <v>62.9</v>
      </c>
      <c r="P240" s="221">
        <f>Inputs!$Y$6</f>
        <v>0.9</v>
      </c>
      <c r="Q240" s="197">
        <f t="shared" si="21"/>
        <v>47.175000000000004</v>
      </c>
      <c r="R240" s="214">
        <f t="shared" si="22"/>
        <v>56.61</v>
      </c>
      <c r="S240" s="96" t="s">
        <v>641</v>
      </c>
      <c r="T240" s="37" t="s">
        <v>1029</v>
      </c>
      <c r="U240" s="96" t="s">
        <v>636</v>
      </c>
      <c r="V240" s="37" t="s">
        <v>1024</v>
      </c>
      <c r="W240" s="37"/>
      <c r="X240" s="17"/>
    </row>
    <row r="241" spans="1:24" ht="18">
      <c r="A241" s="3"/>
      <c r="B241" s="79" t="s">
        <v>205</v>
      </c>
      <c r="C241" s="78" t="s">
        <v>101</v>
      </c>
      <c r="D241" s="37" t="s">
        <v>1277</v>
      </c>
      <c r="E241" s="79">
        <v>1</v>
      </c>
      <c r="F241" s="79" t="s">
        <v>266</v>
      </c>
      <c r="G241" s="264">
        <v>104.7</v>
      </c>
      <c r="H241" s="264">
        <v>64.599999999999994</v>
      </c>
      <c r="I241" s="81">
        <v>230</v>
      </c>
      <c r="J241" s="230" cm="1">
        <f t="array" ref="J241">_xlfn.XLOOKUP($I241,Inputs!C$6:C$23,Inputs!$D$6:D$23)*$G241</f>
        <v>50.256</v>
      </c>
      <c r="K241" s="121"/>
      <c r="L241" s="121"/>
      <c r="M241" s="197"/>
      <c r="N241" s="121"/>
      <c r="O241" s="267">
        <v>322.2</v>
      </c>
      <c r="P241" s="221">
        <f>Inputs!$Y$6</f>
        <v>0.9</v>
      </c>
      <c r="Q241" s="197">
        <f t="shared" si="21"/>
        <v>241.65000000000003</v>
      </c>
      <c r="R241" s="267">
        <f t="shared" si="22"/>
        <v>289.98</v>
      </c>
      <c r="S241" s="165" t="s">
        <v>641</v>
      </c>
      <c r="T241" s="37" t="s">
        <v>1029</v>
      </c>
      <c r="U241" s="165" t="s">
        <v>620</v>
      </c>
      <c r="V241" s="37" t="s">
        <v>1237</v>
      </c>
      <c r="W241" s="194"/>
      <c r="X241" s="17"/>
    </row>
    <row r="242" spans="1:24" s="114" customFormat="1" ht="18">
      <c r="A242" s="3"/>
      <c r="B242" s="79" t="s">
        <v>212</v>
      </c>
      <c r="C242" s="78" t="s">
        <v>147</v>
      </c>
      <c r="D242" s="37" t="s">
        <v>1277</v>
      </c>
      <c r="E242" s="79">
        <v>1</v>
      </c>
      <c r="F242" s="79" t="s">
        <v>266</v>
      </c>
      <c r="G242" s="264">
        <v>23.3</v>
      </c>
      <c r="H242" s="264">
        <v>14.4</v>
      </c>
      <c r="I242" s="81">
        <v>230</v>
      </c>
      <c r="J242" s="230" cm="1">
        <f t="array" ref="J242">_xlfn.XLOOKUP($I242,Inputs!C$6:C$23,Inputs!$D$6:D$23)*$G242</f>
        <v>11.183999999999999</v>
      </c>
      <c r="K242" s="121"/>
      <c r="L242" s="121"/>
      <c r="M242" s="197"/>
      <c r="N242" s="121"/>
      <c r="O242" s="267">
        <v>369.5</v>
      </c>
      <c r="P242" s="221">
        <f>Inputs!$Y$6</f>
        <v>0.9</v>
      </c>
      <c r="Q242" s="197">
        <f t="shared" si="21"/>
        <v>277.125</v>
      </c>
      <c r="R242" s="267">
        <f t="shared" si="22"/>
        <v>332.55</v>
      </c>
      <c r="S242" s="165" t="s">
        <v>641</v>
      </c>
      <c r="T242" s="37" t="s">
        <v>1029</v>
      </c>
      <c r="U242" s="165" t="s">
        <v>726</v>
      </c>
      <c r="V242" s="37" t="s">
        <v>1219</v>
      </c>
      <c r="W242" s="194"/>
      <c r="X242" s="17"/>
    </row>
    <row r="243" spans="1:24" ht="18">
      <c r="A243" s="3"/>
      <c r="B243" s="130" t="s">
        <v>219</v>
      </c>
      <c r="C243" s="129" t="s">
        <v>101</v>
      </c>
      <c r="D243" s="37" t="s">
        <v>1277</v>
      </c>
      <c r="E243" s="130">
        <v>1</v>
      </c>
      <c r="F243" s="130" t="s">
        <v>266</v>
      </c>
      <c r="G243" s="264">
        <v>69.8</v>
      </c>
      <c r="H243" s="264">
        <v>43.1</v>
      </c>
      <c r="I243" s="131">
        <v>230</v>
      </c>
      <c r="J243" s="230" cm="1">
        <f t="array" ref="J243">_xlfn.XLOOKUP($I243,Inputs!C$6:C$23,Inputs!$D$6:D$23)*$G243</f>
        <v>33.503999999999998</v>
      </c>
      <c r="K243" s="121"/>
      <c r="L243" s="121"/>
      <c r="M243" s="197"/>
      <c r="N243" s="121"/>
      <c r="O243" s="267">
        <v>453.9</v>
      </c>
      <c r="P243" s="221">
        <f>Inputs!$Y$6</f>
        <v>0.9</v>
      </c>
      <c r="Q243" s="197">
        <f t="shared" si="21"/>
        <v>340.42500000000001</v>
      </c>
      <c r="R243" s="267">
        <f t="shared" si="22"/>
        <v>408.51</v>
      </c>
      <c r="S243" s="130" t="s">
        <v>641</v>
      </c>
      <c r="T243" s="37" t="s">
        <v>1029</v>
      </c>
      <c r="U243" s="130" t="s">
        <v>800</v>
      </c>
      <c r="V243" s="37" t="s">
        <v>1129</v>
      </c>
      <c r="W243" s="194"/>
      <c r="X243" s="17"/>
    </row>
    <row r="244" spans="1:24" ht="18">
      <c r="A244" s="3"/>
      <c r="B244" s="96" t="s">
        <v>311</v>
      </c>
      <c r="C244" s="98" t="s">
        <v>123</v>
      </c>
      <c r="D244" s="37" t="s">
        <v>1277</v>
      </c>
      <c r="E244" s="96">
        <v>1</v>
      </c>
      <c r="F244" s="96" t="s">
        <v>266</v>
      </c>
      <c r="G244" s="264">
        <v>5</v>
      </c>
      <c r="H244" s="264">
        <v>3.1</v>
      </c>
      <c r="I244" s="97">
        <v>66</v>
      </c>
      <c r="J244" s="230" cm="1">
        <f t="array" ref="J244">_xlfn.XLOOKUP($I244,Inputs!C$6:C$23,Inputs!$D$6:D$23)*$G244</f>
        <v>1.9107142857142858</v>
      </c>
      <c r="K244" s="121"/>
      <c r="L244" s="121"/>
      <c r="M244" s="214">
        <v>779.9</v>
      </c>
      <c r="N244" s="121"/>
      <c r="O244" s="214">
        <v>89.2</v>
      </c>
      <c r="P244" s="221">
        <f>Inputs!$Y$6</f>
        <v>0.9</v>
      </c>
      <c r="Q244" s="197">
        <f t="shared" si="21"/>
        <v>66.900000000000006</v>
      </c>
      <c r="R244" s="214">
        <f t="shared" si="22"/>
        <v>80.28</v>
      </c>
      <c r="S244" s="96" t="s">
        <v>887</v>
      </c>
      <c r="T244" s="37" t="s">
        <v>888</v>
      </c>
      <c r="U244" s="96" t="s">
        <v>979</v>
      </c>
      <c r="V244" s="37" t="s">
        <v>1059</v>
      </c>
      <c r="W244" s="37"/>
      <c r="X244" s="17"/>
    </row>
    <row r="245" spans="1:24" s="114" customFormat="1" ht="18">
      <c r="A245" s="3"/>
      <c r="B245" s="96" t="s">
        <v>314</v>
      </c>
      <c r="C245" s="98" t="s">
        <v>123</v>
      </c>
      <c r="D245" s="37" t="s">
        <v>1277</v>
      </c>
      <c r="E245" s="96">
        <v>1</v>
      </c>
      <c r="F245" s="96" t="s">
        <v>266</v>
      </c>
      <c r="G245" s="264">
        <v>8</v>
      </c>
      <c r="H245" s="264">
        <v>4.9000000000000004</v>
      </c>
      <c r="I245" s="97">
        <v>66</v>
      </c>
      <c r="J245" s="230" cm="1">
        <f t="array" ref="J245">_xlfn.XLOOKUP($I245,Inputs!C$6:C$23,Inputs!$D$6:D$23)*$G245</f>
        <v>3.0571428571428574</v>
      </c>
      <c r="K245" s="121"/>
      <c r="L245" s="121"/>
      <c r="M245" s="214">
        <v>550.4</v>
      </c>
      <c r="N245" s="121"/>
      <c r="O245" s="214">
        <v>62.9</v>
      </c>
      <c r="P245" s="221">
        <f>Inputs!$Y$6</f>
        <v>0.9</v>
      </c>
      <c r="Q245" s="197">
        <f t="shared" si="21"/>
        <v>47.175000000000004</v>
      </c>
      <c r="R245" s="214">
        <f t="shared" si="22"/>
        <v>56.61</v>
      </c>
      <c r="S245" s="96" t="s">
        <v>887</v>
      </c>
      <c r="T245" s="37" t="s">
        <v>888</v>
      </c>
      <c r="U245" s="96" t="s">
        <v>672</v>
      </c>
      <c r="V245" s="37" t="s">
        <v>1106</v>
      </c>
      <c r="W245" s="37"/>
      <c r="X245" s="17"/>
    </row>
    <row r="246" spans="1:24" ht="18">
      <c r="A246" s="3"/>
      <c r="B246" s="79" t="s">
        <v>228</v>
      </c>
      <c r="C246" s="78" t="s">
        <v>101</v>
      </c>
      <c r="D246" s="37" t="s">
        <v>1277</v>
      </c>
      <c r="E246" s="79">
        <v>1</v>
      </c>
      <c r="F246" s="79" t="s">
        <v>266</v>
      </c>
      <c r="G246" s="264">
        <v>30</v>
      </c>
      <c r="H246" s="264">
        <v>18.5</v>
      </c>
      <c r="I246" s="81">
        <v>66</v>
      </c>
      <c r="J246" s="230" cm="1">
        <f t="array" ref="J246">_xlfn.XLOOKUP($I246,Inputs!C$6:C$23,Inputs!$D$6:D$23)*$G246</f>
        <v>11.464285714285715</v>
      </c>
      <c r="K246" s="121"/>
      <c r="L246" s="121"/>
      <c r="M246" s="197"/>
      <c r="N246" s="121"/>
      <c r="O246" s="267">
        <v>53.8</v>
      </c>
      <c r="P246" s="221">
        <f>Inputs!$Y$6</f>
        <v>0.9</v>
      </c>
      <c r="Q246" s="197">
        <f t="shared" si="21"/>
        <v>40.35</v>
      </c>
      <c r="R246" s="267">
        <f t="shared" si="22"/>
        <v>48.42</v>
      </c>
      <c r="S246" s="165" t="s">
        <v>689</v>
      </c>
      <c r="T246" s="37" t="s">
        <v>1077</v>
      </c>
      <c r="U246" s="165" t="s">
        <v>790</v>
      </c>
      <c r="V246" s="37" t="s">
        <v>1076</v>
      </c>
      <c r="W246" s="194"/>
      <c r="X246" s="17"/>
    </row>
    <row r="247" spans="1:24">
      <c r="C247" s="42"/>
      <c r="D247" s="102"/>
      <c r="F247" s="44"/>
      <c r="O247" s="114"/>
      <c r="P247" s="102"/>
      <c r="R247" s="114"/>
    </row>
    <row r="248" spans="1:24" s="195" customFormat="1" ht="18">
      <c r="A248" s="1" t="s">
        <v>919</v>
      </c>
      <c r="N248" s="242"/>
    </row>
    <row r="249" spans="1:24" s="195" customFormat="1" ht="18">
      <c r="A249" s="4" t="s">
        <v>1282</v>
      </c>
      <c r="N249" s="242"/>
    </row>
    <row r="250" spans="1:24" s="195" customFormat="1" ht="18">
      <c r="A250" s="4" t="s">
        <v>1224</v>
      </c>
      <c r="N250" s="242"/>
    </row>
    <row r="251" spans="1:24" s="195" customFormat="1" ht="18">
      <c r="A251" s="4" t="s">
        <v>1143</v>
      </c>
      <c r="N251" s="242"/>
    </row>
    <row r="252" spans="1:24" s="195" customFormat="1" ht="18">
      <c r="A252" s="4" t="s">
        <v>1140</v>
      </c>
      <c r="N252" s="242"/>
    </row>
    <row r="253" spans="1:24" s="195" customFormat="1" ht="18">
      <c r="A253" s="4" t="s">
        <v>1145</v>
      </c>
      <c r="N253" s="242"/>
    </row>
    <row r="254" spans="1:24" s="195" customFormat="1" ht="18">
      <c r="A254" s="4" t="s">
        <v>1283</v>
      </c>
      <c r="N254" s="242"/>
    </row>
    <row r="255" spans="1:24" s="195" customFormat="1" ht="18">
      <c r="A255" s="4" t="s">
        <v>1284</v>
      </c>
      <c r="N255" s="242"/>
    </row>
    <row r="256" spans="1:24" s="195" customFormat="1" ht="18">
      <c r="A256" s="4" t="s">
        <v>1144</v>
      </c>
      <c r="N256" s="242"/>
    </row>
    <row r="257" spans="1:23" s="195" customFormat="1" ht="18">
      <c r="A257" s="4" t="s">
        <v>920</v>
      </c>
      <c r="N257" s="242"/>
    </row>
    <row r="258" spans="1:23" s="195" customFormat="1" ht="18">
      <c r="A258" s="4" t="s">
        <v>1285</v>
      </c>
      <c r="I258" s="44"/>
      <c r="L258" s="44"/>
      <c r="M258" s="44"/>
      <c r="N258" s="44"/>
    </row>
    <row r="259" spans="1:23" s="195" customFormat="1" ht="18">
      <c r="A259" s="4" t="s">
        <v>1141</v>
      </c>
      <c r="N259" s="242"/>
    </row>
    <row r="260" spans="1:23" s="195" customFormat="1" ht="18">
      <c r="A260" s="4" t="s">
        <v>1286</v>
      </c>
      <c r="I260" s="44"/>
      <c r="L260" s="44"/>
      <c r="M260" s="44"/>
      <c r="N260" s="44"/>
    </row>
    <row r="261" spans="1:23" s="195" customFormat="1" ht="18">
      <c r="A261" s="4" t="s">
        <v>1142</v>
      </c>
      <c r="N261" s="242"/>
    </row>
    <row r="262" spans="1:23" s="114" customFormat="1">
      <c r="B262" s="44"/>
      <c r="C262" s="44"/>
      <c r="D262" s="166"/>
      <c r="E262" s="44"/>
      <c r="F262" s="44"/>
      <c r="G262" s="44"/>
      <c r="H262" s="44"/>
      <c r="I262" s="44"/>
      <c r="K262" s="102"/>
      <c r="L262" s="102"/>
      <c r="M262" s="44"/>
      <c r="N262" s="102"/>
    </row>
    <row r="263" spans="1:23" s="114" customFormat="1" ht="18">
      <c r="A263" s="148" t="s">
        <v>585</v>
      </c>
      <c r="B263" s="44"/>
      <c r="C263" s="43"/>
      <c r="D263" s="256"/>
      <c r="E263" s="45"/>
      <c r="F263" s="44"/>
      <c r="G263" s="44"/>
      <c r="H263" s="44"/>
      <c r="I263" s="44"/>
      <c r="J263" s="44"/>
      <c r="K263" s="166"/>
      <c r="L263" s="166"/>
      <c r="M263" s="44"/>
      <c r="N263" s="166"/>
      <c r="O263" s="44"/>
      <c r="P263" s="44"/>
      <c r="S263" s="44"/>
    </row>
    <row r="264" spans="1:23" s="114" customFormat="1" ht="18">
      <c r="A264" s="4" t="s">
        <v>964</v>
      </c>
      <c r="B264" s="44"/>
      <c r="C264" s="44"/>
      <c r="D264" s="166"/>
      <c r="E264" s="44"/>
      <c r="F264" s="44"/>
      <c r="G264" s="44"/>
      <c r="H264" s="44"/>
      <c r="I264" s="44"/>
      <c r="K264" s="102"/>
      <c r="L264" s="102"/>
      <c r="M264" s="44"/>
      <c r="N264" s="102"/>
      <c r="O264" s="44"/>
      <c r="S264" s="44"/>
    </row>
    <row r="265" spans="1:23" s="114" customFormat="1">
      <c r="B265" s="44"/>
      <c r="C265" s="43"/>
      <c r="D265" s="256"/>
      <c r="E265" s="43"/>
      <c r="F265" s="44"/>
      <c r="G265" s="45"/>
      <c r="H265" s="45"/>
      <c r="I265" s="44"/>
      <c r="J265" s="44"/>
      <c r="K265" s="166"/>
      <c r="L265" s="166"/>
      <c r="M265" s="44"/>
      <c r="N265" s="166"/>
    </row>
    <row r="266" spans="1:23" s="114" customFormat="1" ht="18">
      <c r="A266" s="148" t="s">
        <v>589</v>
      </c>
      <c r="B266" s="44"/>
      <c r="C266" s="43"/>
      <c r="D266" s="256"/>
      <c r="E266" s="45"/>
      <c r="F266" s="44"/>
      <c r="G266" s="44"/>
      <c r="H266" s="44"/>
      <c r="I266" s="44"/>
      <c r="J266" s="44"/>
      <c r="K266" s="166"/>
      <c r="L266" s="166"/>
      <c r="M266" s="44"/>
      <c r="N266" s="166"/>
      <c r="O266" s="44"/>
      <c r="P266" s="44"/>
      <c r="S266" s="44"/>
    </row>
    <row r="267" spans="1:23" s="114" customFormat="1" ht="18">
      <c r="A267" s="4" t="s">
        <v>893</v>
      </c>
      <c r="B267" s="44"/>
      <c r="D267" s="102"/>
      <c r="E267" s="44"/>
      <c r="F267" s="44"/>
      <c r="G267" s="45"/>
      <c r="H267" s="45"/>
      <c r="I267" s="44"/>
      <c r="J267" s="44"/>
      <c r="K267" s="166"/>
      <c r="L267" s="166"/>
      <c r="M267" s="195"/>
      <c r="N267" s="166"/>
      <c r="P267" s="102"/>
      <c r="Q267" s="44"/>
      <c r="S267" s="44"/>
      <c r="T267" s="102"/>
      <c r="U267" s="44"/>
      <c r="V267" s="102"/>
      <c r="W267" s="102"/>
    </row>
    <row r="268" spans="1:23" s="114" customFormat="1">
      <c r="B268" s="44"/>
      <c r="C268" s="44"/>
      <c r="D268" s="166"/>
      <c r="E268" s="44"/>
      <c r="F268" s="43"/>
      <c r="G268" s="45"/>
      <c r="H268" s="45"/>
      <c r="I268" s="44"/>
      <c r="J268" s="44"/>
      <c r="K268" s="166"/>
      <c r="L268" s="166"/>
      <c r="M268" s="44"/>
      <c r="N268" s="166"/>
      <c r="O268" s="44"/>
      <c r="P268" s="44"/>
      <c r="Q268" s="44"/>
      <c r="R268" s="44"/>
      <c r="S268" s="45"/>
    </row>
    <row r="269" spans="1:23" s="114" customFormat="1">
      <c r="B269" s="44"/>
      <c r="C269" s="44"/>
      <c r="D269" s="166"/>
      <c r="E269" s="44"/>
      <c r="F269" s="43"/>
      <c r="G269" s="45"/>
      <c r="H269" s="45"/>
      <c r="I269" s="44"/>
      <c r="J269" s="44"/>
      <c r="K269" s="166"/>
      <c r="L269" s="166"/>
      <c r="M269" s="44"/>
      <c r="N269" s="166"/>
      <c r="O269" s="44"/>
      <c r="P269" s="44"/>
      <c r="Q269" s="44"/>
      <c r="R269" s="44"/>
      <c r="S269" s="45"/>
    </row>
    <row r="270" spans="1:23" s="114" customFormat="1">
      <c r="B270" s="44"/>
      <c r="C270" s="44"/>
      <c r="D270" s="166"/>
      <c r="E270" s="44"/>
      <c r="F270" s="43"/>
      <c r="G270" s="45"/>
      <c r="H270" s="45"/>
      <c r="I270" s="44"/>
      <c r="J270" s="44"/>
      <c r="K270" s="166"/>
      <c r="L270" s="166"/>
      <c r="M270" s="44"/>
      <c r="N270" s="166"/>
      <c r="O270" s="44"/>
      <c r="P270" s="44"/>
      <c r="Q270" s="44"/>
      <c r="R270" s="44"/>
      <c r="S270" s="45"/>
    </row>
    <row r="271" spans="1:23" s="114" customFormat="1">
      <c r="B271" s="44"/>
      <c r="C271" s="44"/>
      <c r="D271" s="166"/>
      <c r="E271" s="44"/>
      <c r="F271" s="43"/>
      <c r="G271" s="45"/>
      <c r="H271" s="45"/>
      <c r="I271" s="44"/>
      <c r="J271" s="44"/>
      <c r="K271" s="166"/>
      <c r="L271" s="166"/>
      <c r="M271" s="44"/>
      <c r="N271" s="166"/>
      <c r="O271" s="44"/>
      <c r="P271" s="44"/>
      <c r="Q271" s="44"/>
      <c r="R271" s="44"/>
      <c r="S271" s="45"/>
    </row>
    <row r="272" spans="1:23" s="114" customFormat="1">
      <c r="B272" s="44"/>
      <c r="C272" s="44"/>
      <c r="D272" s="166"/>
      <c r="E272" s="44"/>
      <c r="F272" s="43"/>
      <c r="G272" s="45"/>
      <c r="H272" s="45"/>
      <c r="I272" s="44"/>
      <c r="J272" s="44"/>
      <c r="K272" s="166"/>
      <c r="L272" s="166"/>
      <c r="M272" s="44"/>
      <c r="N272" s="166"/>
      <c r="O272" s="44"/>
      <c r="P272" s="44"/>
      <c r="Q272" s="44"/>
      <c r="R272" s="44"/>
      <c r="S272" s="45"/>
    </row>
    <row r="273" spans="2:19" s="114" customFormat="1">
      <c r="B273" s="44"/>
      <c r="C273" s="44"/>
      <c r="D273" s="166"/>
      <c r="E273" s="44"/>
      <c r="F273" s="43"/>
      <c r="G273" s="45"/>
      <c r="H273" s="45"/>
      <c r="I273" s="44"/>
      <c r="J273" s="44"/>
      <c r="K273" s="166"/>
      <c r="L273" s="166"/>
      <c r="M273" s="44"/>
      <c r="N273" s="166"/>
      <c r="O273" s="44"/>
      <c r="P273" s="44"/>
      <c r="Q273" s="44"/>
      <c r="R273" s="44"/>
      <c r="S273" s="45"/>
    </row>
    <row r="274" spans="2:19" s="114" customFormat="1">
      <c r="B274" s="44"/>
      <c r="C274" s="44"/>
      <c r="D274" s="166"/>
      <c r="E274" s="44"/>
      <c r="F274" s="43"/>
      <c r="G274" s="45"/>
      <c r="H274" s="45"/>
      <c r="I274" s="44"/>
      <c r="J274" s="44"/>
      <c r="K274" s="166"/>
      <c r="L274" s="166"/>
      <c r="M274" s="44"/>
      <c r="N274" s="166"/>
      <c r="O274" s="44"/>
      <c r="P274" s="44"/>
      <c r="Q274" s="44"/>
      <c r="R274" s="44"/>
      <c r="S274" s="45"/>
    </row>
  </sheetData>
  <autoFilter ref="B3:X4" xr:uid="{332D618A-755D-E547-94A7-0D8647CBBA01}">
    <sortState xmlns:xlrd2="http://schemas.microsoft.com/office/spreadsheetml/2017/richdata2" ref="B4:X246">
      <sortCondition ref="S3:S246"/>
    </sortState>
  </autoFilter>
  <phoneticPr fontId="35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651-E30F-D845-86C5-E4DF87E96F3A}">
  <dimension ref="A1:V474"/>
  <sheetViews>
    <sheetView workbookViewId="0">
      <pane ySplit="3" topLeftCell="A78" activePane="bottomLeft" state="frozen"/>
      <selection pane="bottomLeft" activeCell="D88" sqref="D1:D1048576"/>
    </sheetView>
  </sheetViews>
  <sheetFormatPr defaultColWidth="10.83203125" defaultRowHeight="15.7"/>
  <cols>
    <col min="1" max="1" width="4.83203125" style="195" customWidth="1"/>
    <col min="2" max="2" width="36" style="44" customWidth="1"/>
    <col min="3" max="3" width="24.83203125" style="102" customWidth="1"/>
    <col min="4" max="6" width="24" style="195" customWidth="1"/>
    <col min="7" max="7" width="20.6640625" style="195" customWidth="1"/>
    <col min="8" max="8" width="30.83203125" style="195" customWidth="1"/>
    <col min="9" max="9" width="40.83203125" style="195" customWidth="1"/>
    <col min="10" max="16384" width="10.83203125" style="195"/>
  </cols>
  <sheetData>
    <row r="1" spans="1:18" s="4" customFormat="1" ht="20.7">
      <c r="A1" s="51" t="s">
        <v>97</v>
      </c>
      <c r="B1" s="18" t="s">
        <v>1139</v>
      </c>
      <c r="C1" s="102"/>
      <c r="D1" s="114"/>
      <c r="E1" s="114"/>
      <c r="F1" s="114"/>
      <c r="G1" s="45"/>
      <c r="H1" s="45"/>
      <c r="I1" s="45"/>
      <c r="J1" s="44"/>
      <c r="K1" s="44"/>
      <c r="L1" s="44"/>
      <c r="M1" s="44"/>
      <c r="N1" s="44"/>
      <c r="O1" s="114"/>
      <c r="P1" s="114"/>
      <c r="Q1" s="44"/>
      <c r="R1" s="114"/>
    </row>
    <row r="2" spans="1:18" s="39" customFormat="1" ht="18">
      <c r="B2" s="19" t="s">
        <v>1226</v>
      </c>
      <c r="C2" s="19" t="s">
        <v>1227</v>
      </c>
      <c r="D2" s="19" t="s">
        <v>13</v>
      </c>
      <c r="E2" s="19" t="s">
        <v>14</v>
      </c>
      <c r="F2" s="19" t="s">
        <v>15</v>
      </c>
      <c r="G2" s="19" t="s">
        <v>1276</v>
      </c>
      <c r="H2" s="19" t="s">
        <v>904</v>
      </c>
      <c r="I2" s="19" t="s">
        <v>47</v>
      </c>
    </row>
    <row r="3" spans="1:18" s="220" customFormat="1" ht="18">
      <c r="B3" s="63"/>
      <c r="C3" s="63"/>
      <c r="D3" s="63"/>
      <c r="E3" s="63"/>
      <c r="F3" s="63"/>
      <c r="G3" s="63"/>
      <c r="H3" s="63"/>
      <c r="I3" s="63"/>
    </row>
    <row r="4" spans="1:18" s="39" customFormat="1" ht="18">
      <c r="B4" s="96" t="s">
        <v>804</v>
      </c>
      <c r="C4" s="37" t="s">
        <v>1063</v>
      </c>
      <c r="D4" s="37" t="s">
        <v>123</v>
      </c>
      <c r="E4" s="265">
        <v>48.5340371793774</v>
      </c>
      <c r="F4" s="265">
        <v>-58.921650470759097</v>
      </c>
      <c r="G4" s="37" t="s">
        <v>1277</v>
      </c>
      <c r="H4" s="17"/>
      <c r="I4" s="17"/>
    </row>
    <row r="5" spans="1:18" s="39" customFormat="1" ht="18">
      <c r="B5" s="96" t="s">
        <v>654</v>
      </c>
      <c r="C5" s="37" t="s">
        <v>843</v>
      </c>
      <c r="D5" s="37" t="s">
        <v>123</v>
      </c>
      <c r="E5" s="265">
        <v>48.675699898715301</v>
      </c>
      <c r="F5" s="265">
        <v>-54.107140467454002</v>
      </c>
      <c r="G5" s="37" t="s">
        <v>1277</v>
      </c>
      <c r="H5" s="17"/>
      <c r="I5" s="17"/>
    </row>
    <row r="6" spans="1:18" ht="20" customHeight="1">
      <c r="B6" s="96" t="s">
        <v>669</v>
      </c>
      <c r="C6" s="37" t="s">
        <v>1058</v>
      </c>
      <c r="D6" s="37" t="s">
        <v>123</v>
      </c>
      <c r="E6" s="265">
        <v>49.438752761855397</v>
      </c>
      <c r="F6" s="265">
        <v>-56.470994246817497</v>
      </c>
      <c r="G6" s="37" t="s">
        <v>1277</v>
      </c>
      <c r="H6" s="17"/>
      <c r="I6" s="17"/>
    </row>
    <row r="7" spans="1:18" ht="20" customHeight="1">
      <c r="B7" s="165" t="s">
        <v>727</v>
      </c>
      <c r="C7" s="37" t="s">
        <v>1111</v>
      </c>
      <c r="D7" s="37" t="s">
        <v>101</v>
      </c>
      <c r="E7" s="265">
        <v>47.684366448482201</v>
      </c>
      <c r="F7" s="265">
        <v>-55.613028419631</v>
      </c>
      <c r="G7" s="37" t="s">
        <v>1277</v>
      </c>
      <c r="H7" s="17"/>
      <c r="I7" s="17"/>
    </row>
    <row r="8" spans="1:18" ht="20" customHeight="1">
      <c r="B8" s="165" t="s">
        <v>677</v>
      </c>
      <c r="C8" s="37" t="s">
        <v>987</v>
      </c>
      <c r="D8" s="37" t="s">
        <v>101</v>
      </c>
      <c r="E8" s="265">
        <v>47.990138299999998</v>
      </c>
      <c r="F8" s="265">
        <v>-55.799748100000002</v>
      </c>
      <c r="G8" s="37" t="s">
        <v>1277</v>
      </c>
      <c r="H8" s="17"/>
      <c r="I8" s="17"/>
    </row>
    <row r="9" spans="1:18" ht="20" customHeight="1">
      <c r="B9" s="165" t="s">
        <v>680</v>
      </c>
      <c r="C9" s="37" t="s">
        <v>1068</v>
      </c>
      <c r="D9" s="37" t="s">
        <v>123</v>
      </c>
      <c r="E9" s="265">
        <v>47.416440501887799</v>
      </c>
      <c r="F9" s="265">
        <v>-54.883041971155102</v>
      </c>
      <c r="G9" s="37" t="s">
        <v>1277</v>
      </c>
      <c r="H9" s="17"/>
      <c r="I9" s="17"/>
    </row>
    <row r="10" spans="1:18" ht="20" customHeight="1">
      <c r="B10" s="96" t="s">
        <v>632</v>
      </c>
      <c r="C10" s="37" t="s">
        <v>1020</v>
      </c>
      <c r="D10" s="37" t="s">
        <v>123</v>
      </c>
      <c r="E10" s="265">
        <v>47.588727989703401</v>
      </c>
      <c r="F10" s="265">
        <v>-53.283180824180597</v>
      </c>
      <c r="G10" s="37" t="s">
        <v>1277</v>
      </c>
      <c r="H10" s="17"/>
      <c r="I10" s="17"/>
    </row>
    <row r="11" spans="1:18" ht="20" customHeight="1">
      <c r="B11" s="96" t="s">
        <v>667</v>
      </c>
      <c r="C11" s="37" t="s">
        <v>1056</v>
      </c>
      <c r="D11" s="37" t="s">
        <v>123</v>
      </c>
      <c r="E11" s="265">
        <v>48.954636433843</v>
      </c>
      <c r="F11" s="265">
        <v>-57.912095405746904</v>
      </c>
      <c r="G11" s="37" t="s">
        <v>1277</v>
      </c>
      <c r="H11" s="17"/>
      <c r="I11" s="17"/>
    </row>
    <row r="12" spans="1:18" ht="20" customHeight="1">
      <c r="B12" s="165" t="s">
        <v>982</v>
      </c>
      <c r="C12" s="37" t="s">
        <v>1084</v>
      </c>
      <c r="D12" s="37" t="s">
        <v>101</v>
      </c>
      <c r="E12" s="265">
        <v>51.2736671471962</v>
      </c>
      <c r="F12" s="265">
        <v>-56.739434852561402</v>
      </c>
      <c r="G12" s="37" t="s">
        <v>1277</v>
      </c>
      <c r="H12" s="17"/>
      <c r="I12" s="17"/>
    </row>
    <row r="13" spans="1:18" ht="20" customHeight="1">
      <c r="B13" s="96" t="s">
        <v>674</v>
      </c>
      <c r="C13" s="37" t="s">
        <v>1062</v>
      </c>
      <c r="D13" s="37" t="s">
        <v>123</v>
      </c>
      <c r="E13" s="265">
        <v>48.556538109001998</v>
      </c>
      <c r="F13" s="265">
        <v>-58.691119427098101</v>
      </c>
      <c r="G13" s="37" t="s">
        <v>1277</v>
      </c>
      <c r="H13" s="17"/>
      <c r="I13" s="17"/>
    </row>
    <row r="14" spans="1:18" ht="20" customHeight="1">
      <c r="B14" s="165" t="s">
        <v>688</v>
      </c>
      <c r="C14" s="37" t="s">
        <v>1081</v>
      </c>
      <c r="D14" s="37" t="s">
        <v>101</v>
      </c>
      <c r="E14" s="265">
        <v>49.613039665178597</v>
      </c>
      <c r="F14" s="265">
        <v>-57.921311201967903</v>
      </c>
      <c r="G14" s="37" t="s">
        <v>1277</v>
      </c>
      <c r="H14" s="17"/>
      <c r="I14" s="17"/>
    </row>
    <row r="15" spans="1:18" ht="20" customHeight="1">
      <c r="B15" s="96" t="s">
        <v>626</v>
      </c>
      <c r="C15" s="37" t="s">
        <v>1012</v>
      </c>
      <c r="D15" s="37" t="s">
        <v>123</v>
      </c>
      <c r="E15" s="265">
        <v>47.416962096772103</v>
      </c>
      <c r="F15" s="265">
        <v>-52.767215058495204</v>
      </c>
      <c r="G15" s="37" t="s">
        <v>1277</v>
      </c>
      <c r="H15" s="17"/>
      <c r="I15" s="17"/>
    </row>
    <row r="16" spans="1:18" ht="20" customHeight="1">
      <c r="B16" s="96" t="s">
        <v>656</v>
      </c>
      <c r="C16" s="37" t="s">
        <v>1228</v>
      </c>
      <c r="D16" s="37" t="s">
        <v>123</v>
      </c>
      <c r="E16" s="265">
        <v>49.014748319244802</v>
      </c>
      <c r="F16" s="265">
        <v>-55.500179565367098</v>
      </c>
      <c r="G16" s="37" t="s">
        <v>1277</v>
      </c>
      <c r="H16" s="17"/>
      <c r="I16" s="17"/>
    </row>
    <row r="17" spans="2:9" ht="20" customHeight="1">
      <c r="B17" s="96" t="s">
        <v>636</v>
      </c>
      <c r="C17" s="37" t="s">
        <v>1024</v>
      </c>
      <c r="D17" s="37" t="s">
        <v>123</v>
      </c>
      <c r="E17" s="265">
        <v>47.447882100897203</v>
      </c>
      <c r="F17" s="265">
        <v>-53.5343789907214</v>
      </c>
      <c r="G17" s="37" t="s">
        <v>1277</v>
      </c>
      <c r="H17" s="17"/>
      <c r="I17" s="17"/>
    </row>
    <row r="18" spans="2:9" ht="20" customHeight="1">
      <c r="B18" s="96" t="s">
        <v>718</v>
      </c>
      <c r="C18" s="37" t="s">
        <v>1100</v>
      </c>
      <c r="D18" s="37" t="s">
        <v>123</v>
      </c>
      <c r="E18" s="265">
        <v>48.638883734459299</v>
      </c>
      <c r="F18" s="265">
        <v>-53.102473462352499</v>
      </c>
      <c r="G18" s="37" t="s">
        <v>1277</v>
      </c>
      <c r="H18" s="17"/>
      <c r="I18" s="17"/>
    </row>
    <row r="19" spans="2:9" ht="20" customHeight="1">
      <c r="B19" s="96" t="s">
        <v>616</v>
      </c>
      <c r="C19" s="37" t="s">
        <v>1006</v>
      </c>
      <c r="D19" s="37" t="s">
        <v>855</v>
      </c>
      <c r="E19" s="265">
        <v>48.530301820172802</v>
      </c>
      <c r="F19" s="265">
        <v>-58.257046602937997</v>
      </c>
      <c r="G19" s="37" t="s">
        <v>1277</v>
      </c>
      <c r="H19" s="17"/>
      <c r="I19" s="17"/>
    </row>
    <row r="20" spans="2:9" ht="20" customHeight="1">
      <c r="B20" s="165" t="s">
        <v>737</v>
      </c>
      <c r="C20" s="37" t="s">
        <v>1117</v>
      </c>
      <c r="D20" s="37" t="s">
        <v>101</v>
      </c>
      <c r="E20" s="265">
        <v>49.894701191677299</v>
      </c>
      <c r="F20" s="265">
        <v>-55.783060037509102</v>
      </c>
      <c r="G20" s="37" t="s">
        <v>1277</v>
      </c>
      <c r="H20" s="17"/>
      <c r="I20" s="17"/>
    </row>
    <row r="21" spans="2:9" ht="20" customHeight="1">
      <c r="B21" s="96" t="s">
        <v>720</v>
      </c>
      <c r="C21" s="37" t="s">
        <v>1102</v>
      </c>
      <c r="D21" s="37" t="s">
        <v>123</v>
      </c>
      <c r="E21" s="265">
        <v>49.138082712173897</v>
      </c>
      <c r="F21" s="265">
        <v>-55.363377580975602</v>
      </c>
      <c r="G21" s="37" t="s">
        <v>1277</v>
      </c>
      <c r="H21" s="17"/>
      <c r="I21" s="17"/>
    </row>
    <row r="22" spans="2:9" ht="20" customHeight="1">
      <c r="B22" s="96" t="s">
        <v>698</v>
      </c>
      <c r="C22" s="37" t="s">
        <v>1041</v>
      </c>
      <c r="D22" s="37" t="s">
        <v>123</v>
      </c>
      <c r="E22" s="265">
        <v>49.441346398502098</v>
      </c>
      <c r="F22" s="265">
        <v>-54.616794262459102</v>
      </c>
      <c r="G22" s="37" t="s">
        <v>1277</v>
      </c>
      <c r="H22" s="17"/>
      <c r="I22" s="17"/>
    </row>
    <row r="23" spans="2:9" ht="20" customHeight="1">
      <c r="B23" s="96" t="s">
        <v>706</v>
      </c>
      <c r="C23" s="37" t="s">
        <v>1091</v>
      </c>
      <c r="D23" s="37" t="s">
        <v>123</v>
      </c>
      <c r="E23" s="265">
        <v>47.5924518788526</v>
      </c>
      <c r="F23" s="265">
        <v>-52.883562437877202</v>
      </c>
      <c r="G23" s="37" t="s">
        <v>1277</v>
      </c>
      <c r="H23" s="17"/>
      <c r="I23" s="17"/>
    </row>
    <row r="24" spans="2:9" ht="20" customHeight="1">
      <c r="B24" s="165" t="s">
        <v>678</v>
      </c>
      <c r="C24" s="37" t="s">
        <v>1229</v>
      </c>
      <c r="D24" s="37" t="s">
        <v>855</v>
      </c>
      <c r="E24" s="265">
        <v>48.813981820016203</v>
      </c>
      <c r="F24" s="265">
        <v>-56.792303315420497</v>
      </c>
      <c r="G24" s="37" t="s">
        <v>1277</v>
      </c>
      <c r="H24" s="17"/>
      <c r="I24" s="17"/>
    </row>
    <row r="25" spans="2:9" ht="20" customHeight="1">
      <c r="B25" s="96" t="s">
        <v>639</v>
      </c>
      <c r="C25" s="37" t="s">
        <v>1230</v>
      </c>
      <c r="D25" s="37" t="s">
        <v>123</v>
      </c>
      <c r="E25" s="265">
        <v>47.0958623</v>
      </c>
      <c r="F25" s="265">
        <v>-52.9371814</v>
      </c>
      <c r="G25" s="37" t="s">
        <v>1277</v>
      </c>
      <c r="H25" s="17"/>
      <c r="I25" s="17"/>
    </row>
    <row r="26" spans="2:9" ht="20" customHeight="1">
      <c r="B26" s="96" t="s">
        <v>630</v>
      </c>
      <c r="C26" s="37" t="s">
        <v>1019</v>
      </c>
      <c r="D26" s="37" t="s">
        <v>123</v>
      </c>
      <c r="E26" s="265">
        <v>47.730105040378497</v>
      </c>
      <c r="F26" s="265">
        <v>-53.243748231649199</v>
      </c>
      <c r="G26" s="37" t="s">
        <v>1277</v>
      </c>
      <c r="H26" s="17"/>
      <c r="I26" s="17"/>
    </row>
    <row r="27" spans="2:9" ht="20" customHeight="1">
      <c r="B27" s="165" t="s">
        <v>731</v>
      </c>
      <c r="C27" s="37" t="s">
        <v>988</v>
      </c>
      <c r="D27" s="37" t="s">
        <v>101</v>
      </c>
      <c r="E27" s="265">
        <v>50.025827100000001</v>
      </c>
      <c r="F27" s="265">
        <v>-56.7649598</v>
      </c>
      <c r="G27" s="37" t="s">
        <v>1277</v>
      </c>
      <c r="H27" s="17"/>
      <c r="I27" s="17"/>
    </row>
    <row r="28" spans="2:9" ht="20" customHeight="1">
      <c r="B28" s="96" t="s">
        <v>653</v>
      </c>
      <c r="C28" s="37" t="s">
        <v>1044</v>
      </c>
      <c r="D28" s="37" t="s">
        <v>123</v>
      </c>
      <c r="E28" s="265">
        <v>48.518268637309603</v>
      </c>
      <c r="F28" s="265">
        <v>-53.090125980526203</v>
      </c>
      <c r="G28" s="37" t="s">
        <v>1277</v>
      </c>
      <c r="H28" s="17"/>
      <c r="I28" s="17"/>
    </row>
    <row r="29" spans="2:9" ht="20" customHeight="1">
      <c r="B29" s="96" t="s">
        <v>633</v>
      </c>
      <c r="C29" s="37" t="s">
        <v>1231</v>
      </c>
      <c r="D29" s="37" t="s">
        <v>123</v>
      </c>
      <c r="E29" s="265">
        <v>47.523054057737603</v>
      </c>
      <c r="F29" s="265">
        <v>-52.9304410119598</v>
      </c>
      <c r="G29" s="37" t="s">
        <v>1277</v>
      </c>
      <c r="H29" s="17"/>
      <c r="I29" s="17"/>
    </row>
    <row r="30" spans="2:9" ht="20" customHeight="1">
      <c r="B30" s="130" t="s">
        <v>617</v>
      </c>
      <c r="C30" s="37" t="s">
        <v>989</v>
      </c>
      <c r="D30" s="37" t="s">
        <v>101</v>
      </c>
      <c r="E30" s="265">
        <v>53.527684454634098</v>
      </c>
      <c r="F30" s="265">
        <v>-63.953235723748499</v>
      </c>
      <c r="G30" s="37" t="s">
        <v>1135</v>
      </c>
      <c r="H30" s="17"/>
      <c r="I30" s="17"/>
    </row>
    <row r="31" spans="2:9" ht="20" customHeight="1">
      <c r="B31" s="130" t="s">
        <v>977</v>
      </c>
      <c r="C31" s="37" t="s">
        <v>1120</v>
      </c>
      <c r="D31" s="37" t="s">
        <v>101</v>
      </c>
      <c r="E31" s="265">
        <v>53.2685149882602</v>
      </c>
      <c r="F31" s="265">
        <v>-60.780191468005</v>
      </c>
      <c r="G31" s="37" t="s">
        <v>1135</v>
      </c>
      <c r="H31" s="17"/>
      <c r="I31" s="17"/>
    </row>
    <row r="32" spans="2:9" ht="20" customHeight="1">
      <c r="B32" s="130" t="s">
        <v>676</v>
      </c>
      <c r="C32" s="37" t="s">
        <v>1121</v>
      </c>
      <c r="D32" s="37" t="s">
        <v>101</v>
      </c>
      <c r="E32" s="265">
        <v>53.276067654022697</v>
      </c>
      <c r="F32" s="265">
        <v>-60.5300382799185</v>
      </c>
      <c r="G32" s="37" t="s">
        <v>1135</v>
      </c>
      <c r="H32" s="17"/>
      <c r="I32" s="17"/>
    </row>
    <row r="33" spans="2:9" ht="20" customHeight="1">
      <c r="B33" s="96" t="s">
        <v>648</v>
      </c>
      <c r="C33" s="37" t="s">
        <v>1037</v>
      </c>
      <c r="D33" s="37" t="s">
        <v>123</v>
      </c>
      <c r="E33" s="265">
        <v>48.147214540875403</v>
      </c>
      <c r="F33" s="265">
        <v>-53.969050091421003</v>
      </c>
      <c r="G33" s="37" t="s">
        <v>1277</v>
      </c>
      <c r="H33" s="17"/>
      <c r="I33" s="17"/>
    </row>
    <row r="34" spans="2:9" ht="20" customHeight="1">
      <c r="B34" s="96" t="s">
        <v>886</v>
      </c>
      <c r="C34" s="37" t="s">
        <v>1039</v>
      </c>
      <c r="D34" s="37" t="s">
        <v>123</v>
      </c>
      <c r="E34" s="265">
        <v>49.285092178980598</v>
      </c>
      <c r="F34" s="265">
        <v>-54.485656265191999</v>
      </c>
      <c r="G34" s="37" t="s">
        <v>1277</v>
      </c>
      <c r="H34" s="17"/>
      <c r="I34" s="17"/>
    </row>
    <row r="35" spans="2:9" ht="20" customHeight="1">
      <c r="B35" s="96" t="s">
        <v>852</v>
      </c>
      <c r="C35" s="37" t="s">
        <v>1095</v>
      </c>
      <c r="D35" s="37" t="s">
        <v>123</v>
      </c>
      <c r="E35" s="265">
        <v>47.266593144883402</v>
      </c>
      <c r="F35" s="265">
        <v>-53.973963106817102</v>
      </c>
      <c r="G35" s="37" t="s">
        <v>1277</v>
      </c>
      <c r="H35" s="17"/>
      <c r="I35" s="17"/>
    </row>
    <row r="36" spans="2:9" ht="20" customHeight="1">
      <c r="B36" s="96" t="s">
        <v>657</v>
      </c>
      <c r="C36" s="37" t="s">
        <v>1047</v>
      </c>
      <c r="D36" s="37" t="s">
        <v>123</v>
      </c>
      <c r="E36" s="265">
        <v>48.972408851654599</v>
      </c>
      <c r="F36" s="265">
        <v>-54.619929089680099</v>
      </c>
      <c r="G36" s="37" t="s">
        <v>1277</v>
      </c>
      <c r="H36" s="17"/>
      <c r="I36" s="17"/>
    </row>
    <row r="37" spans="2:9" ht="20" customHeight="1">
      <c r="B37" s="96" t="s">
        <v>805</v>
      </c>
      <c r="C37" s="37" t="s">
        <v>1018</v>
      </c>
      <c r="D37" s="37" t="s">
        <v>123</v>
      </c>
      <c r="E37" s="265">
        <v>47.476144316238603</v>
      </c>
      <c r="F37" s="265">
        <v>-53.231567813071997</v>
      </c>
      <c r="G37" s="37" t="s">
        <v>1277</v>
      </c>
      <c r="H37" s="17"/>
      <c r="I37" s="17"/>
    </row>
    <row r="38" spans="2:9" ht="20" customHeight="1">
      <c r="B38" s="165" t="s">
        <v>694</v>
      </c>
      <c r="C38" s="37" t="s">
        <v>1216</v>
      </c>
      <c r="D38" s="37" t="s">
        <v>101</v>
      </c>
      <c r="E38" s="265">
        <v>47.800759261075598</v>
      </c>
      <c r="F38" s="265">
        <v>-53.992253480450003</v>
      </c>
      <c r="G38" s="37" t="s">
        <v>1277</v>
      </c>
      <c r="H38" s="17"/>
      <c r="I38" s="17"/>
    </row>
    <row r="39" spans="2:9" ht="20" customHeight="1">
      <c r="B39" s="165" t="s">
        <v>734</v>
      </c>
      <c r="C39" s="37" t="s">
        <v>1115</v>
      </c>
      <c r="D39" s="37" t="s">
        <v>101</v>
      </c>
      <c r="E39" s="265">
        <v>49.951594186837198</v>
      </c>
      <c r="F39" s="265">
        <v>-56.796235364140998</v>
      </c>
      <c r="G39" s="37" t="s">
        <v>1277</v>
      </c>
      <c r="H39" s="17"/>
      <c r="I39" s="17"/>
    </row>
    <row r="40" spans="2:9" ht="20" customHeight="1">
      <c r="B40" s="165" t="s">
        <v>795</v>
      </c>
      <c r="C40" s="37" t="s">
        <v>1071</v>
      </c>
      <c r="D40" s="37" t="s">
        <v>101</v>
      </c>
      <c r="E40" s="265">
        <v>47.878718394120398</v>
      </c>
      <c r="F40" s="265">
        <v>-55.716206847473899</v>
      </c>
      <c r="G40" s="37" t="s">
        <v>1277</v>
      </c>
      <c r="H40" s="17"/>
      <c r="I40" s="17"/>
    </row>
    <row r="41" spans="2:9" ht="20" customHeight="1">
      <c r="B41" s="165" t="s">
        <v>690</v>
      </c>
      <c r="C41" s="37" t="s">
        <v>1080</v>
      </c>
      <c r="D41" s="37" t="s">
        <v>101</v>
      </c>
      <c r="E41" s="265">
        <v>49.923666983282502</v>
      </c>
      <c r="F41" s="265">
        <v>-57.774036346690202</v>
      </c>
      <c r="G41" s="37" t="s">
        <v>1277</v>
      </c>
      <c r="H41" s="17"/>
      <c r="I41" s="17"/>
    </row>
    <row r="42" spans="2:9" ht="20" customHeight="1">
      <c r="B42" s="165" t="s">
        <v>684</v>
      </c>
      <c r="C42" s="37" t="s">
        <v>1072</v>
      </c>
      <c r="D42" s="37" t="s">
        <v>101</v>
      </c>
      <c r="E42" s="265">
        <v>50.245540139393</v>
      </c>
      <c r="F42" s="265">
        <v>-57.5780935773751</v>
      </c>
      <c r="G42" s="37" t="s">
        <v>1277</v>
      </c>
      <c r="H42" s="17"/>
      <c r="I42" s="17"/>
    </row>
    <row r="43" spans="2:9" ht="20" customHeight="1">
      <c r="B43" s="165" t="s">
        <v>687</v>
      </c>
      <c r="C43" s="37" t="s">
        <v>1232</v>
      </c>
      <c r="D43" s="37" t="s">
        <v>855</v>
      </c>
      <c r="E43" s="265">
        <v>49.177773482328803</v>
      </c>
      <c r="F43" s="265">
        <v>-57.404744981287102</v>
      </c>
      <c r="G43" s="37" t="s">
        <v>1277</v>
      </c>
      <c r="H43" s="17"/>
      <c r="I43" s="17"/>
    </row>
    <row r="44" spans="2:9" ht="20" customHeight="1">
      <c r="B44" s="165" t="s">
        <v>985</v>
      </c>
      <c r="C44" s="37" t="s">
        <v>990</v>
      </c>
      <c r="D44" s="37" t="s">
        <v>856</v>
      </c>
      <c r="E44" s="265">
        <v>48.956137400000003</v>
      </c>
      <c r="F44" s="265">
        <v>-57.949565200000002</v>
      </c>
      <c r="G44" s="37" t="s">
        <v>1277</v>
      </c>
      <c r="H44" s="17"/>
      <c r="I44" s="17"/>
    </row>
    <row r="45" spans="2:9" ht="20" customHeight="1">
      <c r="B45" s="165" t="s">
        <v>682</v>
      </c>
      <c r="C45" s="37" t="s">
        <v>1069</v>
      </c>
      <c r="D45" s="37" t="s">
        <v>123</v>
      </c>
      <c r="E45" s="265">
        <v>47.785950569210399</v>
      </c>
      <c r="F45" s="265">
        <v>-59.225496065393401</v>
      </c>
      <c r="G45" s="37" t="s">
        <v>1277</v>
      </c>
      <c r="H45" s="17"/>
      <c r="I45" s="17"/>
    </row>
    <row r="46" spans="2:9" ht="20" customHeight="1">
      <c r="B46" s="165" t="s">
        <v>739</v>
      </c>
      <c r="C46" s="37" t="s">
        <v>1118</v>
      </c>
      <c r="D46" s="37" t="s">
        <v>101</v>
      </c>
      <c r="E46" s="265">
        <v>48.642366158101296</v>
      </c>
      <c r="F46" s="265">
        <v>-56.491653433321602</v>
      </c>
      <c r="G46" s="37" t="s">
        <v>1277</v>
      </c>
      <c r="H46" s="17"/>
      <c r="I46" s="17"/>
    </row>
    <row r="47" spans="2:9" ht="20" customHeight="1">
      <c r="B47" s="96" t="s">
        <v>629</v>
      </c>
      <c r="C47" s="37" t="s">
        <v>1015</v>
      </c>
      <c r="D47" s="37" t="s">
        <v>123</v>
      </c>
      <c r="E47" s="265">
        <v>47.4506718150814</v>
      </c>
      <c r="F47" s="265">
        <v>-53.098211318948898</v>
      </c>
      <c r="G47" s="37" t="s">
        <v>1277</v>
      </c>
      <c r="H47" s="17"/>
      <c r="I47" s="17"/>
    </row>
    <row r="48" spans="2:9" ht="20" customHeight="1">
      <c r="B48" s="96" t="s">
        <v>806</v>
      </c>
      <c r="C48" s="37" t="s">
        <v>1023</v>
      </c>
      <c r="D48" s="37" t="s">
        <v>123</v>
      </c>
      <c r="E48" s="265">
        <v>47.269814893344098</v>
      </c>
      <c r="F48" s="265">
        <v>-53.886163147104298</v>
      </c>
      <c r="G48" s="37" t="s">
        <v>1277</v>
      </c>
      <c r="H48" s="17"/>
      <c r="I48" s="17"/>
    </row>
    <row r="49" spans="2:9" ht="20" customHeight="1">
      <c r="B49" s="165" t="s">
        <v>796</v>
      </c>
      <c r="C49" s="37" t="s">
        <v>1070</v>
      </c>
      <c r="D49" s="37" t="s">
        <v>101</v>
      </c>
      <c r="E49" s="265">
        <v>47.464656290556597</v>
      </c>
      <c r="F49" s="265">
        <v>-55.505580214786697</v>
      </c>
      <c r="G49" s="37" t="s">
        <v>1277</v>
      </c>
      <c r="H49" s="17"/>
      <c r="I49" s="17"/>
    </row>
    <row r="50" spans="2:9" ht="20" customHeight="1">
      <c r="B50" s="165" t="s">
        <v>735</v>
      </c>
      <c r="C50" s="37" t="s">
        <v>1116</v>
      </c>
      <c r="D50" s="37" t="s">
        <v>101</v>
      </c>
      <c r="E50" s="265">
        <v>49.554089283143</v>
      </c>
      <c r="F50" s="265">
        <v>-54.489296648503696</v>
      </c>
      <c r="G50" s="37" t="s">
        <v>1277</v>
      </c>
      <c r="H50" s="17"/>
      <c r="I50" s="17"/>
    </row>
    <row r="51" spans="2:9" ht="20" customHeight="1">
      <c r="B51" s="96" t="s">
        <v>713</v>
      </c>
      <c r="C51" s="37" t="s">
        <v>1233</v>
      </c>
      <c r="D51" s="37" t="s">
        <v>123</v>
      </c>
      <c r="E51" s="265">
        <v>46.969920399999999</v>
      </c>
      <c r="F51" s="265">
        <v>-52.970032799999998</v>
      </c>
      <c r="G51" s="37" t="s">
        <v>1277</v>
      </c>
      <c r="H51" s="17"/>
      <c r="I51" s="17"/>
    </row>
    <row r="52" spans="2:9" ht="20" customHeight="1">
      <c r="B52" s="96" t="s">
        <v>722</v>
      </c>
      <c r="C52" s="37" t="s">
        <v>1104</v>
      </c>
      <c r="D52" s="37" t="s">
        <v>123</v>
      </c>
      <c r="E52" s="265">
        <v>49.050977817326498</v>
      </c>
      <c r="F52" s="265">
        <v>-58.1835372596003</v>
      </c>
      <c r="G52" s="37" t="s">
        <v>1277</v>
      </c>
      <c r="H52" s="17"/>
      <c r="I52" s="17"/>
    </row>
    <row r="53" spans="2:9" ht="20" customHeight="1">
      <c r="B53" s="96" t="s">
        <v>979</v>
      </c>
      <c r="C53" s="37" t="s">
        <v>1059</v>
      </c>
      <c r="D53" s="37" t="s">
        <v>123</v>
      </c>
      <c r="E53" s="265">
        <v>48.552982557690299</v>
      </c>
      <c r="F53" s="265">
        <v>-58.591323212068197</v>
      </c>
      <c r="G53" s="37" t="s">
        <v>1277</v>
      </c>
      <c r="H53" s="17"/>
      <c r="I53" s="17"/>
    </row>
    <row r="54" spans="2:9" ht="20" customHeight="1">
      <c r="B54" s="96" t="s">
        <v>651</v>
      </c>
      <c r="C54" s="37" t="s">
        <v>1042</v>
      </c>
      <c r="D54" s="37" t="s">
        <v>123</v>
      </c>
      <c r="E54" s="265">
        <v>48.734496793189102</v>
      </c>
      <c r="F54" s="265">
        <v>-54.242466457225397</v>
      </c>
      <c r="G54" s="37" t="s">
        <v>1277</v>
      </c>
      <c r="H54" s="17"/>
      <c r="I54" s="17"/>
    </row>
    <row r="55" spans="2:9" ht="20" customHeight="1">
      <c r="B55" s="96" t="s">
        <v>645</v>
      </c>
      <c r="C55" s="37" t="s">
        <v>1034</v>
      </c>
      <c r="D55" s="37" t="s">
        <v>123</v>
      </c>
      <c r="E55" s="265">
        <v>48.9478464551527</v>
      </c>
      <c r="F55" s="265">
        <v>-54.612224001609299</v>
      </c>
      <c r="G55" s="37" t="s">
        <v>1277</v>
      </c>
      <c r="H55" s="17"/>
      <c r="I55" s="17"/>
    </row>
    <row r="56" spans="2:9" ht="20" customHeight="1">
      <c r="B56" s="96" t="s">
        <v>650</v>
      </c>
      <c r="C56" s="37" t="s">
        <v>1040</v>
      </c>
      <c r="D56" s="37" t="s">
        <v>123</v>
      </c>
      <c r="E56" s="265">
        <v>49.285110099581999</v>
      </c>
      <c r="F56" s="265">
        <v>-54.4857251046489</v>
      </c>
      <c r="G56" s="37" t="s">
        <v>1277</v>
      </c>
      <c r="H56" s="17"/>
      <c r="I56" s="17"/>
    </row>
    <row r="57" spans="2:9" ht="20" customHeight="1">
      <c r="B57" s="96" t="s">
        <v>807</v>
      </c>
      <c r="C57" s="37" t="s">
        <v>1051</v>
      </c>
      <c r="D57" s="37" t="s">
        <v>123</v>
      </c>
      <c r="E57" s="265">
        <v>47.189564376323503</v>
      </c>
      <c r="F57" s="265">
        <v>-55.337703683156001</v>
      </c>
      <c r="G57" s="37" t="s">
        <v>1277</v>
      </c>
      <c r="H57" s="17"/>
      <c r="I57" s="17"/>
    </row>
    <row r="58" spans="2:9" ht="20" customHeight="1">
      <c r="B58" s="96" t="s">
        <v>723</v>
      </c>
      <c r="C58" s="37" t="s">
        <v>1105</v>
      </c>
      <c r="D58" s="37" t="s">
        <v>123</v>
      </c>
      <c r="E58" s="265">
        <v>49.0384463428245</v>
      </c>
      <c r="F58" s="265">
        <v>-58.0978893397685</v>
      </c>
      <c r="G58" s="37" t="s">
        <v>1277</v>
      </c>
      <c r="H58" s="17"/>
      <c r="I58" s="17"/>
    </row>
    <row r="59" spans="2:9" ht="20" customHeight="1">
      <c r="B59" s="165" t="s">
        <v>693</v>
      </c>
      <c r="C59" s="37" t="s">
        <v>1082</v>
      </c>
      <c r="D59" s="37" t="s">
        <v>101</v>
      </c>
      <c r="E59" s="265">
        <v>49.478607529847601</v>
      </c>
      <c r="F59" s="265">
        <v>-57.924594224428198</v>
      </c>
      <c r="G59" s="37" t="s">
        <v>1277</v>
      </c>
      <c r="H59" s="17"/>
      <c r="I59" s="17"/>
    </row>
    <row r="60" spans="2:9" ht="20" customHeight="1">
      <c r="B60" s="96" t="s">
        <v>708</v>
      </c>
      <c r="C60" s="37" t="s">
        <v>1094</v>
      </c>
      <c r="D60" s="37" t="s">
        <v>123</v>
      </c>
      <c r="E60" s="265">
        <v>47.501428893301402</v>
      </c>
      <c r="F60" s="265">
        <v>-52.804836703267398</v>
      </c>
      <c r="G60" s="37" t="s">
        <v>1277</v>
      </c>
      <c r="H60" s="17"/>
      <c r="I60" s="17"/>
    </row>
    <row r="61" spans="2:9" ht="20" customHeight="1">
      <c r="B61" s="165" t="s">
        <v>679</v>
      </c>
      <c r="C61" s="37" t="s">
        <v>1067</v>
      </c>
      <c r="D61" s="37" t="s">
        <v>123</v>
      </c>
      <c r="E61" s="265">
        <v>48.996271073244102</v>
      </c>
      <c r="F61" s="265">
        <v>-54.8828790065091</v>
      </c>
      <c r="G61" s="37" t="s">
        <v>1277</v>
      </c>
      <c r="H61" s="17"/>
      <c r="I61" s="17"/>
    </row>
    <row r="62" spans="2:9" ht="20" customHeight="1">
      <c r="B62" s="96" t="s">
        <v>719</v>
      </c>
      <c r="C62" s="37" t="s">
        <v>1101</v>
      </c>
      <c r="D62" s="37" t="s">
        <v>123</v>
      </c>
      <c r="E62" s="265">
        <v>48.668904811120797</v>
      </c>
      <c r="F62" s="265">
        <v>-54.047132357423401</v>
      </c>
      <c r="G62" s="37" t="s">
        <v>1277</v>
      </c>
      <c r="H62" s="17"/>
      <c r="I62" s="17"/>
    </row>
    <row r="63" spans="2:9" ht="20" customHeight="1">
      <c r="B63" s="96" t="s">
        <v>619</v>
      </c>
      <c r="C63" s="37" t="s">
        <v>1007</v>
      </c>
      <c r="D63" s="37" t="s">
        <v>123</v>
      </c>
      <c r="E63" s="265">
        <v>47.485364004661299</v>
      </c>
      <c r="F63" s="265">
        <v>-52.766374735157299</v>
      </c>
      <c r="G63" s="37" t="s">
        <v>1277</v>
      </c>
      <c r="H63" s="17"/>
      <c r="I63" s="17"/>
    </row>
    <row r="64" spans="2:9" ht="20" customHeight="1">
      <c r="B64" s="96" t="s">
        <v>675</v>
      </c>
      <c r="C64" s="37" t="s">
        <v>1064</v>
      </c>
      <c r="D64" s="37" t="s">
        <v>123</v>
      </c>
      <c r="E64" s="265">
        <v>47.609698827498903</v>
      </c>
      <c r="F64" s="265">
        <v>-59.182807062810497</v>
      </c>
      <c r="G64" s="37" t="s">
        <v>1277</v>
      </c>
      <c r="H64" s="17"/>
      <c r="I64" s="17"/>
    </row>
    <row r="65" spans="2:9" ht="20" customHeight="1">
      <c r="B65" s="96" t="s">
        <v>808</v>
      </c>
      <c r="C65" s="37" t="s">
        <v>1050</v>
      </c>
      <c r="D65" s="37" t="s">
        <v>123</v>
      </c>
      <c r="E65" s="265">
        <v>47.129352103794297</v>
      </c>
      <c r="F65" s="265">
        <v>-55.502023292141601</v>
      </c>
      <c r="G65" s="37" t="s">
        <v>1277</v>
      </c>
      <c r="H65" s="17"/>
      <c r="I65" s="17" t="s">
        <v>978</v>
      </c>
    </row>
    <row r="66" spans="2:9" ht="20" customHeight="1">
      <c r="B66" s="96" t="s">
        <v>644</v>
      </c>
      <c r="C66" s="37" t="s">
        <v>1234</v>
      </c>
      <c r="D66" s="37" t="s">
        <v>123</v>
      </c>
      <c r="E66" s="265">
        <v>48.930931833560003</v>
      </c>
      <c r="F66" s="265">
        <v>-55.667993958789502</v>
      </c>
      <c r="G66" s="37" t="s">
        <v>1277</v>
      </c>
      <c r="H66" s="17"/>
      <c r="I66" s="17"/>
    </row>
    <row r="67" spans="2:9" ht="20" customHeight="1">
      <c r="B67" s="165" t="s">
        <v>791</v>
      </c>
      <c r="C67" s="37" t="s">
        <v>1112</v>
      </c>
      <c r="D67" s="37" t="s">
        <v>101</v>
      </c>
      <c r="E67" s="265">
        <v>47.801174709024103</v>
      </c>
      <c r="F67" s="265">
        <v>-57.660440225830598</v>
      </c>
      <c r="G67" s="37" t="s">
        <v>1277</v>
      </c>
      <c r="H67" s="17"/>
      <c r="I67" s="17"/>
    </row>
    <row r="68" spans="2:9" ht="20" customHeight="1">
      <c r="B68" s="130" t="s">
        <v>798</v>
      </c>
      <c r="C68" s="37" t="s">
        <v>991</v>
      </c>
      <c r="D68" s="37" t="s">
        <v>101</v>
      </c>
      <c r="E68" s="265">
        <v>48.196555600000003</v>
      </c>
      <c r="F68" s="265">
        <v>-56.815249999999999</v>
      </c>
      <c r="G68" s="37" t="s">
        <v>1277</v>
      </c>
      <c r="H68" s="17"/>
      <c r="I68" s="17"/>
    </row>
    <row r="69" spans="2:9" ht="20" customHeight="1">
      <c r="B69" s="130" t="s">
        <v>1119</v>
      </c>
      <c r="C69" s="37" t="s">
        <v>1122</v>
      </c>
      <c r="D69" s="37" t="s">
        <v>101</v>
      </c>
      <c r="E69" s="265">
        <v>48.203487267430098</v>
      </c>
      <c r="F69" s="265">
        <v>-56.849353338169699</v>
      </c>
      <c r="G69" s="37" t="s">
        <v>1277</v>
      </c>
      <c r="H69" s="17"/>
      <c r="I69" s="17"/>
    </row>
    <row r="70" spans="2:9" ht="20" customHeight="1">
      <c r="B70" s="96" t="s">
        <v>660</v>
      </c>
      <c r="C70" s="37" t="s">
        <v>1235</v>
      </c>
      <c r="D70" s="37" t="s">
        <v>123</v>
      </c>
      <c r="E70" s="265">
        <v>47.090680342919597</v>
      </c>
      <c r="F70" s="265">
        <v>-55.756385626142297</v>
      </c>
      <c r="G70" s="37" t="s">
        <v>1277</v>
      </c>
      <c r="H70" s="17"/>
      <c r="I70" s="17"/>
    </row>
    <row r="71" spans="2:9" ht="20" customHeight="1">
      <c r="B71" s="96" t="s">
        <v>809</v>
      </c>
      <c r="C71" s="37" t="s">
        <v>1222</v>
      </c>
      <c r="D71" s="37" t="s">
        <v>123</v>
      </c>
      <c r="E71" s="265">
        <v>49.109276650761799</v>
      </c>
      <c r="F71" s="265">
        <v>-53.727608429156298</v>
      </c>
      <c r="G71" s="37" t="s">
        <v>1277</v>
      </c>
      <c r="H71" s="17"/>
      <c r="I71" s="17"/>
    </row>
    <row r="72" spans="2:9" ht="20" customHeight="1">
      <c r="B72" s="165" t="s">
        <v>732</v>
      </c>
      <c r="C72" s="37" t="s">
        <v>1113</v>
      </c>
      <c r="D72" s="37" t="s">
        <v>101</v>
      </c>
      <c r="E72" s="265">
        <v>49.535746244960997</v>
      </c>
      <c r="F72" s="265">
        <v>-56.870382871081603</v>
      </c>
      <c r="G72" s="37" t="s">
        <v>1277</v>
      </c>
      <c r="H72" s="17"/>
      <c r="I72" s="17"/>
    </row>
    <row r="73" spans="2:9" ht="20" customHeight="1">
      <c r="B73" s="165" t="s">
        <v>696</v>
      </c>
      <c r="C73" s="37" t="s">
        <v>1085</v>
      </c>
      <c r="D73" s="37" t="s">
        <v>101</v>
      </c>
      <c r="E73" s="265">
        <v>49.453468844342801</v>
      </c>
      <c r="F73" s="265">
        <v>-56.9344980521984</v>
      </c>
      <c r="G73" s="37" t="s">
        <v>1277</v>
      </c>
      <c r="H73" s="17"/>
      <c r="I73" s="17"/>
    </row>
    <row r="74" spans="2:9" ht="20" customHeight="1">
      <c r="B74" s="130" t="s">
        <v>801</v>
      </c>
      <c r="C74" s="37" t="s">
        <v>1236</v>
      </c>
      <c r="D74" s="37" t="s">
        <v>101</v>
      </c>
      <c r="E74" s="265">
        <v>53.290208347493099</v>
      </c>
      <c r="F74" s="265">
        <v>-60.359344421396202</v>
      </c>
      <c r="G74" s="37" t="s">
        <v>1135</v>
      </c>
      <c r="H74" s="17"/>
      <c r="I74" s="17"/>
    </row>
    <row r="75" spans="2:9" ht="20" customHeight="1">
      <c r="B75" s="96" t="s">
        <v>640</v>
      </c>
      <c r="C75" s="37" t="s">
        <v>1028</v>
      </c>
      <c r="D75" s="37" t="s">
        <v>123</v>
      </c>
      <c r="E75" s="265">
        <v>47.693632910338501</v>
      </c>
      <c r="F75" s="265">
        <v>-53.226839770306398</v>
      </c>
      <c r="G75" s="37" t="s">
        <v>1277</v>
      </c>
      <c r="H75" s="17"/>
      <c r="I75" s="17"/>
    </row>
    <row r="76" spans="2:9" ht="20" customHeight="1">
      <c r="B76" s="96" t="s">
        <v>620</v>
      </c>
      <c r="C76" s="37" t="s">
        <v>1237</v>
      </c>
      <c r="D76" s="37" t="s">
        <v>123</v>
      </c>
      <c r="E76" s="265">
        <v>47.588222000000002</v>
      </c>
      <c r="F76" s="265">
        <v>-52.782322999999998</v>
      </c>
      <c r="G76" s="37" t="s">
        <v>1277</v>
      </c>
      <c r="H76" s="17"/>
      <c r="I76" s="17"/>
    </row>
    <row r="77" spans="2:9" ht="20" customHeight="1">
      <c r="B77" s="96" t="s">
        <v>652</v>
      </c>
      <c r="C77" s="37" t="s">
        <v>1043</v>
      </c>
      <c r="D77" s="37" t="s">
        <v>123</v>
      </c>
      <c r="E77" s="265">
        <v>48.846146193683502</v>
      </c>
      <c r="F77" s="265">
        <v>-54.078735538556401</v>
      </c>
      <c r="G77" s="37" t="s">
        <v>1277</v>
      </c>
      <c r="H77" s="17"/>
      <c r="I77" s="17"/>
    </row>
    <row r="78" spans="2:9" ht="20" customHeight="1">
      <c r="B78" s="96" t="s">
        <v>673</v>
      </c>
      <c r="C78" s="37" t="s">
        <v>1060</v>
      </c>
      <c r="D78" s="37" t="s">
        <v>123</v>
      </c>
      <c r="E78" s="265">
        <v>48.559335636682498</v>
      </c>
      <c r="F78" s="265">
        <v>-58.548104235677002</v>
      </c>
      <c r="G78" s="37" t="s">
        <v>1277</v>
      </c>
      <c r="H78" s="17"/>
      <c r="I78" s="17"/>
    </row>
    <row r="79" spans="2:9" ht="20" customHeight="1">
      <c r="B79" s="165" t="s">
        <v>728</v>
      </c>
      <c r="C79" s="37" t="s">
        <v>992</v>
      </c>
      <c r="D79" s="37" t="s">
        <v>101</v>
      </c>
      <c r="E79" s="265">
        <v>50.614000860864799</v>
      </c>
      <c r="F79" s="265">
        <v>-57.162613311289498</v>
      </c>
      <c r="G79" s="37" t="s">
        <v>1277</v>
      </c>
      <c r="H79" s="17"/>
      <c r="I79" s="17"/>
    </row>
    <row r="80" spans="2:9" ht="20" customHeight="1">
      <c r="B80" s="96" t="s">
        <v>631</v>
      </c>
      <c r="C80" s="37" t="s">
        <v>1238</v>
      </c>
      <c r="D80" s="37" t="s">
        <v>123</v>
      </c>
      <c r="E80" s="265">
        <v>47.862778800000001</v>
      </c>
      <c r="F80" s="265">
        <v>-53.3757625</v>
      </c>
      <c r="G80" s="37" t="s">
        <v>1277</v>
      </c>
      <c r="H80" s="17"/>
      <c r="I80" s="17"/>
    </row>
    <row r="81" spans="2:9" ht="20" customHeight="1">
      <c r="B81" s="165" t="s">
        <v>730</v>
      </c>
      <c r="C81" s="37" t="s">
        <v>993</v>
      </c>
      <c r="D81" s="37" t="s">
        <v>101</v>
      </c>
      <c r="E81" s="265">
        <v>49.082472199999998</v>
      </c>
      <c r="F81" s="265">
        <v>-57.2013611</v>
      </c>
      <c r="G81" s="37" t="s">
        <v>1277</v>
      </c>
      <c r="H81" s="17"/>
      <c r="I81" s="17"/>
    </row>
    <row r="82" spans="2:9" ht="20" customHeight="1">
      <c r="B82" s="96" t="s">
        <v>683</v>
      </c>
      <c r="C82" s="37" t="s">
        <v>1017</v>
      </c>
      <c r="D82" s="37" t="s">
        <v>123</v>
      </c>
      <c r="E82" s="265">
        <v>47.376452936845098</v>
      </c>
      <c r="F82" s="265">
        <v>-53.155121109787203</v>
      </c>
      <c r="G82" s="37" t="s">
        <v>1277</v>
      </c>
      <c r="H82" s="17"/>
      <c r="I82" s="17"/>
    </row>
    <row r="83" spans="2:9" ht="20" customHeight="1">
      <c r="B83" s="165" t="s">
        <v>1254</v>
      </c>
      <c r="C83" s="37" t="s">
        <v>994</v>
      </c>
      <c r="D83" s="37" t="s">
        <v>101</v>
      </c>
      <c r="E83" s="265">
        <v>47.385809999999999</v>
      </c>
      <c r="F83" s="265">
        <v>-53.127667000000002</v>
      </c>
      <c r="G83" s="37" t="s">
        <v>1277</v>
      </c>
      <c r="H83" s="17"/>
      <c r="I83" s="17"/>
    </row>
    <row r="84" spans="2:9" ht="20" customHeight="1">
      <c r="B84" s="96" t="s">
        <v>1150</v>
      </c>
      <c r="C84" s="37" t="s">
        <v>995</v>
      </c>
      <c r="D84" s="37" t="s">
        <v>123</v>
      </c>
      <c r="E84" s="265">
        <v>47.131957700000001</v>
      </c>
      <c r="F84" s="265">
        <v>-52.981625000000001</v>
      </c>
      <c r="G84" s="37" t="s">
        <v>1277</v>
      </c>
      <c r="H84" s="17"/>
      <c r="I84" s="17"/>
    </row>
    <row r="85" spans="2:9" ht="20" customHeight="1">
      <c r="B85" s="96" t="s">
        <v>1148</v>
      </c>
      <c r="C85" s="37" t="s">
        <v>839</v>
      </c>
      <c r="D85" s="37" t="s">
        <v>123</v>
      </c>
      <c r="E85" s="265">
        <v>47.111392923185498</v>
      </c>
      <c r="F85" s="265">
        <v>-52.923951558079402</v>
      </c>
      <c r="G85" s="37" t="s">
        <v>1277</v>
      </c>
      <c r="H85" s="17"/>
      <c r="I85" s="17"/>
    </row>
    <row r="86" spans="2:9" ht="20" customHeight="1">
      <c r="B86" s="165" t="s">
        <v>686</v>
      </c>
      <c r="C86" s="37" t="s">
        <v>1075</v>
      </c>
      <c r="D86" s="37" t="s">
        <v>123</v>
      </c>
      <c r="E86" s="265">
        <v>49.169701140697001</v>
      </c>
      <c r="F86" s="265">
        <v>-57.120356737124901</v>
      </c>
      <c r="G86" s="37" t="s">
        <v>1277</v>
      </c>
      <c r="H86" s="17"/>
      <c r="I86" s="17"/>
    </row>
    <row r="87" spans="2:9" ht="20" customHeight="1">
      <c r="B87" s="96" t="s">
        <v>668</v>
      </c>
      <c r="C87" s="37" t="s">
        <v>1057</v>
      </c>
      <c r="D87" s="37" t="s">
        <v>123</v>
      </c>
      <c r="E87" s="265">
        <v>48.955430723582097</v>
      </c>
      <c r="F87" s="265">
        <v>-57.9443756367858</v>
      </c>
      <c r="G87" s="37" t="s">
        <v>1277</v>
      </c>
      <c r="H87" s="17"/>
      <c r="I87" s="17"/>
    </row>
    <row r="88" spans="2:9" ht="20" customHeight="1">
      <c r="B88" s="130" t="s">
        <v>1280</v>
      </c>
      <c r="C88" s="37" t="s">
        <v>850</v>
      </c>
      <c r="D88" s="37" t="s">
        <v>1154</v>
      </c>
      <c r="E88" s="265">
        <v>52.102140134512702</v>
      </c>
      <c r="F88" s="265">
        <v>-65.693195248410206</v>
      </c>
      <c r="G88" s="37" t="s">
        <v>1135</v>
      </c>
      <c r="H88" s="17"/>
      <c r="I88" s="17"/>
    </row>
    <row r="89" spans="2:9" ht="20" customHeight="1">
      <c r="B89" s="130" t="s">
        <v>1281</v>
      </c>
      <c r="C89" s="37" t="s">
        <v>849</v>
      </c>
      <c r="D89" s="37" t="s">
        <v>1155</v>
      </c>
      <c r="E89" s="265">
        <v>46.996523881836502</v>
      </c>
      <c r="F89" s="265">
        <v>-59.439957623950697</v>
      </c>
      <c r="G89" s="37" t="s">
        <v>1277</v>
      </c>
      <c r="H89" s="17"/>
      <c r="I89" s="17" t="s">
        <v>1157</v>
      </c>
    </row>
    <row r="90" spans="2:9" ht="20" customHeight="1">
      <c r="B90" s="96" t="s">
        <v>810</v>
      </c>
      <c r="C90" s="37" t="s">
        <v>1123</v>
      </c>
      <c r="D90" s="37" t="s">
        <v>123</v>
      </c>
      <c r="E90" s="265">
        <v>47.759675655076002</v>
      </c>
      <c r="F90" s="265">
        <v>-53.476142220910297</v>
      </c>
      <c r="G90" s="37" t="s">
        <v>1277</v>
      </c>
      <c r="H90" s="17"/>
      <c r="I90" s="17"/>
    </row>
    <row r="91" spans="2:9" ht="20" customHeight="1">
      <c r="B91" s="165" t="s">
        <v>733</v>
      </c>
      <c r="C91" s="37" t="s">
        <v>1114</v>
      </c>
      <c r="D91" s="37" t="s">
        <v>101</v>
      </c>
      <c r="E91" s="265">
        <v>49.863675335240998</v>
      </c>
      <c r="F91" s="265">
        <v>-56.814968379537802</v>
      </c>
      <c r="G91" s="37" t="s">
        <v>1277</v>
      </c>
      <c r="H91" s="17"/>
      <c r="I91" s="17"/>
    </row>
    <row r="92" spans="2:9" ht="20" customHeight="1">
      <c r="B92" s="165" t="s">
        <v>697</v>
      </c>
      <c r="C92" s="37" t="s">
        <v>1086</v>
      </c>
      <c r="D92" s="37" t="s">
        <v>101</v>
      </c>
      <c r="E92" s="265">
        <v>49.749117222036503</v>
      </c>
      <c r="F92" s="265">
        <v>-56.934349223076403</v>
      </c>
      <c r="G92" s="37" t="s">
        <v>1277</v>
      </c>
      <c r="H92" s="17"/>
      <c r="I92" s="17"/>
    </row>
    <row r="93" spans="2:9" ht="20" customHeight="1">
      <c r="B93" s="96" t="s">
        <v>811</v>
      </c>
      <c r="C93" s="37" t="s">
        <v>1035</v>
      </c>
      <c r="D93" s="37" t="s">
        <v>123</v>
      </c>
      <c r="E93" s="265">
        <v>49.079390215783697</v>
      </c>
      <c r="F93" s="265">
        <v>-54.525366547371597</v>
      </c>
      <c r="G93" s="37" t="s">
        <v>1277</v>
      </c>
      <c r="H93" s="17"/>
      <c r="I93" s="17"/>
    </row>
    <row r="94" spans="2:9" ht="20" customHeight="1">
      <c r="B94" s="96" t="s">
        <v>634</v>
      </c>
      <c r="C94" s="37" t="s">
        <v>1021</v>
      </c>
      <c r="D94" s="37" t="s">
        <v>123</v>
      </c>
      <c r="E94" s="265">
        <v>47.498160325346703</v>
      </c>
      <c r="F94" s="265">
        <v>-53.000282003842401</v>
      </c>
      <c r="G94" s="37" t="s">
        <v>1277</v>
      </c>
      <c r="H94" s="17"/>
      <c r="I94" s="17"/>
    </row>
    <row r="95" spans="2:9" ht="20" customHeight="1">
      <c r="B95" s="96" t="s">
        <v>635</v>
      </c>
      <c r="C95" s="37" t="s">
        <v>1022</v>
      </c>
      <c r="D95" s="37" t="s">
        <v>123</v>
      </c>
      <c r="E95" s="265">
        <v>47.524377108516802</v>
      </c>
      <c r="F95" s="265">
        <v>-52.847387981869403</v>
      </c>
      <c r="G95" s="37" t="s">
        <v>1277</v>
      </c>
      <c r="H95" s="17"/>
      <c r="I95" s="17"/>
    </row>
    <row r="96" spans="2:9" ht="20" customHeight="1">
      <c r="B96" s="96" t="s">
        <v>622</v>
      </c>
      <c r="C96" s="37" t="s">
        <v>1008</v>
      </c>
      <c r="D96" s="37" t="s">
        <v>123</v>
      </c>
      <c r="E96" s="265">
        <v>47.575830623232001</v>
      </c>
      <c r="F96" s="265">
        <v>-52.7033927822403</v>
      </c>
      <c r="G96" s="37" t="s">
        <v>1277</v>
      </c>
      <c r="H96" s="17"/>
      <c r="I96" s="17"/>
    </row>
    <row r="97" spans="2:9" ht="20" customHeight="1">
      <c r="B97" s="96" t="s">
        <v>662</v>
      </c>
      <c r="C97" s="37" t="s">
        <v>1053</v>
      </c>
      <c r="D97" s="37" t="s">
        <v>123</v>
      </c>
      <c r="E97" s="265">
        <v>46.926471766089897</v>
      </c>
      <c r="F97" s="265">
        <v>-55.405032691588701</v>
      </c>
      <c r="G97" s="37" t="s">
        <v>1277</v>
      </c>
      <c r="H97" s="17"/>
      <c r="I97" s="17"/>
    </row>
    <row r="98" spans="2:9" ht="20" customHeight="1">
      <c r="B98" s="96" t="s">
        <v>812</v>
      </c>
      <c r="C98" s="37" t="s">
        <v>1124</v>
      </c>
      <c r="D98" s="37" t="s">
        <v>123</v>
      </c>
      <c r="E98" s="265">
        <v>48.348342829789097</v>
      </c>
      <c r="F98" s="265">
        <v>-53.871450440561198</v>
      </c>
      <c r="G98" s="37" t="s">
        <v>1277</v>
      </c>
      <c r="H98" s="17"/>
      <c r="I98" s="17"/>
    </row>
    <row r="99" spans="2:9" ht="20" customHeight="1">
      <c r="B99" s="96" t="s">
        <v>716</v>
      </c>
      <c r="C99" s="37" t="s">
        <v>1099</v>
      </c>
      <c r="D99" s="37" t="s">
        <v>123</v>
      </c>
      <c r="E99" s="265">
        <v>49.240212627201601</v>
      </c>
      <c r="F99" s="265">
        <v>-55.066715623852197</v>
      </c>
      <c r="G99" s="37" t="s">
        <v>1277</v>
      </c>
      <c r="H99" s="17"/>
      <c r="I99" s="17"/>
    </row>
    <row r="100" spans="2:9" ht="20" customHeight="1">
      <c r="B100" s="96" t="s">
        <v>659</v>
      </c>
      <c r="C100" s="37" t="s">
        <v>1049</v>
      </c>
      <c r="D100" s="37" t="s">
        <v>123</v>
      </c>
      <c r="E100" s="265">
        <v>47.196944440257099</v>
      </c>
      <c r="F100" s="265">
        <v>-55.136605497255303</v>
      </c>
      <c r="G100" s="37" t="s">
        <v>1277</v>
      </c>
      <c r="H100" s="17"/>
      <c r="I100" s="17"/>
    </row>
    <row r="101" spans="2:9" ht="20" customHeight="1">
      <c r="B101" s="96" t="s">
        <v>649</v>
      </c>
      <c r="C101" s="37" t="s">
        <v>1239</v>
      </c>
      <c r="D101" s="37" t="s">
        <v>123</v>
      </c>
      <c r="E101" s="265">
        <v>48.4008477</v>
      </c>
      <c r="F101" s="265">
        <v>-53.378628499999998</v>
      </c>
      <c r="G101" s="37" t="s">
        <v>1277</v>
      </c>
      <c r="H101" s="17"/>
      <c r="I101" s="17"/>
    </row>
    <row r="102" spans="2:9" ht="20" customHeight="1">
      <c r="B102" s="165" t="s">
        <v>726</v>
      </c>
      <c r="C102" s="37" t="s">
        <v>1219</v>
      </c>
      <c r="D102" s="37" t="s">
        <v>101</v>
      </c>
      <c r="E102" s="265">
        <v>47.408934854524603</v>
      </c>
      <c r="F102" s="265">
        <v>-53.8118843354072</v>
      </c>
      <c r="G102" s="37" t="s">
        <v>1277</v>
      </c>
      <c r="H102" s="17"/>
      <c r="I102" s="17"/>
    </row>
    <row r="103" spans="2:9" ht="20" customHeight="1">
      <c r="B103" s="96" t="s">
        <v>724</v>
      </c>
      <c r="C103" s="37" t="s">
        <v>1240</v>
      </c>
      <c r="D103" s="37" t="s">
        <v>123</v>
      </c>
      <c r="E103" s="265">
        <v>47.6100063287615</v>
      </c>
      <c r="F103" s="265">
        <v>-58.893911724073902</v>
      </c>
      <c r="G103" s="37" t="s">
        <v>1277</v>
      </c>
      <c r="H103" s="17"/>
      <c r="I103" s="17"/>
    </row>
    <row r="104" spans="2:9" ht="20" customHeight="1">
      <c r="B104" s="96" t="s">
        <v>837</v>
      </c>
      <c r="C104" s="37" t="s">
        <v>1241</v>
      </c>
      <c r="D104" s="37" t="s">
        <v>123</v>
      </c>
      <c r="E104" s="265">
        <v>48.366163</v>
      </c>
      <c r="F104" s="265">
        <v>-58.293937</v>
      </c>
      <c r="G104" s="37" t="s">
        <v>1277</v>
      </c>
      <c r="H104" s="17"/>
      <c r="I104" s="17"/>
    </row>
    <row r="105" spans="2:9" ht="20" customHeight="1">
      <c r="B105" s="96" t="s">
        <v>857</v>
      </c>
      <c r="C105" s="37" t="s">
        <v>1109</v>
      </c>
      <c r="D105" s="37" t="s">
        <v>123</v>
      </c>
      <c r="E105" s="265">
        <v>48.530747182232098</v>
      </c>
      <c r="F105" s="265">
        <v>-59.028830013571699</v>
      </c>
      <c r="G105" s="37" t="s">
        <v>1277</v>
      </c>
      <c r="H105" s="17"/>
      <c r="I105" s="17"/>
    </row>
    <row r="106" spans="2:9" ht="20" customHeight="1">
      <c r="B106" s="165" t="s">
        <v>700</v>
      </c>
      <c r="C106" s="37" t="s">
        <v>1088</v>
      </c>
      <c r="D106" s="37" t="s">
        <v>101</v>
      </c>
      <c r="E106" s="265">
        <v>51.172905606932297</v>
      </c>
      <c r="F106" s="265">
        <v>-56.033430254612902</v>
      </c>
      <c r="G106" s="37" t="s">
        <v>1277</v>
      </c>
      <c r="H106" s="17"/>
      <c r="I106" s="17"/>
    </row>
    <row r="107" spans="2:9" ht="20" customHeight="1">
      <c r="B107" s="96" t="s">
        <v>813</v>
      </c>
      <c r="C107" s="37" t="s">
        <v>1066</v>
      </c>
      <c r="D107" s="37" t="s">
        <v>123</v>
      </c>
      <c r="E107" s="265">
        <v>48.961704712648697</v>
      </c>
      <c r="F107" s="265">
        <v>-57.808101939299902</v>
      </c>
      <c r="G107" s="37" t="s">
        <v>1277</v>
      </c>
      <c r="H107" s="17"/>
      <c r="I107" s="17"/>
    </row>
    <row r="108" spans="2:9" ht="20" customHeight="1">
      <c r="B108" s="96" t="s">
        <v>664</v>
      </c>
      <c r="C108" s="37" t="s">
        <v>1054</v>
      </c>
      <c r="D108" s="37" t="s">
        <v>123</v>
      </c>
      <c r="E108" s="265">
        <v>47.1660534536</v>
      </c>
      <c r="F108" s="265">
        <v>-55.178946772249198</v>
      </c>
      <c r="G108" s="37" t="s">
        <v>1277</v>
      </c>
      <c r="H108" s="17"/>
      <c r="I108" s="17"/>
    </row>
    <row r="109" spans="2:9" ht="20" customHeight="1">
      <c r="B109" s="96" t="s">
        <v>665</v>
      </c>
      <c r="C109" s="37" t="s">
        <v>1125</v>
      </c>
      <c r="D109" s="37" t="s">
        <v>123</v>
      </c>
      <c r="E109" s="265">
        <v>48.932765475512902</v>
      </c>
      <c r="F109" s="265">
        <v>-57.8992825534338</v>
      </c>
      <c r="G109" s="37" t="s">
        <v>1277</v>
      </c>
      <c r="H109" s="17"/>
      <c r="I109" s="17"/>
    </row>
    <row r="110" spans="2:9" ht="20" customHeight="1">
      <c r="B110" s="96" t="s">
        <v>624</v>
      </c>
      <c r="C110" s="37" t="s">
        <v>1010</v>
      </c>
      <c r="D110" s="37" t="s">
        <v>123</v>
      </c>
      <c r="E110" s="265">
        <v>47.574839755528302</v>
      </c>
      <c r="F110" s="265">
        <v>-52.7401687242062</v>
      </c>
      <c r="G110" s="37" t="s">
        <v>1277</v>
      </c>
      <c r="H110" s="17"/>
      <c r="I110" s="17"/>
    </row>
    <row r="111" spans="2:9" ht="20" customHeight="1">
      <c r="B111" s="96" t="s">
        <v>814</v>
      </c>
      <c r="C111" s="37" t="s">
        <v>1126</v>
      </c>
      <c r="D111" s="37" t="s">
        <v>123</v>
      </c>
      <c r="E111" s="265">
        <v>48.208003710130797</v>
      </c>
      <c r="F111" s="265">
        <v>-53.957507394200597</v>
      </c>
      <c r="G111" s="37" t="s">
        <v>1277</v>
      </c>
      <c r="H111" s="17"/>
      <c r="I111" s="17"/>
    </row>
    <row r="112" spans="2:9" ht="20" customHeight="1">
      <c r="B112" s="96" t="s">
        <v>621</v>
      </c>
      <c r="C112" s="37" t="s">
        <v>1242</v>
      </c>
      <c r="D112" s="37" t="s">
        <v>123</v>
      </c>
      <c r="E112" s="265">
        <v>47.247861100000001</v>
      </c>
      <c r="F112" s="265">
        <v>-52.841805600000001</v>
      </c>
      <c r="G112" s="37" t="s">
        <v>1277</v>
      </c>
      <c r="H112" s="17"/>
      <c r="I112" s="17"/>
    </row>
    <row r="113" spans="2:9" ht="20" customHeight="1">
      <c r="B113" s="96" t="s">
        <v>983</v>
      </c>
      <c r="C113" s="37" t="s">
        <v>1092</v>
      </c>
      <c r="D113" s="37" t="s">
        <v>123</v>
      </c>
      <c r="E113" s="265">
        <v>47.535612045717698</v>
      </c>
      <c r="F113" s="265">
        <v>-52.745064077200603</v>
      </c>
      <c r="G113" s="37" t="s">
        <v>1277</v>
      </c>
      <c r="H113" s="17"/>
      <c r="I113" s="17"/>
    </row>
    <row r="114" spans="2:9" ht="20" customHeight="1">
      <c r="B114" s="165" t="s">
        <v>681</v>
      </c>
      <c r="C114" s="37" t="s">
        <v>1221</v>
      </c>
      <c r="D114" s="37" t="s">
        <v>855</v>
      </c>
      <c r="E114" s="265">
        <v>47.588108241915798</v>
      </c>
      <c r="F114" s="265">
        <v>-54.422872065063203</v>
      </c>
      <c r="G114" s="37" t="s">
        <v>1277</v>
      </c>
      <c r="H114" s="17"/>
      <c r="I114" s="17"/>
    </row>
    <row r="115" spans="2:9" ht="20" customHeight="1">
      <c r="B115" s="96" t="s">
        <v>1151</v>
      </c>
      <c r="C115" s="37" t="s">
        <v>996</v>
      </c>
      <c r="D115" s="37" t="s">
        <v>123</v>
      </c>
      <c r="E115" s="265">
        <v>47.253706999999999</v>
      </c>
      <c r="F115" s="265">
        <v>-52.935815699999999</v>
      </c>
      <c r="G115" s="37" t="s">
        <v>1277</v>
      </c>
      <c r="H115" s="17"/>
      <c r="I115" s="17"/>
    </row>
    <row r="116" spans="2:9" ht="20" customHeight="1">
      <c r="B116" s="96" t="s">
        <v>1149</v>
      </c>
      <c r="C116" s="37" t="s">
        <v>844</v>
      </c>
      <c r="D116" s="37" t="s">
        <v>123</v>
      </c>
      <c r="E116" s="265">
        <v>47.211854655325503</v>
      </c>
      <c r="F116" s="265">
        <v>-52.897602270643198</v>
      </c>
      <c r="G116" s="37" t="s">
        <v>1277</v>
      </c>
      <c r="H116" s="17"/>
      <c r="I116" s="17"/>
    </row>
    <row r="117" spans="2:9" ht="20" customHeight="1">
      <c r="B117" s="130" t="s">
        <v>618</v>
      </c>
      <c r="C117" s="37" t="s">
        <v>1223</v>
      </c>
      <c r="D117" s="37" t="s">
        <v>101</v>
      </c>
      <c r="E117" s="265">
        <v>53.239978857636899</v>
      </c>
      <c r="F117" s="265">
        <v>-60.759104072963098</v>
      </c>
      <c r="G117" s="37" t="s">
        <v>1135</v>
      </c>
      <c r="H117" s="17"/>
      <c r="I117" s="17"/>
    </row>
    <row r="118" spans="2:9" ht="20" customHeight="1">
      <c r="B118" s="96" t="s">
        <v>638</v>
      </c>
      <c r="C118" s="37" t="s">
        <v>1243</v>
      </c>
      <c r="D118" s="37" t="s">
        <v>123</v>
      </c>
      <c r="E118" s="265">
        <v>48.029095399560603</v>
      </c>
      <c r="F118" s="265">
        <v>-53.209971588062203</v>
      </c>
      <c r="G118" s="37" t="s">
        <v>1277</v>
      </c>
      <c r="H118" s="17"/>
      <c r="I118" s="17"/>
    </row>
    <row r="119" spans="2:9" ht="20" customHeight="1">
      <c r="B119" s="255" t="s">
        <v>980</v>
      </c>
      <c r="C119" s="37" t="s">
        <v>1032</v>
      </c>
      <c r="D119" s="37" t="s">
        <v>101</v>
      </c>
      <c r="E119" s="265">
        <v>48.940293126619402</v>
      </c>
      <c r="F119" s="265">
        <v>-55.652229634866302</v>
      </c>
      <c r="G119" s="37" t="s">
        <v>1277</v>
      </c>
      <c r="H119" s="17"/>
      <c r="I119" s="17"/>
    </row>
    <row r="120" spans="2:9" ht="20" customHeight="1">
      <c r="B120" s="96" t="s">
        <v>815</v>
      </c>
      <c r="C120" s="37" t="s">
        <v>1127</v>
      </c>
      <c r="D120" s="37" t="s">
        <v>123</v>
      </c>
      <c r="E120" s="265">
        <v>47.585526468260802</v>
      </c>
      <c r="F120" s="265">
        <v>-53.513793806031302</v>
      </c>
      <c r="G120" s="37" t="s">
        <v>1277</v>
      </c>
      <c r="H120" s="17"/>
      <c r="I120" s="17"/>
    </row>
    <row r="121" spans="2:9" ht="20" customHeight="1">
      <c r="B121" s="96" t="s">
        <v>816</v>
      </c>
      <c r="C121" s="37" t="s">
        <v>1036</v>
      </c>
      <c r="D121" s="37" t="s">
        <v>123</v>
      </c>
      <c r="E121" s="265">
        <v>47.992909247173401</v>
      </c>
      <c r="F121" s="265">
        <v>-53.955549711761797</v>
      </c>
      <c r="G121" s="37" t="s">
        <v>1277</v>
      </c>
      <c r="H121" s="17"/>
      <c r="I121" s="17"/>
    </row>
    <row r="122" spans="2:9" ht="20" customHeight="1">
      <c r="B122" s="96" t="s">
        <v>646</v>
      </c>
      <c r="C122" s="37" t="s">
        <v>1033</v>
      </c>
      <c r="D122" s="37" t="s">
        <v>123</v>
      </c>
      <c r="E122" s="265">
        <v>49.122539782340297</v>
      </c>
      <c r="F122" s="265">
        <v>-55.092748668274801</v>
      </c>
      <c r="G122" s="37" t="s">
        <v>1277</v>
      </c>
      <c r="H122" s="17"/>
      <c r="I122" s="17"/>
    </row>
    <row r="123" spans="2:9" ht="20" customHeight="1">
      <c r="B123" s="96" t="s">
        <v>712</v>
      </c>
      <c r="C123" s="37" t="s">
        <v>1097</v>
      </c>
      <c r="D123" s="37" t="s">
        <v>123</v>
      </c>
      <c r="E123" s="265">
        <v>48.073635910611401</v>
      </c>
      <c r="F123" s="265">
        <v>-52.997236370902499</v>
      </c>
      <c r="G123" s="37" t="s">
        <v>1277</v>
      </c>
      <c r="H123" s="17"/>
      <c r="I123" s="17"/>
    </row>
    <row r="124" spans="2:9" ht="20" customHeight="1">
      <c r="B124" s="165" t="s">
        <v>628</v>
      </c>
      <c r="C124" s="37" t="s">
        <v>1014</v>
      </c>
      <c r="D124" s="37" t="s">
        <v>855</v>
      </c>
      <c r="E124" s="265">
        <v>47.573426667329102</v>
      </c>
      <c r="F124" s="265">
        <v>-52.755821461375398</v>
      </c>
      <c r="G124" s="37" t="s">
        <v>1277</v>
      </c>
      <c r="H124" s="17"/>
      <c r="I124" s="17"/>
    </row>
    <row r="125" spans="2:9" ht="20" customHeight="1">
      <c r="B125" s="165" t="s">
        <v>797</v>
      </c>
      <c r="C125" s="37" t="s">
        <v>1244</v>
      </c>
      <c r="D125" s="37" t="s">
        <v>101</v>
      </c>
      <c r="E125" s="265">
        <v>47.618232200000001</v>
      </c>
      <c r="F125" s="265">
        <v>-54.4314508</v>
      </c>
      <c r="G125" s="37" t="s">
        <v>1277</v>
      </c>
      <c r="H125" s="17"/>
      <c r="I125" s="17"/>
    </row>
    <row r="126" spans="2:9" ht="18">
      <c r="B126" s="165" t="s">
        <v>691</v>
      </c>
      <c r="C126" s="37" t="s">
        <v>1079</v>
      </c>
      <c r="D126" s="37" t="s">
        <v>101</v>
      </c>
      <c r="E126" s="265">
        <v>50.037952712544602</v>
      </c>
      <c r="F126" s="265">
        <v>-57.702258109369801</v>
      </c>
      <c r="G126" s="37" t="s">
        <v>1277</v>
      </c>
      <c r="H126" s="17"/>
      <c r="I126" s="17"/>
    </row>
    <row r="127" spans="2:9" ht="18">
      <c r="B127" s="96" t="s">
        <v>817</v>
      </c>
      <c r="C127" s="37" t="s">
        <v>1065</v>
      </c>
      <c r="D127" s="37" t="s">
        <v>123</v>
      </c>
      <c r="E127" s="265">
        <v>49.016769449253403</v>
      </c>
      <c r="F127" s="265">
        <v>-57.600678008482298</v>
      </c>
      <c r="G127" s="37" t="s">
        <v>1277</v>
      </c>
      <c r="H127" s="17"/>
      <c r="I127" s="17"/>
    </row>
    <row r="128" spans="2:9" ht="18">
      <c r="B128" s="96" t="s">
        <v>984</v>
      </c>
      <c r="C128" s="37" t="s">
        <v>1093</v>
      </c>
      <c r="D128" s="37" t="s">
        <v>123</v>
      </c>
      <c r="E128" s="265">
        <v>47.584774790922303</v>
      </c>
      <c r="F128" s="265">
        <v>-52.683649938946502</v>
      </c>
      <c r="G128" s="37" t="s">
        <v>1277</v>
      </c>
      <c r="H128" s="17"/>
      <c r="I128" s="17"/>
    </row>
    <row r="129" spans="2:9" ht="18">
      <c r="B129" s="165" t="s">
        <v>702</v>
      </c>
      <c r="C129" s="37" t="s">
        <v>1090</v>
      </c>
      <c r="D129" s="37" t="s">
        <v>123</v>
      </c>
      <c r="E129" s="265">
        <v>50.271828263958099</v>
      </c>
      <c r="F129" s="265">
        <v>-57.546978550663503</v>
      </c>
      <c r="G129" s="37" t="s">
        <v>1277</v>
      </c>
      <c r="H129" s="17"/>
      <c r="I129" s="17"/>
    </row>
    <row r="130" spans="2:9" ht="18">
      <c r="B130" s="96" t="s">
        <v>705</v>
      </c>
      <c r="C130" s="37" t="s">
        <v>1245</v>
      </c>
      <c r="D130" s="37" t="s">
        <v>123</v>
      </c>
      <c r="E130" s="265">
        <v>47.465395000000001</v>
      </c>
      <c r="F130" s="265">
        <v>-52.712262199999998</v>
      </c>
      <c r="G130" s="37" t="s">
        <v>1277</v>
      </c>
      <c r="H130" s="17"/>
      <c r="I130" s="17"/>
    </row>
    <row r="131" spans="2:9" ht="18">
      <c r="B131" s="96" t="s">
        <v>1152</v>
      </c>
      <c r="C131" s="37" t="s">
        <v>997</v>
      </c>
      <c r="D131" s="37" t="s">
        <v>123</v>
      </c>
      <c r="E131" s="265">
        <v>47.288375600000002</v>
      </c>
      <c r="F131" s="265">
        <v>-52.821027700000002</v>
      </c>
      <c r="G131" s="37" t="s">
        <v>1277</v>
      </c>
      <c r="H131" s="17"/>
      <c r="I131" s="17"/>
    </row>
    <row r="132" spans="2:9" ht="18">
      <c r="B132" s="96" t="s">
        <v>818</v>
      </c>
      <c r="C132" s="37" t="s">
        <v>1025</v>
      </c>
      <c r="D132" s="37" t="s">
        <v>123</v>
      </c>
      <c r="E132" s="265">
        <v>47.369740770713101</v>
      </c>
      <c r="F132" s="265">
        <v>-53.659158221296899</v>
      </c>
      <c r="G132" s="37" t="s">
        <v>1277</v>
      </c>
      <c r="H132" s="17"/>
      <c r="I132" s="17"/>
    </row>
    <row r="133" spans="2:9" ht="18">
      <c r="B133" s="165" t="s">
        <v>695</v>
      </c>
      <c r="C133" s="37" t="s">
        <v>1083</v>
      </c>
      <c r="D133" s="37" t="s">
        <v>101</v>
      </c>
      <c r="E133" s="265">
        <v>51.063485046047802</v>
      </c>
      <c r="F133" s="265">
        <v>-56.8401626753895</v>
      </c>
      <c r="G133" s="37" t="s">
        <v>1277</v>
      </c>
      <c r="H133" s="17"/>
      <c r="I133" s="17"/>
    </row>
    <row r="134" spans="2:9" ht="18">
      <c r="B134" s="96" t="s">
        <v>725</v>
      </c>
      <c r="C134" s="37" t="s">
        <v>1246</v>
      </c>
      <c r="D134" s="37" t="s">
        <v>123</v>
      </c>
      <c r="E134" s="265">
        <v>47.585618308203898</v>
      </c>
      <c r="F134" s="265">
        <v>-59.148607691760297</v>
      </c>
      <c r="G134" s="37" t="s">
        <v>1277</v>
      </c>
      <c r="H134" s="17"/>
      <c r="I134" s="17"/>
    </row>
    <row r="135" spans="2:9" ht="18">
      <c r="B135" s="96" t="s">
        <v>819</v>
      </c>
      <c r="C135" s="37" t="s">
        <v>1046</v>
      </c>
      <c r="D135" s="37" t="s">
        <v>123</v>
      </c>
      <c r="E135" s="265">
        <v>48.3604736886792</v>
      </c>
      <c r="F135" s="265">
        <v>-54.173545070467</v>
      </c>
      <c r="G135" s="37" t="s">
        <v>1277</v>
      </c>
      <c r="H135" s="17"/>
      <c r="I135" s="17"/>
    </row>
    <row r="136" spans="2:9" ht="18">
      <c r="B136" s="96" t="s">
        <v>885</v>
      </c>
      <c r="C136" s="37" t="s">
        <v>1038</v>
      </c>
      <c r="D136" s="37" t="s">
        <v>123</v>
      </c>
      <c r="E136" s="265">
        <v>48.498282728344201</v>
      </c>
      <c r="F136" s="265">
        <v>-53.089896185538699</v>
      </c>
      <c r="G136" s="37" t="s">
        <v>1277</v>
      </c>
      <c r="H136" s="17"/>
      <c r="I136" s="17"/>
    </row>
    <row r="137" spans="2:9" ht="18">
      <c r="B137" s="96" t="s">
        <v>836</v>
      </c>
      <c r="C137" s="37" t="s">
        <v>1153</v>
      </c>
      <c r="D137" s="37" t="s">
        <v>123</v>
      </c>
      <c r="E137" s="265">
        <v>48.395831043069101</v>
      </c>
      <c r="F137" s="265">
        <v>-53.581073855471502</v>
      </c>
      <c r="G137" s="37" t="s">
        <v>1277</v>
      </c>
      <c r="H137" s="17"/>
      <c r="I137" s="17"/>
    </row>
    <row r="138" spans="2:9" ht="18">
      <c r="B138" s="96" t="s">
        <v>711</v>
      </c>
      <c r="C138" s="37" t="s">
        <v>1096</v>
      </c>
      <c r="D138" s="37" t="s">
        <v>123</v>
      </c>
      <c r="E138" s="265">
        <v>47.660585174285799</v>
      </c>
      <c r="F138" s="265">
        <v>-52.757095567326097</v>
      </c>
      <c r="G138" s="37" t="s">
        <v>1277</v>
      </c>
      <c r="H138" s="17"/>
      <c r="I138" s="17"/>
    </row>
    <row r="139" spans="2:9" ht="18">
      <c r="B139" s="96" t="s">
        <v>820</v>
      </c>
      <c r="C139" s="37" t="s">
        <v>1217</v>
      </c>
      <c r="D139" s="37" t="s">
        <v>123</v>
      </c>
      <c r="E139" s="265">
        <v>47.315334650516697</v>
      </c>
      <c r="F139" s="265">
        <v>-53.781834148669503</v>
      </c>
      <c r="G139" s="37" t="s">
        <v>1277</v>
      </c>
      <c r="H139" s="17"/>
      <c r="I139" s="17"/>
    </row>
    <row r="140" spans="2:9" ht="18">
      <c r="B140" s="165" t="s">
        <v>792</v>
      </c>
      <c r="C140" s="37" t="s">
        <v>998</v>
      </c>
      <c r="D140" s="37" t="s">
        <v>101</v>
      </c>
      <c r="E140" s="265">
        <v>49.887630600000001</v>
      </c>
      <c r="F140" s="265">
        <v>-56.835880600000003</v>
      </c>
      <c r="G140" s="37" t="s">
        <v>1277</v>
      </c>
      <c r="H140" s="17"/>
      <c r="I140" s="17"/>
    </row>
    <row r="141" spans="2:9" ht="18">
      <c r="B141" s="96" t="s">
        <v>715</v>
      </c>
      <c r="C141" s="37" t="s">
        <v>1247</v>
      </c>
      <c r="D141" s="37" t="s">
        <v>123</v>
      </c>
      <c r="E141" s="265">
        <v>49.067535700000001</v>
      </c>
      <c r="F141" s="265">
        <v>-55.298002400000001</v>
      </c>
      <c r="G141" s="37" t="s">
        <v>1277</v>
      </c>
      <c r="H141" s="17"/>
      <c r="I141" s="17"/>
    </row>
    <row r="142" spans="2:9" ht="18">
      <c r="B142" s="96" t="s">
        <v>627</v>
      </c>
      <c r="C142" s="37" t="s">
        <v>1013</v>
      </c>
      <c r="D142" s="37" t="s">
        <v>123</v>
      </c>
      <c r="E142" s="265">
        <v>47.5907285168906</v>
      </c>
      <c r="F142" s="265">
        <v>-52.7289357020857</v>
      </c>
      <c r="G142" s="37" t="s">
        <v>1277</v>
      </c>
      <c r="H142" s="17"/>
      <c r="I142" s="17"/>
    </row>
    <row r="143" spans="2:9" ht="18">
      <c r="B143" s="96" t="s">
        <v>642</v>
      </c>
      <c r="C143" s="37" t="s">
        <v>1031</v>
      </c>
      <c r="D143" s="37" t="s">
        <v>123</v>
      </c>
      <c r="E143" s="265">
        <v>46.987856452403001</v>
      </c>
      <c r="F143" s="265">
        <v>-53.499181365041601</v>
      </c>
      <c r="G143" s="37" t="s">
        <v>1277</v>
      </c>
      <c r="H143" s="17"/>
      <c r="I143" s="17"/>
    </row>
    <row r="144" spans="2:9" ht="18">
      <c r="B144" s="96" t="s">
        <v>821</v>
      </c>
      <c r="C144" s="37" t="s">
        <v>1107</v>
      </c>
      <c r="D144" s="37" t="s">
        <v>123</v>
      </c>
      <c r="E144" s="265">
        <v>48.378418884935499</v>
      </c>
      <c r="F144" s="265">
        <v>-58.474105245014201</v>
      </c>
      <c r="G144" s="37" t="s">
        <v>1277</v>
      </c>
      <c r="H144" s="17"/>
      <c r="I144" s="17"/>
    </row>
    <row r="145" spans="2:9" ht="18">
      <c r="B145" s="96" t="s">
        <v>835</v>
      </c>
      <c r="C145" s="37" t="s">
        <v>845</v>
      </c>
      <c r="D145" s="37" t="s">
        <v>123</v>
      </c>
      <c r="E145" s="265">
        <v>48.407511843402801</v>
      </c>
      <c r="F145" s="265">
        <v>-58.455596883025997</v>
      </c>
      <c r="G145" s="37" t="s">
        <v>1277</v>
      </c>
      <c r="H145" s="17"/>
      <c r="I145" s="17"/>
    </row>
    <row r="146" spans="2:9" ht="18">
      <c r="B146" s="165" t="s">
        <v>790</v>
      </c>
      <c r="C146" s="37" t="s">
        <v>1076</v>
      </c>
      <c r="D146" s="37" t="s">
        <v>101</v>
      </c>
      <c r="E146" s="265">
        <v>49.577933117472398</v>
      </c>
      <c r="F146" s="265">
        <v>-57.914916016393597</v>
      </c>
      <c r="G146" s="37" t="s">
        <v>1277</v>
      </c>
      <c r="H146" s="17"/>
      <c r="I146" s="17"/>
    </row>
    <row r="147" spans="2:9" ht="18">
      <c r="B147" s="198" t="s">
        <v>860</v>
      </c>
      <c r="C147" s="37" t="s">
        <v>1248</v>
      </c>
      <c r="D147" s="37" t="s">
        <v>123</v>
      </c>
      <c r="E147" s="265">
        <v>47.210427099999997</v>
      </c>
      <c r="F147" s="265">
        <v>-52.895043100000002</v>
      </c>
      <c r="G147" s="37" t="s">
        <v>1277</v>
      </c>
      <c r="H147" s="17"/>
      <c r="I147" s="17"/>
    </row>
    <row r="148" spans="2:9" ht="18">
      <c r="B148" s="198" t="s">
        <v>858</v>
      </c>
      <c r="C148" s="37" t="s">
        <v>859</v>
      </c>
      <c r="D148" s="37" t="s">
        <v>123</v>
      </c>
      <c r="E148" s="265">
        <v>47.211852949837997</v>
      </c>
      <c r="F148" s="265">
        <v>-52.897695134144897</v>
      </c>
      <c r="G148" s="37" t="s">
        <v>1277</v>
      </c>
      <c r="H148" s="17"/>
      <c r="I148" s="17"/>
    </row>
    <row r="149" spans="2:9" ht="18">
      <c r="B149" s="165" t="s">
        <v>736</v>
      </c>
      <c r="C149" s="37" t="s">
        <v>1146</v>
      </c>
      <c r="D149" s="37" t="s">
        <v>101</v>
      </c>
      <c r="E149" s="265">
        <v>50.8899348565105</v>
      </c>
      <c r="F149" s="265">
        <v>-56.118054240868197</v>
      </c>
      <c r="G149" s="37" t="s">
        <v>1277</v>
      </c>
      <c r="H149" s="17"/>
      <c r="I149" s="17"/>
    </row>
    <row r="150" spans="2:9" ht="18">
      <c r="B150" s="96" t="s">
        <v>838</v>
      </c>
      <c r="C150" s="37" t="s">
        <v>1218</v>
      </c>
      <c r="D150" s="37" t="s">
        <v>123</v>
      </c>
      <c r="E150" s="265">
        <v>48.716395160630199</v>
      </c>
      <c r="F150" s="265">
        <v>-55.1971004730514</v>
      </c>
      <c r="G150" s="37" t="s">
        <v>1277</v>
      </c>
      <c r="H150" s="17"/>
      <c r="I150" s="17"/>
    </row>
    <row r="151" spans="2:9" ht="18">
      <c r="B151" s="96" t="s">
        <v>647</v>
      </c>
      <c r="C151" s="37" t="s">
        <v>1128</v>
      </c>
      <c r="D151" s="37" t="s">
        <v>123</v>
      </c>
      <c r="E151" s="265">
        <v>48.997146634005297</v>
      </c>
      <c r="F151" s="265">
        <v>-54.899854148613699</v>
      </c>
      <c r="G151" s="37" t="s">
        <v>1277</v>
      </c>
      <c r="H151" s="17"/>
      <c r="I151" s="17"/>
    </row>
    <row r="152" spans="2:9" ht="18">
      <c r="B152" s="165" t="s">
        <v>692</v>
      </c>
      <c r="C152" s="37" t="s">
        <v>1078</v>
      </c>
      <c r="D152" s="37" t="s">
        <v>101</v>
      </c>
      <c r="E152" s="265">
        <v>49.744014748907603</v>
      </c>
      <c r="F152" s="265">
        <v>-57.918162201934301</v>
      </c>
      <c r="G152" s="37" t="s">
        <v>1277</v>
      </c>
      <c r="H152" s="17"/>
      <c r="I152" s="17"/>
    </row>
    <row r="153" spans="2:9" ht="18">
      <c r="B153" s="96" t="s">
        <v>661</v>
      </c>
      <c r="C153" s="37" t="s">
        <v>1052</v>
      </c>
      <c r="D153" s="37" t="s">
        <v>123</v>
      </c>
      <c r="E153" s="265">
        <v>47.093694338467898</v>
      </c>
      <c r="F153" s="265">
        <v>-55.203096679515802</v>
      </c>
      <c r="G153" s="37" t="s">
        <v>1277</v>
      </c>
      <c r="H153" s="17"/>
      <c r="I153" s="17"/>
    </row>
    <row r="154" spans="2:9" ht="18">
      <c r="B154" s="96" t="s">
        <v>1147</v>
      </c>
      <c r="C154" s="37" t="s">
        <v>1000</v>
      </c>
      <c r="D154" s="37" t="s">
        <v>123</v>
      </c>
      <c r="E154" s="265">
        <v>48.890993999999999</v>
      </c>
      <c r="F154" s="265">
        <v>-55.822780199999997</v>
      </c>
      <c r="G154" s="37" t="s">
        <v>1277</v>
      </c>
      <c r="H154" s="17"/>
      <c r="I154" s="17"/>
    </row>
    <row r="155" spans="2:9" ht="18">
      <c r="B155" s="96" t="s">
        <v>709</v>
      </c>
      <c r="C155" s="37" t="s">
        <v>1249</v>
      </c>
      <c r="D155" s="37" t="s">
        <v>123</v>
      </c>
      <c r="E155" s="265">
        <v>47.457025128359902</v>
      </c>
      <c r="F155" s="265">
        <v>-53.067730452916798</v>
      </c>
      <c r="G155" s="37" t="s">
        <v>1277</v>
      </c>
      <c r="H155" s="17"/>
      <c r="I155" s="17"/>
    </row>
    <row r="156" spans="2:9" ht="18">
      <c r="B156" s="165" t="s">
        <v>701</v>
      </c>
      <c r="C156" s="37" t="s">
        <v>1089</v>
      </c>
      <c r="D156" s="37" t="s">
        <v>123</v>
      </c>
      <c r="E156" s="265">
        <v>49.917892688791099</v>
      </c>
      <c r="F156" s="265">
        <v>-56.240031861381802</v>
      </c>
      <c r="G156" s="37" t="s">
        <v>1277</v>
      </c>
      <c r="H156" s="17"/>
      <c r="I156" s="17"/>
    </row>
    <row r="157" spans="2:9" ht="18">
      <c r="B157" s="130" t="s">
        <v>800</v>
      </c>
      <c r="C157" s="37" t="s">
        <v>1129</v>
      </c>
      <c r="D157" s="37" t="s">
        <v>101</v>
      </c>
      <c r="E157" s="265">
        <v>47.417932569324101</v>
      </c>
      <c r="F157" s="265">
        <v>-52.979453453559103</v>
      </c>
      <c r="G157" s="37" t="s">
        <v>1277</v>
      </c>
      <c r="H157" s="17"/>
      <c r="I157" s="17"/>
    </row>
    <row r="158" spans="2:9" ht="18">
      <c r="B158" s="165" t="s">
        <v>793</v>
      </c>
      <c r="C158" s="37" t="s">
        <v>1074</v>
      </c>
      <c r="D158" s="37" t="s">
        <v>101</v>
      </c>
      <c r="E158" s="265">
        <v>49.410653318199302</v>
      </c>
      <c r="F158" s="265">
        <v>-56.080871677100497</v>
      </c>
      <c r="G158" s="37" t="s">
        <v>1277</v>
      </c>
      <c r="H158" s="17"/>
      <c r="I158" s="17"/>
    </row>
    <row r="159" spans="2:9" ht="18">
      <c r="B159" s="165" t="s">
        <v>685</v>
      </c>
      <c r="C159" s="37" t="s">
        <v>1073</v>
      </c>
      <c r="D159" s="37" t="s">
        <v>123</v>
      </c>
      <c r="E159" s="265">
        <v>49.517088963533801</v>
      </c>
      <c r="F159" s="265">
        <v>-56.106777507644601</v>
      </c>
      <c r="G159" s="37" t="s">
        <v>1277</v>
      </c>
      <c r="H159" s="17"/>
      <c r="I159" s="17"/>
    </row>
    <row r="160" spans="2:9" ht="18">
      <c r="B160" s="96" t="s">
        <v>822</v>
      </c>
      <c r="C160" s="37" t="s">
        <v>1016</v>
      </c>
      <c r="D160" s="37" t="s">
        <v>123</v>
      </c>
      <c r="E160" s="265">
        <v>47.5236201009414</v>
      </c>
      <c r="F160" s="265">
        <v>-53.280477530225902</v>
      </c>
      <c r="G160" s="37" t="s">
        <v>1277</v>
      </c>
      <c r="H160" s="17"/>
      <c r="I160" s="17"/>
    </row>
    <row r="161" spans="2:9" ht="18">
      <c r="B161" s="165" t="s">
        <v>738</v>
      </c>
      <c r="C161" s="37" t="s">
        <v>1002</v>
      </c>
      <c r="D161" s="37" t="s">
        <v>101</v>
      </c>
      <c r="E161" s="265">
        <v>51.384413517436201</v>
      </c>
      <c r="F161" s="265">
        <v>-55.591056527399097</v>
      </c>
      <c r="G161" s="37" t="s">
        <v>1277</v>
      </c>
      <c r="H161" s="17"/>
      <c r="I161" s="17"/>
    </row>
    <row r="162" spans="2:9" ht="18">
      <c r="B162" s="165" t="s">
        <v>699</v>
      </c>
      <c r="C162" s="37" t="s">
        <v>1087</v>
      </c>
      <c r="D162" s="37" t="s">
        <v>101</v>
      </c>
      <c r="E162" s="265">
        <v>51.375527248256397</v>
      </c>
      <c r="F162" s="265">
        <v>-56.094031799244704</v>
      </c>
      <c r="G162" s="37" t="s">
        <v>1277</v>
      </c>
      <c r="H162" s="17"/>
      <c r="I162" s="17"/>
    </row>
    <row r="163" spans="2:9" ht="18">
      <c r="B163" s="96" t="s">
        <v>851</v>
      </c>
      <c r="C163" s="37" t="s">
        <v>1030</v>
      </c>
      <c r="D163" s="37" t="s">
        <v>123</v>
      </c>
      <c r="E163" s="265">
        <v>47.553516830035797</v>
      </c>
      <c r="F163" s="265">
        <v>-52.711620837254998</v>
      </c>
      <c r="G163" s="37" t="s">
        <v>1277</v>
      </c>
      <c r="H163" s="17"/>
      <c r="I163" s="17"/>
    </row>
    <row r="164" spans="2:9" ht="18">
      <c r="B164" s="96" t="s">
        <v>671</v>
      </c>
      <c r="C164" s="37" t="s">
        <v>1108</v>
      </c>
      <c r="D164" s="37" t="s">
        <v>123</v>
      </c>
      <c r="E164" s="265">
        <v>47.165899030334003</v>
      </c>
      <c r="F164" s="265">
        <v>-53.431181523950301</v>
      </c>
      <c r="G164" s="37" t="s">
        <v>1277</v>
      </c>
      <c r="H164" s="17"/>
      <c r="I164" s="17"/>
    </row>
    <row r="165" spans="2:9" ht="18">
      <c r="B165" s="96" t="s">
        <v>623</v>
      </c>
      <c r="C165" s="37" t="s">
        <v>1009</v>
      </c>
      <c r="D165" s="37" t="s">
        <v>123</v>
      </c>
      <c r="E165" s="265">
        <v>48.422382055129297</v>
      </c>
      <c r="F165" s="265">
        <v>-58.4746365392661</v>
      </c>
      <c r="G165" s="37" t="s">
        <v>1277</v>
      </c>
      <c r="H165" s="17"/>
      <c r="I165" s="17"/>
    </row>
    <row r="166" spans="2:9" ht="18">
      <c r="B166" s="96" t="s">
        <v>625</v>
      </c>
      <c r="C166" s="37" t="s">
        <v>1011</v>
      </c>
      <c r="D166" s="37" t="s">
        <v>123</v>
      </c>
      <c r="E166" s="265">
        <v>47.560740280807899</v>
      </c>
      <c r="F166" s="265">
        <v>-52.7402534719808</v>
      </c>
      <c r="G166" s="37" t="s">
        <v>1277</v>
      </c>
      <c r="H166" s="17"/>
      <c r="I166" s="17"/>
    </row>
    <row r="167" spans="2:9" ht="18">
      <c r="B167" s="165" t="s">
        <v>740</v>
      </c>
      <c r="C167" s="37" t="s">
        <v>1003</v>
      </c>
      <c r="D167" s="37" t="s">
        <v>101</v>
      </c>
      <c r="E167" s="265">
        <v>48.552250000000001</v>
      </c>
      <c r="F167" s="265">
        <v>-57.205666700000002</v>
      </c>
      <c r="G167" s="37" t="s">
        <v>1277</v>
      </c>
      <c r="H167" s="17"/>
      <c r="I167" s="17"/>
    </row>
    <row r="168" spans="2:9" ht="18">
      <c r="B168" s="96" t="s">
        <v>670</v>
      </c>
      <c r="C168" s="37" t="s">
        <v>999</v>
      </c>
      <c r="D168" s="37" t="s">
        <v>855</v>
      </c>
      <c r="E168" s="265">
        <v>48.53557026</v>
      </c>
      <c r="F168" s="265">
        <v>-58.517717619999999</v>
      </c>
      <c r="G168" s="37" t="s">
        <v>1277</v>
      </c>
      <c r="H168" s="17"/>
      <c r="I168" s="17"/>
    </row>
    <row r="169" spans="2:9" ht="18">
      <c r="B169" s="165" t="s">
        <v>729</v>
      </c>
      <c r="C169" s="37" t="s">
        <v>1061</v>
      </c>
      <c r="D169" s="37" t="s">
        <v>123</v>
      </c>
      <c r="E169" s="265">
        <v>48.514661466768501</v>
      </c>
      <c r="F169" s="265">
        <v>-58.450533231111699</v>
      </c>
      <c r="G169" s="37" t="s">
        <v>1277</v>
      </c>
      <c r="H169" s="17"/>
      <c r="I169" s="17"/>
    </row>
    <row r="170" spans="2:9" ht="18">
      <c r="B170" s="165" t="s">
        <v>655</v>
      </c>
      <c r="C170" s="37" t="s">
        <v>1133</v>
      </c>
      <c r="D170" s="37" t="s">
        <v>101</v>
      </c>
      <c r="E170" s="265">
        <v>48.921780787621202</v>
      </c>
      <c r="F170" s="265">
        <v>-55.670872173535102</v>
      </c>
      <c r="G170" s="37" t="s">
        <v>1277</v>
      </c>
      <c r="H170" s="17"/>
      <c r="I170" s="17"/>
    </row>
    <row r="171" spans="2:9" ht="18">
      <c r="B171" s="130" t="s">
        <v>1136</v>
      </c>
      <c r="C171" s="37" t="s">
        <v>1137</v>
      </c>
      <c r="D171" s="37" t="s">
        <v>101</v>
      </c>
      <c r="E171" s="265">
        <v>51.403950679141303</v>
      </c>
      <c r="F171" s="265">
        <v>-56.7899612592701</v>
      </c>
      <c r="G171" s="37" t="s">
        <v>1135</v>
      </c>
      <c r="H171" s="17"/>
      <c r="I171" s="17" t="s">
        <v>1158</v>
      </c>
    </row>
    <row r="172" spans="2:9" ht="18">
      <c r="B172" s="96" t="s">
        <v>658</v>
      </c>
      <c r="C172" s="37" t="s">
        <v>1048</v>
      </c>
      <c r="D172" s="37" t="s">
        <v>123</v>
      </c>
      <c r="E172" s="265">
        <v>49.497438887732301</v>
      </c>
      <c r="F172" s="265">
        <v>-54.777368563191402</v>
      </c>
      <c r="G172" s="37" t="s">
        <v>1277</v>
      </c>
      <c r="H172" s="17"/>
      <c r="I172" s="17"/>
    </row>
    <row r="173" spans="2:9" ht="18">
      <c r="B173" s="96" t="s">
        <v>823</v>
      </c>
      <c r="C173" s="37" t="s">
        <v>1130</v>
      </c>
      <c r="D173" s="37" t="s">
        <v>123</v>
      </c>
      <c r="E173" s="265">
        <v>48.388908270275103</v>
      </c>
      <c r="F173" s="265">
        <v>-53.640918305825203</v>
      </c>
      <c r="G173" s="37" t="s">
        <v>1277</v>
      </c>
      <c r="H173" s="17"/>
      <c r="I173" s="17"/>
    </row>
    <row r="174" spans="2:9" ht="18">
      <c r="B174" s="96" t="s">
        <v>643</v>
      </c>
      <c r="C174" s="37" t="s">
        <v>1131</v>
      </c>
      <c r="D174" s="37" t="s">
        <v>123</v>
      </c>
      <c r="E174" s="265">
        <v>47.8511407881347</v>
      </c>
      <c r="F174" s="265">
        <v>-53.951217299131898</v>
      </c>
      <c r="G174" s="37" t="s">
        <v>1277</v>
      </c>
      <c r="H174" s="17"/>
      <c r="I174" s="17"/>
    </row>
    <row r="175" spans="2:9" ht="18">
      <c r="B175" s="96" t="s">
        <v>824</v>
      </c>
      <c r="C175" s="37" t="s">
        <v>1045</v>
      </c>
      <c r="D175" s="37" t="s">
        <v>123</v>
      </c>
      <c r="E175" s="265">
        <v>48.495332625935703</v>
      </c>
      <c r="F175" s="265">
        <v>-54.246175780841</v>
      </c>
      <c r="G175" s="37" t="s">
        <v>1277</v>
      </c>
      <c r="H175" s="17"/>
      <c r="I175" s="17"/>
    </row>
    <row r="176" spans="2:9" ht="18">
      <c r="B176" s="96" t="s">
        <v>707</v>
      </c>
      <c r="C176" s="37" t="s">
        <v>1004</v>
      </c>
      <c r="D176" s="37" t="s">
        <v>123</v>
      </c>
      <c r="E176" s="265">
        <v>47.210652600000003</v>
      </c>
      <c r="F176" s="265">
        <v>-52.848292999999998</v>
      </c>
      <c r="G176" s="37" t="s">
        <v>1277</v>
      </c>
      <c r="H176" s="17"/>
      <c r="I176" s="17"/>
    </row>
    <row r="177" spans="1:9" ht="18">
      <c r="B177" s="96" t="s">
        <v>714</v>
      </c>
      <c r="C177" s="37" t="s">
        <v>1098</v>
      </c>
      <c r="D177" s="37" t="s">
        <v>123</v>
      </c>
      <c r="E177" s="265">
        <v>46.756628588106103</v>
      </c>
      <c r="F177" s="265">
        <v>-53.378095075158697</v>
      </c>
      <c r="G177" s="37" t="s">
        <v>1277</v>
      </c>
      <c r="H177" s="17"/>
      <c r="I177" s="17"/>
    </row>
    <row r="178" spans="1:9" ht="18">
      <c r="B178" s="96" t="s">
        <v>825</v>
      </c>
      <c r="C178" s="37" t="s">
        <v>1132</v>
      </c>
      <c r="D178" s="37" t="s">
        <v>123</v>
      </c>
      <c r="E178" s="265">
        <v>49.0046825722115</v>
      </c>
      <c r="F178" s="265">
        <v>-53.904443834697403</v>
      </c>
      <c r="G178" s="37" t="s">
        <v>1277</v>
      </c>
      <c r="H178" s="17"/>
      <c r="I178" s="17"/>
    </row>
    <row r="179" spans="1:9" ht="18">
      <c r="B179" s="96" t="s">
        <v>721</v>
      </c>
      <c r="C179" s="37" t="s">
        <v>1103</v>
      </c>
      <c r="D179" s="37" t="s">
        <v>123</v>
      </c>
      <c r="E179" s="265">
        <v>49.643853854266503</v>
      </c>
      <c r="F179" s="265">
        <v>-54.747667132938901</v>
      </c>
      <c r="G179" s="37" t="s">
        <v>1277</v>
      </c>
      <c r="H179" s="17"/>
      <c r="I179" s="17"/>
    </row>
    <row r="180" spans="1:9" ht="18">
      <c r="B180" s="96" t="s">
        <v>826</v>
      </c>
      <c r="C180" s="37" t="s">
        <v>1026</v>
      </c>
      <c r="D180" s="37" t="s">
        <v>123</v>
      </c>
      <c r="E180" s="265">
        <v>47.643160800843901</v>
      </c>
      <c r="F180" s="265">
        <v>-53.242949221097099</v>
      </c>
      <c r="G180" s="37" t="s">
        <v>1277</v>
      </c>
      <c r="H180" s="17"/>
      <c r="I180" s="17"/>
    </row>
    <row r="181" spans="1:9" ht="18">
      <c r="B181" s="165" t="s">
        <v>703</v>
      </c>
      <c r="C181" s="37" t="s">
        <v>1005</v>
      </c>
      <c r="D181" s="37" t="s">
        <v>101</v>
      </c>
      <c r="E181" s="265">
        <v>48.183489700000003</v>
      </c>
      <c r="F181" s="265">
        <v>-56.172486399999997</v>
      </c>
      <c r="G181" s="37" t="s">
        <v>1277</v>
      </c>
      <c r="H181" s="17"/>
      <c r="I181" s="17"/>
    </row>
    <row r="182" spans="1:9" ht="18">
      <c r="B182" s="96" t="s">
        <v>710</v>
      </c>
      <c r="C182" s="37" t="s">
        <v>1134</v>
      </c>
      <c r="D182" s="37" t="s">
        <v>123</v>
      </c>
      <c r="E182" s="265">
        <v>47.774473901965003</v>
      </c>
      <c r="F182" s="265">
        <v>-53.215558544111701</v>
      </c>
      <c r="G182" s="37" t="s">
        <v>1277</v>
      </c>
      <c r="H182" s="17"/>
      <c r="I182" s="17"/>
    </row>
    <row r="183" spans="1:9" ht="18">
      <c r="B183" s="96" t="s">
        <v>637</v>
      </c>
      <c r="C183" s="37" t="s">
        <v>1027</v>
      </c>
      <c r="D183" s="37" t="s">
        <v>123</v>
      </c>
      <c r="E183" s="265">
        <v>47.614923801663203</v>
      </c>
      <c r="F183" s="265">
        <v>-52.702826990005498</v>
      </c>
      <c r="G183" s="37" t="s">
        <v>1277</v>
      </c>
      <c r="H183" s="17"/>
      <c r="I183" s="17"/>
    </row>
    <row r="184" spans="1:9" ht="18">
      <c r="B184" s="130" t="s">
        <v>802</v>
      </c>
      <c r="C184" s="37" t="s">
        <v>1110</v>
      </c>
      <c r="D184" s="37" t="s">
        <v>101</v>
      </c>
      <c r="E184" s="265">
        <v>52.9320689870137</v>
      </c>
      <c r="F184" s="265">
        <v>-66.884631469730706</v>
      </c>
      <c r="G184" s="37" t="s">
        <v>1135</v>
      </c>
      <c r="H184" s="17"/>
      <c r="I184" s="17"/>
    </row>
    <row r="185" spans="1:9" ht="18">
      <c r="B185" s="96" t="s">
        <v>666</v>
      </c>
      <c r="C185" s="37" t="s">
        <v>1055</v>
      </c>
      <c r="D185" s="37" t="s">
        <v>123</v>
      </c>
      <c r="E185" s="265">
        <v>48.9401676934392</v>
      </c>
      <c r="F185" s="265">
        <v>-57.971537063355399</v>
      </c>
      <c r="G185" s="37" t="s">
        <v>1277</v>
      </c>
      <c r="H185" s="17"/>
      <c r="I185" s="17"/>
    </row>
    <row r="186" spans="1:9" ht="18">
      <c r="B186" s="96" t="s">
        <v>663</v>
      </c>
      <c r="C186" s="37" t="s">
        <v>1250</v>
      </c>
      <c r="D186" s="37" t="s">
        <v>123</v>
      </c>
      <c r="E186" s="265">
        <v>46.951693812516197</v>
      </c>
      <c r="F186" s="265">
        <v>-55.534874810601401</v>
      </c>
      <c r="G186" s="37" t="s">
        <v>1277</v>
      </c>
      <c r="H186" s="17"/>
      <c r="I186" s="17"/>
    </row>
    <row r="187" spans="1:9" ht="18">
      <c r="B187" s="96" t="s">
        <v>717</v>
      </c>
      <c r="C187" s="37" t="s">
        <v>1251</v>
      </c>
      <c r="D187" s="37" t="s">
        <v>123</v>
      </c>
      <c r="E187" s="265">
        <v>49.121820999999997</v>
      </c>
      <c r="F187" s="265">
        <v>-53.599342999999998</v>
      </c>
      <c r="G187" s="37" t="s">
        <v>1277</v>
      </c>
      <c r="H187" s="17"/>
      <c r="I187" s="17"/>
    </row>
    <row r="188" spans="1:9" ht="18">
      <c r="B188" s="96" t="s">
        <v>641</v>
      </c>
      <c r="C188" s="37" t="s">
        <v>1029</v>
      </c>
      <c r="D188" s="37" t="s">
        <v>123</v>
      </c>
      <c r="E188" s="265">
        <v>47.516712991766703</v>
      </c>
      <c r="F188" s="265">
        <v>-53.684608832246298</v>
      </c>
      <c r="G188" s="37" t="s">
        <v>1277</v>
      </c>
      <c r="H188" s="17"/>
      <c r="I188" s="17"/>
    </row>
    <row r="189" spans="1:9" ht="18">
      <c r="B189" s="96" t="s">
        <v>672</v>
      </c>
      <c r="C189" s="37" t="s">
        <v>1106</v>
      </c>
      <c r="D189" s="37" t="s">
        <v>123</v>
      </c>
      <c r="E189" s="265">
        <v>48.569878727037398</v>
      </c>
      <c r="F189" s="265">
        <v>-58.527013730805301</v>
      </c>
      <c r="G189" s="37" t="s">
        <v>1277</v>
      </c>
      <c r="H189" s="17"/>
      <c r="I189" s="17"/>
    </row>
    <row r="190" spans="1:9" ht="18">
      <c r="B190" s="96" t="s">
        <v>887</v>
      </c>
      <c r="C190" s="37" t="s">
        <v>888</v>
      </c>
      <c r="D190" s="37" t="s">
        <v>123</v>
      </c>
      <c r="E190" s="265">
        <v>48.562367146111399</v>
      </c>
      <c r="F190" s="265">
        <v>-58.538410797630597</v>
      </c>
      <c r="G190" s="37" t="s">
        <v>1277</v>
      </c>
      <c r="H190" s="17"/>
      <c r="I190" s="17"/>
    </row>
    <row r="191" spans="1:9" ht="18">
      <c r="B191" s="165" t="s">
        <v>689</v>
      </c>
      <c r="C191" s="37" t="s">
        <v>1077</v>
      </c>
      <c r="D191" s="37" t="s">
        <v>101</v>
      </c>
      <c r="E191" s="265">
        <v>49.383706584970497</v>
      </c>
      <c r="F191" s="265">
        <v>-57.5859046059051</v>
      </c>
      <c r="G191" s="37" t="s">
        <v>1277</v>
      </c>
      <c r="H191" s="17"/>
      <c r="I191" s="17"/>
    </row>
    <row r="192" spans="1:9" s="114" customFormat="1" ht="18">
      <c r="A192" s="148"/>
      <c r="D192"/>
      <c r="E192"/>
      <c r="F192"/>
      <c r="G192"/>
      <c r="H192"/>
      <c r="I192"/>
    </row>
    <row r="193" spans="1:14">
      <c r="B193" s="114"/>
      <c r="C193" s="114"/>
      <c r="D193"/>
      <c r="E193"/>
      <c r="F193"/>
      <c r="G193"/>
      <c r="H193"/>
      <c r="I193"/>
    </row>
    <row r="194" spans="1:14" ht="18">
      <c r="A194" s="1" t="s">
        <v>919</v>
      </c>
      <c r="B194" s="195"/>
      <c r="C194" s="195"/>
      <c r="N194" s="242"/>
    </row>
    <row r="195" spans="1:14" ht="18">
      <c r="A195" s="4" t="s">
        <v>1282</v>
      </c>
      <c r="B195" s="195"/>
      <c r="C195" s="195"/>
      <c r="N195" s="242"/>
    </row>
    <row r="196" spans="1:14" ht="18">
      <c r="A196" s="4" t="s">
        <v>1224</v>
      </c>
      <c r="B196" s="195"/>
      <c r="C196" s="195"/>
      <c r="N196" s="242"/>
    </row>
    <row r="197" spans="1:14" ht="18">
      <c r="A197" s="4" t="s">
        <v>1143</v>
      </c>
      <c r="B197" s="195"/>
      <c r="C197" s="195"/>
      <c r="N197" s="242"/>
    </row>
    <row r="198" spans="1:14" ht="18">
      <c r="A198" s="4" t="s">
        <v>1140</v>
      </c>
      <c r="B198" s="195"/>
      <c r="C198" s="195"/>
      <c r="N198" s="242"/>
    </row>
    <row r="199" spans="1:14" ht="18">
      <c r="A199" s="4" t="s">
        <v>1145</v>
      </c>
      <c r="B199" s="195"/>
      <c r="C199" s="195"/>
      <c r="N199" s="242"/>
    </row>
    <row r="200" spans="1:14" ht="18">
      <c r="A200" s="4" t="s">
        <v>1283</v>
      </c>
      <c r="B200" s="195"/>
      <c r="C200" s="195"/>
      <c r="N200" s="242"/>
    </row>
    <row r="201" spans="1:14" ht="18">
      <c r="A201" s="4" t="s">
        <v>1284</v>
      </c>
      <c r="B201" s="195"/>
      <c r="C201" s="195"/>
      <c r="N201" s="242"/>
    </row>
    <row r="202" spans="1:14" ht="18">
      <c r="A202" s="4" t="s">
        <v>1144</v>
      </c>
      <c r="B202" s="195"/>
      <c r="C202" s="195"/>
      <c r="N202" s="242"/>
    </row>
    <row r="203" spans="1:14" ht="18">
      <c r="A203" s="4" t="s">
        <v>920</v>
      </c>
      <c r="B203" s="195"/>
      <c r="C203" s="195"/>
      <c r="N203" s="242"/>
    </row>
    <row r="204" spans="1:14" ht="18">
      <c r="A204" s="4" t="s">
        <v>1285</v>
      </c>
      <c r="B204" s="195"/>
      <c r="C204" s="195"/>
      <c r="I204" s="44"/>
      <c r="L204" s="44"/>
      <c r="M204" s="44"/>
      <c r="N204" s="44"/>
    </row>
    <row r="205" spans="1:14" ht="18">
      <c r="A205" s="4" t="s">
        <v>1141</v>
      </c>
      <c r="B205" s="195"/>
      <c r="C205" s="195"/>
      <c r="N205" s="242"/>
    </row>
    <row r="206" spans="1:14" ht="18">
      <c r="A206" s="4" t="s">
        <v>1286</v>
      </c>
      <c r="B206" s="195"/>
      <c r="C206" s="195"/>
      <c r="I206" s="44"/>
      <c r="L206" s="44"/>
      <c r="M206" s="44"/>
      <c r="N206" s="44"/>
    </row>
    <row r="207" spans="1:14" ht="18">
      <c r="A207" s="4" t="s">
        <v>1142</v>
      </c>
      <c r="B207" s="195"/>
      <c r="C207" s="195"/>
      <c r="N207" s="242"/>
    </row>
    <row r="208" spans="1:14" s="114" customFormat="1">
      <c r="A208" s="195"/>
      <c r="D208"/>
      <c r="E208"/>
      <c r="F208"/>
      <c r="G208"/>
      <c r="H208"/>
      <c r="I208"/>
    </row>
    <row r="209" spans="1:22" s="114" customFormat="1" ht="18">
      <c r="A209" s="195"/>
      <c r="D209"/>
      <c r="E209"/>
      <c r="F209"/>
      <c r="G209"/>
      <c r="H209"/>
      <c r="I209"/>
      <c r="J209" s="24"/>
      <c r="K209" s="24"/>
      <c r="L209" s="29"/>
      <c r="M209" s="29"/>
      <c r="O209" s="29"/>
      <c r="P209" s="24"/>
      <c r="Q209" s="24"/>
      <c r="R209" s="29"/>
      <c r="S209" s="24"/>
      <c r="T209" s="29"/>
      <c r="U209" s="29"/>
      <c r="V209" s="4"/>
    </row>
    <row r="210" spans="1:22" s="114" customFormat="1" ht="18">
      <c r="A210" s="195"/>
      <c r="D210"/>
      <c r="E210"/>
      <c r="F210"/>
      <c r="G210"/>
      <c r="H210"/>
      <c r="I210"/>
      <c r="J210" s="24"/>
      <c r="K210" s="24"/>
      <c r="L210" s="29"/>
      <c r="M210" s="29"/>
      <c r="O210" s="29"/>
      <c r="P210" s="24"/>
      <c r="Q210" s="24"/>
      <c r="R210" s="29"/>
      <c r="S210" s="24"/>
      <c r="T210" s="29"/>
      <c r="U210" s="29"/>
      <c r="V210" s="4"/>
    </row>
    <row r="211" spans="1:22">
      <c r="B211" s="114"/>
      <c r="C211" s="114"/>
      <c r="D211"/>
      <c r="E211"/>
      <c r="F211"/>
      <c r="G211"/>
      <c r="H211"/>
      <c r="I211"/>
    </row>
    <row r="212" spans="1:22">
      <c r="B212" s="114"/>
      <c r="C212" s="114"/>
      <c r="D212"/>
      <c r="E212"/>
      <c r="F212"/>
      <c r="G212"/>
      <c r="H212"/>
      <c r="I212"/>
    </row>
    <row r="213" spans="1:22">
      <c r="B213" s="114"/>
      <c r="C213" s="114"/>
      <c r="D213"/>
      <c r="E213"/>
      <c r="F213"/>
      <c r="G213"/>
      <c r="H213"/>
      <c r="I213"/>
    </row>
    <row r="214" spans="1:22">
      <c r="B214" s="114"/>
      <c r="C214" s="114"/>
      <c r="D214"/>
      <c r="E214"/>
      <c r="F214"/>
      <c r="G214"/>
      <c r="H214"/>
      <c r="I214"/>
    </row>
    <row r="215" spans="1:22">
      <c r="B215" s="114"/>
      <c r="C215" s="114"/>
      <c r="D215"/>
      <c r="E215"/>
      <c r="F215"/>
      <c r="G215"/>
      <c r="H215"/>
      <c r="I215"/>
    </row>
    <row r="216" spans="1:22">
      <c r="B216" s="114"/>
      <c r="C216" s="114"/>
      <c r="D216"/>
      <c r="E216"/>
      <c r="F216"/>
      <c r="G216"/>
      <c r="H216"/>
      <c r="I216"/>
    </row>
    <row r="217" spans="1:22">
      <c r="B217" s="114"/>
      <c r="C217" s="114"/>
      <c r="D217"/>
      <c r="E217"/>
      <c r="F217"/>
      <c r="G217"/>
      <c r="H217"/>
      <c r="I217"/>
    </row>
    <row r="218" spans="1:22">
      <c r="B218" s="114"/>
      <c r="C218" s="114"/>
      <c r="D218"/>
      <c r="E218"/>
      <c r="F218"/>
      <c r="G218"/>
      <c r="H218"/>
      <c r="I218"/>
    </row>
    <row r="219" spans="1:22">
      <c r="B219" s="114"/>
      <c r="C219" s="114"/>
      <c r="D219"/>
      <c r="E219"/>
      <c r="F219"/>
      <c r="G219"/>
      <c r="H219"/>
      <c r="I219"/>
    </row>
    <row r="220" spans="1:22">
      <c r="B220" s="114"/>
      <c r="C220" s="114"/>
      <c r="D220"/>
      <c r="E220"/>
      <c r="F220"/>
      <c r="G220"/>
      <c r="H220"/>
      <c r="I220"/>
    </row>
    <row r="221" spans="1:22">
      <c r="B221" s="114"/>
      <c r="C221" s="114"/>
      <c r="D221"/>
      <c r="E221"/>
      <c r="F221"/>
      <c r="G221"/>
      <c r="H221"/>
      <c r="I221"/>
    </row>
    <row r="222" spans="1:22">
      <c r="B222" s="114"/>
      <c r="C222" s="114"/>
      <c r="D222"/>
      <c r="E222"/>
      <c r="F222"/>
      <c r="G222"/>
      <c r="H222"/>
      <c r="I222"/>
    </row>
    <row r="223" spans="1:22">
      <c r="B223" s="114"/>
      <c r="C223" s="114"/>
      <c r="D223"/>
      <c r="E223"/>
      <c r="F223"/>
      <c r="G223"/>
      <c r="H223"/>
      <c r="I223"/>
    </row>
    <row r="224" spans="1:22">
      <c r="B224" s="114"/>
      <c r="C224" s="114"/>
      <c r="D224"/>
      <c r="E224"/>
      <c r="F224"/>
      <c r="G224"/>
      <c r="H224"/>
      <c r="I224"/>
    </row>
    <row r="225" spans="2:9">
      <c r="B225" s="114"/>
      <c r="C225" s="114"/>
      <c r="D225"/>
      <c r="E225"/>
      <c r="F225"/>
      <c r="G225"/>
      <c r="H225"/>
      <c r="I225"/>
    </row>
    <row r="226" spans="2:9">
      <c r="B226" s="114"/>
      <c r="C226" s="114"/>
      <c r="D226"/>
      <c r="E226"/>
      <c r="F226"/>
      <c r="G226"/>
      <c r="H226"/>
      <c r="I226"/>
    </row>
    <row r="227" spans="2:9">
      <c r="B227" s="114"/>
      <c r="C227" s="114"/>
      <c r="D227"/>
      <c r="E227"/>
      <c r="F227"/>
      <c r="G227"/>
      <c r="H227"/>
      <c r="I227"/>
    </row>
    <row r="228" spans="2:9">
      <c r="B228" s="114"/>
      <c r="C228" s="114"/>
      <c r="D228"/>
      <c r="E228"/>
      <c r="F228"/>
      <c r="G228"/>
      <c r="H228"/>
      <c r="I228"/>
    </row>
    <row r="229" spans="2:9">
      <c r="B229" s="114"/>
      <c r="C229" s="114"/>
      <c r="D229"/>
      <c r="E229"/>
      <c r="F229"/>
      <c r="G229"/>
      <c r="H229"/>
      <c r="I229"/>
    </row>
    <row r="230" spans="2:9">
      <c r="B230" s="114"/>
      <c r="C230" s="114"/>
      <c r="D230"/>
      <c r="E230"/>
      <c r="F230"/>
      <c r="G230"/>
      <c r="H230"/>
      <c r="I230"/>
    </row>
    <row r="231" spans="2:9">
      <c r="B231" s="114"/>
      <c r="C231" s="114"/>
      <c r="D231"/>
      <c r="E231"/>
      <c r="F231"/>
      <c r="G231"/>
      <c r="H231"/>
      <c r="I231"/>
    </row>
    <row r="232" spans="2:9">
      <c r="B232" s="114"/>
      <c r="C232" s="114"/>
      <c r="D232"/>
      <c r="E232"/>
      <c r="F232"/>
      <c r="G232"/>
      <c r="H232"/>
      <c r="I232"/>
    </row>
    <row r="233" spans="2:9">
      <c r="B233" s="114"/>
      <c r="C233" s="114"/>
      <c r="D233"/>
      <c r="E233"/>
      <c r="F233"/>
      <c r="G233"/>
      <c r="H233"/>
      <c r="I233"/>
    </row>
    <row r="234" spans="2:9">
      <c r="B234" s="114"/>
      <c r="C234" s="114"/>
      <c r="D234"/>
      <c r="E234"/>
      <c r="F234"/>
      <c r="G234"/>
      <c r="H234"/>
      <c r="I234"/>
    </row>
    <row r="235" spans="2:9">
      <c r="B235" s="114"/>
      <c r="C235" s="114"/>
      <c r="D235"/>
      <c r="E235"/>
      <c r="F235"/>
      <c r="G235"/>
      <c r="H235"/>
      <c r="I235"/>
    </row>
    <row r="236" spans="2:9">
      <c r="B236" s="114"/>
      <c r="C236" s="114"/>
      <c r="D236"/>
      <c r="E236"/>
      <c r="F236"/>
      <c r="G236"/>
      <c r="H236"/>
      <c r="I236"/>
    </row>
    <row r="237" spans="2:9">
      <c r="B237" s="114"/>
      <c r="C237" s="114"/>
      <c r="D237"/>
      <c r="E237"/>
      <c r="F237"/>
      <c r="G237"/>
      <c r="H237"/>
      <c r="I237"/>
    </row>
    <row r="238" spans="2:9">
      <c r="B238" s="114"/>
      <c r="C238" s="114"/>
      <c r="D238"/>
      <c r="E238"/>
      <c r="F238"/>
      <c r="G238"/>
      <c r="H238"/>
      <c r="I238"/>
    </row>
    <row r="239" spans="2:9">
      <c r="B239" s="114"/>
      <c r="C239" s="114"/>
      <c r="D239"/>
      <c r="E239"/>
      <c r="F239"/>
      <c r="G239"/>
      <c r="H239"/>
      <c r="I239"/>
    </row>
    <row r="240" spans="2:9">
      <c r="B240" s="114"/>
      <c r="C240" s="114"/>
      <c r="D240"/>
      <c r="E240"/>
      <c r="F240"/>
      <c r="G240"/>
      <c r="H240"/>
      <c r="I240"/>
    </row>
    <row r="241" spans="2:9">
      <c r="B241" s="114"/>
      <c r="C241" s="114"/>
      <c r="D241"/>
      <c r="E241"/>
      <c r="F241"/>
      <c r="G241"/>
      <c r="H241"/>
      <c r="I241"/>
    </row>
    <row r="242" spans="2:9">
      <c r="B242" s="114"/>
      <c r="C242" s="114"/>
      <c r="D242"/>
      <c r="E242"/>
      <c r="F242"/>
      <c r="G242"/>
      <c r="H242"/>
      <c r="I242"/>
    </row>
    <row r="243" spans="2:9">
      <c r="B243" s="114"/>
      <c r="C243" s="114"/>
      <c r="D243"/>
      <c r="E243"/>
      <c r="F243"/>
      <c r="G243"/>
      <c r="H243"/>
      <c r="I243"/>
    </row>
    <row r="244" spans="2:9">
      <c r="B244" s="114"/>
      <c r="C244" s="114"/>
      <c r="D244"/>
      <c r="E244"/>
      <c r="F244"/>
      <c r="G244"/>
      <c r="H244"/>
      <c r="I244"/>
    </row>
    <row r="245" spans="2:9">
      <c r="B245" s="114"/>
      <c r="C245" s="114"/>
      <c r="D245"/>
      <c r="E245"/>
      <c r="F245"/>
      <c r="G245"/>
      <c r="H245"/>
      <c r="I245"/>
    </row>
    <row r="246" spans="2:9">
      <c r="B246" s="114"/>
      <c r="C246" s="114"/>
      <c r="D246"/>
      <c r="E246"/>
      <c r="F246"/>
      <c r="G246"/>
      <c r="H246"/>
      <c r="I246"/>
    </row>
    <row r="247" spans="2:9">
      <c r="B247" s="114"/>
      <c r="C247" s="114"/>
      <c r="D247"/>
      <c r="E247"/>
      <c r="F247"/>
      <c r="G247"/>
      <c r="H247"/>
      <c r="I247"/>
    </row>
    <row r="248" spans="2:9">
      <c r="B248" s="114"/>
      <c r="C248" s="114"/>
      <c r="D248"/>
      <c r="E248"/>
      <c r="F248"/>
      <c r="G248"/>
      <c r="H248"/>
      <c r="I248"/>
    </row>
    <row r="249" spans="2:9">
      <c r="B249" s="114"/>
      <c r="C249" s="114"/>
      <c r="D249"/>
      <c r="E249"/>
      <c r="F249"/>
      <c r="G249"/>
      <c r="H249"/>
      <c r="I249"/>
    </row>
    <row r="250" spans="2:9">
      <c r="B250" s="114"/>
      <c r="C250" s="114"/>
      <c r="D250"/>
      <c r="E250"/>
      <c r="F250"/>
      <c r="G250"/>
      <c r="H250"/>
      <c r="I250"/>
    </row>
    <row r="251" spans="2:9">
      <c r="B251" s="114"/>
      <c r="C251" s="114"/>
      <c r="D251"/>
      <c r="E251"/>
      <c r="F251"/>
      <c r="G251"/>
      <c r="H251"/>
      <c r="I251"/>
    </row>
    <row r="252" spans="2:9">
      <c r="B252" s="114"/>
      <c r="C252" s="114"/>
      <c r="D252"/>
      <c r="E252"/>
      <c r="F252"/>
      <c r="G252"/>
      <c r="H252"/>
      <c r="I252"/>
    </row>
    <row r="253" spans="2:9">
      <c r="B253" s="114"/>
      <c r="C253" s="114"/>
      <c r="D253"/>
      <c r="E253"/>
      <c r="F253"/>
      <c r="G253"/>
      <c r="H253"/>
      <c r="I253"/>
    </row>
    <row r="254" spans="2:9">
      <c r="B254" s="114"/>
      <c r="C254" s="114"/>
      <c r="D254"/>
      <c r="E254"/>
      <c r="F254"/>
      <c r="G254"/>
      <c r="H254"/>
      <c r="I254"/>
    </row>
    <row r="255" spans="2:9">
      <c r="B255" s="114"/>
      <c r="C255" s="114"/>
      <c r="D255"/>
      <c r="E255"/>
      <c r="F255"/>
      <c r="G255"/>
      <c r="H255"/>
      <c r="I255"/>
    </row>
    <row r="256" spans="2:9">
      <c r="B256" s="114"/>
      <c r="C256" s="114"/>
      <c r="D256"/>
      <c r="E256"/>
      <c r="F256"/>
      <c r="G256"/>
      <c r="H256"/>
      <c r="I256"/>
    </row>
    <row r="257" spans="2:9">
      <c r="B257" s="114"/>
      <c r="C257" s="114"/>
      <c r="D257"/>
      <c r="E257"/>
      <c r="F257"/>
      <c r="G257"/>
      <c r="H257"/>
      <c r="I257"/>
    </row>
    <row r="258" spans="2:9">
      <c r="B258" s="114"/>
      <c r="C258" s="114"/>
      <c r="D258"/>
      <c r="E258"/>
      <c r="F258"/>
      <c r="G258"/>
      <c r="H258"/>
      <c r="I258"/>
    </row>
    <row r="259" spans="2:9">
      <c r="B259" s="114"/>
      <c r="C259" s="114"/>
      <c r="D259"/>
      <c r="E259"/>
      <c r="F259"/>
      <c r="G259"/>
      <c r="H259"/>
      <c r="I259"/>
    </row>
    <row r="260" spans="2:9">
      <c r="B260" s="114"/>
      <c r="C260" s="114"/>
      <c r="D260"/>
      <c r="E260"/>
      <c r="F260"/>
      <c r="G260"/>
      <c r="H260"/>
      <c r="I260"/>
    </row>
    <row r="261" spans="2:9">
      <c r="B261" s="114"/>
      <c r="C261" s="114"/>
      <c r="D261"/>
      <c r="E261"/>
      <c r="F261"/>
      <c r="G261"/>
      <c r="H261"/>
      <c r="I261"/>
    </row>
    <row r="262" spans="2:9">
      <c r="B262" s="114"/>
      <c r="C262" s="114"/>
      <c r="D262"/>
      <c r="E262"/>
      <c r="F262"/>
      <c r="G262"/>
      <c r="H262"/>
      <c r="I262"/>
    </row>
    <row r="263" spans="2:9">
      <c r="B263" s="114"/>
      <c r="C263" s="114"/>
      <c r="D263"/>
      <c r="E263"/>
      <c r="F263"/>
      <c r="G263"/>
      <c r="H263"/>
      <c r="I263"/>
    </row>
    <row r="264" spans="2:9">
      <c r="B264" s="114"/>
      <c r="C264" s="114"/>
      <c r="D264"/>
      <c r="E264"/>
      <c r="F264"/>
      <c r="G264"/>
      <c r="H264"/>
      <c r="I264"/>
    </row>
    <row r="265" spans="2:9">
      <c r="B265" s="114"/>
      <c r="C265" s="114"/>
      <c r="D265"/>
      <c r="E265"/>
      <c r="F265"/>
      <c r="G265"/>
      <c r="H265"/>
      <c r="I265"/>
    </row>
    <row r="266" spans="2:9">
      <c r="B266" s="114"/>
      <c r="C266" s="114"/>
      <c r="D266"/>
      <c r="E266"/>
      <c r="F266"/>
      <c r="G266"/>
      <c r="H266"/>
      <c r="I266"/>
    </row>
    <row r="267" spans="2:9">
      <c r="B267" s="114"/>
      <c r="C267" s="114"/>
      <c r="D267"/>
      <c r="E267"/>
      <c r="F267"/>
      <c r="G267"/>
      <c r="H267"/>
      <c r="I267"/>
    </row>
    <row r="268" spans="2:9">
      <c r="B268" s="114"/>
      <c r="C268" s="114"/>
      <c r="D268"/>
      <c r="E268"/>
      <c r="F268"/>
      <c r="G268"/>
      <c r="H268"/>
      <c r="I268"/>
    </row>
    <row r="269" spans="2:9">
      <c r="B269" s="114"/>
      <c r="C269" s="114"/>
      <c r="D269"/>
      <c r="E269"/>
      <c r="F269"/>
      <c r="G269"/>
      <c r="H269"/>
      <c r="I269"/>
    </row>
    <row r="270" spans="2:9">
      <c r="B270" s="114"/>
      <c r="C270" s="114"/>
      <c r="D270"/>
      <c r="E270"/>
      <c r="F270"/>
      <c r="G270"/>
      <c r="H270"/>
      <c r="I270"/>
    </row>
    <row r="271" spans="2:9">
      <c r="B271" s="114"/>
      <c r="C271" s="114"/>
      <c r="D271"/>
      <c r="E271"/>
      <c r="F271"/>
      <c r="G271"/>
      <c r="H271"/>
      <c r="I271"/>
    </row>
    <row r="272" spans="2:9">
      <c r="B272" s="114"/>
      <c r="C272" s="114"/>
      <c r="D272"/>
      <c r="E272"/>
      <c r="F272"/>
      <c r="G272"/>
      <c r="H272"/>
      <c r="I272"/>
    </row>
    <row r="273" spans="2:9">
      <c r="B273" s="114"/>
      <c r="C273" s="114"/>
      <c r="D273"/>
      <c r="E273"/>
      <c r="F273"/>
      <c r="G273"/>
      <c r="H273"/>
      <c r="I273"/>
    </row>
    <row r="274" spans="2:9">
      <c r="B274" s="114"/>
      <c r="C274" s="114"/>
      <c r="D274"/>
      <c r="E274"/>
      <c r="F274"/>
      <c r="G274"/>
      <c r="H274"/>
      <c r="I274"/>
    </row>
    <row r="275" spans="2:9">
      <c r="B275" s="114"/>
      <c r="C275" s="114"/>
      <c r="D275"/>
      <c r="E275"/>
      <c r="F275"/>
      <c r="G275"/>
      <c r="H275"/>
      <c r="I275"/>
    </row>
    <row r="276" spans="2:9">
      <c r="B276" s="114"/>
      <c r="C276" s="114"/>
      <c r="D276"/>
      <c r="E276"/>
      <c r="F276"/>
      <c r="G276"/>
      <c r="H276"/>
      <c r="I276"/>
    </row>
    <row r="277" spans="2:9">
      <c r="B277" s="114"/>
      <c r="C277" s="114"/>
      <c r="D277"/>
      <c r="E277"/>
      <c r="F277"/>
      <c r="G277"/>
      <c r="H277"/>
      <c r="I277"/>
    </row>
    <row r="278" spans="2:9">
      <c r="B278" s="114"/>
      <c r="C278" s="114"/>
      <c r="D278"/>
      <c r="E278"/>
      <c r="F278"/>
      <c r="G278"/>
      <c r="H278"/>
      <c r="I278"/>
    </row>
    <row r="279" spans="2:9">
      <c r="B279" s="114"/>
      <c r="C279" s="114"/>
      <c r="D279"/>
      <c r="E279"/>
      <c r="F279"/>
      <c r="G279"/>
      <c r="H279"/>
      <c r="I279"/>
    </row>
    <row r="280" spans="2:9">
      <c r="B280" s="114"/>
      <c r="C280" s="114"/>
      <c r="D280"/>
      <c r="E280"/>
      <c r="F280"/>
      <c r="G280"/>
      <c r="H280"/>
      <c r="I280"/>
    </row>
    <row r="281" spans="2:9">
      <c r="B281" s="114"/>
      <c r="C281" s="114"/>
      <c r="D281"/>
      <c r="E281"/>
      <c r="F281"/>
      <c r="G281"/>
      <c r="H281"/>
      <c r="I281"/>
    </row>
    <row r="282" spans="2:9">
      <c r="B282" s="114"/>
      <c r="C282" s="114"/>
      <c r="D282"/>
      <c r="E282"/>
      <c r="F282"/>
      <c r="G282"/>
      <c r="H282"/>
      <c r="I282"/>
    </row>
    <row r="283" spans="2:9">
      <c r="B283" s="114"/>
      <c r="C283" s="114"/>
      <c r="D283"/>
      <c r="E283"/>
      <c r="F283"/>
      <c r="G283"/>
      <c r="H283"/>
      <c r="I283"/>
    </row>
    <row r="284" spans="2:9">
      <c r="B284" s="114"/>
      <c r="C284" s="114"/>
      <c r="D284"/>
      <c r="E284"/>
      <c r="F284"/>
      <c r="G284"/>
      <c r="H284"/>
      <c r="I284"/>
    </row>
    <row r="285" spans="2:9">
      <c r="B285"/>
      <c r="C285"/>
      <c r="D285"/>
      <c r="E285"/>
      <c r="F285"/>
      <c r="G285"/>
      <c r="H285"/>
      <c r="I285"/>
    </row>
    <row r="286" spans="2:9">
      <c r="B286"/>
      <c r="C286"/>
      <c r="D286"/>
      <c r="E286"/>
      <c r="F286"/>
      <c r="G286"/>
      <c r="H286"/>
      <c r="I286"/>
    </row>
    <row r="287" spans="2:9">
      <c r="B287"/>
      <c r="C287"/>
      <c r="D287"/>
      <c r="E287"/>
      <c r="F287"/>
      <c r="G287"/>
      <c r="H287"/>
      <c r="I287"/>
    </row>
    <row r="288" spans="2:9">
      <c r="B288"/>
      <c r="C288"/>
      <c r="D288"/>
      <c r="E288"/>
      <c r="F288"/>
      <c r="G288"/>
      <c r="H288"/>
      <c r="I288"/>
    </row>
    <row r="289" spans="2:9">
      <c r="B289"/>
      <c r="C289"/>
      <c r="D289"/>
      <c r="E289"/>
      <c r="F289"/>
      <c r="G289"/>
      <c r="H289"/>
      <c r="I289"/>
    </row>
    <row r="290" spans="2:9">
      <c r="B290"/>
      <c r="C290"/>
      <c r="D290"/>
      <c r="E290"/>
      <c r="F290"/>
      <c r="G290"/>
      <c r="H290"/>
      <c r="I290"/>
    </row>
    <row r="291" spans="2:9">
      <c r="B291"/>
      <c r="C291"/>
      <c r="D291"/>
      <c r="E291"/>
      <c r="F291"/>
      <c r="G291"/>
      <c r="H291"/>
      <c r="I291"/>
    </row>
    <row r="292" spans="2:9">
      <c r="B292"/>
      <c r="C292"/>
      <c r="D292"/>
      <c r="E292"/>
      <c r="F292"/>
      <c r="G292"/>
      <c r="H292"/>
      <c r="I292"/>
    </row>
    <row r="293" spans="2:9">
      <c r="B293"/>
      <c r="C293"/>
      <c r="D293"/>
      <c r="E293"/>
      <c r="F293"/>
      <c r="G293"/>
      <c r="H293"/>
      <c r="I293"/>
    </row>
    <row r="294" spans="2:9">
      <c r="B294"/>
      <c r="C294"/>
      <c r="D294"/>
      <c r="E294"/>
      <c r="F294"/>
      <c r="G294"/>
      <c r="H294"/>
      <c r="I294"/>
    </row>
    <row r="295" spans="2:9">
      <c r="B295"/>
      <c r="C295"/>
      <c r="D295"/>
      <c r="E295"/>
      <c r="F295"/>
      <c r="G295"/>
      <c r="H295"/>
      <c r="I295"/>
    </row>
    <row r="296" spans="2:9">
      <c r="B296"/>
      <c r="C296"/>
      <c r="D296"/>
      <c r="E296"/>
      <c r="F296"/>
      <c r="G296"/>
      <c r="H296"/>
      <c r="I296"/>
    </row>
    <row r="297" spans="2:9">
      <c r="B297"/>
      <c r="C297"/>
      <c r="D297"/>
      <c r="E297"/>
      <c r="F297"/>
      <c r="G297"/>
      <c r="H297"/>
      <c r="I297"/>
    </row>
    <row r="298" spans="2:9">
      <c r="B298"/>
      <c r="C298"/>
      <c r="D298"/>
      <c r="E298"/>
      <c r="F298"/>
      <c r="G298"/>
      <c r="H298"/>
      <c r="I298"/>
    </row>
    <row r="299" spans="2:9">
      <c r="B299"/>
      <c r="C299"/>
      <c r="D299"/>
      <c r="E299"/>
      <c r="F299"/>
      <c r="G299"/>
      <c r="H299"/>
      <c r="I299"/>
    </row>
    <row r="300" spans="2:9">
      <c r="B300"/>
      <c r="C300"/>
      <c r="D300"/>
      <c r="E300"/>
      <c r="F300"/>
      <c r="G300"/>
      <c r="H300"/>
      <c r="I300"/>
    </row>
    <row r="301" spans="2:9">
      <c r="B301"/>
      <c r="C301"/>
      <c r="D301"/>
      <c r="E301"/>
      <c r="F301"/>
      <c r="G301"/>
      <c r="H301"/>
      <c r="I301"/>
    </row>
    <row r="302" spans="2:9">
      <c r="B302"/>
      <c r="C302"/>
      <c r="D302"/>
      <c r="E302"/>
      <c r="F302"/>
      <c r="G302"/>
      <c r="H302"/>
      <c r="I302"/>
    </row>
    <row r="303" spans="2:9">
      <c r="B303"/>
      <c r="C303"/>
      <c r="D303"/>
      <c r="E303"/>
      <c r="F303"/>
      <c r="G303"/>
      <c r="H303"/>
      <c r="I303"/>
    </row>
    <row r="304" spans="2:9">
      <c r="B304"/>
      <c r="C304"/>
      <c r="D304"/>
      <c r="E304"/>
      <c r="F304"/>
      <c r="G304"/>
      <c r="H304"/>
      <c r="I304"/>
    </row>
    <row r="305" spans="2:9">
      <c r="B305"/>
      <c r="C305"/>
      <c r="D305"/>
      <c r="E305"/>
      <c r="F305"/>
      <c r="G305"/>
      <c r="H305"/>
      <c r="I305"/>
    </row>
    <row r="306" spans="2:9">
      <c r="B306"/>
      <c r="C306"/>
      <c r="D306"/>
      <c r="E306"/>
      <c r="F306"/>
      <c r="G306"/>
      <c r="H306"/>
      <c r="I306"/>
    </row>
    <row r="307" spans="2:9">
      <c r="B307"/>
      <c r="C307"/>
      <c r="D307"/>
      <c r="E307"/>
      <c r="F307"/>
      <c r="G307"/>
      <c r="H307"/>
      <c r="I307"/>
    </row>
    <row r="308" spans="2:9">
      <c r="B308"/>
      <c r="C308"/>
      <c r="D308"/>
      <c r="E308"/>
      <c r="F308"/>
      <c r="G308"/>
      <c r="H308"/>
      <c r="I308"/>
    </row>
    <row r="309" spans="2:9">
      <c r="B309"/>
      <c r="C309"/>
      <c r="D309"/>
      <c r="E309"/>
      <c r="F309"/>
      <c r="G309"/>
      <c r="H309"/>
      <c r="I309"/>
    </row>
    <row r="310" spans="2:9">
      <c r="B310"/>
      <c r="C310"/>
      <c r="D310"/>
      <c r="E310"/>
      <c r="F310"/>
      <c r="G310"/>
      <c r="H310"/>
      <c r="I310"/>
    </row>
    <row r="311" spans="2:9">
      <c r="B311"/>
      <c r="C311"/>
      <c r="D311"/>
      <c r="E311"/>
      <c r="F311"/>
      <c r="G311"/>
      <c r="H311"/>
      <c r="I311"/>
    </row>
    <row r="312" spans="2:9">
      <c r="B312"/>
      <c r="C312"/>
      <c r="D312"/>
      <c r="E312"/>
      <c r="F312"/>
      <c r="G312"/>
      <c r="H312"/>
      <c r="I312"/>
    </row>
    <row r="313" spans="2:9">
      <c r="B313"/>
      <c r="C313"/>
      <c r="D313"/>
      <c r="E313"/>
      <c r="F313"/>
      <c r="G313"/>
      <c r="H313"/>
      <c r="I313"/>
    </row>
    <row r="314" spans="2:9">
      <c r="B314"/>
      <c r="C314"/>
      <c r="D314"/>
      <c r="E314"/>
      <c r="F314"/>
      <c r="G314"/>
      <c r="H314"/>
      <c r="I314"/>
    </row>
    <row r="315" spans="2:9">
      <c r="B315"/>
      <c r="C315"/>
      <c r="D315"/>
      <c r="E315"/>
      <c r="F315"/>
      <c r="G315"/>
      <c r="H315"/>
      <c r="I315"/>
    </row>
    <row r="316" spans="2:9">
      <c r="B316"/>
      <c r="C316"/>
      <c r="D316"/>
      <c r="E316"/>
      <c r="F316"/>
      <c r="G316"/>
      <c r="H316"/>
      <c r="I316"/>
    </row>
    <row r="317" spans="2:9">
      <c r="B317"/>
      <c r="C317"/>
      <c r="D317"/>
      <c r="E317"/>
      <c r="F317"/>
      <c r="G317"/>
      <c r="H317"/>
      <c r="I317"/>
    </row>
    <row r="318" spans="2:9">
      <c r="B318"/>
      <c r="C318"/>
      <c r="D318"/>
      <c r="E318"/>
      <c r="F318"/>
      <c r="G318"/>
      <c r="H318"/>
      <c r="I318"/>
    </row>
    <row r="319" spans="2:9">
      <c r="B319"/>
      <c r="C319"/>
      <c r="D319"/>
      <c r="E319"/>
      <c r="F319"/>
      <c r="G319"/>
      <c r="H319"/>
      <c r="I319"/>
    </row>
    <row r="320" spans="2:9">
      <c r="B320"/>
      <c r="C320"/>
      <c r="D320"/>
      <c r="E320"/>
      <c r="F320"/>
      <c r="G320"/>
      <c r="H320"/>
      <c r="I320"/>
    </row>
    <row r="321" spans="2:9">
      <c r="B321"/>
      <c r="C321"/>
      <c r="D321"/>
      <c r="E321"/>
      <c r="F321"/>
      <c r="G321"/>
      <c r="H321"/>
      <c r="I321"/>
    </row>
    <row r="322" spans="2:9">
      <c r="B322"/>
      <c r="C322"/>
      <c r="D322"/>
      <c r="E322"/>
      <c r="F322"/>
      <c r="G322"/>
      <c r="H322"/>
      <c r="I322"/>
    </row>
    <row r="323" spans="2:9">
      <c r="B323"/>
      <c r="C323"/>
      <c r="D323"/>
      <c r="E323"/>
      <c r="F323"/>
      <c r="G323"/>
      <c r="H323"/>
      <c r="I323"/>
    </row>
    <row r="324" spans="2:9">
      <c r="B324"/>
      <c r="C324"/>
      <c r="D324"/>
      <c r="E324"/>
      <c r="F324"/>
      <c r="G324"/>
      <c r="H324"/>
      <c r="I324"/>
    </row>
    <row r="325" spans="2:9">
      <c r="B325"/>
      <c r="C325"/>
      <c r="D325"/>
      <c r="E325"/>
      <c r="F325"/>
      <c r="G325"/>
      <c r="H325"/>
      <c r="I325"/>
    </row>
    <row r="326" spans="2:9">
      <c r="B326"/>
      <c r="C326"/>
      <c r="D326"/>
      <c r="E326"/>
      <c r="F326"/>
      <c r="G326"/>
      <c r="H326"/>
      <c r="I326"/>
    </row>
    <row r="327" spans="2:9">
      <c r="B327"/>
      <c r="C327"/>
      <c r="D327"/>
      <c r="E327"/>
      <c r="F327"/>
      <c r="G327"/>
      <c r="H327"/>
      <c r="I327"/>
    </row>
    <row r="328" spans="2:9">
      <c r="B328"/>
      <c r="C328"/>
      <c r="D328"/>
      <c r="E328"/>
      <c r="F328"/>
      <c r="G328"/>
      <c r="H328"/>
      <c r="I328"/>
    </row>
    <row r="329" spans="2:9">
      <c r="B329"/>
      <c r="C329"/>
      <c r="D329"/>
      <c r="E329"/>
      <c r="F329"/>
      <c r="G329"/>
      <c r="H329"/>
      <c r="I329"/>
    </row>
    <row r="330" spans="2:9">
      <c r="B330"/>
      <c r="C330"/>
      <c r="D330"/>
      <c r="E330"/>
      <c r="F330"/>
      <c r="G330"/>
      <c r="H330"/>
      <c r="I330"/>
    </row>
    <row r="331" spans="2:9">
      <c r="B331"/>
      <c r="C331"/>
      <c r="D331"/>
      <c r="E331"/>
      <c r="F331"/>
      <c r="G331"/>
      <c r="H331"/>
      <c r="I331"/>
    </row>
    <row r="332" spans="2:9">
      <c r="B332"/>
      <c r="C332"/>
      <c r="D332"/>
      <c r="E332"/>
      <c r="F332"/>
      <c r="G332"/>
      <c r="H332"/>
      <c r="I332"/>
    </row>
    <row r="333" spans="2:9">
      <c r="B333"/>
      <c r="C333"/>
      <c r="D333"/>
      <c r="E333"/>
      <c r="F333"/>
      <c r="G333"/>
      <c r="H333"/>
      <c r="I333"/>
    </row>
    <row r="334" spans="2:9">
      <c r="B334"/>
      <c r="C334"/>
      <c r="D334"/>
      <c r="E334"/>
      <c r="F334"/>
      <c r="G334"/>
      <c r="H334"/>
      <c r="I334"/>
    </row>
    <row r="335" spans="2:9">
      <c r="B335"/>
      <c r="C335"/>
      <c r="D335"/>
      <c r="E335"/>
      <c r="F335"/>
      <c r="G335"/>
      <c r="H335"/>
      <c r="I335"/>
    </row>
    <row r="336" spans="2:9">
      <c r="B336"/>
      <c r="C336"/>
      <c r="D336"/>
      <c r="E336"/>
      <c r="F336"/>
      <c r="G336"/>
      <c r="H336"/>
      <c r="I336"/>
    </row>
    <row r="337" spans="2:9">
      <c r="B337"/>
      <c r="C337"/>
      <c r="D337"/>
      <c r="E337"/>
      <c r="F337"/>
      <c r="G337"/>
      <c r="H337"/>
      <c r="I337"/>
    </row>
    <row r="338" spans="2:9">
      <c r="B338"/>
      <c r="C338"/>
      <c r="D338"/>
      <c r="E338"/>
      <c r="F338"/>
      <c r="G338"/>
      <c r="H338"/>
      <c r="I338"/>
    </row>
    <row r="339" spans="2:9">
      <c r="B339"/>
      <c r="C339"/>
      <c r="D339"/>
      <c r="E339"/>
      <c r="F339"/>
      <c r="G339"/>
      <c r="H339"/>
      <c r="I339"/>
    </row>
    <row r="340" spans="2:9">
      <c r="B340"/>
      <c r="C340"/>
      <c r="D340"/>
      <c r="E340"/>
      <c r="F340"/>
      <c r="G340"/>
      <c r="H340"/>
      <c r="I340"/>
    </row>
    <row r="341" spans="2:9">
      <c r="B341"/>
      <c r="C341"/>
      <c r="D341"/>
      <c r="E341"/>
      <c r="F341"/>
      <c r="G341"/>
      <c r="H341"/>
      <c r="I341"/>
    </row>
    <row r="342" spans="2:9">
      <c r="B342"/>
      <c r="C342"/>
      <c r="D342"/>
      <c r="E342"/>
      <c r="F342"/>
      <c r="G342"/>
      <c r="H342"/>
      <c r="I342"/>
    </row>
    <row r="343" spans="2:9">
      <c r="B343"/>
      <c r="C343"/>
      <c r="D343"/>
      <c r="E343"/>
      <c r="F343"/>
      <c r="G343"/>
      <c r="H343"/>
      <c r="I343"/>
    </row>
    <row r="344" spans="2:9">
      <c r="B344"/>
      <c r="C344"/>
      <c r="D344"/>
      <c r="E344"/>
      <c r="F344"/>
      <c r="G344"/>
      <c r="H344"/>
      <c r="I344"/>
    </row>
    <row r="345" spans="2:9">
      <c r="B345"/>
      <c r="C345"/>
      <c r="D345"/>
      <c r="E345"/>
      <c r="F345"/>
      <c r="G345"/>
      <c r="H345"/>
      <c r="I345"/>
    </row>
    <row r="346" spans="2:9">
      <c r="B346"/>
      <c r="C346"/>
      <c r="D346"/>
      <c r="E346"/>
      <c r="F346"/>
      <c r="G346"/>
      <c r="H346"/>
      <c r="I346"/>
    </row>
    <row r="347" spans="2:9">
      <c r="B347"/>
      <c r="C347"/>
      <c r="D347"/>
      <c r="E347"/>
      <c r="F347"/>
      <c r="G347"/>
      <c r="H347"/>
      <c r="I347"/>
    </row>
    <row r="348" spans="2:9">
      <c r="B348"/>
      <c r="C348"/>
      <c r="D348"/>
      <c r="E348"/>
      <c r="F348"/>
      <c r="G348"/>
      <c r="H348"/>
      <c r="I348"/>
    </row>
    <row r="349" spans="2:9">
      <c r="B349"/>
      <c r="C349"/>
      <c r="D349"/>
      <c r="E349"/>
      <c r="F349"/>
      <c r="G349"/>
      <c r="H349"/>
      <c r="I349"/>
    </row>
    <row r="350" spans="2:9">
      <c r="B350"/>
      <c r="C350"/>
      <c r="D350"/>
      <c r="E350"/>
      <c r="F350"/>
      <c r="G350"/>
      <c r="H350"/>
      <c r="I350"/>
    </row>
    <row r="351" spans="2:9">
      <c r="B351"/>
      <c r="C351"/>
      <c r="D351"/>
      <c r="E351"/>
      <c r="F351"/>
      <c r="G351"/>
      <c r="H351"/>
      <c r="I351"/>
    </row>
    <row r="352" spans="2:9">
      <c r="B352"/>
      <c r="C352"/>
      <c r="D352"/>
      <c r="E352"/>
      <c r="F352"/>
      <c r="G352"/>
      <c r="H352"/>
      <c r="I352"/>
    </row>
    <row r="353" spans="2:9">
      <c r="B353"/>
      <c r="C353"/>
      <c r="D353"/>
      <c r="E353"/>
      <c r="F353"/>
      <c r="G353"/>
      <c r="H353"/>
      <c r="I353"/>
    </row>
    <row r="354" spans="2:9">
      <c r="B354"/>
      <c r="C354"/>
      <c r="D354"/>
      <c r="E354"/>
      <c r="F354"/>
      <c r="G354"/>
      <c r="H354"/>
      <c r="I354"/>
    </row>
    <row r="355" spans="2:9">
      <c r="B355"/>
      <c r="C355"/>
      <c r="D355"/>
      <c r="E355"/>
      <c r="F355"/>
      <c r="G355"/>
      <c r="H355"/>
      <c r="I355"/>
    </row>
    <row r="356" spans="2:9">
      <c r="B356"/>
      <c r="C356"/>
      <c r="D356"/>
      <c r="E356"/>
      <c r="F356"/>
      <c r="G356"/>
      <c r="H356"/>
      <c r="I356"/>
    </row>
    <row r="357" spans="2:9">
      <c r="B357"/>
      <c r="C357"/>
      <c r="D357"/>
      <c r="E357"/>
      <c r="F357"/>
      <c r="G357"/>
      <c r="H357"/>
      <c r="I357"/>
    </row>
    <row r="358" spans="2:9">
      <c r="B358"/>
      <c r="C358"/>
      <c r="D358"/>
      <c r="E358"/>
      <c r="F358"/>
      <c r="G358"/>
      <c r="H358"/>
      <c r="I358"/>
    </row>
    <row r="359" spans="2:9">
      <c r="B359"/>
      <c r="C359"/>
      <c r="D359"/>
      <c r="E359"/>
      <c r="F359"/>
      <c r="G359"/>
      <c r="H359"/>
      <c r="I359"/>
    </row>
    <row r="360" spans="2:9">
      <c r="B360"/>
      <c r="C360"/>
      <c r="D360"/>
      <c r="E360"/>
      <c r="F360"/>
      <c r="G360"/>
      <c r="H360"/>
      <c r="I360"/>
    </row>
    <row r="361" spans="2:9">
      <c r="B361"/>
      <c r="C361"/>
      <c r="D361"/>
      <c r="E361"/>
      <c r="F361"/>
      <c r="G361"/>
      <c r="H361"/>
      <c r="I361"/>
    </row>
    <row r="362" spans="2:9">
      <c r="B362"/>
      <c r="C362"/>
      <c r="D362"/>
      <c r="E362"/>
      <c r="F362"/>
      <c r="G362"/>
      <c r="H362"/>
      <c r="I362"/>
    </row>
    <row r="363" spans="2:9">
      <c r="B363"/>
      <c r="C363"/>
      <c r="D363"/>
      <c r="E363"/>
      <c r="F363"/>
      <c r="G363"/>
      <c r="H363"/>
      <c r="I363"/>
    </row>
    <row r="364" spans="2:9">
      <c r="B364"/>
      <c r="C364"/>
      <c r="D364"/>
      <c r="E364"/>
      <c r="F364"/>
      <c r="G364"/>
      <c r="H364"/>
      <c r="I364"/>
    </row>
    <row r="365" spans="2:9">
      <c r="B365"/>
      <c r="C365"/>
      <c r="D365"/>
      <c r="E365"/>
      <c r="F365"/>
      <c r="G365"/>
      <c r="H365"/>
      <c r="I365"/>
    </row>
    <row r="366" spans="2:9">
      <c r="B366"/>
      <c r="C366"/>
      <c r="D366"/>
      <c r="E366"/>
      <c r="F366"/>
      <c r="G366"/>
      <c r="H366"/>
      <c r="I366"/>
    </row>
    <row r="367" spans="2:9">
      <c r="B367"/>
      <c r="C367"/>
      <c r="D367"/>
      <c r="E367"/>
      <c r="F367"/>
      <c r="G367"/>
      <c r="H367"/>
      <c r="I367"/>
    </row>
    <row r="368" spans="2:9">
      <c r="B368"/>
      <c r="C368"/>
      <c r="D368"/>
      <c r="E368"/>
      <c r="F368"/>
      <c r="G368"/>
      <c r="H368"/>
      <c r="I368"/>
    </row>
    <row r="369" spans="2:9">
      <c r="B369"/>
      <c r="C369"/>
      <c r="D369"/>
      <c r="E369"/>
      <c r="F369"/>
      <c r="G369"/>
      <c r="H369"/>
      <c r="I369"/>
    </row>
    <row r="370" spans="2:9">
      <c r="B370"/>
      <c r="C370"/>
      <c r="D370"/>
      <c r="E370"/>
      <c r="F370"/>
      <c r="G370"/>
      <c r="H370"/>
      <c r="I370"/>
    </row>
    <row r="371" spans="2:9">
      <c r="B371"/>
      <c r="C371"/>
      <c r="D371"/>
      <c r="E371"/>
      <c r="F371"/>
      <c r="G371"/>
      <c r="H371"/>
      <c r="I371"/>
    </row>
    <row r="372" spans="2:9">
      <c r="B372"/>
      <c r="C372"/>
      <c r="D372"/>
      <c r="E372"/>
      <c r="F372"/>
      <c r="G372"/>
      <c r="H372"/>
      <c r="I372"/>
    </row>
    <row r="373" spans="2:9">
      <c r="B373"/>
      <c r="C373"/>
      <c r="D373"/>
      <c r="E373"/>
      <c r="F373"/>
      <c r="G373"/>
      <c r="H373"/>
      <c r="I373"/>
    </row>
    <row r="374" spans="2:9">
      <c r="B374"/>
      <c r="C374"/>
      <c r="D374"/>
      <c r="E374"/>
      <c r="F374"/>
      <c r="G374"/>
      <c r="H374"/>
      <c r="I374"/>
    </row>
    <row r="375" spans="2:9">
      <c r="B375"/>
      <c r="C375"/>
      <c r="D375"/>
      <c r="E375"/>
      <c r="F375"/>
      <c r="G375"/>
      <c r="H375"/>
      <c r="I375"/>
    </row>
    <row r="376" spans="2:9">
      <c r="B376"/>
      <c r="C376"/>
      <c r="D376"/>
      <c r="E376"/>
      <c r="F376"/>
      <c r="G376"/>
      <c r="H376"/>
      <c r="I376"/>
    </row>
    <row r="377" spans="2:9">
      <c r="B377"/>
      <c r="C377"/>
      <c r="D377"/>
      <c r="E377"/>
      <c r="F377"/>
      <c r="G377"/>
      <c r="H377"/>
      <c r="I377"/>
    </row>
    <row r="378" spans="2:9">
      <c r="B378"/>
      <c r="C378"/>
      <c r="D378"/>
      <c r="E378"/>
      <c r="F378"/>
      <c r="G378"/>
      <c r="H378"/>
      <c r="I378"/>
    </row>
    <row r="379" spans="2:9">
      <c r="B379"/>
      <c r="C379"/>
      <c r="D379"/>
      <c r="E379"/>
      <c r="F379"/>
      <c r="G379"/>
      <c r="H379"/>
      <c r="I379"/>
    </row>
    <row r="380" spans="2:9">
      <c r="B380"/>
      <c r="C380"/>
      <c r="D380"/>
      <c r="E380"/>
      <c r="F380"/>
      <c r="G380"/>
      <c r="H380"/>
      <c r="I380"/>
    </row>
    <row r="381" spans="2:9">
      <c r="B381"/>
      <c r="C381"/>
      <c r="D381"/>
      <c r="E381"/>
      <c r="F381"/>
      <c r="G381"/>
      <c r="H381"/>
      <c r="I381"/>
    </row>
    <row r="382" spans="2:9">
      <c r="B382"/>
      <c r="C382"/>
      <c r="D382"/>
      <c r="E382"/>
      <c r="F382"/>
      <c r="G382"/>
      <c r="H382"/>
      <c r="I382"/>
    </row>
    <row r="383" spans="2:9">
      <c r="B383"/>
      <c r="C383"/>
      <c r="D383"/>
      <c r="E383"/>
      <c r="F383"/>
      <c r="G383"/>
      <c r="H383"/>
      <c r="I383"/>
    </row>
    <row r="384" spans="2:9">
      <c r="B384"/>
      <c r="C384"/>
      <c r="D384"/>
      <c r="E384"/>
      <c r="F384"/>
      <c r="G384"/>
      <c r="H384"/>
      <c r="I384"/>
    </row>
    <row r="385" spans="2:9">
      <c r="B385"/>
      <c r="C385"/>
      <c r="D385"/>
      <c r="E385"/>
      <c r="F385"/>
      <c r="G385"/>
      <c r="H385"/>
      <c r="I385"/>
    </row>
    <row r="386" spans="2:9">
      <c r="B386"/>
      <c r="C386"/>
      <c r="D386"/>
      <c r="E386"/>
      <c r="F386"/>
      <c r="G386"/>
      <c r="H386"/>
      <c r="I386"/>
    </row>
    <row r="387" spans="2:9">
      <c r="B387"/>
      <c r="C387"/>
      <c r="D387"/>
      <c r="E387"/>
      <c r="F387"/>
      <c r="G387"/>
      <c r="H387"/>
      <c r="I387"/>
    </row>
    <row r="388" spans="2:9">
      <c r="B388"/>
      <c r="C388"/>
      <c r="D388"/>
      <c r="E388"/>
      <c r="F388"/>
      <c r="G388"/>
      <c r="H388"/>
      <c r="I388"/>
    </row>
    <row r="389" spans="2:9">
      <c r="B389"/>
      <c r="C389"/>
      <c r="D389"/>
      <c r="E389"/>
      <c r="F389"/>
      <c r="G389"/>
      <c r="H389"/>
      <c r="I389"/>
    </row>
    <row r="390" spans="2:9">
      <c r="B390"/>
      <c r="C390"/>
      <c r="D390"/>
      <c r="E390"/>
      <c r="F390"/>
      <c r="G390"/>
      <c r="H390"/>
      <c r="I390"/>
    </row>
    <row r="391" spans="2:9">
      <c r="B391"/>
      <c r="C391"/>
      <c r="D391"/>
      <c r="E391"/>
      <c r="F391"/>
      <c r="G391"/>
      <c r="H391"/>
      <c r="I391"/>
    </row>
    <row r="392" spans="2:9">
      <c r="B392"/>
      <c r="C392"/>
      <c r="D392"/>
      <c r="E392"/>
      <c r="F392"/>
      <c r="G392"/>
      <c r="H392"/>
      <c r="I392"/>
    </row>
    <row r="393" spans="2:9">
      <c r="B393"/>
      <c r="C393"/>
      <c r="D393"/>
      <c r="E393"/>
      <c r="F393"/>
      <c r="G393"/>
      <c r="H393"/>
      <c r="I393"/>
    </row>
    <row r="394" spans="2:9">
      <c r="B394"/>
      <c r="C394"/>
      <c r="D394"/>
      <c r="E394"/>
      <c r="F394"/>
      <c r="G394"/>
      <c r="H394"/>
      <c r="I394"/>
    </row>
    <row r="395" spans="2:9">
      <c r="B395"/>
      <c r="C395"/>
      <c r="D395"/>
      <c r="E395"/>
      <c r="F395"/>
      <c r="G395"/>
      <c r="H395"/>
      <c r="I395"/>
    </row>
    <row r="396" spans="2:9">
      <c r="B396"/>
      <c r="C396"/>
      <c r="D396"/>
      <c r="E396"/>
      <c r="F396"/>
      <c r="G396"/>
      <c r="H396"/>
      <c r="I396"/>
    </row>
    <row r="397" spans="2:9">
      <c r="B397"/>
      <c r="C397"/>
      <c r="D397"/>
      <c r="E397"/>
      <c r="F397"/>
      <c r="G397"/>
      <c r="H397"/>
      <c r="I397"/>
    </row>
    <row r="398" spans="2:9">
      <c r="B398"/>
      <c r="C398"/>
      <c r="D398"/>
      <c r="E398"/>
      <c r="F398"/>
      <c r="G398"/>
      <c r="H398"/>
      <c r="I398"/>
    </row>
    <row r="399" spans="2:9">
      <c r="B399"/>
      <c r="C399"/>
      <c r="D399"/>
      <c r="E399"/>
      <c r="F399"/>
      <c r="G399"/>
      <c r="H399"/>
      <c r="I399"/>
    </row>
    <row r="400" spans="2:9">
      <c r="B400"/>
      <c r="C400"/>
      <c r="D400"/>
      <c r="E400"/>
      <c r="F400"/>
      <c r="G400"/>
      <c r="H400"/>
      <c r="I400"/>
    </row>
    <row r="401" spans="2:9">
      <c r="B401"/>
      <c r="C401"/>
      <c r="D401"/>
      <c r="E401"/>
      <c r="F401"/>
      <c r="G401"/>
      <c r="H401"/>
      <c r="I401"/>
    </row>
    <row r="402" spans="2:9">
      <c r="B402"/>
      <c r="C402"/>
      <c r="D402"/>
      <c r="E402"/>
      <c r="F402"/>
      <c r="G402"/>
      <c r="H402"/>
      <c r="I402"/>
    </row>
    <row r="403" spans="2:9">
      <c r="B403"/>
      <c r="C403"/>
      <c r="D403"/>
      <c r="E403"/>
      <c r="F403"/>
      <c r="G403"/>
      <c r="H403"/>
      <c r="I403"/>
    </row>
    <row r="404" spans="2:9">
      <c r="B404"/>
      <c r="C404"/>
      <c r="D404"/>
      <c r="E404"/>
      <c r="F404"/>
      <c r="G404"/>
      <c r="H404"/>
      <c r="I404"/>
    </row>
    <row r="405" spans="2:9">
      <c r="B405"/>
      <c r="C405"/>
      <c r="D405"/>
      <c r="E405"/>
      <c r="F405"/>
      <c r="G405"/>
      <c r="H405"/>
      <c r="I405"/>
    </row>
    <row r="406" spans="2:9">
      <c r="B406"/>
      <c r="C406"/>
      <c r="D406"/>
      <c r="E406"/>
      <c r="F406"/>
      <c r="G406"/>
      <c r="H406"/>
      <c r="I406"/>
    </row>
    <row r="407" spans="2:9">
      <c r="B407"/>
      <c r="C407"/>
      <c r="D407"/>
      <c r="E407"/>
      <c r="F407"/>
      <c r="G407"/>
      <c r="H407"/>
      <c r="I407"/>
    </row>
    <row r="408" spans="2:9">
      <c r="B408"/>
      <c r="C408"/>
      <c r="D408"/>
      <c r="E408"/>
      <c r="F408"/>
      <c r="G408"/>
      <c r="H408"/>
      <c r="I408"/>
    </row>
    <row r="409" spans="2:9">
      <c r="B409"/>
      <c r="C409"/>
      <c r="D409"/>
      <c r="E409"/>
      <c r="F409"/>
      <c r="G409"/>
      <c r="H409"/>
      <c r="I409"/>
    </row>
    <row r="410" spans="2:9">
      <c r="B410"/>
      <c r="C410"/>
      <c r="D410"/>
      <c r="E410"/>
      <c r="F410"/>
      <c r="G410"/>
      <c r="H410"/>
      <c r="I410"/>
    </row>
    <row r="411" spans="2:9">
      <c r="B411"/>
      <c r="C411"/>
      <c r="D411"/>
      <c r="E411"/>
      <c r="F411"/>
      <c r="G411"/>
      <c r="H411"/>
      <c r="I411"/>
    </row>
    <row r="412" spans="2:9">
      <c r="B412"/>
      <c r="C412"/>
      <c r="D412"/>
      <c r="E412"/>
      <c r="F412"/>
      <c r="G412"/>
      <c r="H412"/>
      <c r="I412"/>
    </row>
    <row r="413" spans="2:9">
      <c r="B413"/>
      <c r="C413"/>
      <c r="D413"/>
      <c r="E413"/>
      <c r="F413"/>
      <c r="G413"/>
      <c r="H413"/>
      <c r="I413"/>
    </row>
    <row r="414" spans="2:9">
      <c r="B414"/>
      <c r="C414"/>
      <c r="D414"/>
      <c r="E414"/>
      <c r="F414"/>
      <c r="G414"/>
      <c r="H414"/>
      <c r="I414"/>
    </row>
    <row r="415" spans="2:9">
      <c r="B415"/>
      <c r="C415"/>
      <c r="D415"/>
      <c r="E415"/>
      <c r="F415"/>
      <c r="G415"/>
      <c r="H415"/>
      <c r="I415"/>
    </row>
    <row r="416" spans="2:9">
      <c r="B416"/>
      <c r="C416"/>
      <c r="D416"/>
      <c r="E416"/>
      <c r="F416"/>
      <c r="G416"/>
      <c r="H416"/>
      <c r="I416"/>
    </row>
    <row r="417" spans="2:9">
      <c r="B417"/>
      <c r="C417"/>
      <c r="D417"/>
      <c r="E417"/>
      <c r="F417"/>
      <c r="G417"/>
      <c r="H417"/>
      <c r="I417"/>
    </row>
    <row r="418" spans="2:9">
      <c r="B418"/>
      <c r="C418"/>
      <c r="D418"/>
      <c r="E418"/>
      <c r="F418"/>
      <c r="G418"/>
      <c r="H418"/>
      <c r="I418"/>
    </row>
    <row r="419" spans="2:9">
      <c r="B419"/>
      <c r="C419"/>
      <c r="D419"/>
      <c r="E419"/>
      <c r="F419"/>
      <c r="G419"/>
      <c r="H419"/>
      <c r="I419"/>
    </row>
    <row r="420" spans="2:9">
      <c r="B420"/>
      <c r="C420"/>
      <c r="D420"/>
      <c r="E420"/>
      <c r="F420"/>
      <c r="G420"/>
      <c r="H420"/>
      <c r="I420"/>
    </row>
    <row r="421" spans="2:9">
      <c r="B421"/>
      <c r="C421"/>
      <c r="D421"/>
      <c r="E421"/>
      <c r="F421"/>
      <c r="G421"/>
      <c r="H421"/>
      <c r="I421"/>
    </row>
    <row r="422" spans="2:9">
      <c r="B422"/>
      <c r="C422"/>
      <c r="D422"/>
      <c r="E422"/>
      <c r="F422"/>
      <c r="G422"/>
      <c r="H422"/>
      <c r="I422"/>
    </row>
    <row r="423" spans="2:9">
      <c r="B423"/>
      <c r="C423"/>
      <c r="D423"/>
      <c r="E423"/>
      <c r="F423"/>
      <c r="G423"/>
      <c r="H423"/>
      <c r="I423"/>
    </row>
    <row r="424" spans="2:9">
      <c r="B424"/>
      <c r="C424"/>
      <c r="D424"/>
      <c r="E424"/>
      <c r="F424"/>
      <c r="G424"/>
      <c r="H424"/>
      <c r="I424"/>
    </row>
    <row r="425" spans="2:9">
      <c r="B425"/>
      <c r="C425"/>
      <c r="D425"/>
      <c r="E425"/>
      <c r="F425"/>
      <c r="G425"/>
      <c r="H425"/>
      <c r="I425"/>
    </row>
    <row r="426" spans="2:9">
      <c r="B426"/>
      <c r="C426"/>
      <c r="D426"/>
      <c r="E426"/>
      <c r="F426"/>
      <c r="G426"/>
      <c r="H426"/>
      <c r="I426"/>
    </row>
    <row r="427" spans="2:9">
      <c r="B427"/>
      <c r="C427"/>
      <c r="D427"/>
      <c r="E427"/>
      <c r="F427"/>
      <c r="G427"/>
      <c r="H427"/>
      <c r="I427"/>
    </row>
    <row r="428" spans="2:9">
      <c r="B428"/>
      <c r="C428"/>
      <c r="D428"/>
      <c r="E428"/>
      <c r="F428"/>
      <c r="G428"/>
      <c r="H428"/>
      <c r="I428"/>
    </row>
    <row r="429" spans="2:9">
      <c r="B429"/>
      <c r="C429"/>
      <c r="D429"/>
      <c r="E429"/>
      <c r="F429"/>
      <c r="G429"/>
      <c r="H429"/>
      <c r="I429"/>
    </row>
    <row r="430" spans="2:9">
      <c r="B430"/>
      <c r="C430"/>
      <c r="D430"/>
      <c r="E430"/>
      <c r="F430"/>
      <c r="G430"/>
      <c r="H430"/>
      <c r="I430"/>
    </row>
    <row r="431" spans="2:9">
      <c r="B431"/>
      <c r="C431"/>
      <c r="D431"/>
      <c r="E431"/>
      <c r="F431"/>
      <c r="G431"/>
      <c r="H431"/>
      <c r="I431"/>
    </row>
    <row r="432" spans="2:9">
      <c r="B432"/>
      <c r="C432"/>
      <c r="D432"/>
      <c r="E432"/>
      <c r="F432"/>
      <c r="G432"/>
      <c r="H432"/>
      <c r="I432"/>
    </row>
    <row r="433" spans="2:9">
      <c r="B433"/>
      <c r="C433"/>
      <c r="D433"/>
      <c r="E433"/>
      <c r="F433"/>
      <c r="G433"/>
      <c r="H433"/>
      <c r="I433"/>
    </row>
    <row r="434" spans="2:9">
      <c r="B434"/>
      <c r="C434"/>
      <c r="D434"/>
      <c r="E434"/>
      <c r="F434"/>
      <c r="G434"/>
      <c r="H434"/>
      <c r="I434"/>
    </row>
    <row r="435" spans="2:9">
      <c r="B435"/>
      <c r="C435"/>
      <c r="D435"/>
      <c r="E435"/>
      <c r="F435"/>
      <c r="G435"/>
      <c r="H435"/>
      <c r="I435"/>
    </row>
    <row r="436" spans="2:9">
      <c r="B436"/>
      <c r="C436"/>
      <c r="D436"/>
      <c r="E436"/>
      <c r="F436"/>
      <c r="G436"/>
      <c r="H436"/>
      <c r="I436"/>
    </row>
    <row r="437" spans="2:9">
      <c r="B437"/>
      <c r="C437"/>
      <c r="D437"/>
      <c r="E437"/>
      <c r="F437"/>
      <c r="G437"/>
      <c r="H437"/>
      <c r="I437"/>
    </row>
    <row r="438" spans="2:9">
      <c r="B438"/>
      <c r="C438"/>
      <c r="D438"/>
      <c r="E438"/>
      <c r="F438"/>
      <c r="G438"/>
      <c r="H438"/>
      <c r="I438"/>
    </row>
    <row r="439" spans="2:9">
      <c r="B439"/>
      <c r="C439"/>
      <c r="D439"/>
      <c r="E439"/>
      <c r="F439"/>
      <c r="G439"/>
      <c r="H439"/>
      <c r="I439"/>
    </row>
    <row r="440" spans="2:9">
      <c r="B440"/>
      <c r="C440"/>
      <c r="D440"/>
      <c r="E440"/>
      <c r="F440"/>
      <c r="G440"/>
      <c r="H440"/>
      <c r="I440"/>
    </row>
    <row r="441" spans="2:9">
      <c r="B441"/>
      <c r="C441"/>
      <c r="D441"/>
      <c r="E441"/>
      <c r="F441"/>
      <c r="G441"/>
      <c r="H441"/>
      <c r="I441"/>
    </row>
    <row r="442" spans="2:9">
      <c r="B442"/>
      <c r="C442"/>
      <c r="D442"/>
      <c r="E442"/>
      <c r="F442"/>
      <c r="G442"/>
      <c r="H442"/>
      <c r="I442"/>
    </row>
    <row r="443" spans="2:9">
      <c r="B443"/>
      <c r="C443"/>
      <c r="D443"/>
      <c r="E443"/>
      <c r="F443"/>
      <c r="G443"/>
      <c r="H443"/>
      <c r="I443"/>
    </row>
    <row r="444" spans="2:9">
      <c r="B444"/>
      <c r="C444"/>
      <c r="D444"/>
      <c r="E444"/>
      <c r="F444"/>
      <c r="G444"/>
      <c r="H444"/>
      <c r="I444"/>
    </row>
    <row r="445" spans="2:9">
      <c r="B445"/>
      <c r="C445"/>
      <c r="D445"/>
      <c r="E445"/>
      <c r="F445"/>
      <c r="G445"/>
      <c r="H445"/>
      <c r="I445"/>
    </row>
    <row r="446" spans="2:9">
      <c r="B446"/>
      <c r="C446"/>
      <c r="D446"/>
      <c r="E446"/>
      <c r="F446"/>
      <c r="G446"/>
      <c r="H446"/>
      <c r="I446"/>
    </row>
    <row r="447" spans="2:9">
      <c r="B447"/>
      <c r="C447"/>
      <c r="D447"/>
      <c r="E447"/>
      <c r="F447"/>
      <c r="G447"/>
      <c r="H447"/>
      <c r="I447"/>
    </row>
    <row r="448" spans="2:9">
      <c r="B448"/>
      <c r="C448"/>
      <c r="D448"/>
      <c r="E448"/>
      <c r="F448"/>
      <c r="G448"/>
      <c r="H448"/>
      <c r="I448"/>
    </row>
    <row r="449" spans="2:9">
      <c r="B449"/>
      <c r="C449"/>
      <c r="D449"/>
      <c r="E449"/>
      <c r="F449"/>
      <c r="G449"/>
      <c r="H449"/>
      <c r="I449"/>
    </row>
    <row r="450" spans="2:9">
      <c r="B450"/>
      <c r="C450"/>
      <c r="D450"/>
      <c r="E450"/>
      <c r="F450"/>
      <c r="G450"/>
      <c r="H450"/>
      <c r="I450"/>
    </row>
    <row r="451" spans="2:9">
      <c r="B451"/>
      <c r="C451"/>
      <c r="D451"/>
      <c r="E451"/>
      <c r="F451"/>
      <c r="G451"/>
      <c r="H451"/>
      <c r="I451"/>
    </row>
    <row r="452" spans="2:9">
      <c r="B452"/>
      <c r="C452"/>
      <c r="D452"/>
      <c r="E452"/>
      <c r="F452"/>
      <c r="G452"/>
      <c r="H452"/>
      <c r="I452"/>
    </row>
    <row r="453" spans="2:9">
      <c r="B453"/>
      <c r="C453"/>
      <c r="D453"/>
      <c r="E453"/>
      <c r="F453"/>
      <c r="G453"/>
      <c r="H453"/>
      <c r="I453"/>
    </row>
    <row r="454" spans="2:9">
      <c r="B454"/>
      <c r="C454"/>
      <c r="D454"/>
      <c r="E454"/>
      <c r="F454"/>
      <c r="G454"/>
      <c r="H454"/>
      <c r="I454"/>
    </row>
    <row r="455" spans="2:9">
      <c r="B455"/>
      <c r="C455"/>
      <c r="D455"/>
      <c r="E455"/>
      <c r="F455"/>
      <c r="G455"/>
      <c r="H455"/>
      <c r="I455"/>
    </row>
    <row r="456" spans="2:9">
      <c r="B456"/>
      <c r="C456"/>
      <c r="D456"/>
      <c r="E456"/>
      <c r="F456"/>
      <c r="G456"/>
      <c r="H456"/>
      <c r="I456"/>
    </row>
    <row r="457" spans="2:9">
      <c r="B457"/>
      <c r="C457"/>
      <c r="D457"/>
      <c r="E457"/>
      <c r="F457"/>
      <c r="G457"/>
      <c r="H457"/>
      <c r="I457"/>
    </row>
    <row r="458" spans="2:9">
      <c r="B458"/>
      <c r="C458"/>
      <c r="D458"/>
      <c r="E458"/>
      <c r="F458"/>
      <c r="G458"/>
      <c r="H458"/>
      <c r="I458"/>
    </row>
    <row r="459" spans="2:9">
      <c r="B459"/>
      <c r="C459"/>
      <c r="D459"/>
      <c r="E459"/>
      <c r="F459"/>
      <c r="G459"/>
      <c r="H459"/>
      <c r="I459"/>
    </row>
    <row r="460" spans="2:9">
      <c r="B460"/>
      <c r="C460"/>
      <c r="D460"/>
      <c r="E460"/>
      <c r="F460"/>
      <c r="G460"/>
      <c r="H460"/>
      <c r="I460"/>
    </row>
    <row r="461" spans="2:9">
      <c r="B461"/>
      <c r="C461"/>
      <c r="D461"/>
      <c r="E461"/>
      <c r="F461"/>
      <c r="G461"/>
      <c r="H461"/>
      <c r="I461"/>
    </row>
    <row r="462" spans="2:9">
      <c r="B462"/>
      <c r="C462"/>
      <c r="D462"/>
      <c r="E462"/>
      <c r="F462"/>
      <c r="G462"/>
      <c r="H462"/>
      <c r="I462"/>
    </row>
    <row r="463" spans="2:9">
      <c r="D463"/>
      <c r="E463"/>
      <c r="F463"/>
      <c r="G463"/>
      <c r="H463"/>
      <c r="I463"/>
    </row>
    <row r="464" spans="2:9">
      <c r="D464"/>
      <c r="E464"/>
      <c r="F464"/>
      <c r="G464"/>
      <c r="H464"/>
      <c r="I464"/>
    </row>
    <row r="465" spans="4:9">
      <c r="D465"/>
      <c r="E465"/>
      <c r="F465"/>
      <c r="G465"/>
      <c r="H465"/>
      <c r="I465"/>
    </row>
    <row r="466" spans="4:9">
      <c r="D466"/>
      <c r="E466"/>
      <c r="F466"/>
      <c r="G466"/>
      <c r="H466"/>
      <c r="I466"/>
    </row>
    <row r="467" spans="4:9">
      <c r="D467"/>
      <c r="E467"/>
      <c r="F467"/>
      <c r="G467"/>
      <c r="H467"/>
      <c r="I467"/>
    </row>
    <row r="468" spans="4:9">
      <c r="D468"/>
      <c r="E468"/>
      <c r="F468"/>
      <c r="G468"/>
      <c r="H468"/>
      <c r="I468"/>
    </row>
    <row r="469" spans="4:9">
      <c r="D469"/>
      <c r="E469"/>
      <c r="F469"/>
      <c r="G469"/>
      <c r="H469"/>
      <c r="I469"/>
    </row>
    <row r="470" spans="4:9">
      <c r="D470"/>
      <c r="E470"/>
      <c r="F470"/>
      <c r="G470"/>
      <c r="H470"/>
      <c r="I470"/>
    </row>
    <row r="471" spans="4:9">
      <c r="D471"/>
      <c r="E471"/>
      <c r="F471"/>
      <c r="G471"/>
      <c r="H471"/>
      <c r="I471"/>
    </row>
    <row r="472" spans="4:9">
      <c r="D472"/>
      <c r="E472"/>
      <c r="F472"/>
      <c r="G472"/>
      <c r="H472"/>
      <c r="I472"/>
    </row>
    <row r="473" spans="4:9">
      <c r="D473"/>
      <c r="E473"/>
      <c r="F473"/>
      <c r="G473"/>
      <c r="H473"/>
      <c r="I473"/>
    </row>
    <row r="474" spans="4:9">
      <c r="D474"/>
      <c r="E474"/>
      <c r="F474"/>
      <c r="G474"/>
      <c r="H474"/>
      <c r="I474"/>
    </row>
  </sheetData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2277-9173-BD4A-A39E-B052D6C22E08}">
  <dimension ref="A1:Y490"/>
  <sheetViews>
    <sheetView workbookViewId="0">
      <pane xSplit="1" ySplit="3" topLeftCell="B188" activePane="bottomRight" state="frozen"/>
      <selection pane="topRight" activeCell="B1" sqref="B1"/>
      <selection pane="bottomLeft" activeCell="A2" sqref="A2"/>
      <selection pane="bottomRight" activeCell="A197" sqref="A197:XFD210"/>
    </sheetView>
  </sheetViews>
  <sheetFormatPr defaultColWidth="10.83203125" defaultRowHeight="15.7"/>
  <cols>
    <col min="1" max="1" width="4.83203125" style="195" customWidth="1"/>
    <col min="2" max="2" width="36" style="44" customWidth="1"/>
    <col min="3" max="3" width="24.83203125" style="102" customWidth="1"/>
    <col min="4" max="4" width="24" style="195" customWidth="1"/>
    <col min="5" max="5" width="20.6640625" style="195" customWidth="1"/>
    <col min="6" max="6" width="14.83203125" style="195" customWidth="1"/>
    <col min="7" max="13" width="13.33203125" style="195" customWidth="1"/>
    <col min="14" max="15" width="30.83203125" style="195" customWidth="1"/>
    <col min="16" max="16384" width="10.83203125" style="195"/>
  </cols>
  <sheetData>
    <row r="1" spans="1:24" s="4" customFormat="1" ht="20.7">
      <c r="A1" s="51" t="s">
        <v>97</v>
      </c>
      <c r="B1" s="18" t="s">
        <v>1138</v>
      </c>
      <c r="C1" s="102"/>
      <c r="D1" s="114"/>
      <c r="E1" s="45"/>
      <c r="F1" s="195"/>
      <c r="G1" s="195"/>
      <c r="H1" s="195"/>
      <c r="I1" s="195"/>
      <c r="J1" s="195"/>
      <c r="K1" s="195"/>
      <c r="L1" s="195"/>
      <c r="M1" s="195"/>
      <c r="N1" s="45"/>
      <c r="O1" s="45"/>
      <c r="P1" s="44"/>
      <c r="Q1" s="44"/>
      <c r="R1" s="44"/>
      <c r="S1" s="44"/>
      <c r="T1" s="44"/>
      <c r="U1" s="114"/>
      <c r="V1" s="114"/>
      <c r="W1" s="44"/>
      <c r="X1" s="114"/>
    </row>
    <row r="2" spans="1:24" s="39" customFormat="1" ht="36">
      <c r="B2" s="19" t="s">
        <v>1226</v>
      </c>
      <c r="C2" s="19" t="s">
        <v>1227</v>
      </c>
      <c r="D2" s="19" t="s">
        <v>13</v>
      </c>
      <c r="E2" s="19" t="s">
        <v>1276</v>
      </c>
      <c r="F2" s="19" t="s">
        <v>895</v>
      </c>
      <c r="G2" s="19" t="s">
        <v>828</v>
      </c>
      <c r="H2" s="19" t="s">
        <v>875</v>
      </c>
      <c r="I2" s="19" t="s">
        <v>872</v>
      </c>
      <c r="J2" s="19" t="s">
        <v>873</v>
      </c>
      <c r="K2" s="19" t="s">
        <v>898</v>
      </c>
      <c r="L2" s="19" t="s">
        <v>897</v>
      </c>
      <c r="M2" s="19" t="s">
        <v>874</v>
      </c>
      <c r="N2" s="19" t="s">
        <v>827</v>
      </c>
      <c r="O2" s="19" t="s">
        <v>47</v>
      </c>
    </row>
    <row r="3" spans="1:24" s="39" customFormat="1" ht="18">
      <c r="B3" s="63"/>
      <c r="C3" s="63"/>
      <c r="D3" s="16"/>
      <c r="E3" s="16"/>
      <c r="F3" s="16"/>
      <c r="G3" s="16" t="s">
        <v>71</v>
      </c>
      <c r="H3" s="16" t="s">
        <v>71</v>
      </c>
      <c r="I3" s="16" t="s">
        <v>94</v>
      </c>
      <c r="J3" s="16" t="s">
        <v>94</v>
      </c>
      <c r="K3" s="16" t="s">
        <v>94</v>
      </c>
      <c r="L3" s="16" t="s">
        <v>19</v>
      </c>
      <c r="M3" s="16" t="s">
        <v>19</v>
      </c>
      <c r="N3" s="16"/>
      <c r="O3" s="16"/>
    </row>
    <row r="4" spans="1:24" ht="20" customHeight="1">
      <c r="B4" s="96" t="s">
        <v>804</v>
      </c>
      <c r="C4" s="37" t="s">
        <v>1063</v>
      </c>
      <c r="D4" s="37" t="s">
        <v>123</v>
      </c>
      <c r="E4" s="37" t="s">
        <v>1277</v>
      </c>
      <c r="F4" s="37" t="s">
        <v>829</v>
      </c>
      <c r="G4" s="197">
        <v>66</v>
      </c>
      <c r="H4" s="197">
        <v>12.5</v>
      </c>
      <c r="I4" s="224">
        <v>13.33</v>
      </c>
      <c r="J4" s="214">
        <f>I4*Inputs!$X$6</f>
        <v>15.995999999999999</v>
      </c>
      <c r="K4" s="221">
        <f>Inputs!$Y$6</f>
        <v>0.9</v>
      </c>
      <c r="L4" s="224">
        <f>I4*$K4</f>
        <v>11.997</v>
      </c>
      <c r="M4" s="224">
        <f>J4*$K4</f>
        <v>14.3964</v>
      </c>
      <c r="N4" s="17"/>
      <c r="O4" s="17"/>
    </row>
    <row r="5" spans="1:24" ht="20" customHeight="1">
      <c r="B5" s="96" t="s">
        <v>669</v>
      </c>
      <c r="C5" s="37" t="s">
        <v>1058</v>
      </c>
      <c r="D5" s="37" t="s">
        <v>123</v>
      </c>
      <c r="E5" s="37" t="s">
        <v>1277</v>
      </c>
      <c r="F5" s="37" t="s">
        <v>829</v>
      </c>
      <c r="G5" s="197">
        <v>138</v>
      </c>
      <c r="H5" s="197">
        <v>25</v>
      </c>
      <c r="I5" s="224">
        <v>2.67</v>
      </c>
      <c r="J5" s="214">
        <f>I5*Inputs!$X$6</f>
        <v>3.2039999999999997</v>
      </c>
      <c r="K5" s="221">
        <f>Inputs!$Y$6</f>
        <v>0.9</v>
      </c>
      <c r="L5" s="224">
        <f>I5*$K5</f>
        <v>2.403</v>
      </c>
      <c r="M5" s="224">
        <f>J5*$K5</f>
        <v>2.8835999999999999</v>
      </c>
      <c r="N5" s="17"/>
      <c r="O5" s="17"/>
    </row>
    <row r="6" spans="1:24" ht="20" customHeight="1">
      <c r="B6" s="165" t="s">
        <v>727</v>
      </c>
      <c r="C6" s="37" t="s">
        <v>1111</v>
      </c>
      <c r="D6" s="37" t="s">
        <v>101</v>
      </c>
      <c r="E6" s="37" t="s">
        <v>1277</v>
      </c>
      <c r="F6" s="37"/>
      <c r="G6" s="197"/>
      <c r="H6" s="197"/>
      <c r="I6" s="118"/>
      <c r="J6" s="118"/>
      <c r="K6" s="118"/>
      <c r="L6" s="118"/>
      <c r="M6" s="118"/>
      <c r="N6" s="17"/>
      <c r="O6" s="17"/>
    </row>
    <row r="7" spans="1:24" ht="20" customHeight="1">
      <c r="B7" s="165" t="s">
        <v>680</v>
      </c>
      <c r="C7" s="37" t="s">
        <v>1068</v>
      </c>
      <c r="D7" s="37" t="s">
        <v>123</v>
      </c>
      <c r="E7" s="37" t="s">
        <v>1277</v>
      </c>
      <c r="F7" s="37" t="s">
        <v>829</v>
      </c>
      <c r="G7" s="197">
        <v>138</v>
      </c>
      <c r="H7" s="197">
        <v>25</v>
      </c>
      <c r="I7" s="224">
        <v>6.67</v>
      </c>
      <c r="J7" s="214">
        <f>I7*Inputs!$X$6</f>
        <v>8.0039999999999996</v>
      </c>
      <c r="K7" s="221">
        <f>Inputs!$Y$6</f>
        <v>0.9</v>
      </c>
      <c r="L7" s="224">
        <f t="shared" ref="L7:M13" si="0">I7*$K7</f>
        <v>6.0030000000000001</v>
      </c>
      <c r="M7" s="224">
        <f t="shared" si="0"/>
        <v>7.2035999999999998</v>
      </c>
      <c r="N7" s="17"/>
      <c r="O7" s="17"/>
    </row>
    <row r="8" spans="1:24" ht="20" customHeight="1">
      <c r="B8" s="96" t="s">
        <v>632</v>
      </c>
      <c r="C8" s="37" t="s">
        <v>1020</v>
      </c>
      <c r="D8" s="37" t="s">
        <v>123</v>
      </c>
      <c r="E8" s="37" t="s">
        <v>1277</v>
      </c>
      <c r="F8" s="37" t="s">
        <v>829</v>
      </c>
      <c r="G8" s="197">
        <v>138</v>
      </c>
      <c r="H8" s="197">
        <v>12.5</v>
      </c>
      <c r="I8" s="224">
        <v>20</v>
      </c>
      <c r="J8" s="214">
        <f>I8*Inputs!$X$6</f>
        <v>24</v>
      </c>
      <c r="K8" s="221">
        <f>Inputs!$Y$6</f>
        <v>0.9</v>
      </c>
      <c r="L8" s="224">
        <f t="shared" si="0"/>
        <v>18</v>
      </c>
      <c r="M8" s="224">
        <f t="shared" si="0"/>
        <v>21.6</v>
      </c>
      <c r="N8" s="17"/>
      <c r="O8" s="17"/>
    </row>
    <row r="9" spans="1:24" ht="20" customHeight="1">
      <c r="B9" s="96" t="s">
        <v>632</v>
      </c>
      <c r="C9" s="37" t="s">
        <v>1020</v>
      </c>
      <c r="D9" s="37" t="s">
        <v>123</v>
      </c>
      <c r="E9" s="37" t="s">
        <v>1277</v>
      </c>
      <c r="F9" s="37" t="s">
        <v>896</v>
      </c>
      <c r="G9" s="197">
        <v>138</v>
      </c>
      <c r="H9" s="197">
        <v>12.5</v>
      </c>
      <c r="I9" s="224">
        <v>25</v>
      </c>
      <c r="J9" s="214">
        <f>I9*Inputs!$X$6</f>
        <v>30</v>
      </c>
      <c r="K9" s="221">
        <f>Inputs!$Y$6</f>
        <v>0.9</v>
      </c>
      <c r="L9" s="224">
        <f t="shared" si="0"/>
        <v>22.5</v>
      </c>
      <c r="M9" s="224">
        <f t="shared" si="0"/>
        <v>27</v>
      </c>
      <c r="N9" s="17"/>
      <c r="O9" s="17"/>
    </row>
    <row r="10" spans="1:24" ht="20" customHeight="1">
      <c r="B10" s="96" t="s">
        <v>632</v>
      </c>
      <c r="C10" s="37" t="s">
        <v>1020</v>
      </c>
      <c r="D10" s="37" t="s">
        <v>123</v>
      </c>
      <c r="E10" s="37" t="s">
        <v>1277</v>
      </c>
      <c r="F10" s="37" t="s">
        <v>830</v>
      </c>
      <c r="G10" s="197">
        <v>138</v>
      </c>
      <c r="H10" s="197">
        <v>66</v>
      </c>
      <c r="I10" s="224">
        <v>41.6</v>
      </c>
      <c r="J10" s="214">
        <f>I10*Inputs!$X$6</f>
        <v>49.92</v>
      </c>
      <c r="K10" s="221">
        <f>Inputs!$Y$6</f>
        <v>0.9</v>
      </c>
      <c r="L10" s="224">
        <f t="shared" si="0"/>
        <v>37.440000000000005</v>
      </c>
      <c r="M10" s="224">
        <f t="shared" si="0"/>
        <v>44.928000000000004</v>
      </c>
      <c r="N10" s="17"/>
      <c r="O10" s="17"/>
    </row>
    <row r="11" spans="1:24" ht="20" customHeight="1">
      <c r="B11" s="96" t="s">
        <v>632</v>
      </c>
      <c r="C11" s="37" t="s">
        <v>1020</v>
      </c>
      <c r="D11" s="37" t="s">
        <v>123</v>
      </c>
      <c r="E11" s="37" t="s">
        <v>1277</v>
      </c>
      <c r="F11" s="37" t="s">
        <v>831</v>
      </c>
      <c r="G11" s="197">
        <v>138</v>
      </c>
      <c r="H11" s="197">
        <v>66</v>
      </c>
      <c r="I11" s="224">
        <v>41.6</v>
      </c>
      <c r="J11" s="214">
        <f>I11*Inputs!$X$6</f>
        <v>49.92</v>
      </c>
      <c r="K11" s="221">
        <f>Inputs!$Y$6</f>
        <v>0.9</v>
      </c>
      <c r="L11" s="224">
        <f t="shared" si="0"/>
        <v>37.440000000000005</v>
      </c>
      <c r="M11" s="224">
        <f t="shared" si="0"/>
        <v>44.928000000000004</v>
      </c>
      <c r="N11" s="17"/>
      <c r="O11" s="17"/>
    </row>
    <row r="12" spans="1:24" ht="20" customHeight="1">
      <c r="B12" s="96" t="s">
        <v>667</v>
      </c>
      <c r="C12" s="37" t="s">
        <v>1056</v>
      </c>
      <c r="D12" s="37" t="s">
        <v>123</v>
      </c>
      <c r="E12" s="37" t="s">
        <v>1277</v>
      </c>
      <c r="F12" s="37" t="s">
        <v>830</v>
      </c>
      <c r="G12" s="197">
        <v>66</v>
      </c>
      <c r="H12" s="197">
        <v>12.5</v>
      </c>
      <c r="I12" s="224">
        <v>15</v>
      </c>
      <c r="J12" s="214">
        <f>I12*Inputs!$X$6</f>
        <v>18</v>
      </c>
      <c r="K12" s="221">
        <f>Inputs!$Y$6</f>
        <v>0.9</v>
      </c>
      <c r="L12" s="224">
        <f t="shared" si="0"/>
        <v>13.5</v>
      </c>
      <c r="M12" s="224">
        <f t="shared" si="0"/>
        <v>16.2</v>
      </c>
      <c r="N12" s="17"/>
      <c r="O12" s="17"/>
    </row>
    <row r="13" spans="1:24" ht="20" customHeight="1">
      <c r="B13" s="96" t="s">
        <v>667</v>
      </c>
      <c r="C13" s="37" t="s">
        <v>1056</v>
      </c>
      <c r="D13" s="37" t="s">
        <v>123</v>
      </c>
      <c r="E13" s="37" t="s">
        <v>1277</v>
      </c>
      <c r="F13" s="37" t="s">
        <v>829</v>
      </c>
      <c r="G13" s="197">
        <v>66</v>
      </c>
      <c r="H13" s="197">
        <v>12.5</v>
      </c>
      <c r="I13" s="224">
        <v>20</v>
      </c>
      <c r="J13" s="214">
        <f>I13*Inputs!$X$6</f>
        <v>24</v>
      </c>
      <c r="K13" s="221">
        <f>Inputs!$Y$6</f>
        <v>0.9</v>
      </c>
      <c r="L13" s="224">
        <f t="shared" si="0"/>
        <v>18</v>
      </c>
      <c r="M13" s="224">
        <f t="shared" si="0"/>
        <v>21.6</v>
      </c>
      <c r="N13" s="17"/>
      <c r="O13" s="17"/>
    </row>
    <row r="14" spans="1:24" ht="20" customHeight="1">
      <c r="B14" s="165" t="s">
        <v>982</v>
      </c>
      <c r="C14" s="37" t="s">
        <v>1084</v>
      </c>
      <c r="D14" s="37" t="s">
        <v>101</v>
      </c>
      <c r="E14" s="37" t="s">
        <v>1277</v>
      </c>
      <c r="F14" s="37"/>
      <c r="G14" s="197"/>
      <c r="H14" s="197"/>
      <c r="I14" s="118"/>
      <c r="J14" s="118"/>
      <c r="K14" s="118"/>
      <c r="L14" s="118"/>
      <c r="M14" s="118"/>
      <c r="N14" s="17"/>
      <c r="O14" s="17"/>
    </row>
    <row r="15" spans="1:24" ht="20" customHeight="1">
      <c r="B15" s="96" t="s">
        <v>674</v>
      </c>
      <c r="C15" s="37" t="s">
        <v>1062</v>
      </c>
      <c r="D15" s="37" t="s">
        <v>123</v>
      </c>
      <c r="E15" s="37" t="s">
        <v>1277</v>
      </c>
      <c r="F15" s="37" t="s">
        <v>829</v>
      </c>
      <c r="G15" s="197">
        <v>66</v>
      </c>
      <c r="H15" s="197">
        <v>12.5</v>
      </c>
      <c r="I15" s="224">
        <v>7.46</v>
      </c>
      <c r="J15" s="214">
        <f>I15*Inputs!$X$6</f>
        <v>8.952</v>
      </c>
      <c r="K15" s="221">
        <f>Inputs!$Y$6</f>
        <v>0.9</v>
      </c>
      <c r="L15" s="224">
        <f>I15*$K15</f>
        <v>6.7140000000000004</v>
      </c>
      <c r="M15" s="224">
        <f>J15*$K15</f>
        <v>8.0568000000000008</v>
      </c>
      <c r="N15" s="17"/>
      <c r="O15" s="17"/>
    </row>
    <row r="16" spans="1:24" ht="20" customHeight="1">
      <c r="B16" s="165" t="s">
        <v>688</v>
      </c>
      <c r="C16" s="37" t="s">
        <v>1081</v>
      </c>
      <c r="D16" s="37" t="s">
        <v>101</v>
      </c>
      <c r="E16" s="37" t="s">
        <v>1277</v>
      </c>
      <c r="F16" s="37"/>
      <c r="G16" s="197"/>
      <c r="H16" s="197"/>
      <c r="I16" s="118"/>
      <c r="J16" s="118"/>
      <c r="K16" s="118"/>
      <c r="L16" s="118"/>
      <c r="M16" s="118"/>
      <c r="N16" s="17"/>
      <c r="O16" s="17"/>
    </row>
    <row r="17" spans="2:15" ht="20" customHeight="1">
      <c r="B17" s="96" t="s">
        <v>626</v>
      </c>
      <c r="C17" s="37" t="s">
        <v>1012</v>
      </c>
      <c r="D17" s="37" t="s">
        <v>123</v>
      </c>
      <c r="E17" s="37" t="s">
        <v>1277</v>
      </c>
      <c r="F17" s="37" t="s">
        <v>829</v>
      </c>
      <c r="G17" s="197">
        <v>66</v>
      </c>
      <c r="H17" s="197">
        <v>12.5</v>
      </c>
      <c r="I17" s="224">
        <v>11.1</v>
      </c>
      <c r="J17" s="214">
        <f>I17*Inputs!$X$6</f>
        <v>13.319999999999999</v>
      </c>
      <c r="K17" s="221">
        <f>Inputs!$Y$6</f>
        <v>0.9</v>
      </c>
      <c r="L17" s="224">
        <f t="shared" ref="L17:M21" si="1">I17*$K17</f>
        <v>9.99</v>
      </c>
      <c r="M17" s="224">
        <f t="shared" si="1"/>
        <v>11.988</v>
      </c>
      <c r="N17" s="17"/>
      <c r="O17" s="17"/>
    </row>
    <row r="18" spans="2:15" ht="20" customHeight="1">
      <c r="B18" s="96" t="s">
        <v>656</v>
      </c>
      <c r="C18" s="37" t="s">
        <v>1228</v>
      </c>
      <c r="D18" s="37" t="s">
        <v>123</v>
      </c>
      <c r="E18" s="37" t="s">
        <v>1277</v>
      </c>
      <c r="F18" s="37" t="s">
        <v>829</v>
      </c>
      <c r="G18" s="197">
        <v>138</v>
      </c>
      <c r="H18" s="197">
        <v>25</v>
      </c>
      <c r="I18" s="224">
        <v>20</v>
      </c>
      <c r="J18" s="214">
        <f>I18*Inputs!$X$6</f>
        <v>24</v>
      </c>
      <c r="K18" s="221">
        <f>Inputs!$Y$6</f>
        <v>0.9</v>
      </c>
      <c r="L18" s="224">
        <f t="shared" si="1"/>
        <v>18</v>
      </c>
      <c r="M18" s="224">
        <f t="shared" si="1"/>
        <v>21.6</v>
      </c>
      <c r="N18" s="17"/>
      <c r="O18" s="17"/>
    </row>
    <row r="19" spans="2:15" ht="20" customHeight="1">
      <c r="B19" s="96" t="s">
        <v>636</v>
      </c>
      <c r="C19" s="37" t="s">
        <v>1024</v>
      </c>
      <c r="D19" s="37" t="s">
        <v>123</v>
      </c>
      <c r="E19" s="37" t="s">
        <v>1277</v>
      </c>
      <c r="F19" s="37" t="s">
        <v>830</v>
      </c>
      <c r="G19" s="197">
        <v>138</v>
      </c>
      <c r="H19" s="197">
        <v>25</v>
      </c>
      <c r="I19" s="224">
        <v>20</v>
      </c>
      <c r="J19" s="214">
        <f>I19*Inputs!$X$6</f>
        <v>24</v>
      </c>
      <c r="K19" s="221">
        <f>Inputs!$Y$6</f>
        <v>0.9</v>
      </c>
      <c r="L19" s="224">
        <f t="shared" si="1"/>
        <v>18</v>
      </c>
      <c r="M19" s="224">
        <f t="shared" si="1"/>
        <v>21.6</v>
      </c>
      <c r="N19" s="17"/>
      <c r="O19" s="17"/>
    </row>
    <row r="20" spans="2:15" ht="20" customHeight="1">
      <c r="B20" s="96" t="s">
        <v>636</v>
      </c>
      <c r="C20" s="37" t="s">
        <v>1024</v>
      </c>
      <c r="D20" s="37" t="s">
        <v>123</v>
      </c>
      <c r="E20" s="37" t="s">
        <v>1277</v>
      </c>
      <c r="F20" s="37" t="s">
        <v>831</v>
      </c>
      <c r="G20" s="197">
        <v>138</v>
      </c>
      <c r="H20" s="197">
        <v>66</v>
      </c>
      <c r="I20" s="224">
        <v>41.6</v>
      </c>
      <c r="J20" s="214">
        <f>I20*Inputs!$X$6</f>
        <v>49.92</v>
      </c>
      <c r="K20" s="221">
        <f>Inputs!$Y$6</f>
        <v>0.9</v>
      </c>
      <c r="L20" s="224">
        <f t="shared" si="1"/>
        <v>37.440000000000005</v>
      </c>
      <c r="M20" s="224">
        <f t="shared" si="1"/>
        <v>44.928000000000004</v>
      </c>
      <c r="N20" s="17"/>
      <c r="O20" s="17"/>
    </row>
    <row r="21" spans="2:15" ht="20" customHeight="1">
      <c r="B21" s="96" t="s">
        <v>718</v>
      </c>
      <c r="C21" s="37" t="s">
        <v>1100</v>
      </c>
      <c r="D21" s="37" t="s">
        <v>123</v>
      </c>
      <c r="E21" s="37" t="s">
        <v>1277</v>
      </c>
      <c r="F21" s="37" t="s">
        <v>829</v>
      </c>
      <c r="G21" s="197">
        <v>138</v>
      </c>
      <c r="H21" s="197">
        <v>12.5</v>
      </c>
      <c r="I21" s="224">
        <v>25</v>
      </c>
      <c r="J21" s="214">
        <f>I21*Inputs!$X$6</f>
        <v>30</v>
      </c>
      <c r="K21" s="221">
        <f>Inputs!$Y$6</f>
        <v>0.9</v>
      </c>
      <c r="L21" s="224">
        <f t="shared" si="1"/>
        <v>22.5</v>
      </c>
      <c r="M21" s="224">
        <f t="shared" si="1"/>
        <v>27</v>
      </c>
      <c r="N21" s="17"/>
      <c r="O21" s="17"/>
    </row>
    <row r="22" spans="2:15" ht="20" customHeight="1">
      <c r="B22" s="165" t="s">
        <v>737</v>
      </c>
      <c r="C22" s="37" t="s">
        <v>1117</v>
      </c>
      <c r="D22" s="37" t="s">
        <v>101</v>
      </c>
      <c r="E22" s="37" t="s">
        <v>1277</v>
      </c>
      <c r="F22" s="37"/>
      <c r="G22" s="197"/>
      <c r="H22" s="197"/>
      <c r="I22" s="118"/>
      <c r="J22" s="118"/>
      <c r="K22" s="118"/>
      <c r="L22" s="118"/>
      <c r="M22" s="118"/>
      <c r="N22" s="17"/>
      <c r="O22" s="17"/>
    </row>
    <row r="23" spans="2:15" ht="20" customHeight="1">
      <c r="B23" s="96" t="s">
        <v>720</v>
      </c>
      <c r="C23" s="37" t="s">
        <v>1102</v>
      </c>
      <c r="D23" s="37" t="s">
        <v>123</v>
      </c>
      <c r="E23" s="37" t="s">
        <v>1277</v>
      </c>
      <c r="F23" s="37" t="s">
        <v>829</v>
      </c>
      <c r="G23" s="197">
        <v>138</v>
      </c>
      <c r="H23" s="197">
        <v>25</v>
      </c>
      <c r="I23" s="224">
        <v>20</v>
      </c>
      <c r="J23" s="214">
        <f>I23*Inputs!$X$6</f>
        <v>24</v>
      </c>
      <c r="K23" s="221">
        <f>Inputs!$Y$6</f>
        <v>0.9</v>
      </c>
      <c r="L23" s="224">
        <f>I23*$K23</f>
        <v>18</v>
      </c>
      <c r="M23" s="224">
        <f>J23*$K23</f>
        <v>21.6</v>
      </c>
      <c r="N23" s="17"/>
      <c r="O23" s="17"/>
    </row>
    <row r="24" spans="2:15" ht="20" customHeight="1">
      <c r="B24" s="96" t="s">
        <v>698</v>
      </c>
      <c r="C24" s="37" t="s">
        <v>1041</v>
      </c>
      <c r="D24" s="37" t="s">
        <v>123</v>
      </c>
      <c r="E24" s="37" t="s">
        <v>1277</v>
      </c>
      <c r="F24" s="37"/>
      <c r="G24" s="197"/>
      <c r="H24" s="197"/>
      <c r="I24" s="118"/>
      <c r="J24" s="118"/>
      <c r="K24" s="118"/>
      <c r="L24" s="118"/>
      <c r="M24" s="118"/>
      <c r="N24" s="17"/>
      <c r="O24" s="17"/>
    </row>
    <row r="25" spans="2:15" ht="20" customHeight="1">
      <c r="B25" s="96" t="s">
        <v>706</v>
      </c>
      <c r="C25" s="37" t="s">
        <v>1091</v>
      </c>
      <c r="D25" s="37" t="s">
        <v>123</v>
      </c>
      <c r="E25" s="37" t="s">
        <v>1277</v>
      </c>
      <c r="F25" s="37" t="s">
        <v>829</v>
      </c>
      <c r="G25" s="197">
        <v>66</v>
      </c>
      <c r="H25" s="197">
        <v>12.5</v>
      </c>
      <c r="I25" s="224">
        <v>25</v>
      </c>
      <c r="J25" s="214">
        <f>I25*Inputs!$X$6</f>
        <v>30</v>
      </c>
      <c r="K25" s="221">
        <f>Inputs!$Y$6</f>
        <v>0.9</v>
      </c>
      <c r="L25" s="224">
        <f>I25*$K25</f>
        <v>22.5</v>
      </c>
      <c r="M25" s="224">
        <f>J25*$K25</f>
        <v>27</v>
      </c>
      <c r="N25" s="17"/>
      <c r="O25" s="17"/>
    </row>
    <row r="26" spans="2:15" ht="20" customHeight="1">
      <c r="B26" s="165" t="s">
        <v>678</v>
      </c>
      <c r="C26" s="37" t="s">
        <v>1229</v>
      </c>
      <c r="D26" s="37" t="s">
        <v>855</v>
      </c>
      <c r="E26" s="37" t="s">
        <v>1277</v>
      </c>
      <c r="F26" s="37"/>
      <c r="G26" s="197"/>
      <c r="H26" s="197"/>
      <c r="I26" s="118"/>
      <c r="J26" s="118"/>
      <c r="K26" s="118"/>
      <c r="L26" s="118"/>
      <c r="M26" s="118"/>
      <c r="N26" s="17"/>
      <c r="O26" s="17"/>
    </row>
    <row r="27" spans="2:15" ht="20" customHeight="1">
      <c r="B27" s="96" t="s">
        <v>639</v>
      </c>
      <c r="C27" s="37" t="s">
        <v>1230</v>
      </c>
      <c r="D27" s="37" t="s">
        <v>123</v>
      </c>
      <c r="E27" s="37" t="s">
        <v>1277</v>
      </c>
      <c r="F27" s="37" t="s">
        <v>830</v>
      </c>
      <c r="G27" s="197">
        <v>66</v>
      </c>
      <c r="H27" s="197">
        <v>12.5</v>
      </c>
      <c r="I27" s="224">
        <v>5</v>
      </c>
      <c r="J27" s="214">
        <f>I27*Inputs!$X$6</f>
        <v>6</v>
      </c>
      <c r="K27" s="221">
        <f>Inputs!$Y$6</f>
        <v>0.9</v>
      </c>
      <c r="L27" s="224">
        <f t="shared" ref="L27:M34" si="2">I27*$K27</f>
        <v>4.5</v>
      </c>
      <c r="M27" s="224">
        <f t="shared" si="2"/>
        <v>5.4</v>
      </c>
      <c r="N27" s="17"/>
      <c r="O27" s="17"/>
    </row>
    <row r="28" spans="2:15" ht="20" customHeight="1">
      <c r="B28" s="96" t="s">
        <v>630</v>
      </c>
      <c r="C28" s="37" t="s">
        <v>1019</v>
      </c>
      <c r="D28" s="37" t="s">
        <v>123</v>
      </c>
      <c r="E28" s="37" t="s">
        <v>1277</v>
      </c>
      <c r="F28" s="37" t="s">
        <v>829</v>
      </c>
      <c r="G28" s="197">
        <v>66</v>
      </c>
      <c r="H28" s="197">
        <v>12.5</v>
      </c>
      <c r="I28" s="224">
        <v>25</v>
      </c>
      <c r="J28" s="214">
        <f>I28*Inputs!$X$6</f>
        <v>30</v>
      </c>
      <c r="K28" s="221">
        <f>Inputs!$Y$6</f>
        <v>0.9</v>
      </c>
      <c r="L28" s="224">
        <f t="shared" si="2"/>
        <v>22.5</v>
      </c>
      <c r="M28" s="224">
        <f t="shared" si="2"/>
        <v>27</v>
      </c>
      <c r="N28" s="17"/>
      <c r="O28" s="17"/>
    </row>
    <row r="29" spans="2:15" ht="20" customHeight="1">
      <c r="B29" s="96" t="s">
        <v>653</v>
      </c>
      <c r="C29" s="37" t="s">
        <v>1044</v>
      </c>
      <c r="D29" s="37" t="s">
        <v>123</v>
      </c>
      <c r="E29" s="37" t="s">
        <v>1277</v>
      </c>
      <c r="F29" s="37" t="s">
        <v>829</v>
      </c>
      <c r="G29" s="197">
        <v>138</v>
      </c>
      <c r="H29" s="197">
        <v>66</v>
      </c>
      <c r="I29" s="224">
        <v>16.7</v>
      </c>
      <c r="J29" s="214">
        <f>I29*Inputs!$X$6</f>
        <v>20.04</v>
      </c>
      <c r="K29" s="221">
        <f>Inputs!$Y$6</f>
        <v>0.9</v>
      </c>
      <c r="L29" s="224">
        <f t="shared" si="2"/>
        <v>15.03</v>
      </c>
      <c r="M29" s="224">
        <f t="shared" si="2"/>
        <v>18.036000000000001</v>
      </c>
      <c r="N29" s="17"/>
      <c r="O29" s="17"/>
    </row>
    <row r="30" spans="2:15" ht="20" customHeight="1">
      <c r="B30" s="96" t="s">
        <v>653</v>
      </c>
      <c r="C30" s="37" t="s">
        <v>1044</v>
      </c>
      <c r="D30" s="37" t="s">
        <v>123</v>
      </c>
      <c r="E30" s="37" t="s">
        <v>1277</v>
      </c>
      <c r="F30" s="37" t="s">
        <v>830</v>
      </c>
      <c r="G30" s="197">
        <v>138</v>
      </c>
      <c r="H30" s="197">
        <v>12.5</v>
      </c>
      <c r="I30" s="224">
        <v>20</v>
      </c>
      <c r="J30" s="214">
        <f>I30*Inputs!$X$6</f>
        <v>24</v>
      </c>
      <c r="K30" s="221">
        <f>Inputs!$Y$6</f>
        <v>0.9</v>
      </c>
      <c r="L30" s="224">
        <f t="shared" si="2"/>
        <v>18</v>
      </c>
      <c r="M30" s="224">
        <f t="shared" si="2"/>
        <v>21.6</v>
      </c>
      <c r="N30" s="17"/>
      <c r="O30" s="17"/>
    </row>
    <row r="31" spans="2:15" ht="20" customHeight="1">
      <c r="B31" s="96" t="s">
        <v>633</v>
      </c>
      <c r="C31" s="37" t="s">
        <v>1231</v>
      </c>
      <c r="D31" s="37" t="s">
        <v>123</v>
      </c>
      <c r="E31" s="37" t="s">
        <v>1277</v>
      </c>
      <c r="F31" s="37" t="s">
        <v>829</v>
      </c>
      <c r="G31" s="197">
        <v>66</v>
      </c>
      <c r="H31" s="197">
        <v>25</v>
      </c>
      <c r="I31" s="224">
        <v>25</v>
      </c>
      <c r="J31" s="214">
        <f>I31*Inputs!$X$6</f>
        <v>30</v>
      </c>
      <c r="K31" s="221">
        <f>Inputs!$Y$6</f>
        <v>0.9</v>
      </c>
      <c r="L31" s="224">
        <f t="shared" si="2"/>
        <v>22.5</v>
      </c>
      <c r="M31" s="224">
        <f t="shared" si="2"/>
        <v>27</v>
      </c>
      <c r="N31" s="17"/>
      <c r="O31" s="17"/>
    </row>
    <row r="32" spans="2:15" ht="20" customHeight="1">
      <c r="B32" s="96" t="s">
        <v>633</v>
      </c>
      <c r="C32" s="37" t="s">
        <v>1231</v>
      </c>
      <c r="D32" s="37" t="s">
        <v>123</v>
      </c>
      <c r="E32" s="37" t="s">
        <v>1277</v>
      </c>
      <c r="F32" s="37" t="s">
        <v>830</v>
      </c>
      <c r="G32" s="197">
        <v>66</v>
      </c>
      <c r="H32" s="197">
        <v>25</v>
      </c>
      <c r="I32" s="224">
        <v>25</v>
      </c>
      <c r="J32" s="214">
        <f>I32*Inputs!$X$6</f>
        <v>30</v>
      </c>
      <c r="K32" s="221">
        <f>Inputs!$Y$6</f>
        <v>0.9</v>
      </c>
      <c r="L32" s="224">
        <f t="shared" si="2"/>
        <v>22.5</v>
      </c>
      <c r="M32" s="224">
        <f t="shared" si="2"/>
        <v>27</v>
      </c>
      <c r="N32" s="17"/>
      <c r="O32" s="17"/>
    </row>
    <row r="33" spans="2:15" ht="20" customHeight="1">
      <c r="B33" s="96" t="s">
        <v>648</v>
      </c>
      <c r="C33" s="37" t="s">
        <v>1037</v>
      </c>
      <c r="D33" s="37" t="s">
        <v>123</v>
      </c>
      <c r="E33" s="37" t="s">
        <v>1277</v>
      </c>
      <c r="F33" s="37" t="s">
        <v>830</v>
      </c>
      <c r="G33" s="197">
        <v>138</v>
      </c>
      <c r="H33" s="197">
        <v>12.5</v>
      </c>
      <c r="I33" s="224">
        <v>20</v>
      </c>
      <c r="J33" s="214">
        <f>I33*Inputs!$X$6</f>
        <v>24</v>
      </c>
      <c r="K33" s="221">
        <f>Inputs!$Y$6</f>
        <v>0.9</v>
      </c>
      <c r="L33" s="224">
        <f t="shared" si="2"/>
        <v>18</v>
      </c>
      <c r="M33" s="224">
        <f t="shared" si="2"/>
        <v>21.6</v>
      </c>
      <c r="N33" s="17"/>
      <c r="O33" s="17"/>
    </row>
    <row r="34" spans="2:15" ht="20" customHeight="1">
      <c r="B34" s="96" t="s">
        <v>648</v>
      </c>
      <c r="C34" s="37" t="s">
        <v>1037</v>
      </c>
      <c r="D34" s="37" t="s">
        <v>123</v>
      </c>
      <c r="E34" s="37" t="s">
        <v>1277</v>
      </c>
      <c r="F34" s="37" t="s">
        <v>829</v>
      </c>
      <c r="G34" s="197">
        <v>138</v>
      </c>
      <c r="H34" s="197">
        <v>66</v>
      </c>
      <c r="I34" s="224">
        <v>25</v>
      </c>
      <c r="J34" s="214">
        <f>I34*Inputs!$X$6</f>
        <v>30</v>
      </c>
      <c r="K34" s="221">
        <f>Inputs!$Y$6</f>
        <v>0.9</v>
      </c>
      <c r="L34" s="224">
        <f t="shared" si="2"/>
        <v>22.5</v>
      </c>
      <c r="M34" s="224">
        <f t="shared" si="2"/>
        <v>27</v>
      </c>
      <c r="N34" s="17"/>
      <c r="O34" s="17"/>
    </row>
    <row r="35" spans="2:15" ht="20" customHeight="1">
      <c r="B35" s="96" t="s">
        <v>886</v>
      </c>
      <c r="C35" s="37" t="s">
        <v>1039</v>
      </c>
      <c r="D35" s="37" t="s">
        <v>123</v>
      </c>
      <c r="E35" s="37" t="s">
        <v>1277</v>
      </c>
      <c r="F35" s="37"/>
      <c r="G35" s="197"/>
      <c r="H35" s="197"/>
      <c r="I35" s="118"/>
      <c r="J35" s="118"/>
      <c r="K35" s="118"/>
      <c r="L35" s="118"/>
      <c r="M35" s="118"/>
      <c r="N35" s="17"/>
      <c r="O35" s="17"/>
    </row>
    <row r="36" spans="2:15" ht="20" customHeight="1">
      <c r="B36" s="96" t="s">
        <v>852</v>
      </c>
      <c r="C36" s="37" t="s">
        <v>1095</v>
      </c>
      <c r="D36" s="37" t="s">
        <v>123</v>
      </c>
      <c r="E36" s="37" t="s">
        <v>1277</v>
      </c>
      <c r="F36" s="37" t="s">
        <v>829</v>
      </c>
      <c r="G36" s="197">
        <v>66</v>
      </c>
      <c r="H36" s="197">
        <v>12.5</v>
      </c>
      <c r="I36" s="224">
        <v>10</v>
      </c>
      <c r="J36" s="214">
        <f>I36*Inputs!$X$6</f>
        <v>12</v>
      </c>
      <c r="K36" s="221">
        <f>Inputs!$Y$6</f>
        <v>0.9</v>
      </c>
      <c r="L36" s="224">
        <f t="shared" ref="L36:M41" si="3">I36*$K36</f>
        <v>9</v>
      </c>
      <c r="M36" s="224">
        <f t="shared" si="3"/>
        <v>10.8</v>
      </c>
      <c r="N36" s="17"/>
      <c r="O36" s="17"/>
    </row>
    <row r="37" spans="2:15" ht="20" customHeight="1">
      <c r="B37" s="96" t="s">
        <v>852</v>
      </c>
      <c r="C37" s="37" t="s">
        <v>1095</v>
      </c>
      <c r="D37" s="37" t="s">
        <v>123</v>
      </c>
      <c r="E37" s="37" t="s">
        <v>1277</v>
      </c>
      <c r="F37" s="37" t="s">
        <v>830</v>
      </c>
      <c r="G37" s="197">
        <v>66</v>
      </c>
      <c r="H37" s="197">
        <v>12.5</v>
      </c>
      <c r="I37" s="224">
        <v>10</v>
      </c>
      <c r="J37" s="214">
        <f>I37*Inputs!$X$6</f>
        <v>12</v>
      </c>
      <c r="K37" s="221">
        <f>Inputs!$Y$6</f>
        <v>0.9</v>
      </c>
      <c r="L37" s="224">
        <f t="shared" si="3"/>
        <v>9</v>
      </c>
      <c r="M37" s="224">
        <f t="shared" si="3"/>
        <v>10.8</v>
      </c>
      <c r="N37" s="17"/>
      <c r="O37" s="17"/>
    </row>
    <row r="38" spans="2:15" ht="20" customHeight="1">
      <c r="B38" s="96" t="s">
        <v>657</v>
      </c>
      <c r="C38" s="37" t="s">
        <v>1047</v>
      </c>
      <c r="D38" s="37" t="s">
        <v>123</v>
      </c>
      <c r="E38" s="37" t="s">
        <v>1277</v>
      </c>
      <c r="F38" s="37" t="s">
        <v>829</v>
      </c>
      <c r="G38" s="197">
        <v>138</v>
      </c>
      <c r="H38" s="197">
        <v>12.5</v>
      </c>
      <c r="I38" s="224">
        <v>20</v>
      </c>
      <c r="J38" s="214">
        <f>I38*Inputs!$X$6</f>
        <v>24</v>
      </c>
      <c r="K38" s="221">
        <f>Inputs!$Y$6</f>
        <v>0.9</v>
      </c>
      <c r="L38" s="224">
        <f t="shared" si="3"/>
        <v>18</v>
      </c>
      <c r="M38" s="224">
        <f t="shared" si="3"/>
        <v>21.6</v>
      </c>
      <c r="N38" s="17"/>
      <c r="O38" s="17"/>
    </row>
    <row r="39" spans="2:15" ht="20" customHeight="1">
      <c r="B39" s="96" t="s">
        <v>657</v>
      </c>
      <c r="C39" s="37" t="s">
        <v>1047</v>
      </c>
      <c r="D39" s="37" t="s">
        <v>123</v>
      </c>
      <c r="E39" s="37" t="s">
        <v>1277</v>
      </c>
      <c r="F39" s="37" t="s">
        <v>831</v>
      </c>
      <c r="G39" s="197">
        <v>138</v>
      </c>
      <c r="H39" s="197">
        <v>12.5</v>
      </c>
      <c r="I39" s="224">
        <v>25</v>
      </c>
      <c r="J39" s="214">
        <f>I39*Inputs!$X$6</f>
        <v>30</v>
      </c>
      <c r="K39" s="221">
        <f>Inputs!$Y$6</f>
        <v>0.9</v>
      </c>
      <c r="L39" s="224">
        <f t="shared" si="3"/>
        <v>22.5</v>
      </c>
      <c r="M39" s="224">
        <f t="shared" si="3"/>
        <v>27</v>
      </c>
      <c r="N39" s="17"/>
      <c r="O39" s="17"/>
    </row>
    <row r="40" spans="2:15" ht="20" customHeight="1">
      <c r="B40" s="96" t="s">
        <v>657</v>
      </c>
      <c r="C40" s="37" t="s">
        <v>1047</v>
      </c>
      <c r="D40" s="37" t="s">
        <v>123</v>
      </c>
      <c r="E40" s="37" t="s">
        <v>1277</v>
      </c>
      <c r="F40" s="37" t="s">
        <v>830</v>
      </c>
      <c r="G40" s="197">
        <v>138</v>
      </c>
      <c r="H40" s="197">
        <v>66</v>
      </c>
      <c r="I40" s="224">
        <v>41.6</v>
      </c>
      <c r="J40" s="214">
        <f>I40*Inputs!$X$6</f>
        <v>49.92</v>
      </c>
      <c r="K40" s="221">
        <f>Inputs!$Y$6</f>
        <v>0.9</v>
      </c>
      <c r="L40" s="224">
        <f t="shared" si="3"/>
        <v>37.440000000000005</v>
      </c>
      <c r="M40" s="224">
        <f t="shared" si="3"/>
        <v>44.928000000000004</v>
      </c>
      <c r="N40" s="17"/>
      <c r="O40" s="17"/>
    </row>
    <row r="41" spans="2:15" ht="20" customHeight="1">
      <c r="B41" s="96" t="s">
        <v>805</v>
      </c>
      <c r="C41" s="37" t="s">
        <v>1018</v>
      </c>
      <c r="D41" s="37" t="s">
        <v>123</v>
      </c>
      <c r="E41" s="37" t="s">
        <v>1277</v>
      </c>
      <c r="F41" s="37" t="s">
        <v>829</v>
      </c>
      <c r="G41" s="197">
        <v>138</v>
      </c>
      <c r="H41" s="197">
        <v>12.5</v>
      </c>
      <c r="I41" s="224">
        <v>16.670000000000002</v>
      </c>
      <c r="J41" s="214">
        <f>I41*Inputs!$X$6</f>
        <v>20.004000000000001</v>
      </c>
      <c r="K41" s="221">
        <f>Inputs!$Y$6</f>
        <v>0.9</v>
      </c>
      <c r="L41" s="224">
        <f t="shared" si="3"/>
        <v>15.003000000000002</v>
      </c>
      <c r="M41" s="224">
        <f t="shared" si="3"/>
        <v>18.003600000000002</v>
      </c>
      <c r="N41" s="17"/>
      <c r="O41" s="17"/>
    </row>
    <row r="42" spans="2:15" ht="20" customHeight="1">
      <c r="B42" s="165" t="s">
        <v>734</v>
      </c>
      <c r="C42" s="37" t="s">
        <v>1115</v>
      </c>
      <c r="D42" s="37" t="s">
        <v>101</v>
      </c>
      <c r="E42" s="37" t="s">
        <v>1277</v>
      </c>
      <c r="F42" s="37"/>
      <c r="G42" s="197"/>
      <c r="H42" s="197"/>
      <c r="I42" s="118"/>
      <c r="J42" s="118"/>
      <c r="K42" s="118"/>
      <c r="L42" s="118"/>
      <c r="M42" s="118"/>
      <c r="N42" s="17"/>
      <c r="O42" s="17"/>
    </row>
    <row r="43" spans="2:15" ht="20" customHeight="1">
      <c r="B43" s="165" t="s">
        <v>795</v>
      </c>
      <c r="C43" s="37" t="s">
        <v>1071</v>
      </c>
      <c r="D43" s="37" t="s">
        <v>101</v>
      </c>
      <c r="E43" s="37" t="s">
        <v>1277</v>
      </c>
      <c r="F43" s="37"/>
      <c r="G43" s="197"/>
      <c r="H43" s="197"/>
      <c r="I43" s="118"/>
      <c r="J43" s="118"/>
      <c r="K43" s="118"/>
      <c r="L43" s="118"/>
      <c r="M43" s="118"/>
      <c r="N43" s="17"/>
      <c r="O43" s="17"/>
    </row>
    <row r="44" spans="2:15" ht="20" customHeight="1">
      <c r="B44" s="165" t="s">
        <v>690</v>
      </c>
      <c r="C44" s="37" t="s">
        <v>1080</v>
      </c>
      <c r="D44" s="37" t="s">
        <v>101</v>
      </c>
      <c r="E44" s="37" t="s">
        <v>1277</v>
      </c>
      <c r="F44" s="37"/>
      <c r="G44" s="197"/>
      <c r="H44" s="197"/>
      <c r="I44" s="118"/>
      <c r="J44" s="118"/>
      <c r="K44" s="118"/>
      <c r="L44" s="118"/>
      <c r="M44" s="118"/>
      <c r="N44" s="17"/>
      <c r="O44" s="17"/>
    </row>
    <row r="45" spans="2:15" ht="20" customHeight="1">
      <c r="B45" s="165" t="s">
        <v>684</v>
      </c>
      <c r="C45" s="37" t="s">
        <v>1072</v>
      </c>
      <c r="D45" s="37" t="s">
        <v>101</v>
      </c>
      <c r="E45" s="37" t="s">
        <v>1277</v>
      </c>
      <c r="F45" s="37"/>
      <c r="G45" s="197"/>
      <c r="H45" s="197"/>
      <c r="I45" s="118"/>
      <c r="J45" s="118"/>
      <c r="K45" s="118"/>
      <c r="L45" s="118"/>
      <c r="M45" s="118"/>
      <c r="N45" s="17"/>
      <c r="O45" s="17"/>
    </row>
    <row r="46" spans="2:15" ht="20" customHeight="1">
      <c r="B46" s="165" t="s">
        <v>687</v>
      </c>
      <c r="C46" s="37" t="s">
        <v>1232</v>
      </c>
      <c r="D46" s="37" t="s">
        <v>855</v>
      </c>
      <c r="E46" s="37" t="s">
        <v>1277</v>
      </c>
      <c r="F46" s="37" t="s">
        <v>829</v>
      </c>
      <c r="G46" s="197">
        <v>66</v>
      </c>
      <c r="H46" s="197">
        <v>12.5</v>
      </c>
      <c r="I46" s="224">
        <v>25</v>
      </c>
      <c r="J46" s="214">
        <f>I46*Inputs!$X$6</f>
        <v>30</v>
      </c>
      <c r="K46" s="221">
        <f>Inputs!$Y$6</f>
        <v>0.9</v>
      </c>
      <c r="L46" s="224">
        <f>I46*$K46</f>
        <v>22.5</v>
      </c>
      <c r="M46" s="224">
        <f>J46*$K46</f>
        <v>27</v>
      </c>
      <c r="N46" s="17"/>
      <c r="O46" s="17"/>
    </row>
    <row r="47" spans="2:15" ht="20" customHeight="1">
      <c r="B47" s="165" t="s">
        <v>682</v>
      </c>
      <c r="C47" s="37" t="s">
        <v>1069</v>
      </c>
      <c r="D47" s="37" t="s">
        <v>123</v>
      </c>
      <c r="E47" s="37" t="s">
        <v>1277</v>
      </c>
      <c r="F47" s="37" t="s">
        <v>830</v>
      </c>
      <c r="G47" s="197">
        <v>66</v>
      </c>
      <c r="H47" s="197">
        <v>25</v>
      </c>
      <c r="I47" s="224">
        <v>4</v>
      </c>
      <c r="J47" s="214">
        <f>I47*Inputs!$X$6</f>
        <v>4.8</v>
      </c>
      <c r="K47" s="221">
        <f>Inputs!$Y$6</f>
        <v>0.9</v>
      </c>
      <c r="L47" s="224">
        <f>I47*$K47</f>
        <v>3.6</v>
      </c>
      <c r="M47" s="224">
        <f>J47*$K47</f>
        <v>4.32</v>
      </c>
      <c r="N47" s="17"/>
      <c r="O47" s="17"/>
    </row>
    <row r="48" spans="2:15" ht="20" customHeight="1">
      <c r="B48" s="165" t="s">
        <v>739</v>
      </c>
      <c r="C48" s="37" t="s">
        <v>1118</v>
      </c>
      <c r="D48" s="37" t="s">
        <v>101</v>
      </c>
      <c r="E48" s="37" t="s">
        <v>1277</v>
      </c>
      <c r="F48" s="37"/>
      <c r="G48" s="197"/>
      <c r="H48" s="197"/>
      <c r="I48" s="118"/>
      <c r="J48" s="118"/>
      <c r="K48" s="118"/>
      <c r="L48" s="118"/>
      <c r="M48" s="118"/>
      <c r="N48" s="17"/>
      <c r="O48" s="17"/>
    </row>
    <row r="49" spans="2:15" ht="20" customHeight="1">
      <c r="B49" s="96" t="s">
        <v>629</v>
      </c>
      <c r="C49" s="37" t="s">
        <v>1015</v>
      </c>
      <c r="D49" s="37" t="s">
        <v>123</v>
      </c>
      <c r="E49" s="37" t="s">
        <v>1277</v>
      </c>
      <c r="F49" s="37"/>
      <c r="G49" s="197"/>
      <c r="H49" s="197"/>
      <c r="I49" s="118"/>
      <c r="J49" s="118"/>
      <c r="K49" s="118"/>
      <c r="L49" s="118"/>
      <c r="M49" s="118"/>
      <c r="N49" s="17"/>
      <c r="O49" s="17"/>
    </row>
    <row r="50" spans="2:15" ht="20" customHeight="1">
      <c r="B50" s="96" t="s">
        <v>806</v>
      </c>
      <c r="C50" s="37" t="s">
        <v>1023</v>
      </c>
      <c r="D50" s="37" t="s">
        <v>123</v>
      </c>
      <c r="E50" s="37" t="s">
        <v>1277</v>
      </c>
      <c r="F50" s="37" t="s">
        <v>829</v>
      </c>
      <c r="G50" s="197">
        <v>66</v>
      </c>
      <c r="H50" s="197">
        <v>25</v>
      </c>
      <c r="I50" s="224">
        <v>8.3000000000000007</v>
      </c>
      <c r="J50" s="214">
        <f>I50*Inputs!$X$6</f>
        <v>9.9600000000000009</v>
      </c>
      <c r="K50" s="221">
        <f>Inputs!$Y$6</f>
        <v>0.9</v>
      </c>
      <c r="L50" s="224">
        <f>I50*$K50</f>
        <v>7.4700000000000006</v>
      </c>
      <c r="M50" s="224">
        <f>J50*$K50</f>
        <v>8.9640000000000004</v>
      </c>
      <c r="N50" s="17"/>
      <c r="O50" s="17"/>
    </row>
    <row r="51" spans="2:15" ht="20" customHeight="1">
      <c r="B51" s="165" t="s">
        <v>796</v>
      </c>
      <c r="C51" s="37" t="s">
        <v>1070</v>
      </c>
      <c r="D51" s="37" t="s">
        <v>101</v>
      </c>
      <c r="E51" s="37" t="s">
        <v>1277</v>
      </c>
      <c r="F51" s="37"/>
      <c r="G51" s="197"/>
      <c r="H51" s="197"/>
      <c r="I51" s="118"/>
      <c r="J51" s="118"/>
      <c r="K51" s="118"/>
      <c r="L51" s="118"/>
      <c r="M51" s="118"/>
      <c r="N51" s="17"/>
      <c r="O51" s="17"/>
    </row>
    <row r="52" spans="2:15" ht="20" customHeight="1">
      <c r="B52" s="165" t="s">
        <v>735</v>
      </c>
      <c r="C52" s="37" t="s">
        <v>1116</v>
      </c>
      <c r="D52" s="37" t="s">
        <v>101</v>
      </c>
      <c r="E52" s="37" t="s">
        <v>1277</v>
      </c>
      <c r="F52" s="37"/>
      <c r="G52" s="197"/>
      <c r="H52" s="197"/>
      <c r="I52" s="118"/>
      <c r="J52" s="118"/>
      <c r="K52" s="118"/>
      <c r="L52" s="118"/>
      <c r="M52" s="118"/>
      <c r="N52" s="17"/>
      <c r="O52" s="17"/>
    </row>
    <row r="53" spans="2:15" ht="20" customHeight="1">
      <c r="B53" s="96" t="s">
        <v>713</v>
      </c>
      <c r="C53" s="37" t="s">
        <v>1233</v>
      </c>
      <c r="D53" s="37" t="s">
        <v>123</v>
      </c>
      <c r="E53" s="37" t="s">
        <v>1277</v>
      </c>
      <c r="F53" s="37" t="s">
        <v>829</v>
      </c>
      <c r="G53" s="197">
        <v>69</v>
      </c>
      <c r="H53" s="197">
        <v>13.8</v>
      </c>
      <c r="I53" s="224">
        <v>4</v>
      </c>
      <c r="J53" s="214">
        <f>I53*Inputs!$X$6</f>
        <v>4.8</v>
      </c>
      <c r="K53" s="221">
        <f>Inputs!$Y$6</f>
        <v>0.9</v>
      </c>
      <c r="L53" s="224">
        <f t="shared" ref="L53:L63" si="4">I53*$K53</f>
        <v>3.6</v>
      </c>
      <c r="M53" s="224">
        <f t="shared" ref="M53:M63" si="5">J53*$K53</f>
        <v>4.32</v>
      </c>
      <c r="N53" s="17"/>
      <c r="O53" s="17"/>
    </row>
    <row r="54" spans="2:15" ht="20" customHeight="1">
      <c r="B54" s="96" t="s">
        <v>722</v>
      </c>
      <c r="C54" s="37" t="s">
        <v>1104</v>
      </c>
      <c r="D54" s="37" t="s">
        <v>123</v>
      </c>
      <c r="E54" s="37" t="s">
        <v>1277</v>
      </c>
      <c r="F54" s="37" t="s">
        <v>829</v>
      </c>
      <c r="G54" s="197">
        <v>66</v>
      </c>
      <c r="H54" s="197">
        <v>12.5</v>
      </c>
      <c r="I54" s="224">
        <v>6.67</v>
      </c>
      <c r="J54" s="214">
        <f>I54*Inputs!$X$6</f>
        <v>8.0039999999999996</v>
      </c>
      <c r="K54" s="221">
        <f>Inputs!$Y$6</f>
        <v>0.9</v>
      </c>
      <c r="L54" s="224">
        <f t="shared" si="4"/>
        <v>6.0030000000000001</v>
      </c>
      <c r="M54" s="224">
        <f t="shared" si="5"/>
        <v>7.2035999999999998</v>
      </c>
      <c r="N54" s="17"/>
      <c r="O54" s="17"/>
    </row>
    <row r="55" spans="2:15" ht="20" customHeight="1">
      <c r="B55" s="96" t="s">
        <v>979</v>
      </c>
      <c r="C55" s="37" t="s">
        <v>1059</v>
      </c>
      <c r="D55" s="37" t="s">
        <v>123</v>
      </c>
      <c r="E55" s="37" t="s">
        <v>1277</v>
      </c>
      <c r="F55" s="37" t="s">
        <v>829</v>
      </c>
      <c r="G55" s="197">
        <v>66</v>
      </c>
      <c r="H55" s="197">
        <v>12.5</v>
      </c>
      <c r="I55" s="224">
        <v>13.33</v>
      </c>
      <c r="J55" s="214">
        <f>I55*Inputs!$X$6</f>
        <v>15.995999999999999</v>
      </c>
      <c r="K55" s="221">
        <f>Inputs!$Y$6</f>
        <v>0.9</v>
      </c>
      <c r="L55" s="224">
        <f t="shared" si="4"/>
        <v>11.997</v>
      </c>
      <c r="M55" s="224">
        <f t="shared" si="5"/>
        <v>14.3964</v>
      </c>
      <c r="N55" s="17"/>
      <c r="O55" s="17"/>
    </row>
    <row r="56" spans="2:15" ht="20" customHeight="1">
      <c r="B56" s="96" t="s">
        <v>979</v>
      </c>
      <c r="C56" s="37" t="s">
        <v>1059</v>
      </c>
      <c r="D56" s="37" t="s">
        <v>123</v>
      </c>
      <c r="E56" s="37" t="s">
        <v>1277</v>
      </c>
      <c r="F56" s="37" t="s">
        <v>830</v>
      </c>
      <c r="G56" s="197">
        <v>66</v>
      </c>
      <c r="H56" s="197">
        <v>12.5</v>
      </c>
      <c r="I56" s="224">
        <v>13.33</v>
      </c>
      <c r="J56" s="214">
        <f>I56*Inputs!$X$6</f>
        <v>15.995999999999999</v>
      </c>
      <c r="K56" s="221">
        <f>Inputs!$Y$6</f>
        <v>0.9</v>
      </c>
      <c r="L56" s="224">
        <f t="shared" si="4"/>
        <v>11.997</v>
      </c>
      <c r="M56" s="224">
        <f t="shared" si="5"/>
        <v>14.3964</v>
      </c>
      <c r="N56" s="17"/>
      <c r="O56" s="17"/>
    </row>
    <row r="57" spans="2:15" ht="20" customHeight="1">
      <c r="B57" s="96" t="s">
        <v>651</v>
      </c>
      <c r="C57" s="37" t="s">
        <v>1042</v>
      </c>
      <c r="D57" s="37" t="s">
        <v>123</v>
      </c>
      <c r="E57" s="37" t="s">
        <v>1277</v>
      </c>
      <c r="F57" s="37" t="s">
        <v>829</v>
      </c>
      <c r="G57" s="197">
        <v>138</v>
      </c>
      <c r="H57" s="197">
        <v>25</v>
      </c>
      <c r="I57" s="224">
        <v>6.67</v>
      </c>
      <c r="J57" s="214">
        <f>I57*Inputs!$X$6</f>
        <v>8.0039999999999996</v>
      </c>
      <c r="K57" s="221">
        <f>Inputs!$Y$6</f>
        <v>0.9</v>
      </c>
      <c r="L57" s="224">
        <f t="shared" si="4"/>
        <v>6.0030000000000001</v>
      </c>
      <c r="M57" s="224">
        <f t="shared" si="5"/>
        <v>7.2035999999999998</v>
      </c>
      <c r="N57" s="17"/>
      <c r="O57" s="17"/>
    </row>
    <row r="58" spans="2:15" ht="20" customHeight="1">
      <c r="B58" s="96" t="s">
        <v>651</v>
      </c>
      <c r="C58" s="37" t="s">
        <v>1042</v>
      </c>
      <c r="D58" s="37" t="s">
        <v>123</v>
      </c>
      <c r="E58" s="37" t="s">
        <v>1277</v>
      </c>
      <c r="F58" s="37" t="s">
        <v>830</v>
      </c>
      <c r="G58" s="197">
        <v>138</v>
      </c>
      <c r="H58" s="197">
        <v>66</v>
      </c>
      <c r="I58" s="224">
        <v>41.6</v>
      </c>
      <c r="J58" s="214">
        <f>I58*Inputs!$X$6</f>
        <v>49.92</v>
      </c>
      <c r="K58" s="221">
        <f>Inputs!$Y$6</f>
        <v>0.9</v>
      </c>
      <c r="L58" s="224">
        <f t="shared" si="4"/>
        <v>37.440000000000005</v>
      </c>
      <c r="M58" s="224">
        <f t="shared" si="5"/>
        <v>44.928000000000004</v>
      </c>
      <c r="N58" s="17"/>
      <c r="O58" s="17"/>
    </row>
    <row r="59" spans="2:15" ht="20" customHeight="1">
      <c r="B59" s="96" t="s">
        <v>645</v>
      </c>
      <c r="C59" s="37" t="s">
        <v>1034</v>
      </c>
      <c r="D59" s="37" t="s">
        <v>123</v>
      </c>
      <c r="E59" s="37" t="s">
        <v>1277</v>
      </c>
      <c r="F59" s="37" t="s">
        <v>829</v>
      </c>
      <c r="G59" s="197">
        <v>138</v>
      </c>
      <c r="H59" s="197">
        <v>12.5</v>
      </c>
      <c r="I59" s="224">
        <v>20</v>
      </c>
      <c r="J59" s="214">
        <f>I59*Inputs!$X$6</f>
        <v>24</v>
      </c>
      <c r="K59" s="221">
        <f>Inputs!$Y$6</f>
        <v>0.9</v>
      </c>
      <c r="L59" s="224">
        <f t="shared" si="4"/>
        <v>18</v>
      </c>
      <c r="M59" s="224">
        <f t="shared" si="5"/>
        <v>21.6</v>
      </c>
      <c r="N59" s="17"/>
      <c r="O59" s="17"/>
    </row>
    <row r="60" spans="2:15" ht="20" customHeight="1">
      <c r="B60" s="96" t="s">
        <v>645</v>
      </c>
      <c r="C60" s="37" t="s">
        <v>1034</v>
      </c>
      <c r="D60" s="37" t="s">
        <v>123</v>
      </c>
      <c r="E60" s="37" t="s">
        <v>1277</v>
      </c>
      <c r="F60" s="37" t="s">
        <v>830</v>
      </c>
      <c r="G60" s="197">
        <v>138</v>
      </c>
      <c r="H60" s="197">
        <v>66</v>
      </c>
      <c r="I60" s="224">
        <v>26.67</v>
      </c>
      <c r="J60" s="214">
        <f>I60*Inputs!$X$6</f>
        <v>32.003999999999998</v>
      </c>
      <c r="K60" s="221">
        <f>Inputs!$Y$6</f>
        <v>0.9</v>
      </c>
      <c r="L60" s="224">
        <f t="shared" si="4"/>
        <v>24.003000000000004</v>
      </c>
      <c r="M60" s="224">
        <f t="shared" si="5"/>
        <v>28.803599999999999</v>
      </c>
      <c r="N60" s="17"/>
      <c r="O60" s="17"/>
    </row>
    <row r="61" spans="2:15" ht="20" customHeight="1">
      <c r="B61" s="96" t="s">
        <v>650</v>
      </c>
      <c r="C61" s="37" t="s">
        <v>1040</v>
      </c>
      <c r="D61" s="37" t="s">
        <v>123</v>
      </c>
      <c r="E61" s="37" t="s">
        <v>1277</v>
      </c>
      <c r="F61" s="37" t="s">
        <v>829</v>
      </c>
      <c r="G61" s="197">
        <v>66</v>
      </c>
      <c r="H61" s="197">
        <v>25</v>
      </c>
      <c r="I61" s="224">
        <v>13.3</v>
      </c>
      <c r="J61" s="214">
        <f>I61*Inputs!$X$6</f>
        <v>15.96</v>
      </c>
      <c r="K61" s="221">
        <f>Inputs!$Y$6</f>
        <v>0.9</v>
      </c>
      <c r="L61" s="224">
        <f t="shared" si="4"/>
        <v>11.97</v>
      </c>
      <c r="M61" s="224">
        <f t="shared" si="5"/>
        <v>14.364000000000001</v>
      </c>
      <c r="N61" s="17"/>
      <c r="O61" s="17"/>
    </row>
    <row r="62" spans="2:15" ht="20" customHeight="1">
      <c r="B62" s="96" t="s">
        <v>807</v>
      </c>
      <c r="C62" s="37" t="s">
        <v>1051</v>
      </c>
      <c r="D62" s="37" t="s">
        <v>123</v>
      </c>
      <c r="E62" s="37" t="s">
        <v>1277</v>
      </c>
      <c r="F62" s="37" t="s">
        <v>829</v>
      </c>
      <c r="G62" s="197">
        <v>66</v>
      </c>
      <c r="H62" s="197">
        <v>12.5</v>
      </c>
      <c r="I62" s="224">
        <v>3.72</v>
      </c>
      <c r="J62" s="214">
        <f>I62*Inputs!$X$6</f>
        <v>4.4640000000000004</v>
      </c>
      <c r="K62" s="221">
        <f>Inputs!$Y$6</f>
        <v>0.9</v>
      </c>
      <c r="L62" s="224">
        <f t="shared" si="4"/>
        <v>3.3480000000000003</v>
      </c>
      <c r="M62" s="224">
        <f t="shared" si="5"/>
        <v>4.0176000000000007</v>
      </c>
      <c r="N62" s="17"/>
      <c r="O62" s="17"/>
    </row>
    <row r="63" spans="2:15" ht="20" customHeight="1">
      <c r="B63" s="96" t="s">
        <v>723</v>
      </c>
      <c r="C63" s="37" t="s">
        <v>1105</v>
      </c>
      <c r="D63" s="37" t="s">
        <v>123</v>
      </c>
      <c r="E63" s="37" t="s">
        <v>1277</v>
      </c>
      <c r="F63" s="37" t="s">
        <v>829</v>
      </c>
      <c r="G63" s="197">
        <v>66</v>
      </c>
      <c r="H63" s="197">
        <v>12.5</v>
      </c>
      <c r="I63" s="224">
        <v>6.67</v>
      </c>
      <c r="J63" s="214">
        <f>I63*Inputs!$X$6</f>
        <v>8.0039999999999996</v>
      </c>
      <c r="K63" s="221">
        <f>Inputs!$Y$6</f>
        <v>0.9</v>
      </c>
      <c r="L63" s="224">
        <f t="shared" si="4"/>
        <v>6.0030000000000001</v>
      </c>
      <c r="M63" s="224">
        <f t="shared" si="5"/>
        <v>7.2035999999999998</v>
      </c>
      <c r="N63" s="17"/>
      <c r="O63" s="17"/>
    </row>
    <row r="64" spans="2:15" ht="20" customHeight="1">
      <c r="B64" s="165" t="s">
        <v>693</v>
      </c>
      <c r="C64" s="37" t="s">
        <v>1082</v>
      </c>
      <c r="D64" s="37" t="s">
        <v>101</v>
      </c>
      <c r="E64" s="37" t="s">
        <v>1277</v>
      </c>
      <c r="F64" s="37"/>
      <c r="G64" s="197"/>
      <c r="H64" s="197"/>
      <c r="I64" s="118"/>
      <c r="J64" s="118"/>
      <c r="K64" s="118"/>
      <c r="L64" s="118"/>
      <c r="M64" s="118"/>
      <c r="N64" s="17"/>
      <c r="O64" s="17"/>
    </row>
    <row r="65" spans="2:15" ht="20" customHeight="1">
      <c r="B65" s="96" t="s">
        <v>708</v>
      </c>
      <c r="C65" s="37" t="s">
        <v>1094</v>
      </c>
      <c r="D65" s="37" t="s">
        <v>123</v>
      </c>
      <c r="E65" s="37" t="s">
        <v>1277</v>
      </c>
      <c r="F65" s="37" t="s">
        <v>829</v>
      </c>
      <c r="G65" s="197">
        <v>66</v>
      </c>
      <c r="H65" s="197">
        <v>12.5</v>
      </c>
      <c r="I65" s="224">
        <v>25</v>
      </c>
      <c r="J65" s="214">
        <f>I65*Inputs!$X$6</f>
        <v>30</v>
      </c>
      <c r="K65" s="221">
        <f>Inputs!$Y$6</f>
        <v>0.9</v>
      </c>
      <c r="L65" s="224">
        <f t="shared" ref="L65:L78" si="6">I65*$K65</f>
        <v>22.5</v>
      </c>
      <c r="M65" s="224">
        <f t="shared" ref="M65:M78" si="7">J65*$K65</f>
        <v>27</v>
      </c>
      <c r="N65" s="17"/>
      <c r="O65" s="17"/>
    </row>
    <row r="66" spans="2:15" ht="20" customHeight="1">
      <c r="B66" s="96" t="s">
        <v>708</v>
      </c>
      <c r="C66" s="37" t="s">
        <v>1094</v>
      </c>
      <c r="D66" s="37" t="s">
        <v>123</v>
      </c>
      <c r="E66" s="37" t="s">
        <v>1277</v>
      </c>
      <c r="F66" s="37" t="s">
        <v>830</v>
      </c>
      <c r="G66" s="197">
        <v>66</v>
      </c>
      <c r="H66" s="197">
        <v>12.5</v>
      </c>
      <c r="I66" s="224">
        <v>25</v>
      </c>
      <c r="J66" s="214">
        <f>I66*Inputs!$X$6</f>
        <v>30</v>
      </c>
      <c r="K66" s="221">
        <f>Inputs!$Y$6</f>
        <v>0.9</v>
      </c>
      <c r="L66" s="224">
        <f t="shared" si="6"/>
        <v>22.5</v>
      </c>
      <c r="M66" s="224">
        <f t="shared" si="7"/>
        <v>27</v>
      </c>
      <c r="N66" s="17"/>
      <c r="O66" s="17"/>
    </row>
    <row r="67" spans="2:15" ht="20" customHeight="1">
      <c r="B67" s="96" t="s">
        <v>708</v>
      </c>
      <c r="C67" s="37" t="s">
        <v>1094</v>
      </c>
      <c r="D67" s="37" t="s">
        <v>123</v>
      </c>
      <c r="E67" s="37" t="s">
        <v>1277</v>
      </c>
      <c r="F67" s="37" t="s">
        <v>831</v>
      </c>
      <c r="G67" s="197">
        <v>66</v>
      </c>
      <c r="H67" s="197">
        <v>12.5</v>
      </c>
      <c r="I67" s="224">
        <v>25</v>
      </c>
      <c r="J67" s="214">
        <f>I67*Inputs!$X$6</f>
        <v>30</v>
      </c>
      <c r="K67" s="221">
        <f>Inputs!$Y$6</f>
        <v>0.9</v>
      </c>
      <c r="L67" s="224">
        <f t="shared" si="6"/>
        <v>22.5</v>
      </c>
      <c r="M67" s="224">
        <f t="shared" si="7"/>
        <v>27</v>
      </c>
      <c r="N67" s="17"/>
      <c r="O67" s="17"/>
    </row>
    <row r="68" spans="2:15" ht="20" customHeight="1">
      <c r="B68" s="165" t="s">
        <v>679</v>
      </c>
      <c r="C68" s="37" t="s">
        <v>1067</v>
      </c>
      <c r="D68" s="37" t="s">
        <v>123</v>
      </c>
      <c r="E68" s="37" t="s">
        <v>1277</v>
      </c>
      <c r="F68" s="37" t="s">
        <v>829</v>
      </c>
      <c r="G68" s="197">
        <v>138</v>
      </c>
      <c r="H68" s="197">
        <v>25</v>
      </c>
      <c r="I68" s="224">
        <v>8.34</v>
      </c>
      <c r="J68" s="214">
        <f>I68*Inputs!$X$6</f>
        <v>10.007999999999999</v>
      </c>
      <c r="K68" s="221">
        <f>Inputs!$Y$6</f>
        <v>0.9</v>
      </c>
      <c r="L68" s="224">
        <f t="shared" si="6"/>
        <v>7.5060000000000002</v>
      </c>
      <c r="M68" s="224">
        <f t="shared" si="7"/>
        <v>9.0071999999999992</v>
      </c>
      <c r="N68" s="17"/>
      <c r="O68" s="17"/>
    </row>
    <row r="69" spans="2:15" ht="20" customHeight="1">
      <c r="B69" s="96" t="s">
        <v>719</v>
      </c>
      <c r="C69" s="37" t="s">
        <v>1101</v>
      </c>
      <c r="D69" s="37" t="s">
        <v>123</v>
      </c>
      <c r="E69" s="37" t="s">
        <v>1277</v>
      </c>
      <c r="F69" s="37" t="s">
        <v>829</v>
      </c>
      <c r="G69" s="197">
        <v>138</v>
      </c>
      <c r="H69" s="197">
        <v>25</v>
      </c>
      <c r="I69" s="224">
        <v>20</v>
      </c>
      <c r="J69" s="214">
        <f>I69*Inputs!$X$6</f>
        <v>24</v>
      </c>
      <c r="K69" s="221">
        <f>Inputs!$Y$6</f>
        <v>0.9</v>
      </c>
      <c r="L69" s="224">
        <f t="shared" si="6"/>
        <v>18</v>
      </c>
      <c r="M69" s="224">
        <f t="shared" si="7"/>
        <v>21.6</v>
      </c>
      <c r="N69" s="17"/>
      <c r="O69" s="17"/>
    </row>
    <row r="70" spans="2:15" ht="20" customHeight="1">
      <c r="B70" s="96" t="s">
        <v>619</v>
      </c>
      <c r="C70" s="37" t="s">
        <v>1007</v>
      </c>
      <c r="D70" s="37" t="s">
        <v>123</v>
      </c>
      <c r="E70" s="37" t="s">
        <v>1277</v>
      </c>
      <c r="F70" s="37" t="s">
        <v>829</v>
      </c>
      <c r="G70" s="197">
        <v>66</v>
      </c>
      <c r="H70" s="197">
        <v>33</v>
      </c>
      <c r="I70" s="224">
        <v>10</v>
      </c>
      <c r="J70" s="214">
        <f>I70*Inputs!$X$6</f>
        <v>12</v>
      </c>
      <c r="K70" s="221">
        <f>Inputs!$Y$6</f>
        <v>0.9</v>
      </c>
      <c r="L70" s="224">
        <f t="shared" si="6"/>
        <v>9</v>
      </c>
      <c r="M70" s="224">
        <f t="shared" si="7"/>
        <v>10.8</v>
      </c>
      <c r="N70" s="17"/>
      <c r="O70" s="17"/>
    </row>
    <row r="71" spans="2:15" ht="20" customHeight="1">
      <c r="B71" s="96" t="s">
        <v>619</v>
      </c>
      <c r="C71" s="37" t="s">
        <v>1007</v>
      </c>
      <c r="D71" s="37" t="s">
        <v>123</v>
      </c>
      <c r="E71" s="37" t="s">
        <v>1277</v>
      </c>
      <c r="F71" s="37" t="s">
        <v>831</v>
      </c>
      <c r="G71" s="197">
        <v>66</v>
      </c>
      <c r="H71" s="197">
        <v>12.5</v>
      </c>
      <c r="I71" s="224">
        <v>13.33</v>
      </c>
      <c r="J71" s="214">
        <f>I71*Inputs!$X$6</f>
        <v>15.995999999999999</v>
      </c>
      <c r="K71" s="221">
        <f>Inputs!$Y$6</f>
        <v>0.9</v>
      </c>
      <c r="L71" s="224">
        <f t="shared" si="6"/>
        <v>11.997</v>
      </c>
      <c r="M71" s="224">
        <f t="shared" si="7"/>
        <v>14.3964</v>
      </c>
      <c r="N71" s="17"/>
      <c r="O71" s="17"/>
    </row>
    <row r="72" spans="2:15" ht="20" customHeight="1">
      <c r="B72" s="96" t="s">
        <v>619</v>
      </c>
      <c r="C72" s="37" t="s">
        <v>1007</v>
      </c>
      <c r="D72" s="37" t="s">
        <v>123</v>
      </c>
      <c r="E72" s="37" t="s">
        <v>1277</v>
      </c>
      <c r="F72" s="37" t="s">
        <v>830</v>
      </c>
      <c r="G72" s="197">
        <v>66</v>
      </c>
      <c r="H72" s="197">
        <v>12.5</v>
      </c>
      <c r="I72" s="224">
        <v>20</v>
      </c>
      <c r="J72" s="214">
        <f>I72*Inputs!$X$6</f>
        <v>24</v>
      </c>
      <c r="K72" s="221">
        <f>Inputs!$Y$6</f>
        <v>0.9</v>
      </c>
      <c r="L72" s="224">
        <f t="shared" si="6"/>
        <v>18</v>
      </c>
      <c r="M72" s="224">
        <f t="shared" si="7"/>
        <v>21.6</v>
      </c>
      <c r="N72" s="17"/>
      <c r="O72" s="17"/>
    </row>
    <row r="73" spans="2:15" ht="20" customHeight="1">
      <c r="B73" s="96" t="s">
        <v>675</v>
      </c>
      <c r="C73" s="37" t="s">
        <v>1064</v>
      </c>
      <c r="D73" s="37" t="s">
        <v>123</v>
      </c>
      <c r="E73" s="37" t="s">
        <v>1277</v>
      </c>
      <c r="F73" s="37" t="s">
        <v>829</v>
      </c>
      <c r="G73" s="197">
        <v>66</v>
      </c>
      <c r="H73" s="197">
        <v>12.5</v>
      </c>
      <c r="I73" s="224">
        <v>14.93</v>
      </c>
      <c r="J73" s="214">
        <f>I73*Inputs!$X$6</f>
        <v>17.916</v>
      </c>
      <c r="K73" s="221">
        <f>Inputs!$Y$6</f>
        <v>0.9</v>
      </c>
      <c r="L73" s="224">
        <f t="shared" si="6"/>
        <v>13.436999999999999</v>
      </c>
      <c r="M73" s="224">
        <f t="shared" si="7"/>
        <v>16.124400000000001</v>
      </c>
      <c r="N73" s="17"/>
      <c r="O73" s="17"/>
    </row>
    <row r="74" spans="2:15" ht="20" customHeight="1">
      <c r="B74" s="96" t="s">
        <v>808</v>
      </c>
      <c r="C74" s="37" t="s">
        <v>1050</v>
      </c>
      <c r="D74" s="37" t="s">
        <v>123</v>
      </c>
      <c r="E74" s="37" t="s">
        <v>1277</v>
      </c>
      <c r="F74" s="37" t="s">
        <v>829</v>
      </c>
      <c r="G74" s="197">
        <v>66</v>
      </c>
      <c r="H74" s="197">
        <v>7.2</v>
      </c>
      <c r="I74" s="224">
        <v>0.33300000000000002</v>
      </c>
      <c r="J74" s="214">
        <f>I74*Inputs!$X$6</f>
        <v>0.39960000000000001</v>
      </c>
      <c r="K74" s="221">
        <f>Inputs!$Y$6</f>
        <v>0.9</v>
      </c>
      <c r="L74" s="224">
        <f t="shared" si="6"/>
        <v>0.29970000000000002</v>
      </c>
      <c r="M74" s="224">
        <f t="shared" si="7"/>
        <v>0.35964000000000002</v>
      </c>
      <c r="N74" s="17"/>
      <c r="O74" s="17"/>
    </row>
    <row r="75" spans="2:15" ht="20" customHeight="1">
      <c r="B75" s="96" t="s">
        <v>644</v>
      </c>
      <c r="C75" s="37" t="s">
        <v>1234</v>
      </c>
      <c r="D75" s="37" t="s">
        <v>123</v>
      </c>
      <c r="E75" s="37" t="s">
        <v>1277</v>
      </c>
      <c r="F75" s="37" t="s">
        <v>832</v>
      </c>
      <c r="G75" s="197">
        <v>66</v>
      </c>
      <c r="H75" s="197">
        <v>4.16</v>
      </c>
      <c r="I75" s="224">
        <v>8.4</v>
      </c>
      <c r="J75" s="214">
        <f>I75*Inputs!$X$6</f>
        <v>10.08</v>
      </c>
      <c r="K75" s="221">
        <f>Inputs!$Y$6</f>
        <v>0.9</v>
      </c>
      <c r="L75" s="224">
        <f t="shared" si="6"/>
        <v>7.5600000000000005</v>
      </c>
      <c r="M75" s="224">
        <f t="shared" si="7"/>
        <v>9.072000000000001</v>
      </c>
      <c r="N75" s="17"/>
      <c r="O75" s="17"/>
    </row>
    <row r="76" spans="2:15" ht="20" customHeight="1">
      <c r="B76" s="96" t="s">
        <v>644</v>
      </c>
      <c r="C76" s="37" t="s">
        <v>1234</v>
      </c>
      <c r="D76" s="37" t="s">
        <v>123</v>
      </c>
      <c r="E76" s="37" t="s">
        <v>1277</v>
      </c>
      <c r="F76" s="37" t="s">
        <v>830</v>
      </c>
      <c r="G76" s="197">
        <v>138</v>
      </c>
      <c r="H76" s="197">
        <v>25</v>
      </c>
      <c r="I76" s="224">
        <v>20</v>
      </c>
      <c r="J76" s="214">
        <f>I76*Inputs!$X$6</f>
        <v>24</v>
      </c>
      <c r="K76" s="221">
        <f>Inputs!$Y$6</f>
        <v>0.9</v>
      </c>
      <c r="L76" s="224">
        <f t="shared" si="6"/>
        <v>18</v>
      </c>
      <c r="M76" s="224">
        <f t="shared" si="7"/>
        <v>21.6</v>
      </c>
      <c r="N76" s="17"/>
      <c r="O76" s="17"/>
    </row>
    <row r="77" spans="2:15" ht="20" customHeight="1">
      <c r="B77" s="96" t="s">
        <v>644</v>
      </c>
      <c r="C77" s="37" t="s">
        <v>1234</v>
      </c>
      <c r="D77" s="37" t="s">
        <v>123</v>
      </c>
      <c r="E77" s="37" t="s">
        <v>1277</v>
      </c>
      <c r="F77" s="37" t="s">
        <v>831</v>
      </c>
      <c r="G77" s="197">
        <v>138</v>
      </c>
      <c r="H77" s="197">
        <v>25</v>
      </c>
      <c r="I77" s="224">
        <v>20</v>
      </c>
      <c r="J77" s="214">
        <f>I77*Inputs!$X$6</f>
        <v>24</v>
      </c>
      <c r="K77" s="221">
        <f>Inputs!$Y$6</f>
        <v>0.9</v>
      </c>
      <c r="L77" s="224">
        <f t="shared" si="6"/>
        <v>18</v>
      </c>
      <c r="M77" s="224">
        <f t="shared" si="7"/>
        <v>21.6</v>
      </c>
      <c r="N77" s="17"/>
      <c r="O77" s="17"/>
    </row>
    <row r="78" spans="2:15" ht="20" customHeight="1">
      <c r="B78" s="96" t="s">
        <v>644</v>
      </c>
      <c r="C78" s="37" t="s">
        <v>1234</v>
      </c>
      <c r="D78" s="37" t="s">
        <v>123</v>
      </c>
      <c r="E78" s="37" t="s">
        <v>1277</v>
      </c>
      <c r="F78" s="37" t="s">
        <v>829</v>
      </c>
      <c r="G78" s="197">
        <v>138</v>
      </c>
      <c r="H78" s="197">
        <v>66</v>
      </c>
      <c r="I78" s="224">
        <v>29.7</v>
      </c>
      <c r="J78" s="214">
        <f>I78*Inputs!$X$6</f>
        <v>35.64</v>
      </c>
      <c r="K78" s="221">
        <f>Inputs!$Y$6</f>
        <v>0.9</v>
      </c>
      <c r="L78" s="224">
        <f t="shared" si="6"/>
        <v>26.73</v>
      </c>
      <c r="M78" s="224">
        <f t="shared" si="7"/>
        <v>32.076000000000001</v>
      </c>
      <c r="N78" s="17"/>
      <c r="O78" s="17"/>
    </row>
    <row r="79" spans="2:15" ht="20" customHeight="1">
      <c r="B79" s="165" t="s">
        <v>791</v>
      </c>
      <c r="C79" s="37" t="s">
        <v>1112</v>
      </c>
      <c r="D79" s="37" t="s">
        <v>101</v>
      </c>
      <c r="E79" s="37" t="s">
        <v>1277</v>
      </c>
      <c r="F79" s="37"/>
      <c r="G79" s="197"/>
      <c r="H79" s="197"/>
      <c r="I79" s="118"/>
      <c r="J79" s="118"/>
      <c r="K79" s="118"/>
      <c r="L79" s="118"/>
      <c r="M79" s="118"/>
      <c r="N79" s="17"/>
      <c r="O79" s="17"/>
    </row>
    <row r="80" spans="2:15" ht="20" customHeight="1">
      <c r="B80" s="96" t="s">
        <v>660</v>
      </c>
      <c r="C80" s="37" t="s">
        <v>1235</v>
      </c>
      <c r="D80" s="37" t="s">
        <v>123</v>
      </c>
      <c r="E80" s="37" t="s">
        <v>1277</v>
      </c>
      <c r="F80" s="37" t="s">
        <v>830</v>
      </c>
      <c r="G80" s="197">
        <v>69</v>
      </c>
      <c r="H80" s="197">
        <v>12.5</v>
      </c>
      <c r="I80" s="224">
        <v>20</v>
      </c>
      <c r="J80" s="214">
        <f>I80*Inputs!$X$6</f>
        <v>24</v>
      </c>
      <c r="K80" s="221">
        <f>Inputs!$Y$6</f>
        <v>0.9</v>
      </c>
      <c r="L80" s="224">
        <f>I80*$K80</f>
        <v>18</v>
      </c>
      <c r="M80" s="224">
        <f>J80*$K80</f>
        <v>21.6</v>
      </c>
      <c r="N80" s="17"/>
      <c r="O80" s="17"/>
    </row>
    <row r="81" spans="2:15" ht="20" customHeight="1">
      <c r="B81" s="96" t="s">
        <v>809</v>
      </c>
      <c r="C81" s="37" t="s">
        <v>1222</v>
      </c>
      <c r="D81" s="37" t="s">
        <v>123</v>
      </c>
      <c r="E81" s="37" t="s">
        <v>1277</v>
      </c>
      <c r="F81" s="37" t="s">
        <v>829</v>
      </c>
      <c r="G81" s="197">
        <v>66</v>
      </c>
      <c r="H81" s="197">
        <v>12.5</v>
      </c>
      <c r="I81" s="224">
        <v>2.8</v>
      </c>
      <c r="J81" s="214">
        <f>I81*Inputs!$X$6</f>
        <v>3.36</v>
      </c>
      <c r="K81" s="221">
        <f>Inputs!$Y$6</f>
        <v>0.9</v>
      </c>
      <c r="L81" s="224">
        <f>I81*$K81</f>
        <v>2.52</v>
      </c>
      <c r="M81" s="224">
        <f>J81*$K81</f>
        <v>3.024</v>
      </c>
      <c r="N81" s="17"/>
      <c r="O81" s="17"/>
    </row>
    <row r="82" spans="2:15" ht="20" customHeight="1">
      <c r="B82" s="165" t="s">
        <v>732</v>
      </c>
      <c r="C82" s="37" t="s">
        <v>1113</v>
      </c>
      <c r="D82" s="37" t="s">
        <v>101</v>
      </c>
      <c r="E82" s="37" t="s">
        <v>1277</v>
      </c>
      <c r="F82" s="37"/>
      <c r="G82" s="197"/>
      <c r="H82" s="197"/>
      <c r="I82" s="118"/>
      <c r="J82" s="118"/>
      <c r="K82" s="118"/>
      <c r="L82" s="118"/>
      <c r="M82" s="118"/>
      <c r="N82" s="17"/>
      <c r="O82" s="17"/>
    </row>
    <row r="83" spans="2:15" ht="20" customHeight="1">
      <c r="B83" s="165" t="s">
        <v>696</v>
      </c>
      <c r="C83" s="37" t="s">
        <v>1085</v>
      </c>
      <c r="D83" s="37" t="s">
        <v>101</v>
      </c>
      <c r="E83" s="37" t="s">
        <v>1277</v>
      </c>
      <c r="F83" s="37"/>
      <c r="G83" s="197"/>
      <c r="H83" s="197"/>
      <c r="I83" s="118"/>
      <c r="J83" s="118"/>
      <c r="K83" s="118"/>
      <c r="L83" s="118"/>
      <c r="M83" s="118"/>
      <c r="N83" s="17"/>
      <c r="O83" s="17"/>
    </row>
    <row r="84" spans="2:15" ht="20" customHeight="1">
      <c r="B84" s="130" t="s">
        <v>801</v>
      </c>
      <c r="C84" s="37" t="s">
        <v>1236</v>
      </c>
      <c r="D84" s="37" t="s">
        <v>101</v>
      </c>
      <c r="E84" s="37" t="s">
        <v>1135</v>
      </c>
      <c r="F84" s="37"/>
      <c r="G84" s="197"/>
      <c r="H84" s="197"/>
      <c r="I84" s="118"/>
      <c r="J84" s="118"/>
      <c r="K84" s="118"/>
      <c r="L84" s="118"/>
      <c r="M84" s="118"/>
      <c r="N84" s="17"/>
      <c r="O84" s="17"/>
    </row>
    <row r="85" spans="2:15" ht="20" customHeight="1">
      <c r="B85" s="96" t="s">
        <v>640</v>
      </c>
      <c r="C85" s="37" t="s">
        <v>1028</v>
      </c>
      <c r="D85" s="37" t="s">
        <v>123</v>
      </c>
      <c r="E85" s="37" t="s">
        <v>1277</v>
      </c>
      <c r="F85" s="37" t="s">
        <v>830</v>
      </c>
      <c r="G85" s="197">
        <v>66</v>
      </c>
      <c r="H85" s="197">
        <v>12.5</v>
      </c>
      <c r="I85" s="224">
        <v>6.7</v>
      </c>
      <c r="J85" s="214">
        <f>I85*Inputs!$X$6</f>
        <v>8.0399999999999991</v>
      </c>
      <c r="K85" s="221">
        <f>Inputs!$Y$6</f>
        <v>0.9</v>
      </c>
      <c r="L85" s="224">
        <f t="shared" ref="L85:L97" si="8">I85*$K85</f>
        <v>6.03</v>
      </c>
      <c r="M85" s="224">
        <f t="shared" ref="M85:M97" si="9">J85*$K85</f>
        <v>7.2359999999999998</v>
      </c>
      <c r="N85" s="17"/>
      <c r="O85" s="17"/>
    </row>
    <row r="86" spans="2:15" ht="20" customHeight="1">
      <c r="B86" s="96" t="s">
        <v>640</v>
      </c>
      <c r="C86" s="37" t="s">
        <v>1028</v>
      </c>
      <c r="D86" s="37" t="s">
        <v>123</v>
      </c>
      <c r="E86" s="37" t="s">
        <v>1277</v>
      </c>
      <c r="F86" s="37" t="s">
        <v>829</v>
      </c>
      <c r="G86" s="197">
        <v>66</v>
      </c>
      <c r="H86" s="197">
        <v>12.5</v>
      </c>
      <c r="I86" s="224">
        <v>10</v>
      </c>
      <c r="J86" s="214">
        <f>I86*Inputs!$X$6</f>
        <v>12</v>
      </c>
      <c r="K86" s="221">
        <f>Inputs!$Y$6</f>
        <v>0.9</v>
      </c>
      <c r="L86" s="224">
        <f t="shared" si="8"/>
        <v>9</v>
      </c>
      <c r="M86" s="224">
        <f t="shared" si="9"/>
        <v>10.8</v>
      </c>
      <c r="N86" s="17"/>
      <c r="O86" s="17"/>
    </row>
    <row r="87" spans="2:15" ht="20" customHeight="1">
      <c r="B87" s="96" t="s">
        <v>620</v>
      </c>
      <c r="C87" s="37" t="s">
        <v>1237</v>
      </c>
      <c r="D87" s="37" t="s">
        <v>123</v>
      </c>
      <c r="E87" s="37" t="s">
        <v>1277</v>
      </c>
      <c r="F87" s="37" t="s">
        <v>829</v>
      </c>
      <c r="G87" s="197">
        <v>66</v>
      </c>
      <c r="H87" s="197">
        <v>12.5</v>
      </c>
      <c r="I87" s="224">
        <v>20</v>
      </c>
      <c r="J87" s="214">
        <f>I87*Inputs!$X$6</f>
        <v>24</v>
      </c>
      <c r="K87" s="221">
        <f>Inputs!$Y$6</f>
        <v>0.9</v>
      </c>
      <c r="L87" s="224">
        <f t="shared" si="8"/>
        <v>18</v>
      </c>
      <c r="M87" s="224">
        <f t="shared" si="9"/>
        <v>21.6</v>
      </c>
      <c r="N87" s="17"/>
      <c r="O87" s="17"/>
    </row>
    <row r="88" spans="2:15" ht="20" customHeight="1">
      <c r="B88" s="96" t="s">
        <v>620</v>
      </c>
      <c r="C88" s="37" t="s">
        <v>1237</v>
      </c>
      <c r="D88" s="37" t="s">
        <v>123</v>
      </c>
      <c r="E88" s="37" t="s">
        <v>1277</v>
      </c>
      <c r="F88" s="37" t="s">
        <v>830</v>
      </c>
      <c r="G88" s="197">
        <v>66</v>
      </c>
      <c r="H88" s="197">
        <v>12.5</v>
      </c>
      <c r="I88" s="224">
        <v>20</v>
      </c>
      <c r="J88" s="214">
        <f>I88*Inputs!$X$6</f>
        <v>24</v>
      </c>
      <c r="K88" s="221">
        <f>Inputs!$Y$6</f>
        <v>0.9</v>
      </c>
      <c r="L88" s="224">
        <f t="shared" si="8"/>
        <v>18</v>
      </c>
      <c r="M88" s="224">
        <f t="shared" si="9"/>
        <v>21.6</v>
      </c>
      <c r="N88" s="17"/>
      <c r="O88" s="17"/>
    </row>
    <row r="89" spans="2:15" ht="20" customHeight="1">
      <c r="B89" s="96" t="s">
        <v>620</v>
      </c>
      <c r="C89" s="37" t="s">
        <v>1237</v>
      </c>
      <c r="D89" s="37" t="s">
        <v>123</v>
      </c>
      <c r="E89" s="37" t="s">
        <v>1277</v>
      </c>
      <c r="F89" s="37" t="s">
        <v>831</v>
      </c>
      <c r="G89" s="197">
        <v>66</v>
      </c>
      <c r="H89" s="197">
        <v>25</v>
      </c>
      <c r="I89" s="224">
        <v>50</v>
      </c>
      <c r="J89" s="214">
        <f>I89*Inputs!$X$6</f>
        <v>60</v>
      </c>
      <c r="K89" s="221">
        <f>Inputs!$Y$6</f>
        <v>0.9</v>
      </c>
      <c r="L89" s="224">
        <f t="shared" si="8"/>
        <v>45</v>
      </c>
      <c r="M89" s="224">
        <f t="shared" si="9"/>
        <v>54</v>
      </c>
      <c r="N89" s="17"/>
      <c r="O89" s="17"/>
    </row>
    <row r="90" spans="2:15" ht="20" customHeight="1">
      <c r="B90" s="96" t="s">
        <v>652</v>
      </c>
      <c r="C90" s="37" t="s">
        <v>1043</v>
      </c>
      <c r="D90" s="37" t="s">
        <v>123</v>
      </c>
      <c r="E90" s="37" t="s">
        <v>1277</v>
      </c>
      <c r="F90" s="37" t="s">
        <v>829</v>
      </c>
      <c r="G90" s="197">
        <v>66</v>
      </c>
      <c r="H90" s="197">
        <v>25</v>
      </c>
      <c r="I90" s="224">
        <v>5</v>
      </c>
      <c r="J90" s="214">
        <f>I90*Inputs!$X$6</f>
        <v>6</v>
      </c>
      <c r="K90" s="221">
        <f>Inputs!$Y$6</f>
        <v>0.9</v>
      </c>
      <c r="L90" s="224">
        <f t="shared" si="8"/>
        <v>4.5</v>
      </c>
      <c r="M90" s="224">
        <f t="shared" si="9"/>
        <v>5.4</v>
      </c>
      <c r="N90" s="17"/>
      <c r="O90" s="17"/>
    </row>
    <row r="91" spans="2:15" ht="20" customHeight="1">
      <c r="B91" s="96" t="s">
        <v>673</v>
      </c>
      <c r="C91" s="37" t="s">
        <v>1060</v>
      </c>
      <c r="D91" s="37" t="s">
        <v>123</v>
      </c>
      <c r="E91" s="37" t="s">
        <v>1277</v>
      </c>
      <c r="F91" s="37" t="s">
        <v>829</v>
      </c>
      <c r="G91" s="197">
        <v>66</v>
      </c>
      <c r="H91" s="197">
        <v>12.5</v>
      </c>
      <c r="I91" s="224">
        <v>14.9</v>
      </c>
      <c r="J91" s="214">
        <f>I91*Inputs!$X$6</f>
        <v>17.88</v>
      </c>
      <c r="K91" s="221">
        <f>Inputs!$Y$6</f>
        <v>0.9</v>
      </c>
      <c r="L91" s="224">
        <f t="shared" si="8"/>
        <v>13.41</v>
      </c>
      <c r="M91" s="224">
        <f t="shared" si="9"/>
        <v>16.091999999999999</v>
      </c>
      <c r="N91" s="17"/>
      <c r="O91" s="17"/>
    </row>
    <row r="92" spans="2:15" ht="20" customHeight="1">
      <c r="B92" s="96" t="s">
        <v>631</v>
      </c>
      <c r="C92" s="37" t="s">
        <v>1238</v>
      </c>
      <c r="D92" s="37" t="s">
        <v>123</v>
      </c>
      <c r="E92" s="37" t="s">
        <v>1277</v>
      </c>
      <c r="F92" s="37" t="s">
        <v>831</v>
      </c>
      <c r="G92" s="197">
        <v>66</v>
      </c>
      <c r="H92" s="197">
        <v>12.5</v>
      </c>
      <c r="I92" s="224">
        <v>2.2400000000000002</v>
      </c>
      <c r="J92" s="214">
        <f>I92*Inputs!$X$6</f>
        <v>2.6880000000000002</v>
      </c>
      <c r="K92" s="221">
        <f>Inputs!$Y$6</f>
        <v>0.9</v>
      </c>
      <c r="L92" s="224">
        <f t="shared" si="8"/>
        <v>2.0160000000000005</v>
      </c>
      <c r="M92" s="224">
        <f t="shared" si="9"/>
        <v>2.4192</v>
      </c>
      <c r="N92" s="17"/>
      <c r="O92" s="17"/>
    </row>
    <row r="93" spans="2:15" ht="20" customHeight="1">
      <c r="B93" s="96" t="s">
        <v>683</v>
      </c>
      <c r="C93" s="37" t="s">
        <v>1017</v>
      </c>
      <c r="D93" s="37" t="s">
        <v>855</v>
      </c>
      <c r="E93" s="37" t="s">
        <v>1277</v>
      </c>
      <c r="F93" s="37" t="s">
        <v>829</v>
      </c>
      <c r="G93" s="197">
        <v>138</v>
      </c>
      <c r="H93" s="197">
        <v>12.5</v>
      </c>
      <c r="I93" s="224">
        <v>20</v>
      </c>
      <c r="J93" s="214">
        <f>I93*Inputs!$X$6</f>
        <v>24</v>
      </c>
      <c r="K93" s="221">
        <f>Inputs!$Y$6</f>
        <v>0.9</v>
      </c>
      <c r="L93" s="224">
        <f t="shared" si="8"/>
        <v>18</v>
      </c>
      <c r="M93" s="224">
        <f t="shared" si="9"/>
        <v>21.6</v>
      </c>
      <c r="N93" s="17"/>
      <c r="O93" s="17"/>
    </row>
    <row r="94" spans="2:15" ht="20" customHeight="1">
      <c r="B94" s="165" t="s">
        <v>686</v>
      </c>
      <c r="C94" s="37" t="s">
        <v>1075</v>
      </c>
      <c r="D94" s="37" t="s">
        <v>123</v>
      </c>
      <c r="E94" s="37" t="s">
        <v>1277</v>
      </c>
      <c r="F94" s="37" t="s">
        <v>831</v>
      </c>
      <c r="G94" s="197">
        <v>25</v>
      </c>
      <c r="H94" s="197">
        <v>4.16</v>
      </c>
      <c r="I94" s="224">
        <v>1</v>
      </c>
      <c r="J94" s="214">
        <f>I94*Inputs!$X$6</f>
        <v>1.2</v>
      </c>
      <c r="K94" s="221">
        <f>Inputs!$Y$6</f>
        <v>0.9</v>
      </c>
      <c r="L94" s="224">
        <f t="shared" si="8"/>
        <v>0.9</v>
      </c>
      <c r="M94" s="224">
        <f t="shared" si="9"/>
        <v>1.08</v>
      </c>
      <c r="N94" s="17"/>
      <c r="O94" s="17"/>
    </row>
    <row r="95" spans="2:15" ht="20" customHeight="1">
      <c r="B95" s="96" t="s">
        <v>668</v>
      </c>
      <c r="C95" s="37" t="s">
        <v>1057</v>
      </c>
      <c r="D95" s="37" t="s">
        <v>123</v>
      </c>
      <c r="E95" s="37" t="s">
        <v>1277</v>
      </c>
      <c r="F95" s="37" t="s">
        <v>830</v>
      </c>
      <c r="G95" s="197">
        <v>66</v>
      </c>
      <c r="H95" s="197">
        <v>4.16</v>
      </c>
      <c r="I95" s="224">
        <v>7.46</v>
      </c>
      <c r="J95" s="214">
        <f>I95*Inputs!$X$6</f>
        <v>8.952</v>
      </c>
      <c r="K95" s="221">
        <f>Inputs!$Y$6</f>
        <v>0.9</v>
      </c>
      <c r="L95" s="224">
        <f t="shared" si="8"/>
        <v>6.7140000000000004</v>
      </c>
      <c r="M95" s="224">
        <f t="shared" si="9"/>
        <v>8.0568000000000008</v>
      </c>
      <c r="N95" s="17"/>
      <c r="O95" s="17"/>
    </row>
    <row r="96" spans="2:15" ht="20" customHeight="1">
      <c r="B96" s="96" t="s">
        <v>668</v>
      </c>
      <c r="C96" s="37" t="s">
        <v>1057</v>
      </c>
      <c r="D96" s="37" t="s">
        <v>123</v>
      </c>
      <c r="E96" s="37" t="s">
        <v>1277</v>
      </c>
      <c r="F96" s="37" t="s">
        <v>831</v>
      </c>
      <c r="G96" s="197">
        <v>66</v>
      </c>
      <c r="H96" s="197">
        <v>12.5</v>
      </c>
      <c r="I96" s="224">
        <v>13.33</v>
      </c>
      <c r="J96" s="214">
        <f>I96*Inputs!$X$6</f>
        <v>15.995999999999999</v>
      </c>
      <c r="K96" s="221">
        <f>Inputs!$Y$6</f>
        <v>0.9</v>
      </c>
      <c r="L96" s="224">
        <f t="shared" si="8"/>
        <v>11.997</v>
      </c>
      <c r="M96" s="224">
        <f t="shared" si="9"/>
        <v>14.3964</v>
      </c>
      <c r="N96" s="17"/>
      <c r="O96" s="17"/>
    </row>
    <row r="97" spans="2:15" ht="20" customHeight="1">
      <c r="B97" s="96" t="s">
        <v>810</v>
      </c>
      <c r="C97" s="37" t="s">
        <v>1123</v>
      </c>
      <c r="D97" s="37" t="s">
        <v>123</v>
      </c>
      <c r="E97" s="37" t="s">
        <v>1277</v>
      </c>
      <c r="F97" s="37" t="s">
        <v>829</v>
      </c>
      <c r="G97" s="197">
        <v>69</v>
      </c>
      <c r="H97" s="197">
        <v>13.8</v>
      </c>
      <c r="I97" s="224">
        <v>4</v>
      </c>
      <c r="J97" s="214">
        <f>I97*Inputs!$X$6</f>
        <v>4.8</v>
      </c>
      <c r="K97" s="221">
        <f>Inputs!$Y$6</f>
        <v>0.9</v>
      </c>
      <c r="L97" s="224">
        <f t="shared" si="8"/>
        <v>3.6</v>
      </c>
      <c r="M97" s="224">
        <f t="shared" si="9"/>
        <v>4.32</v>
      </c>
      <c r="N97" s="17"/>
      <c r="O97" s="17"/>
    </row>
    <row r="98" spans="2:15" ht="20" customHeight="1">
      <c r="B98" s="165" t="s">
        <v>733</v>
      </c>
      <c r="C98" s="37" t="s">
        <v>1114</v>
      </c>
      <c r="D98" s="37" t="s">
        <v>101</v>
      </c>
      <c r="E98" s="37" t="s">
        <v>1277</v>
      </c>
      <c r="F98" s="37"/>
      <c r="G98" s="197"/>
      <c r="H98" s="197"/>
      <c r="I98" s="118"/>
      <c r="J98" s="118"/>
      <c r="K98" s="118"/>
      <c r="L98" s="118"/>
      <c r="M98" s="118"/>
      <c r="N98" s="17"/>
      <c r="O98" s="17"/>
    </row>
    <row r="99" spans="2:15" ht="20" customHeight="1">
      <c r="B99" s="165" t="s">
        <v>697</v>
      </c>
      <c r="C99" s="37" t="s">
        <v>1086</v>
      </c>
      <c r="D99" s="37" t="s">
        <v>101</v>
      </c>
      <c r="E99" s="37" t="s">
        <v>1277</v>
      </c>
      <c r="F99" s="37"/>
      <c r="G99" s="197"/>
      <c r="H99" s="197"/>
      <c r="I99" s="118"/>
      <c r="J99" s="118"/>
      <c r="K99" s="118"/>
      <c r="L99" s="118"/>
      <c r="M99" s="118"/>
      <c r="N99" s="17"/>
      <c r="O99" s="17"/>
    </row>
    <row r="100" spans="2:15" ht="20" customHeight="1">
      <c r="B100" s="96" t="s">
        <v>811</v>
      </c>
      <c r="C100" s="37" t="s">
        <v>1035</v>
      </c>
      <c r="D100" s="37" t="s">
        <v>123</v>
      </c>
      <c r="E100" s="37" t="s">
        <v>1277</v>
      </c>
      <c r="F100" s="37" t="s">
        <v>829</v>
      </c>
      <c r="G100" s="197">
        <v>66</v>
      </c>
      <c r="H100" s="197">
        <v>7.2</v>
      </c>
      <c r="I100" s="224">
        <v>0.33300000000000002</v>
      </c>
      <c r="J100" s="214">
        <f>I100*Inputs!$X$6</f>
        <v>0.39960000000000001</v>
      </c>
      <c r="K100" s="221">
        <f>Inputs!$Y$6</f>
        <v>0.9</v>
      </c>
      <c r="L100" s="224">
        <f t="shared" ref="L100:L112" si="10">I100*$K100</f>
        <v>0.29970000000000002</v>
      </c>
      <c r="M100" s="224">
        <f t="shared" ref="M100:M112" si="11">J100*$K100</f>
        <v>0.35964000000000002</v>
      </c>
      <c r="N100" s="17"/>
      <c r="O100" s="17"/>
    </row>
    <row r="101" spans="2:15" ht="20" customHeight="1">
      <c r="B101" s="96" t="s">
        <v>634</v>
      </c>
      <c r="C101" s="37" t="s">
        <v>1021</v>
      </c>
      <c r="D101" s="37" t="s">
        <v>123</v>
      </c>
      <c r="E101" s="37" t="s">
        <v>1277</v>
      </c>
      <c r="F101" s="37" t="s">
        <v>829</v>
      </c>
      <c r="G101" s="197">
        <v>66</v>
      </c>
      <c r="H101" s="197">
        <v>12.5</v>
      </c>
      <c r="I101" s="224">
        <v>25</v>
      </c>
      <c r="J101" s="214">
        <f>I101*Inputs!$X$6</f>
        <v>30</v>
      </c>
      <c r="K101" s="221">
        <f>Inputs!$Y$6</f>
        <v>0.9</v>
      </c>
      <c r="L101" s="224">
        <f t="shared" si="10"/>
        <v>22.5</v>
      </c>
      <c r="M101" s="224">
        <f t="shared" si="11"/>
        <v>27</v>
      </c>
      <c r="N101" s="17"/>
      <c r="O101" s="17"/>
    </row>
    <row r="102" spans="2:15" ht="20" customHeight="1">
      <c r="B102" s="96" t="s">
        <v>635</v>
      </c>
      <c r="C102" s="37" t="s">
        <v>1022</v>
      </c>
      <c r="D102" s="37" t="s">
        <v>123</v>
      </c>
      <c r="E102" s="37" t="s">
        <v>1277</v>
      </c>
      <c r="F102" s="37" t="s">
        <v>829</v>
      </c>
      <c r="G102" s="197">
        <v>66</v>
      </c>
      <c r="H102" s="197">
        <v>25</v>
      </c>
      <c r="I102" s="224">
        <v>25</v>
      </c>
      <c r="J102" s="214">
        <f>I102*Inputs!$X$6</f>
        <v>30</v>
      </c>
      <c r="K102" s="221">
        <f>Inputs!$Y$6</f>
        <v>0.9</v>
      </c>
      <c r="L102" s="224">
        <f t="shared" si="10"/>
        <v>22.5</v>
      </c>
      <c r="M102" s="224">
        <f t="shared" si="11"/>
        <v>27</v>
      </c>
      <c r="N102" s="17"/>
      <c r="O102" s="17"/>
    </row>
    <row r="103" spans="2:15" ht="20" customHeight="1">
      <c r="B103" s="96" t="s">
        <v>635</v>
      </c>
      <c r="C103" s="37" t="s">
        <v>1022</v>
      </c>
      <c r="D103" s="37" t="s">
        <v>123</v>
      </c>
      <c r="E103" s="37" t="s">
        <v>1277</v>
      </c>
      <c r="F103" s="37" t="s">
        <v>830</v>
      </c>
      <c r="G103" s="197">
        <v>66</v>
      </c>
      <c r="H103" s="197">
        <v>25</v>
      </c>
      <c r="I103" s="224">
        <v>25</v>
      </c>
      <c r="J103" s="214">
        <f>I103*Inputs!$X$6</f>
        <v>30</v>
      </c>
      <c r="K103" s="221">
        <f>Inputs!$Y$6</f>
        <v>0.9</v>
      </c>
      <c r="L103" s="224">
        <f t="shared" si="10"/>
        <v>22.5</v>
      </c>
      <c r="M103" s="224">
        <f t="shared" si="11"/>
        <v>27</v>
      </c>
      <c r="N103" s="17"/>
      <c r="O103" s="17"/>
    </row>
    <row r="104" spans="2:15" ht="20" customHeight="1">
      <c r="B104" s="96" t="s">
        <v>622</v>
      </c>
      <c r="C104" s="37" t="s">
        <v>1008</v>
      </c>
      <c r="D104" s="37" t="s">
        <v>123</v>
      </c>
      <c r="E104" s="37" t="s">
        <v>1277</v>
      </c>
      <c r="F104" s="37" t="s">
        <v>829</v>
      </c>
      <c r="G104" s="197">
        <v>66</v>
      </c>
      <c r="H104" s="197">
        <v>4.16</v>
      </c>
      <c r="I104" s="224">
        <v>10</v>
      </c>
      <c r="J104" s="214">
        <f>I104*Inputs!$X$6</f>
        <v>12</v>
      </c>
      <c r="K104" s="221">
        <f>Inputs!$Y$6</f>
        <v>0.9</v>
      </c>
      <c r="L104" s="224">
        <f t="shared" si="10"/>
        <v>9</v>
      </c>
      <c r="M104" s="224">
        <f t="shared" si="11"/>
        <v>10.8</v>
      </c>
      <c r="N104" s="17"/>
      <c r="O104" s="17"/>
    </row>
    <row r="105" spans="2:15" ht="20" customHeight="1">
      <c r="B105" s="96" t="s">
        <v>622</v>
      </c>
      <c r="C105" s="37" t="s">
        <v>1008</v>
      </c>
      <c r="D105" s="37" t="s">
        <v>123</v>
      </c>
      <c r="E105" s="37" t="s">
        <v>1277</v>
      </c>
      <c r="F105" s="37" t="s">
        <v>830</v>
      </c>
      <c r="G105" s="197">
        <v>66</v>
      </c>
      <c r="H105" s="197">
        <v>4.16</v>
      </c>
      <c r="I105" s="224">
        <v>10</v>
      </c>
      <c r="J105" s="214">
        <f>I105*Inputs!$X$6</f>
        <v>12</v>
      </c>
      <c r="K105" s="221">
        <f>Inputs!$Y$6</f>
        <v>0.9</v>
      </c>
      <c r="L105" s="224">
        <f t="shared" si="10"/>
        <v>9</v>
      </c>
      <c r="M105" s="224">
        <f t="shared" si="11"/>
        <v>10.8</v>
      </c>
      <c r="N105" s="17"/>
      <c r="O105" s="17"/>
    </row>
    <row r="106" spans="2:15" ht="20" customHeight="1">
      <c r="B106" s="96" t="s">
        <v>622</v>
      </c>
      <c r="C106" s="37" t="s">
        <v>1008</v>
      </c>
      <c r="D106" s="37" t="s">
        <v>123</v>
      </c>
      <c r="E106" s="37" t="s">
        <v>1277</v>
      </c>
      <c r="F106" s="37" t="s">
        <v>831</v>
      </c>
      <c r="G106" s="197">
        <v>66</v>
      </c>
      <c r="H106" s="197">
        <v>12.5</v>
      </c>
      <c r="I106" s="224">
        <v>25</v>
      </c>
      <c r="J106" s="214">
        <f>I106*Inputs!$X$6</f>
        <v>30</v>
      </c>
      <c r="K106" s="221">
        <f>Inputs!$Y$6</f>
        <v>0.9</v>
      </c>
      <c r="L106" s="224">
        <f t="shared" si="10"/>
        <v>22.5</v>
      </c>
      <c r="M106" s="224">
        <f t="shared" si="11"/>
        <v>27</v>
      </c>
      <c r="N106" s="17"/>
      <c r="O106" s="17"/>
    </row>
    <row r="107" spans="2:15" ht="20" customHeight="1">
      <c r="B107" s="96" t="s">
        <v>662</v>
      </c>
      <c r="C107" s="37" t="s">
        <v>1053</v>
      </c>
      <c r="D107" s="37" t="s">
        <v>123</v>
      </c>
      <c r="E107" s="37" t="s">
        <v>1277</v>
      </c>
      <c r="F107" s="37" t="s">
        <v>829</v>
      </c>
      <c r="G107" s="197">
        <v>66</v>
      </c>
      <c r="H107" s="197">
        <v>12.5</v>
      </c>
      <c r="I107" s="224">
        <v>10</v>
      </c>
      <c r="J107" s="214">
        <f>I107*Inputs!$X$6</f>
        <v>12</v>
      </c>
      <c r="K107" s="221">
        <f>Inputs!$Y$6</f>
        <v>0.9</v>
      </c>
      <c r="L107" s="224">
        <f t="shared" si="10"/>
        <v>9</v>
      </c>
      <c r="M107" s="224">
        <f t="shared" si="11"/>
        <v>10.8</v>
      </c>
      <c r="N107" s="17"/>
      <c r="O107" s="17"/>
    </row>
    <row r="108" spans="2:15" ht="18">
      <c r="B108" s="96" t="s">
        <v>812</v>
      </c>
      <c r="C108" s="37" t="s">
        <v>1124</v>
      </c>
      <c r="D108" s="37" t="s">
        <v>123</v>
      </c>
      <c r="E108" s="37" t="s">
        <v>1277</v>
      </c>
      <c r="F108" s="37" t="s">
        <v>829</v>
      </c>
      <c r="G108" s="197">
        <v>66</v>
      </c>
      <c r="H108" s="197">
        <v>25</v>
      </c>
      <c r="I108" s="224">
        <v>6.7</v>
      </c>
      <c r="J108" s="214">
        <f>I108*Inputs!$X$6</f>
        <v>8.0399999999999991</v>
      </c>
      <c r="K108" s="221">
        <f>Inputs!$Y$6</f>
        <v>0.9</v>
      </c>
      <c r="L108" s="224">
        <f t="shared" si="10"/>
        <v>6.03</v>
      </c>
      <c r="M108" s="224">
        <f t="shared" si="11"/>
        <v>7.2359999999999998</v>
      </c>
      <c r="N108" s="17"/>
      <c r="O108" s="17"/>
    </row>
    <row r="109" spans="2:15" ht="18">
      <c r="B109" s="96" t="s">
        <v>716</v>
      </c>
      <c r="C109" s="37" t="s">
        <v>1099</v>
      </c>
      <c r="D109" s="37" t="s">
        <v>123</v>
      </c>
      <c r="E109" s="37" t="s">
        <v>1277</v>
      </c>
      <c r="F109" s="37" t="s">
        <v>829</v>
      </c>
      <c r="G109" s="197">
        <v>66</v>
      </c>
      <c r="H109" s="197">
        <v>25</v>
      </c>
      <c r="I109" s="224">
        <v>25</v>
      </c>
      <c r="J109" s="214">
        <f>I109*Inputs!$X$6</f>
        <v>30</v>
      </c>
      <c r="K109" s="221">
        <f>Inputs!$Y$6</f>
        <v>0.9</v>
      </c>
      <c r="L109" s="224">
        <f t="shared" si="10"/>
        <v>22.5</v>
      </c>
      <c r="M109" s="224">
        <f t="shared" si="11"/>
        <v>27</v>
      </c>
      <c r="N109" s="17"/>
      <c r="O109" s="17"/>
    </row>
    <row r="110" spans="2:15" ht="18">
      <c r="B110" s="96" t="s">
        <v>659</v>
      </c>
      <c r="C110" s="37" t="s">
        <v>1049</v>
      </c>
      <c r="D110" s="37" t="s">
        <v>123</v>
      </c>
      <c r="E110" s="37" t="s">
        <v>1277</v>
      </c>
      <c r="F110" s="37" t="s">
        <v>829</v>
      </c>
      <c r="G110" s="197">
        <v>138</v>
      </c>
      <c r="H110" s="197">
        <v>12.5</v>
      </c>
      <c r="I110" s="224">
        <v>20</v>
      </c>
      <c r="J110" s="214">
        <f>I110*Inputs!$X$6</f>
        <v>24</v>
      </c>
      <c r="K110" s="221">
        <f>Inputs!$Y$6</f>
        <v>0.9</v>
      </c>
      <c r="L110" s="224">
        <f t="shared" si="10"/>
        <v>18</v>
      </c>
      <c r="M110" s="224">
        <f t="shared" si="11"/>
        <v>21.6</v>
      </c>
      <c r="N110" s="17"/>
      <c r="O110" s="17"/>
    </row>
    <row r="111" spans="2:15" ht="18">
      <c r="B111" s="96" t="s">
        <v>649</v>
      </c>
      <c r="C111" s="37" t="s">
        <v>1239</v>
      </c>
      <c r="D111" s="37" t="s">
        <v>123</v>
      </c>
      <c r="E111" s="37" t="s">
        <v>1277</v>
      </c>
      <c r="F111" s="37" t="s">
        <v>831</v>
      </c>
      <c r="G111" s="197">
        <v>66</v>
      </c>
      <c r="H111" s="197">
        <v>12.5</v>
      </c>
      <c r="I111" s="224">
        <v>4</v>
      </c>
      <c r="J111" s="214">
        <f>I111*Inputs!$X$6</f>
        <v>4.8</v>
      </c>
      <c r="K111" s="221">
        <f>Inputs!$Y$6</f>
        <v>0.9</v>
      </c>
      <c r="L111" s="224">
        <f t="shared" si="10"/>
        <v>3.6</v>
      </c>
      <c r="M111" s="224">
        <f t="shared" si="11"/>
        <v>4.32</v>
      </c>
      <c r="N111" s="17"/>
      <c r="O111" s="17"/>
    </row>
    <row r="112" spans="2:15" ht="18">
      <c r="B112" s="96" t="s">
        <v>724</v>
      </c>
      <c r="C112" s="37" t="s">
        <v>1240</v>
      </c>
      <c r="D112" s="37" t="s">
        <v>123</v>
      </c>
      <c r="E112" s="37" t="s">
        <v>1277</v>
      </c>
      <c r="F112" s="37" t="s">
        <v>829</v>
      </c>
      <c r="G112" s="197">
        <v>66</v>
      </c>
      <c r="H112" s="197">
        <v>25</v>
      </c>
      <c r="I112" s="224">
        <v>14.9</v>
      </c>
      <c r="J112" s="214">
        <f>I112*Inputs!$X$6</f>
        <v>17.88</v>
      </c>
      <c r="K112" s="221">
        <f>Inputs!$Y$6</f>
        <v>0.9</v>
      </c>
      <c r="L112" s="224">
        <f t="shared" si="10"/>
        <v>13.41</v>
      </c>
      <c r="M112" s="224">
        <f t="shared" si="11"/>
        <v>16.091999999999999</v>
      </c>
      <c r="N112" s="17"/>
      <c r="O112" s="17"/>
    </row>
    <row r="113" spans="2:15" ht="18">
      <c r="B113" s="96" t="s">
        <v>837</v>
      </c>
      <c r="C113" s="37" t="s">
        <v>1241</v>
      </c>
      <c r="D113" s="37" t="s">
        <v>123</v>
      </c>
      <c r="E113" s="37" t="s">
        <v>1277</v>
      </c>
      <c r="F113" s="37"/>
      <c r="G113" s="197"/>
      <c r="H113" s="197"/>
      <c r="I113" s="118"/>
      <c r="J113" s="118"/>
      <c r="K113" s="118"/>
      <c r="L113" s="118"/>
      <c r="M113" s="118"/>
      <c r="N113" s="17"/>
      <c r="O113" s="17"/>
    </row>
    <row r="114" spans="2:15" ht="18">
      <c r="B114" s="96" t="s">
        <v>857</v>
      </c>
      <c r="C114" s="37" t="s">
        <v>1109</v>
      </c>
      <c r="D114" s="37" t="s">
        <v>123</v>
      </c>
      <c r="E114" s="37" t="s">
        <v>1277</v>
      </c>
      <c r="F114" s="37"/>
      <c r="G114" s="197"/>
      <c r="H114" s="197"/>
      <c r="I114" s="118"/>
      <c r="J114" s="118"/>
      <c r="K114" s="118"/>
      <c r="L114" s="118"/>
      <c r="M114" s="118"/>
      <c r="N114" s="17"/>
      <c r="O114" s="17"/>
    </row>
    <row r="115" spans="2:15" ht="18">
      <c r="B115" s="165" t="s">
        <v>700</v>
      </c>
      <c r="C115" s="37" t="s">
        <v>1088</v>
      </c>
      <c r="D115" s="37" t="s">
        <v>101</v>
      </c>
      <c r="E115" s="37" t="s">
        <v>1277</v>
      </c>
      <c r="F115" s="37"/>
      <c r="G115" s="197"/>
      <c r="H115" s="197"/>
      <c r="I115" s="118"/>
      <c r="J115" s="118"/>
      <c r="K115" s="118"/>
      <c r="L115" s="118"/>
      <c r="M115" s="118"/>
      <c r="N115" s="17"/>
      <c r="O115" s="17"/>
    </row>
    <row r="116" spans="2:15" ht="18">
      <c r="B116" s="96" t="s">
        <v>813</v>
      </c>
      <c r="C116" s="37" t="s">
        <v>1066</v>
      </c>
      <c r="D116" s="37" t="s">
        <v>123</v>
      </c>
      <c r="E116" s="37" t="s">
        <v>1277</v>
      </c>
      <c r="F116" s="37" t="s">
        <v>829</v>
      </c>
      <c r="G116" s="197">
        <v>66</v>
      </c>
      <c r="H116" s="197">
        <v>12.5</v>
      </c>
      <c r="I116" s="224">
        <v>6.7</v>
      </c>
      <c r="J116" s="214">
        <f>I116*Inputs!$X$6</f>
        <v>8.0399999999999991</v>
      </c>
      <c r="K116" s="221">
        <f>Inputs!$Y$6</f>
        <v>0.9</v>
      </c>
      <c r="L116" s="224">
        <f t="shared" ref="L116:M123" si="12">I116*$K116</f>
        <v>6.03</v>
      </c>
      <c r="M116" s="224">
        <f t="shared" si="12"/>
        <v>7.2359999999999998</v>
      </c>
      <c r="N116" s="17"/>
      <c r="O116" s="17"/>
    </row>
    <row r="117" spans="2:15" ht="18">
      <c r="B117" s="96" t="s">
        <v>664</v>
      </c>
      <c r="C117" s="37" t="s">
        <v>1054</v>
      </c>
      <c r="D117" s="37" t="s">
        <v>123</v>
      </c>
      <c r="E117" s="37" t="s">
        <v>1277</v>
      </c>
      <c r="F117" s="37" t="s">
        <v>829</v>
      </c>
      <c r="G117" s="197">
        <v>138</v>
      </c>
      <c r="H117" s="197">
        <v>12.5</v>
      </c>
      <c r="I117" s="224">
        <v>20</v>
      </c>
      <c r="J117" s="214">
        <f>I117*Inputs!$X$6</f>
        <v>24</v>
      </c>
      <c r="K117" s="221">
        <f>Inputs!$Y$6</f>
        <v>0.9</v>
      </c>
      <c r="L117" s="224">
        <f t="shared" si="12"/>
        <v>18</v>
      </c>
      <c r="M117" s="224">
        <f t="shared" si="12"/>
        <v>21.6</v>
      </c>
      <c r="N117" s="17"/>
      <c r="O117" s="17"/>
    </row>
    <row r="118" spans="2:15" ht="18">
      <c r="B118" s="96" t="s">
        <v>624</v>
      </c>
      <c r="C118" s="37" t="s">
        <v>1010</v>
      </c>
      <c r="D118" s="37" t="s">
        <v>123</v>
      </c>
      <c r="E118" s="37" t="s">
        <v>1277</v>
      </c>
      <c r="F118" s="37" t="s">
        <v>829</v>
      </c>
      <c r="G118" s="197">
        <v>66</v>
      </c>
      <c r="H118" s="197">
        <v>12.5</v>
      </c>
      <c r="I118" s="224">
        <v>14.83</v>
      </c>
      <c r="J118" s="214">
        <f>I118*Inputs!$X$6</f>
        <v>17.795999999999999</v>
      </c>
      <c r="K118" s="221">
        <f>Inputs!$Y$6</f>
        <v>0.9</v>
      </c>
      <c r="L118" s="224">
        <f t="shared" si="12"/>
        <v>13.347</v>
      </c>
      <c r="M118" s="224">
        <f t="shared" si="12"/>
        <v>16.016400000000001</v>
      </c>
      <c r="N118" s="17"/>
      <c r="O118" s="17"/>
    </row>
    <row r="119" spans="2:15" ht="18">
      <c r="B119" s="96" t="s">
        <v>624</v>
      </c>
      <c r="C119" s="37" t="s">
        <v>1010</v>
      </c>
      <c r="D119" s="37" t="s">
        <v>123</v>
      </c>
      <c r="E119" s="37" t="s">
        <v>1277</v>
      </c>
      <c r="F119" s="37" t="s">
        <v>830</v>
      </c>
      <c r="G119" s="197">
        <v>66</v>
      </c>
      <c r="H119" s="197">
        <v>12.5</v>
      </c>
      <c r="I119" s="224">
        <v>20</v>
      </c>
      <c r="J119" s="214">
        <f>I119*Inputs!$X$6</f>
        <v>24</v>
      </c>
      <c r="K119" s="221">
        <f>Inputs!$Y$6</f>
        <v>0.9</v>
      </c>
      <c r="L119" s="224">
        <f t="shared" si="12"/>
        <v>18</v>
      </c>
      <c r="M119" s="224">
        <f t="shared" si="12"/>
        <v>21.6</v>
      </c>
      <c r="N119" s="17"/>
      <c r="O119" s="17"/>
    </row>
    <row r="120" spans="2:15" ht="18">
      <c r="B120" s="96" t="s">
        <v>814</v>
      </c>
      <c r="C120" s="37" t="s">
        <v>1126</v>
      </c>
      <c r="D120" s="37" t="s">
        <v>123</v>
      </c>
      <c r="E120" s="37" t="s">
        <v>1277</v>
      </c>
      <c r="F120" s="37" t="s">
        <v>829</v>
      </c>
      <c r="G120" s="197">
        <v>66</v>
      </c>
      <c r="H120" s="197">
        <v>25</v>
      </c>
      <c r="I120" s="224">
        <v>16.670000000000002</v>
      </c>
      <c r="J120" s="214">
        <f>I120*Inputs!$X$6</f>
        <v>20.004000000000001</v>
      </c>
      <c r="K120" s="221">
        <f>Inputs!$Y$6</f>
        <v>0.9</v>
      </c>
      <c r="L120" s="224">
        <f t="shared" si="12"/>
        <v>15.003000000000002</v>
      </c>
      <c r="M120" s="224">
        <f t="shared" si="12"/>
        <v>18.003600000000002</v>
      </c>
      <c r="N120" s="17"/>
      <c r="O120" s="17"/>
    </row>
    <row r="121" spans="2:15" ht="18">
      <c r="B121" s="96" t="s">
        <v>621</v>
      </c>
      <c r="C121" s="37" t="s">
        <v>1242</v>
      </c>
      <c r="D121" s="37" t="s">
        <v>123</v>
      </c>
      <c r="E121" s="37" t="s">
        <v>1277</v>
      </c>
      <c r="F121" s="37" t="s">
        <v>830</v>
      </c>
      <c r="G121" s="197">
        <v>66</v>
      </c>
      <c r="H121" s="197">
        <v>12.5</v>
      </c>
      <c r="I121" s="224">
        <v>16.670000000000002</v>
      </c>
      <c r="J121" s="214">
        <f>I121*Inputs!$X$6</f>
        <v>20.004000000000001</v>
      </c>
      <c r="K121" s="221">
        <f>Inputs!$Y$6</f>
        <v>0.9</v>
      </c>
      <c r="L121" s="224">
        <f t="shared" si="12"/>
        <v>15.003000000000002</v>
      </c>
      <c r="M121" s="224">
        <f t="shared" si="12"/>
        <v>18.003600000000002</v>
      </c>
      <c r="N121" s="17"/>
      <c r="O121" s="17"/>
    </row>
    <row r="122" spans="2:15" ht="18">
      <c r="B122" s="96" t="s">
        <v>983</v>
      </c>
      <c r="C122" s="37" t="s">
        <v>1092</v>
      </c>
      <c r="D122" s="37" t="s">
        <v>123</v>
      </c>
      <c r="E122" s="37" t="s">
        <v>1277</v>
      </c>
      <c r="F122" s="37" t="s">
        <v>829</v>
      </c>
      <c r="G122" s="197">
        <v>66</v>
      </c>
      <c r="H122" s="197">
        <v>12.5</v>
      </c>
      <c r="I122" s="224">
        <v>25</v>
      </c>
      <c r="J122" s="214">
        <f>I122*Inputs!$X$6</f>
        <v>30</v>
      </c>
      <c r="K122" s="221">
        <f>Inputs!$Y$6</f>
        <v>0.9</v>
      </c>
      <c r="L122" s="224">
        <f t="shared" si="12"/>
        <v>22.5</v>
      </c>
      <c r="M122" s="224">
        <f t="shared" si="12"/>
        <v>27</v>
      </c>
      <c r="N122" s="17"/>
      <c r="O122" s="17"/>
    </row>
    <row r="123" spans="2:15" ht="18">
      <c r="B123" s="96" t="s">
        <v>983</v>
      </c>
      <c r="C123" s="37" t="s">
        <v>1092</v>
      </c>
      <c r="D123" s="37" t="s">
        <v>123</v>
      </c>
      <c r="E123" s="37" t="s">
        <v>1277</v>
      </c>
      <c r="F123" s="37" t="s">
        <v>830</v>
      </c>
      <c r="G123" s="197">
        <v>66</v>
      </c>
      <c r="H123" s="197">
        <v>12.5</v>
      </c>
      <c r="I123" s="224">
        <v>25</v>
      </c>
      <c r="J123" s="214">
        <f>I123*Inputs!$X$6</f>
        <v>30</v>
      </c>
      <c r="K123" s="221">
        <f>Inputs!$Y$6</f>
        <v>0.9</v>
      </c>
      <c r="L123" s="224">
        <f t="shared" si="12"/>
        <v>22.5</v>
      </c>
      <c r="M123" s="224">
        <f t="shared" si="12"/>
        <v>27</v>
      </c>
      <c r="N123" s="17"/>
      <c r="O123" s="17"/>
    </row>
    <row r="124" spans="2:15" ht="18">
      <c r="B124" s="165" t="s">
        <v>681</v>
      </c>
      <c r="C124" s="37" t="s">
        <v>1221</v>
      </c>
      <c r="D124" s="37" t="s">
        <v>855</v>
      </c>
      <c r="E124" s="37" t="s">
        <v>1277</v>
      </c>
      <c r="F124" s="37"/>
      <c r="G124" s="197"/>
      <c r="H124" s="197"/>
      <c r="I124" s="118"/>
      <c r="J124" s="118"/>
      <c r="K124" s="118"/>
      <c r="L124" s="118"/>
      <c r="M124" s="118"/>
      <c r="N124" s="17"/>
      <c r="O124" s="17"/>
    </row>
    <row r="125" spans="2:15" ht="18">
      <c r="B125" s="96" t="s">
        <v>638</v>
      </c>
      <c r="C125" s="37" t="s">
        <v>1243</v>
      </c>
      <c r="D125" s="37" t="s">
        <v>123</v>
      </c>
      <c r="E125" s="37" t="s">
        <v>1277</v>
      </c>
      <c r="F125" s="37" t="s">
        <v>829</v>
      </c>
      <c r="G125" s="197">
        <v>66</v>
      </c>
      <c r="H125" s="197">
        <v>12.5</v>
      </c>
      <c r="I125" s="224">
        <v>6.67</v>
      </c>
      <c r="J125" s="214">
        <f>I125*Inputs!$X$6</f>
        <v>8.0039999999999996</v>
      </c>
      <c r="K125" s="221">
        <f>Inputs!$Y$6</f>
        <v>0.9</v>
      </c>
      <c r="L125" s="224">
        <f>I125*$K125</f>
        <v>6.0030000000000001</v>
      </c>
      <c r="M125" s="224">
        <f>J125*$K125</f>
        <v>7.2035999999999998</v>
      </c>
      <c r="N125" s="17"/>
      <c r="O125" s="17"/>
    </row>
    <row r="126" spans="2:15" ht="18">
      <c r="B126" s="255" t="s">
        <v>980</v>
      </c>
      <c r="C126" s="37" t="s">
        <v>1032</v>
      </c>
      <c r="D126" s="37" t="s">
        <v>101</v>
      </c>
      <c r="E126" s="37" t="s">
        <v>1277</v>
      </c>
      <c r="F126" s="37"/>
      <c r="G126" s="197"/>
      <c r="H126" s="197"/>
      <c r="I126" s="118"/>
      <c r="J126" s="118"/>
      <c r="K126" s="118"/>
      <c r="L126" s="118"/>
      <c r="M126" s="118"/>
      <c r="N126" s="17"/>
      <c r="O126" s="17"/>
    </row>
    <row r="127" spans="2:15" ht="18">
      <c r="B127" s="96" t="s">
        <v>815</v>
      </c>
      <c r="C127" s="37" t="s">
        <v>1127</v>
      </c>
      <c r="D127" s="37" t="s">
        <v>123</v>
      </c>
      <c r="E127" s="37" t="s">
        <v>1277</v>
      </c>
      <c r="F127" s="37" t="s">
        <v>829</v>
      </c>
      <c r="G127" s="197">
        <v>66</v>
      </c>
      <c r="H127" s="197">
        <v>12.5</v>
      </c>
      <c r="I127" s="224">
        <v>13.33</v>
      </c>
      <c r="J127" s="214">
        <f>I127*Inputs!$X$6</f>
        <v>15.995999999999999</v>
      </c>
      <c r="K127" s="221">
        <f>Inputs!$Y$6</f>
        <v>0.9</v>
      </c>
      <c r="L127" s="224">
        <f>I127*$K127</f>
        <v>11.997</v>
      </c>
      <c r="M127" s="224">
        <f>J127*$K127</f>
        <v>14.3964</v>
      </c>
      <c r="N127" s="17"/>
      <c r="O127" s="17"/>
    </row>
    <row r="128" spans="2:15" ht="18">
      <c r="B128" s="96" t="s">
        <v>816</v>
      </c>
      <c r="C128" s="37" t="s">
        <v>1036</v>
      </c>
      <c r="D128" s="37" t="s">
        <v>123</v>
      </c>
      <c r="E128" s="37" t="s">
        <v>1277</v>
      </c>
      <c r="F128" s="37" t="s">
        <v>829</v>
      </c>
      <c r="G128" s="197">
        <v>138</v>
      </c>
      <c r="H128" s="197">
        <v>25</v>
      </c>
      <c r="I128" s="224">
        <v>11.2</v>
      </c>
      <c r="J128" s="214">
        <f>I128*Inputs!$X$6</f>
        <v>13.44</v>
      </c>
      <c r="K128" s="221">
        <f>Inputs!$Y$6</f>
        <v>0.9</v>
      </c>
      <c r="L128" s="224">
        <f>I128*$K128</f>
        <v>10.08</v>
      </c>
      <c r="M128" s="224">
        <f>J128*$K128</f>
        <v>12.096</v>
      </c>
      <c r="N128" s="17"/>
      <c r="O128" s="17"/>
    </row>
    <row r="129" spans="2:15" ht="18">
      <c r="B129" s="96" t="s">
        <v>646</v>
      </c>
      <c r="C129" s="37" t="s">
        <v>1033</v>
      </c>
      <c r="D129" s="37" t="s">
        <v>123</v>
      </c>
      <c r="E129" s="37" t="s">
        <v>1277</v>
      </c>
      <c r="F129" s="37"/>
      <c r="G129" s="197"/>
      <c r="H129" s="197"/>
      <c r="I129" s="118"/>
      <c r="J129" s="118"/>
      <c r="K129" s="118"/>
      <c r="L129" s="118"/>
      <c r="M129" s="118"/>
      <c r="N129" s="17"/>
      <c r="O129" s="17"/>
    </row>
    <row r="130" spans="2:15" ht="18">
      <c r="B130" s="96" t="s">
        <v>712</v>
      </c>
      <c r="C130" s="37" t="s">
        <v>1097</v>
      </c>
      <c r="D130" s="37" t="s">
        <v>123</v>
      </c>
      <c r="E130" s="37" t="s">
        <v>1277</v>
      </c>
      <c r="F130" s="37" t="s">
        <v>829</v>
      </c>
      <c r="G130" s="197">
        <v>66</v>
      </c>
      <c r="H130" s="197">
        <v>12.5</v>
      </c>
      <c r="I130" s="224">
        <v>14.96</v>
      </c>
      <c r="J130" s="214">
        <f>I130*Inputs!$X$6</f>
        <v>17.952000000000002</v>
      </c>
      <c r="K130" s="221">
        <f>Inputs!$Y$6</f>
        <v>0.9</v>
      </c>
      <c r="L130" s="224">
        <f>I130*$K130</f>
        <v>13.464</v>
      </c>
      <c r="M130" s="224">
        <f>J130*$K130</f>
        <v>16.1568</v>
      </c>
      <c r="N130" s="17"/>
      <c r="O130" s="17"/>
    </row>
    <row r="131" spans="2:15" ht="18">
      <c r="B131" s="165" t="s">
        <v>628</v>
      </c>
      <c r="C131" s="37" t="s">
        <v>1014</v>
      </c>
      <c r="D131" s="37" t="s">
        <v>855</v>
      </c>
      <c r="E131" s="37" t="s">
        <v>1277</v>
      </c>
      <c r="F131" s="37" t="s">
        <v>829</v>
      </c>
      <c r="G131" s="197">
        <v>66</v>
      </c>
      <c r="H131" s="197">
        <v>12.5</v>
      </c>
      <c r="I131" s="224">
        <v>13.33</v>
      </c>
      <c r="J131" s="214">
        <f>I131*Inputs!$X$6</f>
        <v>15.995999999999999</v>
      </c>
      <c r="K131" s="221">
        <f>Inputs!$Y$6</f>
        <v>0.9</v>
      </c>
      <c r="L131" s="224">
        <f>I131*$K131</f>
        <v>11.997</v>
      </c>
      <c r="M131" s="224">
        <f>J131*$K131</f>
        <v>14.3964</v>
      </c>
      <c r="N131" s="17"/>
      <c r="O131" s="17"/>
    </row>
    <row r="132" spans="2:15" ht="18">
      <c r="B132" s="165" t="s">
        <v>797</v>
      </c>
      <c r="C132" s="37" t="s">
        <v>1244</v>
      </c>
      <c r="D132" s="37" t="s">
        <v>101</v>
      </c>
      <c r="E132" s="37" t="s">
        <v>1277</v>
      </c>
      <c r="F132" s="37"/>
      <c r="G132" s="197"/>
      <c r="H132" s="197"/>
      <c r="I132" s="118"/>
      <c r="J132" s="118"/>
      <c r="K132" s="118"/>
      <c r="L132" s="118"/>
      <c r="M132" s="118"/>
      <c r="N132" s="17"/>
      <c r="O132" s="17"/>
    </row>
    <row r="133" spans="2:15" ht="18">
      <c r="B133" s="165" t="s">
        <v>691</v>
      </c>
      <c r="C133" s="37" t="s">
        <v>1079</v>
      </c>
      <c r="D133" s="37" t="s">
        <v>101</v>
      </c>
      <c r="E133" s="37" t="s">
        <v>1277</v>
      </c>
      <c r="F133" s="37"/>
      <c r="G133" s="197"/>
      <c r="H133" s="197"/>
      <c r="I133" s="118"/>
      <c r="J133" s="118"/>
      <c r="K133" s="118"/>
      <c r="L133" s="118"/>
      <c r="M133" s="118"/>
      <c r="N133" s="17"/>
      <c r="O133" s="17"/>
    </row>
    <row r="134" spans="2:15" ht="18">
      <c r="B134" s="96" t="s">
        <v>817</v>
      </c>
      <c r="C134" s="37" t="s">
        <v>1065</v>
      </c>
      <c r="D134" s="37" t="s">
        <v>123</v>
      </c>
      <c r="E134" s="37" t="s">
        <v>1277</v>
      </c>
      <c r="F134" s="37" t="s">
        <v>829</v>
      </c>
      <c r="G134" s="197">
        <v>66</v>
      </c>
      <c r="H134" s="197">
        <v>12.5</v>
      </c>
      <c r="I134" s="224">
        <v>13.3</v>
      </c>
      <c r="J134" s="214">
        <f>I134*Inputs!$X$6</f>
        <v>15.96</v>
      </c>
      <c r="K134" s="221">
        <f>Inputs!$Y$6</f>
        <v>0.9</v>
      </c>
      <c r="L134" s="224">
        <f>I134*$K134</f>
        <v>11.97</v>
      </c>
      <c r="M134" s="224">
        <f>J134*$K134</f>
        <v>14.364000000000001</v>
      </c>
      <c r="N134" s="17"/>
      <c r="O134" s="17"/>
    </row>
    <row r="135" spans="2:15" ht="18">
      <c r="B135" s="96" t="s">
        <v>984</v>
      </c>
      <c r="C135" s="37" t="s">
        <v>1093</v>
      </c>
      <c r="D135" s="37" t="s">
        <v>123</v>
      </c>
      <c r="E135" s="37" t="s">
        <v>1277</v>
      </c>
      <c r="F135" s="37" t="s">
        <v>829</v>
      </c>
      <c r="G135" s="197">
        <v>66</v>
      </c>
      <c r="H135" s="197">
        <v>12.5</v>
      </c>
      <c r="I135" s="224">
        <v>25</v>
      </c>
      <c r="J135" s="214">
        <f>I135*Inputs!$X$6</f>
        <v>30</v>
      </c>
      <c r="K135" s="221">
        <f>Inputs!$Y$6</f>
        <v>0.9</v>
      </c>
      <c r="L135" s="224">
        <f>I135*$K135</f>
        <v>22.5</v>
      </c>
      <c r="M135" s="224">
        <f>J135*$K135</f>
        <v>27</v>
      </c>
      <c r="N135" s="17"/>
      <c r="O135" s="17"/>
    </row>
    <row r="136" spans="2:15" ht="18">
      <c r="B136" s="165" t="s">
        <v>702</v>
      </c>
      <c r="C136" s="37" t="s">
        <v>1090</v>
      </c>
      <c r="D136" s="37" t="s">
        <v>123</v>
      </c>
      <c r="E136" s="37" t="s">
        <v>1277</v>
      </c>
      <c r="F136" s="37"/>
      <c r="G136" s="197"/>
      <c r="H136" s="197"/>
      <c r="I136" s="118"/>
      <c r="J136" s="118"/>
      <c r="K136" s="118"/>
      <c r="L136" s="118"/>
      <c r="M136" s="118"/>
      <c r="N136" s="17"/>
      <c r="O136" s="17"/>
    </row>
    <row r="137" spans="2:15" ht="18">
      <c r="B137" s="96" t="s">
        <v>705</v>
      </c>
      <c r="C137" s="37" t="s">
        <v>1245</v>
      </c>
      <c r="D137" s="37" t="s">
        <v>123</v>
      </c>
      <c r="E137" s="37" t="s">
        <v>1277</v>
      </c>
      <c r="F137" s="37" t="s">
        <v>831</v>
      </c>
      <c r="G137" s="197">
        <v>66</v>
      </c>
      <c r="H137" s="197">
        <v>4.5999999999999996</v>
      </c>
      <c r="I137" s="224">
        <v>3</v>
      </c>
      <c r="J137" s="214">
        <f>I137*Inputs!$X$6</f>
        <v>3.5999999999999996</v>
      </c>
      <c r="K137" s="221">
        <f>Inputs!$Y$6</f>
        <v>0.9</v>
      </c>
      <c r="L137" s="224">
        <f>I137*$K137</f>
        <v>2.7</v>
      </c>
      <c r="M137" s="224">
        <f>J137*$K137</f>
        <v>3.2399999999999998</v>
      </c>
      <c r="N137" s="17"/>
      <c r="O137" s="17"/>
    </row>
    <row r="138" spans="2:15" ht="18">
      <c r="B138" s="96" t="s">
        <v>818</v>
      </c>
      <c r="C138" s="37" t="s">
        <v>1025</v>
      </c>
      <c r="D138" s="37" t="s">
        <v>123</v>
      </c>
      <c r="E138" s="37" t="s">
        <v>1277</v>
      </c>
      <c r="F138" s="37" t="s">
        <v>829</v>
      </c>
      <c r="G138" s="197">
        <v>66</v>
      </c>
      <c r="H138" s="197">
        <v>7.2</v>
      </c>
      <c r="I138" s="224">
        <v>0.33300000000000002</v>
      </c>
      <c r="J138" s="214">
        <f>I138*Inputs!$X$6</f>
        <v>0.39960000000000001</v>
      </c>
      <c r="K138" s="221">
        <f>Inputs!$Y$6</f>
        <v>0.9</v>
      </c>
      <c r="L138" s="224">
        <f>I138*$K138</f>
        <v>0.29970000000000002</v>
      </c>
      <c r="M138" s="224">
        <f>J138*$K138</f>
        <v>0.35964000000000002</v>
      </c>
      <c r="N138" s="17"/>
      <c r="O138" s="17"/>
    </row>
    <row r="139" spans="2:15" ht="18">
      <c r="B139" s="165" t="s">
        <v>695</v>
      </c>
      <c r="C139" s="37" t="s">
        <v>1083</v>
      </c>
      <c r="D139" s="37" t="s">
        <v>101</v>
      </c>
      <c r="E139" s="37" t="s">
        <v>1277</v>
      </c>
      <c r="F139" s="37"/>
      <c r="G139" s="197"/>
      <c r="H139" s="197"/>
      <c r="I139" s="118"/>
      <c r="J139" s="118"/>
      <c r="K139" s="118"/>
      <c r="L139" s="118"/>
      <c r="M139" s="118"/>
      <c r="N139" s="17"/>
      <c r="O139" s="17"/>
    </row>
    <row r="140" spans="2:15" ht="18">
      <c r="B140" s="96" t="s">
        <v>725</v>
      </c>
      <c r="C140" s="37" t="s">
        <v>1246</v>
      </c>
      <c r="D140" s="37" t="s">
        <v>123</v>
      </c>
      <c r="E140" s="37" t="s">
        <v>1277</v>
      </c>
      <c r="F140" s="37" t="s">
        <v>832</v>
      </c>
      <c r="G140" s="197">
        <v>66</v>
      </c>
      <c r="H140" s="197">
        <v>12.5</v>
      </c>
      <c r="I140" s="224">
        <v>13.33</v>
      </c>
      <c r="J140" s="214">
        <f>I140*Inputs!$X$6</f>
        <v>15.995999999999999</v>
      </c>
      <c r="K140" s="221">
        <f>Inputs!$Y$6</f>
        <v>0.9</v>
      </c>
      <c r="L140" s="224">
        <f>I140*$K140</f>
        <v>11.997</v>
      </c>
      <c r="M140" s="224">
        <f>J140*$K140</f>
        <v>14.3964</v>
      </c>
      <c r="N140" s="17"/>
      <c r="O140" s="17"/>
    </row>
    <row r="141" spans="2:15" ht="18">
      <c r="B141" s="96" t="s">
        <v>819</v>
      </c>
      <c r="C141" s="37" t="s">
        <v>1046</v>
      </c>
      <c r="D141" s="37" t="s">
        <v>123</v>
      </c>
      <c r="E141" s="37" t="s">
        <v>1277</v>
      </c>
      <c r="F141" s="37" t="s">
        <v>829</v>
      </c>
      <c r="G141" s="197">
        <v>138</v>
      </c>
      <c r="H141" s="197">
        <v>25</v>
      </c>
      <c r="I141" s="224">
        <v>16.670000000000002</v>
      </c>
      <c r="J141" s="214">
        <f>I141*Inputs!$X$6</f>
        <v>20.004000000000001</v>
      </c>
      <c r="K141" s="221">
        <f>Inputs!$Y$6</f>
        <v>0.9</v>
      </c>
      <c r="L141" s="224">
        <f>I141*$K141</f>
        <v>15.003000000000002</v>
      </c>
      <c r="M141" s="224">
        <f>J141*$K141</f>
        <v>18.003600000000002</v>
      </c>
      <c r="N141" s="17"/>
      <c r="O141" s="17"/>
    </row>
    <row r="142" spans="2:15" ht="18">
      <c r="B142" s="96" t="s">
        <v>885</v>
      </c>
      <c r="C142" s="37" t="s">
        <v>1038</v>
      </c>
      <c r="D142" s="37" t="s">
        <v>123</v>
      </c>
      <c r="E142" s="37" t="s">
        <v>1277</v>
      </c>
      <c r="F142" s="37"/>
      <c r="G142" s="197"/>
      <c r="H142" s="197"/>
      <c r="I142" s="118"/>
      <c r="J142" s="118"/>
      <c r="K142" s="118"/>
      <c r="L142" s="118"/>
      <c r="M142" s="118"/>
      <c r="N142" s="17"/>
      <c r="O142" s="17"/>
    </row>
    <row r="143" spans="2:15" ht="18">
      <c r="B143" s="96" t="s">
        <v>836</v>
      </c>
      <c r="C143" s="37" t="s">
        <v>1153</v>
      </c>
      <c r="D143" s="37" t="s">
        <v>123</v>
      </c>
      <c r="E143" s="37" t="s">
        <v>1277</v>
      </c>
      <c r="F143" s="37"/>
      <c r="G143" s="197"/>
      <c r="H143" s="197"/>
      <c r="I143" s="118"/>
      <c r="J143" s="118"/>
      <c r="K143" s="118"/>
      <c r="L143" s="118"/>
      <c r="M143" s="118"/>
      <c r="N143" s="17"/>
      <c r="O143" s="17"/>
    </row>
    <row r="144" spans="2:15" ht="18">
      <c r="B144" s="96" t="s">
        <v>711</v>
      </c>
      <c r="C144" s="37" t="s">
        <v>1096</v>
      </c>
      <c r="D144" s="37" t="s">
        <v>123</v>
      </c>
      <c r="E144" s="37" t="s">
        <v>1277</v>
      </c>
      <c r="F144" s="37" t="s">
        <v>829</v>
      </c>
      <c r="G144" s="197">
        <v>66</v>
      </c>
      <c r="H144" s="197">
        <v>12.5</v>
      </c>
      <c r="I144" s="224">
        <v>25</v>
      </c>
      <c r="J144" s="214">
        <f>I144*Inputs!$X$6</f>
        <v>30</v>
      </c>
      <c r="K144" s="221">
        <f>Inputs!$Y$6</f>
        <v>0.9</v>
      </c>
      <c r="L144" s="224">
        <f t="shared" ref="L144:M151" si="13">I144*$K144</f>
        <v>22.5</v>
      </c>
      <c r="M144" s="224">
        <f t="shared" si="13"/>
        <v>27</v>
      </c>
      <c r="N144" s="17"/>
      <c r="O144" s="17"/>
    </row>
    <row r="145" spans="2:15" ht="18">
      <c r="B145" s="96" t="s">
        <v>711</v>
      </c>
      <c r="C145" s="37" t="s">
        <v>1096</v>
      </c>
      <c r="D145" s="37" t="s">
        <v>123</v>
      </c>
      <c r="E145" s="37" t="s">
        <v>1277</v>
      </c>
      <c r="F145" s="37" t="s">
        <v>830</v>
      </c>
      <c r="G145" s="197">
        <v>66</v>
      </c>
      <c r="H145" s="197">
        <v>12.5</v>
      </c>
      <c r="I145" s="224">
        <v>25</v>
      </c>
      <c r="J145" s="214">
        <f>I145*Inputs!$X$6</f>
        <v>30</v>
      </c>
      <c r="K145" s="221">
        <f>Inputs!$Y$6</f>
        <v>0.9</v>
      </c>
      <c r="L145" s="224">
        <f t="shared" si="13"/>
        <v>22.5</v>
      </c>
      <c r="M145" s="224">
        <f t="shared" si="13"/>
        <v>27</v>
      </c>
      <c r="N145" s="17"/>
      <c r="O145" s="17"/>
    </row>
    <row r="146" spans="2:15" ht="18">
      <c r="B146" s="96" t="s">
        <v>820</v>
      </c>
      <c r="C146" s="37" t="s">
        <v>1217</v>
      </c>
      <c r="D146" s="37" t="s">
        <v>123</v>
      </c>
      <c r="E146" s="37" t="s">
        <v>1277</v>
      </c>
      <c r="F146" s="37" t="s">
        <v>829</v>
      </c>
      <c r="G146" s="197">
        <v>66</v>
      </c>
      <c r="H146" s="197">
        <v>4.16</v>
      </c>
      <c r="I146" s="224">
        <v>0.72499999999999998</v>
      </c>
      <c r="J146" s="214">
        <f>I146*Inputs!$X$6</f>
        <v>0.87</v>
      </c>
      <c r="K146" s="221">
        <f>Inputs!$Y$6</f>
        <v>0.9</v>
      </c>
      <c r="L146" s="224">
        <f t="shared" si="13"/>
        <v>0.65249999999999997</v>
      </c>
      <c r="M146" s="224">
        <f t="shared" si="13"/>
        <v>0.78300000000000003</v>
      </c>
      <c r="N146" s="17"/>
      <c r="O146" s="17"/>
    </row>
    <row r="147" spans="2:15" ht="18">
      <c r="B147" s="96" t="s">
        <v>715</v>
      </c>
      <c r="C147" s="37" t="s">
        <v>1247</v>
      </c>
      <c r="D147" s="37" t="s">
        <v>123</v>
      </c>
      <c r="E147" s="37" t="s">
        <v>1277</v>
      </c>
      <c r="F147" s="37" t="s">
        <v>830</v>
      </c>
      <c r="G147" s="197">
        <v>66</v>
      </c>
      <c r="H147" s="197">
        <v>12.5</v>
      </c>
      <c r="I147" s="224">
        <v>5</v>
      </c>
      <c r="J147" s="214">
        <f>I147*Inputs!$X$6</f>
        <v>6</v>
      </c>
      <c r="K147" s="221">
        <f>Inputs!$Y$6</f>
        <v>0.9</v>
      </c>
      <c r="L147" s="224">
        <f t="shared" si="13"/>
        <v>4.5</v>
      </c>
      <c r="M147" s="224">
        <f t="shared" si="13"/>
        <v>5.4</v>
      </c>
      <c r="N147" s="17"/>
      <c r="O147" s="17"/>
    </row>
    <row r="148" spans="2:15" ht="18">
      <c r="B148" s="96" t="s">
        <v>627</v>
      </c>
      <c r="C148" s="37" t="s">
        <v>1013</v>
      </c>
      <c r="D148" s="37" t="s">
        <v>123</v>
      </c>
      <c r="E148" s="37" t="s">
        <v>1277</v>
      </c>
      <c r="F148" s="37" t="s">
        <v>830</v>
      </c>
      <c r="G148" s="197">
        <v>66</v>
      </c>
      <c r="H148" s="197">
        <v>12.5</v>
      </c>
      <c r="I148" s="224">
        <v>20</v>
      </c>
      <c r="J148" s="214">
        <f>I148*Inputs!$X$6</f>
        <v>24</v>
      </c>
      <c r="K148" s="221">
        <f>Inputs!$Y$6</f>
        <v>0.9</v>
      </c>
      <c r="L148" s="224">
        <f t="shared" si="13"/>
        <v>18</v>
      </c>
      <c r="M148" s="224">
        <f t="shared" si="13"/>
        <v>21.6</v>
      </c>
      <c r="N148" s="17"/>
      <c r="O148" s="17"/>
    </row>
    <row r="149" spans="2:15" ht="18">
      <c r="B149" s="96" t="s">
        <v>627</v>
      </c>
      <c r="C149" s="37" t="s">
        <v>1013</v>
      </c>
      <c r="D149" s="37" t="s">
        <v>123</v>
      </c>
      <c r="E149" s="37" t="s">
        <v>1277</v>
      </c>
      <c r="F149" s="37" t="s">
        <v>831</v>
      </c>
      <c r="G149" s="197">
        <v>66</v>
      </c>
      <c r="H149" s="197">
        <v>12.5</v>
      </c>
      <c r="I149" s="224">
        <v>20</v>
      </c>
      <c r="J149" s="214">
        <f>I149*Inputs!$X$6</f>
        <v>24</v>
      </c>
      <c r="K149" s="221">
        <f>Inputs!$Y$6</f>
        <v>0.9</v>
      </c>
      <c r="L149" s="224">
        <f t="shared" si="13"/>
        <v>18</v>
      </c>
      <c r="M149" s="224">
        <f t="shared" si="13"/>
        <v>21.6</v>
      </c>
      <c r="N149" s="17"/>
      <c r="O149" s="17"/>
    </row>
    <row r="150" spans="2:15" ht="18">
      <c r="B150" s="96" t="s">
        <v>642</v>
      </c>
      <c r="C150" s="37" t="s">
        <v>1031</v>
      </c>
      <c r="D150" s="37" t="s">
        <v>123</v>
      </c>
      <c r="E150" s="37" t="s">
        <v>1277</v>
      </c>
      <c r="F150" s="37" t="s">
        <v>829</v>
      </c>
      <c r="G150" s="197">
        <v>66</v>
      </c>
      <c r="H150" s="197">
        <v>12.5</v>
      </c>
      <c r="I150" s="224">
        <v>6.67</v>
      </c>
      <c r="J150" s="214">
        <f>I150*Inputs!$X$6</f>
        <v>8.0039999999999996</v>
      </c>
      <c r="K150" s="221">
        <f>Inputs!$Y$6</f>
        <v>0.9</v>
      </c>
      <c r="L150" s="224">
        <f t="shared" si="13"/>
        <v>6.0030000000000001</v>
      </c>
      <c r="M150" s="224">
        <f t="shared" si="13"/>
        <v>7.2035999999999998</v>
      </c>
      <c r="N150" s="17"/>
      <c r="O150" s="17"/>
    </row>
    <row r="151" spans="2:15" ht="18">
      <c r="B151" s="96" t="s">
        <v>821</v>
      </c>
      <c r="C151" s="37" t="s">
        <v>1107</v>
      </c>
      <c r="D151" s="37" t="s">
        <v>123</v>
      </c>
      <c r="E151" s="37" t="s">
        <v>1277</v>
      </c>
      <c r="F151" s="37" t="s">
        <v>829</v>
      </c>
      <c r="G151" s="197">
        <v>66</v>
      </c>
      <c r="H151" s="197">
        <v>25</v>
      </c>
      <c r="I151" s="224">
        <v>6.67</v>
      </c>
      <c r="J151" s="214">
        <f>I151*Inputs!$X$6</f>
        <v>8.0039999999999996</v>
      </c>
      <c r="K151" s="221">
        <f>Inputs!$Y$6</f>
        <v>0.9</v>
      </c>
      <c r="L151" s="224">
        <f t="shared" si="13"/>
        <v>6.0030000000000001</v>
      </c>
      <c r="M151" s="224">
        <f t="shared" si="13"/>
        <v>7.2035999999999998</v>
      </c>
      <c r="N151" s="17"/>
      <c r="O151" s="17"/>
    </row>
    <row r="152" spans="2:15" ht="18">
      <c r="B152" s="165" t="s">
        <v>790</v>
      </c>
      <c r="C152" s="37" t="s">
        <v>1076</v>
      </c>
      <c r="D152" s="37" t="s">
        <v>101</v>
      </c>
      <c r="E152" s="37" t="s">
        <v>1277</v>
      </c>
      <c r="F152" s="37"/>
      <c r="G152" s="197"/>
      <c r="H152" s="197"/>
      <c r="I152" s="118"/>
      <c r="J152" s="118"/>
      <c r="K152" s="118"/>
      <c r="L152" s="118"/>
      <c r="M152" s="118"/>
      <c r="N152" s="17"/>
      <c r="O152" s="17"/>
    </row>
    <row r="153" spans="2:15" ht="18">
      <c r="B153" s="198" t="s">
        <v>860</v>
      </c>
      <c r="C153" s="37" t="s">
        <v>1248</v>
      </c>
      <c r="D153" s="37" t="s">
        <v>123</v>
      </c>
      <c r="E153" s="37" t="s">
        <v>1277</v>
      </c>
      <c r="F153" s="37"/>
      <c r="G153" s="197"/>
      <c r="H153" s="197"/>
      <c r="I153" s="118"/>
      <c r="J153" s="118"/>
      <c r="K153" s="118"/>
      <c r="L153" s="118"/>
      <c r="M153" s="118"/>
      <c r="N153" s="17"/>
      <c r="O153" s="17"/>
    </row>
    <row r="154" spans="2:15" ht="18">
      <c r="B154" s="165" t="s">
        <v>736</v>
      </c>
      <c r="C154" s="37" t="s">
        <v>1146</v>
      </c>
      <c r="D154" s="37" t="s">
        <v>101</v>
      </c>
      <c r="E154" s="37" t="s">
        <v>1277</v>
      </c>
      <c r="F154" s="37"/>
      <c r="G154" s="197"/>
      <c r="H154" s="197"/>
      <c r="I154" s="118"/>
      <c r="J154" s="118"/>
      <c r="K154" s="118"/>
      <c r="L154" s="118"/>
      <c r="M154" s="118"/>
      <c r="N154" s="17"/>
      <c r="O154" s="17"/>
    </row>
    <row r="155" spans="2:15" ht="18">
      <c r="B155" s="165" t="s">
        <v>692</v>
      </c>
      <c r="C155" s="37" t="s">
        <v>1249</v>
      </c>
      <c r="D155" s="37" t="s">
        <v>101</v>
      </c>
      <c r="E155" s="37" t="s">
        <v>1277</v>
      </c>
      <c r="F155" s="37"/>
      <c r="G155" s="197"/>
      <c r="H155" s="197"/>
      <c r="I155" s="118"/>
      <c r="J155" s="118"/>
      <c r="K155" s="118"/>
      <c r="L155" s="118"/>
      <c r="M155" s="118"/>
      <c r="N155" s="17"/>
      <c r="O155" s="17"/>
    </row>
    <row r="156" spans="2:15" ht="18">
      <c r="B156" s="96" t="s">
        <v>661</v>
      </c>
      <c r="C156" s="37" t="s">
        <v>1052</v>
      </c>
      <c r="D156" s="37" t="s">
        <v>123</v>
      </c>
      <c r="E156" s="37" t="s">
        <v>1277</v>
      </c>
      <c r="F156" s="37" t="s">
        <v>829</v>
      </c>
      <c r="G156" s="197">
        <v>66</v>
      </c>
      <c r="H156" s="197">
        <v>12.5</v>
      </c>
      <c r="I156" s="224">
        <v>15</v>
      </c>
      <c r="J156" s="214">
        <f>I156*Inputs!$X$6</f>
        <v>18</v>
      </c>
      <c r="K156" s="221">
        <f>Inputs!$Y$6</f>
        <v>0.9</v>
      </c>
      <c r="L156" s="224">
        <f t="shared" ref="L156:M160" si="14">I156*$K156</f>
        <v>13.5</v>
      </c>
      <c r="M156" s="224">
        <f t="shared" si="14"/>
        <v>16.2</v>
      </c>
      <c r="N156" s="17"/>
      <c r="O156" s="17"/>
    </row>
    <row r="157" spans="2:15" ht="18">
      <c r="B157" s="96" t="s">
        <v>661</v>
      </c>
      <c r="C157" s="37" t="s">
        <v>1052</v>
      </c>
      <c r="D157" s="37" t="s">
        <v>123</v>
      </c>
      <c r="E157" s="37" t="s">
        <v>1277</v>
      </c>
      <c r="F157" s="37" t="s">
        <v>832</v>
      </c>
      <c r="G157" s="197">
        <v>138</v>
      </c>
      <c r="H157" s="197">
        <v>66</v>
      </c>
      <c r="I157" s="224">
        <v>41.6</v>
      </c>
      <c r="J157" s="214">
        <f>I157*Inputs!$X$6</f>
        <v>49.92</v>
      </c>
      <c r="K157" s="221">
        <f>Inputs!$Y$6</f>
        <v>0.9</v>
      </c>
      <c r="L157" s="224">
        <f t="shared" si="14"/>
        <v>37.440000000000005</v>
      </c>
      <c r="M157" s="224">
        <f t="shared" si="14"/>
        <v>44.928000000000004</v>
      </c>
      <c r="N157" s="17"/>
      <c r="O157" s="17"/>
    </row>
    <row r="158" spans="2:15" ht="18">
      <c r="B158" s="96" t="s">
        <v>661</v>
      </c>
      <c r="C158" s="37" t="s">
        <v>1052</v>
      </c>
      <c r="D158" s="37" t="s">
        <v>123</v>
      </c>
      <c r="E158" s="37" t="s">
        <v>1277</v>
      </c>
      <c r="F158" s="37" t="s">
        <v>896</v>
      </c>
      <c r="G158" s="197">
        <v>138</v>
      </c>
      <c r="H158" s="197">
        <v>66</v>
      </c>
      <c r="I158" s="224">
        <v>41.6</v>
      </c>
      <c r="J158" s="214">
        <f>I158*Inputs!$X$6</f>
        <v>49.92</v>
      </c>
      <c r="K158" s="221">
        <f>Inputs!$Y$6</f>
        <v>0.9</v>
      </c>
      <c r="L158" s="224">
        <f t="shared" si="14"/>
        <v>37.440000000000005</v>
      </c>
      <c r="M158" s="224">
        <f t="shared" si="14"/>
        <v>44.928000000000004</v>
      </c>
      <c r="N158" s="17"/>
      <c r="O158" s="17"/>
    </row>
    <row r="159" spans="2:15" ht="18">
      <c r="B159" s="96" t="s">
        <v>709</v>
      </c>
      <c r="C159" s="37" t="s">
        <v>1001</v>
      </c>
      <c r="D159" s="37" t="s">
        <v>123</v>
      </c>
      <c r="E159" s="37" t="s">
        <v>1277</v>
      </c>
      <c r="F159" s="37" t="s">
        <v>830</v>
      </c>
      <c r="G159" s="197">
        <v>66</v>
      </c>
      <c r="H159" s="197">
        <v>12.5</v>
      </c>
      <c r="I159" s="224">
        <v>11.2</v>
      </c>
      <c r="J159" s="214">
        <f>I159*Inputs!$X$6</f>
        <v>13.44</v>
      </c>
      <c r="K159" s="221">
        <f>Inputs!$Y$6</f>
        <v>0.9</v>
      </c>
      <c r="L159" s="224">
        <f t="shared" si="14"/>
        <v>10.08</v>
      </c>
      <c r="M159" s="224">
        <f t="shared" si="14"/>
        <v>12.096</v>
      </c>
      <c r="N159" s="17"/>
      <c r="O159" s="17"/>
    </row>
    <row r="160" spans="2:15" ht="18">
      <c r="B160" s="165" t="s">
        <v>701</v>
      </c>
      <c r="C160" s="37" t="s">
        <v>1089</v>
      </c>
      <c r="D160" s="37" t="s">
        <v>123</v>
      </c>
      <c r="E160" s="37" t="s">
        <v>1277</v>
      </c>
      <c r="F160" s="37" t="s">
        <v>829</v>
      </c>
      <c r="G160" s="197">
        <v>138</v>
      </c>
      <c r="H160" s="197">
        <v>25</v>
      </c>
      <c r="I160" s="224">
        <v>8.33</v>
      </c>
      <c r="J160" s="214">
        <f>I160*Inputs!$X$6</f>
        <v>9.9960000000000004</v>
      </c>
      <c r="K160" s="221">
        <f>Inputs!$Y$6</f>
        <v>0.9</v>
      </c>
      <c r="L160" s="224">
        <f t="shared" si="14"/>
        <v>7.4969999999999999</v>
      </c>
      <c r="M160" s="224">
        <f t="shared" si="14"/>
        <v>8.9964000000000013</v>
      </c>
      <c r="N160" s="17"/>
      <c r="O160" s="17"/>
    </row>
    <row r="161" spans="1:25" s="114" customFormat="1" ht="18">
      <c r="A161" s="148"/>
      <c r="B161" s="165" t="s">
        <v>793</v>
      </c>
      <c r="C161" s="37" t="s">
        <v>1074</v>
      </c>
      <c r="D161" s="37" t="s">
        <v>101</v>
      </c>
      <c r="E161" s="37" t="s">
        <v>1277</v>
      </c>
      <c r="F161" s="37"/>
      <c r="G161" s="197"/>
      <c r="H161" s="197"/>
      <c r="I161" s="118"/>
      <c r="J161" s="118"/>
      <c r="K161" s="118"/>
      <c r="L161" s="118"/>
      <c r="M161" s="118"/>
      <c r="N161" s="17"/>
      <c r="O161" s="17"/>
    </row>
    <row r="162" spans="1:25" s="114" customFormat="1" ht="18">
      <c r="A162" s="4"/>
      <c r="B162" s="165" t="s">
        <v>685</v>
      </c>
      <c r="C162" s="37" t="s">
        <v>1073</v>
      </c>
      <c r="D162" s="37" t="s">
        <v>123</v>
      </c>
      <c r="E162" s="37" t="s">
        <v>1277</v>
      </c>
      <c r="F162" s="37" t="s">
        <v>829</v>
      </c>
      <c r="G162" s="197">
        <v>138</v>
      </c>
      <c r="H162" s="197">
        <v>25</v>
      </c>
      <c r="I162" s="224">
        <v>16.670000000000002</v>
      </c>
      <c r="J162" s="214">
        <f>I162*Inputs!$X$6</f>
        <v>20.004000000000001</v>
      </c>
      <c r="K162" s="221">
        <f>Inputs!$Y$6</f>
        <v>0.9</v>
      </c>
      <c r="L162" s="224">
        <f>I162*$K162</f>
        <v>15.003000000000002</v>
      </c>
      <c r="M162" s="224">
        <f>J162*$K162</f>
        <v>18.003600000000002</v>
      </c>
      <c r="N162" s="17"/>
      <c r="O162" s="17"/>
      <c r="X162" s="44"/>
      <c r="Y162" s="44"/>
    </row>
    <row r="163" spans="1:25" s="114" customFormat="1" ht="18">
      <c r="A163" s="4"/>
      <c r="B163" s="96" t="s">
        <v>822</v>
      </c>
      <c r="C163" s="37" t="s">
        <v>1016</v>
      </c>
      <c r="D163" s="37" t="s">
        <v>123</v>
      </c>
      <c r="E163" s="37" t="s">
        <v>1277</v>
      </c>
      <c r="F163" s="37" t="s">
        <v>829</v>
      </c>
      <c r="G163" s="197">
        <v>138</v>
      </c>
      <c r="H163" s="197">
        <v>12.5</v>
      </c>
      <c r="I163" s="224">
        <v>20</v>
      </c>
      <c r="J163" s="214">
        <f>I163*Inputs!$X$6</f>
        <v>24</v>
      </c>
      <c r="K163" s="221">
        <f>Inputs!$Y$6</f>
        <v>0.9</v>
      </c>
      <c r="L163" s="224">
        <f>I163*$K163</f>
        <v>18</v>
      </c>
      <c r="M163" s="224">
        <f>J163*$K163</f>
        <v>21.6</v>
      </c>
      <c r="N163" s="17"/>
      <c r="O163" s="17"/>
      <c r="X163" s="44"/>
      <c r="Y163" s="44"/>
    </row>
    <row r="164" spans="1:25" s="114" customFormat="1" ht="18">
      <c r="A164" s="4"/>
      <c r="B164" s="165" t="s">
        <v>699</v>
      </c>
      <c r="C164" s="37" t="s">
        <v>1087</v>
      </c>
      <c r="D164" s="37" t="s">
        <v>101</v>
      </c>
      <c r="E164" s="37" t="s">
        <v>1277</v>
      </c>
      <c r="F164" s="37"/>
      <c r="G164" s="197"/>
      <c r="H164" s="197"/>
      <c r="I164" s="118"/>
      <c r="J164" s="118"/>
      <c r="K164" s="118"/>
      <c r="L164" s="118"/>
      <c r="M164" s="118"/>
      <c r="N164" s="17"/>
      <c r="O164" s="17"/>
      <c r="Q164" s="29"/>
      <c r="R164" s="24"/>
      <c r="S164" s="24"/>
      <c r="T164" s="29"/>
      <c r="U164" s="24"/>
      <c r="V164" s="29"/>
      <c r="W164" s="29"/>
      <c r="X164" s="4"/>
    </row>
    <row r="165" spans="1:25" ht="18">
      <c r="B165" s="96" t="s">
        <v>851</v>
      </c>
      <c r="C165" s="37" t="s">
        <v>1030</v>
      </c>
      <c r="D165" s="37" t="s">
        <v>123</v>
      </c>
      <c r="E165" s="37" t="s">
        <v>1277</v>
      </c>
      <c r="F165" s="37" t="s">
        <v>830</v>
      </c>
      <c r="G165" s="197">
        <v>25</v>
      </c>
      <c r="H165" s="197">
        <v>12.5</v>
      </c>
      <c r="I165" s="224">
        <v>4</v>
      </c>
      <c r="J165" s="214">
        <f>I165*Inputs!$X$6</f>
        <v>4.8</v>
      </c>
      <c r="K165" s="221">
        <f>Inputs!$Y$6</f>
        <v>0.9</v>
      </c>
      <c r="L165" s="224">
        <f t="shared" ref="L165:L187" si="15">I165*$K165</f>
        <v>3.6</v>
      </c>
      <c r="M165" s="224">
        <f t="shared" ref="M165:M187" si="16">J165*$K165</f>
        <v>4.32</v>
      </c>
      <c r="N165" s="17"/>
      <c r="O165" s="17"/>
    </row>
    <row r="166" spans="1:25" ht="18">
      <c r="B166" s="96" t="s">
        <v>851</v>
      </c>
      <c r="C166" s="37" t="s">
        <v>1030</v>
      </c>
      <c r="D166" s="37" t="s">
        <v>123</v>
      </c>
      <c r="E166" s="37" t="s">
        <v>1277</v>
      </c>
      <c r="F166" s="37" t="s">
        <v>829</v>
      </c>
      <c r="G166" s="197">
        <v>66</v>
      </c>
      <c r="H166" s="197">
        <v>25</v>
      </c>
      <c r="I166" s="224">
        <v>5</v>
      </c>
      <c r="J166" s="214">
        <f>I166*Inputs!$X$6</f>
        <v>6</v>
      </c>
      <c r="K166" s="221">
        <f>Inputs!$Y$6</f>
        <v>0.9</v>
      </c>
      <c r="L166" s="224">
        <f t="shared" si="15"/>
        <v>4.5</v>
      </c>
      <c r="M166" s="224">
        <f t="shared" si="16"/>
        <v>5.4</v>
      </c>
      <c r="N166" s="17"/>
      <c r="O166" s="17"/>
    </row>
    <row r="167" spans="1:25" ht="18">
      <c r="B167" s="96" t="s">
        <v>671</v>
      </c>
      <c r="C167" s="37" t="s">
        <v>1108</v>
      </c>
      <c r="D167" s="37" t="s">
        <v>123</v>
      </c>
      <c r="E167" s="37" t="s">
        <v>1277</v>
      </c>
      <c r="F167" s="37" t="s">
        <v>829</v>
      </c>
      <c r="G167" s="197">
        <v>66</v>
      </c>
      <c r="H167" s="197">
        <v>12.5</v>
      </c>
      <c r="I167" s="224">
        <v>6.67</v>
      </c>
      <c r="J167" s="214">
        <f>I167*Inputs!$X$6</f>
        <v>8.0039999999999996</v>
      </c>
      <c r="K167" s="221">
        <f>Inputs!$Y$6</f>
        <v>0.9</v>
      </c>
      <c r="L167" s="224">
        <f t="shared" si="15"/>
        <v>6.0030000000000001</v>
      </c>
      <c r="M167" s="224">
        <f t="shared" si="16"/>
        <v>7.2035999999999998</v>
      </c>
      <c r="N167" s="17"/>
      <c r="O167" s="17"/>
    </row>
    <row r="168" spans="1:25" ht="18">
      <c r="B168" s="96" t="s">
        <v>623</v>
      </c>
      <c r="C168" s="37" t="s">
        <v>1009</v>
      </c>
      <c r="D168" s="37" t="s">
        <v>123</v>
      </c>
      <c r="E168" s="37" t="s">
        <v>1277</v>
      </c>
      <c r="F168" s="37" t="s">
        <v>896</v>
      </c>
      <c r="G168" s="197">
        <v>66</v>
      </c>
      <c r="H168" s="197">
        <v>4.16</v>
      </c>
      <c r="I168" s="224">
        <v>7.5</v>
      </c>
      <c r="J168" s="214">
        <f>I168*Inputs!$X$6</f>
        <v>9</v>
      </c>
      <c r="K168" s="221">
        <f>Inputs!$Y$6</f>
        <v>0.9</v>
      </c>
      <c r="L168" s="224">
        <f t="shared" si="15"/>
        <v>6.75</v>
      </c>
      <c r="M168" s="224">
        <f t="shared" si="16"/>
        <v>8.1</v>
      </c>
      <c r="N168" s="17"/>
      <c r="O168" s="17"/>
    </row>
    <row r="169" spans="1:25" ht="18">
      <c r="B169" s="96" t="s">
        <v>623</v>
      </c>
      <c r="C169" s="37" t="s">
        <v>1009</v>
      </c>
      <c r="D169" s="37" t="s">
        <v>123</v>
      </c>
      <c r="E169" s="37" t="s">
        <v>1277</v>
      </c>
      <c r="F169" s="37" t="s">
        <v>829</v>
      </c>
      <c r="G169" s="197">
        <v>66</v>
      </c>
      <c r="H169" s="197">
        <v>12.5</v>
      </c>
      <c r="I169" s="224">
        <v>25</v>
      </c>
      <c r="J169" s="214">
        <f>I169*Inputs!$X$6</f>
        <v>30</v>
      </c>
      <c r="K169" s="221">
        <f>Inputs!$Y$6</f>
        <v>0.9</v>
      </c>
      <c r="L169" s="224">
        <f t="shared" si="15"/>
        <v>22.5</v>
      </c>
      <c r="M169" s="224">
        <f t="shared" si="16"/>
        <v>27</v>
      </c>
      <c r="N169" s="17"/>
      <c r="O169" s="17"/>
    </row>
    <row r="170" spans="1:25" ht="18">
      <c r="B170" s="96" t="s">
        <v>623</v>
      </c>
      <c r="C170" s="37" t="s">
        <v>1009</v>
      </c>
      <c r="D170" s="37" t="s">
        <v>123</v>
      </c>
      <c r="E170" s="37" t="s">
        <v>1277</v>
      </c>
      <c r="F170" s="37" t="s">
        <v>830</v>
      </c>
      <c r="G170" s="197">
        <v>66</v>
      </c>
      <c r="H170" s="197">
        <v>12.5</v>
      </c>
      <c r="I170" s="224">
        <v>25</v>
      </c>
      <c r="J170" s="214">
        <f>I170*Inputs!$X$6</f>
        <v>30</v>
      </c>
      <c r="K170" s="221">
        <f>Inputs!$Y$6</f>
        <v>0.9</v>
      </c>
      <c r="L170" s="224">
        <f t="shared" si="15"/>
        <v>22.5</v>
      </c>
      <c r="M170" s="224">
        <f t="shared" si="16"/>
        <v>27</v>
      </c>
      <c r="N170" s="17"/>
      <c r="O170" s="17"/>
    </row>
    <row r="171" spans="1:25" ht="18">
      <c r="B171" s="96" t="s">
        <v>625</v>
      </c>
      <c r="C171" s="37" t="s">
        <v>1011</v>
      </c>
      <c r="D171" s="37" t="s">
        <v>123</v>
      </c>
      <c r="E171" s="37" t="s">
        <v>1277</v>
      </c>
      <c r="F171" s="37" t="s">
        <v>830</v>
      </c>
      <c r="G171" s="197">
        <v>66</v>
      </c>
      <c r="H171" s="197">
        <v>4.16</v>
      </c>
      <c r="I171" s="224">
        <v>10.4</v>
      </c>
      <c r="J171" s="214">
        <f>I171*Inputs!$X$6</f>
        <v>12.48</v>
      </c>
      <c r="K171" s="221">
        <f>Inputs!$Y$6</f>
        <v>0.9</v>
      </c>
      <c r="L171" s="224">
        <f t="shared" si="15"/>
        <v>9.3600000000000012</v>
      </c>
      <c r="M171" s="224">
        <f t="shared" si="16"/>
        <v>11.232000000000001</v>
      </c>
      <c r="N171" s="17"/>
      <c r="O171" s="17"/>
    </row>
    <row r="172" spans="1:25" ht="18">
      <c r="B172" s="96" t="s">
        <v>625</v>
      </c>
      <c r="C172" s="37" t="s">
        <v>1011</v>
      </c>
      <c r="D172" s="37" t="s">
        <v>123</v>
      </c>
      <c r="E172" s="37" t="s">
        <v>1277</v>
      </c>
      <c r="F172" s="37" t="s">
        <v>829</v>
      </c>
      <c r="G172" s="197">
        <v>66</v>
      </c>
      <c r="H172" s="197">
        <v>4.16</v>
      </c>
      <c r="I172" s="224">
        <v>13.33</v>
      </c>
      <c r="J172" s="214">
        <f>I172*Inputs!$X$6</f>
        <v>15.995999999999999</v>
      </c>
      <c r="K172" s="221">
        <f>Inputs!$Y$6</f>
        <v>0.9</v>
      </c>
      <c r="L172" s="224">
        <f t="shared" si="15"/>
        <v>11.997</v>
      </c>
      <c r="M172" s="224">
        <f t="shared" si="16"/>
        <v>14.3964</v>
      </c>
      <c r="N172" s="17"/>
      <c r="O172" s="17"/>
    </row>
    <row r="173" spans="1:25" ht="18">
      <c r="B173" s="96" t="s">
        <v>625</v>
      </c>
      <c r="C173" s="37" t="s">
        <v>1011</v>
      </c>
      <c r="D173" s="37" t="s">
        <v>123</v>
      </c>
      <c r="E173" s="37" t="s">
        <v>1277</v>
      </c>
      <c r="F173" s="37" t="s">
        <v>831</v>
      </c>
      <c r="G173" s="197">
        <v>66</v>
      </c>
      <c r="H173" s="197">
        <v>12.5</v>
      </c>
      <c r="I173" s="224">
        <v>25</v>
      </c>
      <c r="J173" s="214">
        <f>I173*Inputs!$X$6</f>
        <v>30</v>
      </c>
      <c r="K173" s="221">
        <f>Inputs!$Y$6</f>
        <v>0.9</v>
      </c>
      <c r="L173" s="224">
        <f t="shared" si="15"/>
        <v>22.5</v>
      </c>
      <c r="M173" s="224">
        <f t="shared" si="16"/>
        <v>27</v>
      </c>
      <c r="N173" s="17"/>
      <c r="O173" s="17"/>
    </row>
    <row r="174" spans="1:25" ht="18">
      <c r="B174" s="96" t="s">
        <v>625</v>
      </c>
      <c r="C174" s="37" t="s">
        <v>1011</v>
      </c>
      <c r="D174" s="37" t="s">
        <v>123</v>
      </c>
      <c r="E174" s="37" t="s">
        <v>1277</v>
      </c>
      <c r="F174" s="37" t="s">
        <v>896</v>
      </c>
      <c r="G174" s="197">
        <v>66</v>
      </c>
      <c r="H174" s="197">
        <v>12.5</v>
      </c>
      <c r="I174" s="224">
        <v>25</v>
      </c>
      <c r="J174" s="214">
        <f>I174*Inputs!$X$6</f>
        <v>30</v>
      </c>
      <c r="K174" s="221">
        <f>Inputs!$Y$6</f>
        <v>0.9</v>
      </c>
      <c r="L174" s="224">
        <f t="shared" si="15"/>
        <v>22.5</v>
      </c>
      <c r="M174" s="224">
        <f t="shared" si="16"/>
        <v>27</v>
      </c>
      <c r="N174" s="17"/>
      <c r="O174" s="17"/>
    </row>
    <row r="175" spans="1:25" ht="18">
      <c r="B175" s="165" t="s">
        <v>729</v>
      </c>
      <c r="C175" s="37" t="s">
        <v>1061</v>
      </c>
      <c r="D175" s="37" t="s">
        <v>123</v>
      </c>
      <c r="E175" s="37" t="s">
        <v>1277</v>
      </c>
      <c r="F175" s="37" t="s">
        <v>829</v>
      </c>
      <c r="G175" s="197">
        <v>66</v>
      </c>
      <c r="H175" s="197">
        <v>12.5</v>
      </c>
      <c r="I175" s="224">
        <v>6.67</v>
      </c>
      <c r="J175" s="214">
        <f>I175*Inputs!$X$6</f>
        <v>8.0039999999999996</v>
      </c>
      <c r="K175" s="221">
        <f>Inputs!$Y$6</f>
        <v>0.9</v>
      </c>
      <c r="L175" s="224">
        <f t="shared" si="15"/>
        <v>6.0030000000000001</v>
      </c>
      <c r="M175" s="224">
        <f t="shared" si="16"/>
        <v>7.2035999999999998</v>
      </c>
      <c r="N175" s="17"/>
      <c r="O175" s="17"/>
    </row>
    <row r="176" spans="1:25" ht="18">
      <c r="B176" s="96" t="s">
        <v>658</v>
      </c>
      <c r="C176" s="37" t="s">
        <v>1048</v>
      </c>
      <c r="D176" s="37" t="s">
        <v>123</v>
      </c>
      <c r="E176" s="37" t="s">
        <v>1277</v>
      </c>
      <c r="F176" s="37" t="s">
        <v>829</v>
      </c>
      <c r="G176" s="197">
        <v>66</v>
      </c>
      <c r="H176" s="197">
        <v>25</v>
      </c>
      <c r="I176" s="224">
        <v>10</v>
      </c>
      <c r="J176" s="214">
        <f>I176*Inputs!$X$6</f>
        <v>12</v>
      </c>
      <c r="K176" s="221">
        <f>Inputs!$Y$6</f>
        <v>0.9</v>
      </c>
      <c r="L176" s="224">
        <f t="shared" si="15"/>
        <v>9</v>
      </c>
      <c r="M176" s="224">
        <f t="shared" si="16"/>
        <v>10.8</v>
      </c>
      <c r="N176" s="17"/>
      <c r="O176" s="17"/>
    </row>
    <row r="177" spans="2:15" ht="18">
      <c r="B177" s="96" t="s">
        <v>823</v>
      </c>
      <c r="C177" s="37" t="s">
        <v>1130</v>
      </c>
      <c r="D177" s="37" t="s">
        <v>123</v>
      </c>
      <c r="E177" s="37" t="s">
        <v>1277</v>
      </c>
      <c r="F177" s="37" t="s">
        <v>829</v>
      </c>
      <c r="G177" s="197">
        <v>66</v>
      </c>
      <c r="H177" s="197">
        <v>25</v>
      </c>
      <c r="I177" s="224">
        <v>4</v>
      </c>
      <c r="J177" s="214">
        <f>I177*Inputs!$X$6</f>
        <v>4.8</v>
      </c>
      <c r="K177" s="221">
        <f>Inputs!$Y$6</f>
        <v>0.9</v>
      </c>
      <c r="L177" s="224">
        <f t="shared" si="15"/>
        <v>3.6</v>
      </c>
      <c r="M177" s="224">
        <f t="shared" si="16"/>
        <v>4.32</v>
      </c>
      <c r="N177" s="17"/>
      <c r="O177" s="17"/>
    </row>
    <row r="178" spans="2:15" ht="18">
      <c r="B178" s="96" t="s">
        <v>643</v>
      </c>
      <c r="C178" s="37" t="s">
        <v>1131</v>
      </c>
      <c r="D178" s="37" t="s">
        <v>123</v>
      </c>
      <c r="E178" s="37" t="s">
        <v>1277</v>
      </c>
      <c r="F178" s="37" t="s">
        <v>832</v>
      </c>
      <c r="G178" s="197">
        <v>138</v>
      </c>
      <c r="H178" s="197">
        <v>25</v>
      </c>
      <c r="I178" s="224">
        <v>25</v>
      </c>
      <c r="J178" s="214">
        <f>I178*Inputs!$X$6</f>
        <v>30</v>
      </c>
      <c r="K178" s="221">
        <f>Inputs!$Y$6</f>
        <v>0.9</v>
      </c>
      <c r="L178" s="224">
        <f t="shared" si="15"/>
        <v>22.5</v>
      </c>
      <c r="M178" s="224">
        <f t="shared" si="16"/>
        <v>27</v>
      </c>
      <c r="N178" s="17"/>
      <c r="O178" s="17"/>
    </row>
    <row r="179" spans="2:15" ht="18">
      <c r="B179" s="96" t="s">
        <v>824</v>
      </c>
      <c r="C179" s="37" t="s">
        <v>1045</v>
      </c>
      <c r="D179" s="37" t="s">
        <v>123</v>
      </c>
      <c r="E179" s="37" t="s">
        <v>1277</v>
      </c>
      <c r="F179" s="37" t="s">
        <v>829</v>
      </c>
      <c r="G179" s="197">
        <v>138</v>
      </c>
      <c r="H179" s="197">
        <v>14.4</v>
      </c>
      <c r="I179" s="224">
        <v>1</v>
      </c>
      <c r="J179" s="214">
        <f>I179*Inputs!$X$6</f>
        <v>1.2</v>
      </c>
      <c r="K179" s="221">
        <f>Inputs!$Y$6</f>
        <v>0.9</v>
      </c>
      <c r="L179" s="224">
        <f t="shared" si="15"/>
        <v>0.9</v>
      </c>
      <c r="M179" s="224">
        <f t="shared" si="16"/>
        <v>1.08</v>
      </c>
      <c r="N179" s="17"/>
      <c r="O179" s="17"/>
    </row>
    <row r="180" spans="2:15" ht="18">
      <c r="B180" s="96" t="s">
        <v>714</v>
      </c>
      <c r="C180" s="37" t="s">
        <v>1098</v>
      </c>
      <c r="D180" s="37" t="s">
        <v>123</v>
      </c>
      <c r="E180" s="37" t="s">
        <v>1277</v>
      </c>
      <c r="F180" s="37" t="s">
        <v>829</v>
      </c>
      <c r="G180" s="197">
        <v>66</v>
      </c>
      <c r="H180" s="197">
        <v>12.5</v>
      </c>
      <c r="I180" s="224">
        <v>6.67</v>
      </c>
      <c r="J180" s="214">
        <f>I180*Inputs!$X$6</f>
        <v>8.0039999999999996</v>
      </c>
      <c r="K180" s="221">
        <f>Inputs!$Y$6</f>
        <v>0.9</v>
      </c>
      <c r="L180" s="224">
        <f t="shared" si="15"/>
        <v>6.0030000000000001</v>
      </c>
      <c r="M180" s="224">
        <f t="shared" si="16"/>
        <v>7.2035999999999998</v>
      </c>
      <c r="N180" s="17"/>
      <c r="O180" s="17"/>
    </row>
    <row r="181" spans="2:15" ht="18">
      <c r="B181" s="96" t="s">
        <v>825</v>
      </c>
      <c r="C181" s="37" t="s">
        <v>1132</v>
      </c>
      <c r="D181" s="37" t="s">
        <v>123</v>
      </c>
      <c r="E181" s="37" t="s">
        <v>1277</v>
      </c>
      <c r="F181" s="37" t="s">
        <v>829</v>
      </c>
      <c r="G181" s="197">
        <v>66</v>
      </c>
      <c r="H181" s="197">
        <v>25</v>
      </c>
      <c r="I181" s="224">
        <v>5</v>
      </c>
      <c r="J181" s="214">
        <f>I181*Inputs!$X$6</f>
        <v>6</v>
      </c>
      <c r="K181" s="221">
        <f>Inputs!$Y$6</f>
        <v>0.9</v>
      </c>
      <c r="L181" s="224">
        <f t="shared" si="15"/>
        <v>4.5</v>
      </c>
      <c r="M181" s="224">
        <f t="shared" si="16"/>
        <v>5.4</v>
      </c>
      <c r="N181" s="17"/>
      <c r="O181" s="17"/>
    </row>
    <row r="182" spans="2:15" ht="18">
      <c r="B182" s="96" t="s">
        <v>721</v>
      </c>
      <c r="C182" s="37" t="s">
        <v>1103</v>
      </c>
      <c r="D182" s="37" t="s">
        <v>123</v>
      </c>
      <c r="E182" s="37" t="s">
        <v>1277</v>
      </c>
      <c r="F182" s="37" t="s">
        <v>829</v>
      </c>
      <c r="G182" s="197">
        <v>66</v>
      </c>
      <c r="H182" s="197">
        <v>12.5</v>
      </c>
      <c r="I182" s="224">
        <v>13.3</v>
      </c>
      <c r="J182" s="214">
        <f>I182*Inputs!$X$6</f>
        <v>15.96</v>
      </c>
      <c r="K182" s="221">
        <f>Inputs!$Y$6</f>
        <v>0.9</v>
      </c>
      <c r="L182" s="224">
        <f t="shared" si="15"/>
        <v>11.97</v>
      </c>
      <c r="M182" s="224">
        <f t="shared" si="16"/>
        <v>14.364000000000001</v>
      </c>
      <c r="N182" s="17"/>
      <c r="O182" s="17"/>
    </row>
    <row r="183" spans="2:15" ht="18">
      <c r="B183" s="96" t="s">
        <v>826</v>
      </c>
      <c r="C183" s="37" t="s">
        <v>1026</v>
      </c>
      <c r="D183" s="37" t="s">
        <v>123</v>
      </c>
      <c r="E183" s="37" t="s">
        <v>1277</v>
      </c>
      <c r="F183" s="37" t="s">
        <v>829</v>
      </c>
      <c r="G183" s="197">
        <v>66</v>
      </c>
      <c r="H183" s="197">
        <v>12.5</v>
      </c>
      <c r="I183" s="224">
        <v>13.33</v>
      </c>
      <c r="J183" s="214">
        <f>I183*Inputs!$X$6</f>
        <v>15.995999999999999</v>
      </c>
      <c r="K183" s="221">
        <f>Inputs!$Y$6</f>
        <v>0.9</v>
      </c>
      <c r="L183" s="224">
        <f t="shared" si="15"/>
        <v>11.997</v>
      </c>
      <c r="M183" s="224">
        <f t="shared" si="16"/>
        <v>14.3964</v>
      </c>
      <c r="N183" s="17"/>
      <c r="O183" s="17"/>
    </row>
    <row r="184" spans="2:15" ht="18">
      <c r="B184" s="96" t="s">
        <v>710</v>
      </c>
      <c r="C184" s="37" t="s">
        <v>1134</v>
      </c>
      <c r="D184" s="37" t="s">
        <v>123</v>
      </c>
      <c r="E184" s="37" t="s">
        <v>1277</v>
      </c>
      <c r="F184" s="37" t="s">
        <v>829</v>
      </c>
      <c r="G184" s="197">
        <v>66</v>
      </c>
      <c r="H184" s="197">
        <v>12.5</v>
      </c>
      <c r="I184" s="224">
        <v>13.33</v>
      </c>
      <c r="J184" s="214">
        <f>I184*Inputs!$X$6</f>
        <v>15.995999999999999</v>
      </c>
      <c r="K184" s="221">
        <f>Inputs!$Y$6</f>
        <v>0.9</v>
      </c>
      <c r="L184" s="224">
        <f t="shared" si="15"/>
        <v>11.997</v>
      </c>
      <c r="M184" s="224">
        <f t="shared" si="16"/>
        <v>14.3964</v>
      </c>
      <c r="N184" s="17"/>
      <c r="O184" s="17"/>
    </row>
    <row r="185" spans="2:15" ht="18">
      <c r="B185" s="96" t="s">
        <v>637</v>
      </c>
      <c r="C185" s="37" t="s">
        <v>1027</v>
      </c>
      <c r="D185" s="37" t="s">
        <v>123</v>
      </c>
      <c r="E185" s="37" t="s">
        <v>1277</v>
      </c>
      <c r="F185" s="37" t="s">
        <v>829</v>
      </c>
      <c r="G185" s="197">
        <v>66</v>
      </c>
      <c r="H185" s="197">
        <v>12.5</v>
      </c>
      <c r="I185" s="224">
        <v>25</v>
      </c>
      <c r="J185" s="214">
        <f>I185*Inputs!$X$6</f>
        <v>30</v>
      </c>
      <c r="K185" s="221">
        <f>Inputs!$Y$6</f>
        <v>0.9</v>
      </c>
      <c r="L185" s="224">
        <f t="shared" si="15"/>
        <v>22.5</v>
      </c>
      <c r="M185" s="224">
        <f t="shared" si="16"/>
        <v>27</v>
      </c>
      <c r="N185" s="17"/>
      <c r="O185" s="17"/>
    </row>
    <row r="186" spans="2:15" ht="18">
      <c r="B186" s="96" t="s">
        <v>637</v>
      </c>
      <c r="C186" s="37" t="s">
        <v>1027</v>
      </c>
      <c r="D186" s="37" t="s">
        <v>123</v>
      </c>
      <c r="E186" s="37" t="s">
        <v>1277</v>
      </c>
      <c r="F186" s="37" t="s">
        <v>830</v>
      </c>
      <c r="G186" s="197">
        <v>66</v>
      </c>
      <c r="H186" s="197">
        <v>12.5</v>
      </c>
      <c r="I186" s="224">
        <v>25</v>
      </c>
      <c r="J186" s="214">
        <f>I186*Inputs!$X$6</f>
        <v>30</v>
      </c>
      <c r="K186" s="221">
        <f>Inputs!$Y$6</f>
        <v>0.9</v>
      </c>
      <c r="L186" s="224">
        <f t="shared" si="15"/>
        <v>22.5</v>
      </c>
      <c r="M186" s="224">
        <f t="shared" si="16"/>
        <v>27</v>
      </c>
      <c r="N186" s="17"/>
      <c r="O186" s="17"/>
    </row>
    <row r="187" spans="2:15" ht="18">
      <c r="B187" s="96" t="s">
        <v>637</v>
      </c>
      <c r="C187" s="37" t="s">
        <v>1027</v>
      </c>
      <c r="D187" s="37" t="s">
        <v>123</v>
      </c>
      <c r="E187" s="37" t="s">
        <v>1277</v>
      </c>
      <c r="F187" s="37" t="s">
        <v>831</v>
      </c>
      <c r="G187" s="197">
        <v>66</v>
      </c>
      <c r="H187" s="197">
        <v>12.5</v>
      </c>
      <c r="I187" s="224">
        <v>25</v>
      </c>
      <c r="J187" s="214">
        <f>I187*Inputs!$X$6</f>
        <v>30</v>
      </c>
      <c r="K187" s="221">
        <f>Inputs!$Y$6</f>
        <v>0.9</v>
      </c>
      <c r="L187" s="224">
        <f t="shared" si="15"/>
        <v>22.5</v>
      </c>
      <c r="M187" s="224">
        <f t="shared" si="16"/>
        <v>27</v>
      </c>
      <c r="N187" s="17"/>
      <c r="O187" s="17"/>
    </row>
    <row r="188" spans="2:15" ht="18">
      <c r="B188" s="130" t="s">
        <v>802</v>
      </c>
      <c r="C188" s="37" t="s">
        <v>1110</v>
      </c>
      <c r="D188" s="37" t="s">
        <v>101</v>
      </c>
      <c r="E188" s="37" t="s">
        <v>1135</v>
      </c>
      <c r="F188" s="37"/>
      <c r="G188" s="197"/>
      <c r="H188" s="197"/>
      <c r="I188" s="118"/>
      <c r="J188" s="118"/>
      <c r="K188" s="118"/>
      <c r="L188" s="118"/>
      <c r="M188" s="118"/>
      <c r="N188" s="17"/>
      <c r="O188" s="17"/>
    </row>
    <row r="189" spans="2:15" ht="18">
      <c r="B189" s="96" t="s">
        <v>666</v>
      </c>
      <c r="C189" s="37" t="s">
        <v>1055</v>
      </c>
      <c r="D189" s="37" t="s">
        <v>123</v>
      </c>
      <c r="E189" s="37" t="s">
        <v>1277</v>
      </c>
      <c r="F189" s="37" t="s">
        <v>829</v>
      </c>
      <c r="G189" s="197">
        <v>66</v>
      </c>
      <c r="H189" s="197">
        <v>12.5</v>
      </c>
      <c r="I189" s="224">
        <v>20</v>
      </c>
      <c r="J189" s="214">
        <f>I189*Inputs!$X$6</f>
        <v>24</v>
      </c>
      <c r="K189" s="221">
        <f>Inputs!$Y$6</f>
        <v>0.9</v>
      </c>
      <c r="L189" s="224">
        <f t="shared" ref="L189:M193" si="17">I189*$K189</f>
        <v>18</v>
      </c>
      <c r="M189" s="224">
        <f t="shared" si="17"/>
        <v>21.6</v>
      </c>
      <c r="N189" s="17"/>
      <c r="O189" s="17"/>
    </row>
    <row r="190" spans="2:15" ht="18">
      <c r="B190" s="96" t="s">
        <v>666</v>
      </c>
      <c r="C190" s="37" t="s">
        <v>1055</v>
      </c>
      <c r="D190" s="37" t="s">
        <v>123</v>
      </c>
      <c r="E190" s="37" t="s">
        <v>1277</v>
      </c>
      <c r="F190" s="37" t="s">
        <v>830</v>
      </c>
      <c r="G190" s="197">
        <v>66</v>
      </c>
      <c r="H190" s="197">
        <v>12.5</v>
      </c>
      <c r="I190" s="224">
        <v>25</v>
      </c>
      <c r="J190" s="214">
        <f>I190*Inputs!$X$6</f>
        <v>30</v>
      </c>
      <c r="K190" s="221">
        <f>Inputs!$Y$6</f>
        <v>0.9</v>
      </c>
      <c r="L190" s="224">
        <f t="shared" si="17"/>
        <v>22.5</v>
      </c>
      <c r="M190" s="224">
        <f t="shared" si="17"/>
        <v>27</v>
      </c>
      <c r="N190" s="17"/>
      <c r="O190" s="17"/>
    </row>
    <row r="191" spans="2:15" ht="18">
      <c r="B191" s="96" t="s">
        <v>663</v>
      </c>
      <c r="C191" s="37" t="s">
        <v>1250</v>
      </c>
      <c r="D191" s="37" t="s">
        <v>123</v>
      </c>
      <c r="E191" s="37" t="s">
        <v>1277</v>
      </c>
      <c r="F191" s="37" t="s">
        <v>829</v>
      </c>
      <c r="G191" s="197">
        <v>66</v>
      </c>
      <c r="H191" s="197">
        <v>25</v>
      </c>
      <c r="I191" s="224">
        <v>8.33</v>
      </c>
      <c r="J191" s="214">
        <f>I191*Inputs!$X$6</f>
        <v>9.9960000000000004</v>
      </c>
      <c r="K191" s="221">
        <f>Inputs!$Y$6</f>
        <v>0.9</v>
      </c>
      <c r="L191" s="224">
        <f t="shared" si="17"/>
        <v>7.4969999999999999</v>
      </c>
      <c r="M191" s="224">
        <f t="shared" si="17"/>
        <v>8.9964000000000013</v>
      </c>
      <c r="N191" s="17"/>
      <c r="O191" s="17"/>
    </row>
    <row r="192" spans="2:15" ht="18">
      <c r="B192" s="96" t="s">
        <v>717</v>
      </c>
      <c r="C192" s="37" t="s">
        <v>1251</v>
      </c>
      <c r="D192" s="37" t="s">
        <v>123</v>
      </c>
      <c r="E192" s="37" t="s">
        <v>1277</v>
      </c>
      <c r="F192" s="37" t="s">
        <v>829</v>
      </c>
      <c r="G192" s="197">
        <v>66</v>
      </c>
      <c r="H192" s="197">
        <v>12.5</v>
      </c>
      <c r="I192" s="224">
        <v>13.3</v>
      </c>
      <c r="J192" s="214">
        <f>I192*Inputs!$X$6</f>
        <v>15.96</v>
      </c>
      <c r="K192" s="221">
        <f>Inputs!$Y$6</f>
        <v>0.9</v>
      </c>
      <c r="L192" s="224">
        <f t="shared" si="17"/>
        <v>11.97</v>
      </c>
      <c r="M192" s="224">
        <f t="shared" si="17"/>
        <v>14.364000000000001</v>
      </c>
      <c r="N192" s="17"/>
      <c r="O192" s="17"/>
    </row>
    <row r="193" spans="1:15" ht="18">
      <c r="B193" s="96" t="s">
        <v>641</v>
      </c>
      <c r="C193" s="37" t="s">
        <v>1029</v>
      </c>
      <c r="D193" s="37" t="s">
        <v>123</v>
      </c>
      <c r="E193" s="37" t="s">
        <v>1277</v>
      </c>
      <c r="F193" s="37" t="s">
        <v>833</v>
      </c>
      <c r="G193" s="197">
        <v>66</v>
      </c>
      <c r="H193" s="197">
        <v>12.5</v>
      </c>
      <c r="I193" s="224">
        <v>13.3</v>
      </c>
      <c r="J193" s="214">
        <f>I193*Inputs!$X$6</f>
        <v>15.96</v>
      </c>
      <c r="K193" s="221">
        <f>Inputs!$Y$6</f>
        <v>0.9</v>
      </c>
      <c r="L193" s="224">
        <f t="shared" si="17"/>
        <v>11.97</v>
      </c>
      <c r="M193" s="224">
        <f t="shared" si="17"/>
        <v>14.364000000000001</v>
      </c>
      <c r="N193" s="17"/>
      <c r="O193" s="17"/>
    </row>
    <row r="194" spans="1:15" ht="18">
      <c r="B194" s="96" t="s">
        <v>672</v>
      </c>
      <c r="C194" s="37" t="s">
        <v>1106</v>
      </c>
      <c r="D194" s="37" t="s">
        <v>123</v>
      </c>
      <c r="E194" s="37" t="s">
        <v>1277</v>
      </c>
      <c r="F194" s="37"/>
      <c r="G194" s="197"/>
      <c r="H194" s="197"/>
      <c r="I194" s="118"/>
      <c r="J194" s="118"/>
      <c r="K194" s="118"/>
      <c r="L194" s="118"/>
      <c r="M194" s="118"/>
      <c r="N194" s="17"/>
      <c r="O194" s="17"/>
    </row>
    <row r="195" spans="1:15" ht="18">
      <c r="B195" s="165" t="s">
        <v>689</v>
      </c>
      <c r="C195" s="37" t="s">
        <v>1077</v>
      </c>
      <c r="D195" s="37" t="s">
        <v>101</v>
      </c>
      <c r="E195" s="37" t="s">
        <v>1277</v>
      </c>
      <c r="F195" s="37"/>
      <c r="G195" s="197"/>
      <c r="H195" s="197"/>
      <c r="I195" s="118"/>
      <c r="J195" s="118"/>
      <c r="K195" s="118"/>
      <c r="L195" s="118"/>
      <c r="M195" s="118"/>
      <c r="N195" s="17"/>
      <c r="O195" s="17"/>
    </row>
    <row r="196" spans="1:15">
      <c r="B196" s="114"/>
      <c r="C196" s="114"/>
      <c r="D196" s="114"/>
      <c r="E196" s="114"/>
      <c r="N196" s="114"/>
      <c r="O196" s="114"/>
    </row>
    <row r="197" spans="1:15" ht="18">
      <c r="A197" s="1" t="s">
        <v>919</v>
      </c>
      <c r="B197" s="195"/>
      <c r="C197" s="195"/>
      <c r="N197" s="242"/>
    </row>
    <row r="198" spans="1:15" ht="18">
      <c r="A198" s="4" t="s">
        <v>1282</v>
      </c>
      <c r="B198" s="195"/>
      <c r="C198" s="195"/>
      <c r="N198" s="242"/>
    </row>
    <row r="199" spans="1:15" ht="18">
      <c r="A199" s="4" t="s">
        <v>1224</v>
      </c>
      <c r="B199" s="195"/>
      <c r="C199" s="195"/>
      <c r="N199" s="242"/>
    </row>
    <row r="200" spans="1:15" ht="18">
      <c r="A200" s="4" t="s">
        <v>1143</v>
      </c>
      <c r="B200" s="195"/>
      <c r="C200" s="195"/>
      <c r="N200" s="242"/>
    </row>
    <row r="201" spans="1:15" ht="18">
      <c r="A201" s="4" t="s">
        <v>1140</v>
      </c>
      <c r="B201" s="195"/>
      <c r="C201" s="195"/>
      <c r="N201" s="242"/>
    </row>
    <row r="202" spans="1:15" ht="18">
      <c r="A202" s="4" t="s">
        <v>1145</v>
      </c>
      <c r="B202" s="195"/>
      <c r="C202" s="195"/>
      <c r="N202" s="242"/>
    </row>
    <row r="203" spans="1:15" ht="18">
      <c r="A203" s="4" t="s">
        <v>1283</v>
      </c>
      <c r="B203" s="195"/>
      <c r="C203" s="195"/>
      <c r="N203" s="242"/>
    </row>
    <row r="204" spans="1:15" ht="18">
      <c r="A204" s="4" t="s">
        <v>1284</v>
      </c>
      <c r="B204" s="195"/>
      <c r="C204" s="195"/>
      <c r="N204" s="242"/>
    </row>
    <row r="205" spans="1:15" ht="18">
      <c r="A205" s="4" t="s">
        <v>1144</v>
      </c>
      <c r="B205" s="195"/>
      <c r="C205" s="195"/>
      <c r="N205" s="242"/>
    </row>
    <row r="206" spans="1:15" ht="18">
      <c r="A206" s="4" t="s">
        <v>920</v>
      </c>
      <c r="B206" s="195"/>
      <c r="C206" s="195"/>
      <c r="N206" s="242"/>
    </row>
    <row r="207" spans="1:15" ht="18">
      <c r="A207" s="4" t="s">
        <v>1285</v>
      </c>
      <c r="B207" s="195"/>
      <c r="C207" s="195"/>
      <c r="I207" s="44"/>
      <c r="L207" s="44"/>
      <c r="M207" s="44"/>
      <c r="N207" s="44"/>
    </row>
    <row r="208" spans="1:15" ht="18">
      <c r="A208" s="4" t="s">
        <v>1141</v>
      </c>
      <c r="B208" s="195"/>
      <c r="C208" s="195"/>
      <c r="N208" s="242"/>
    </row>
    <row r="209" spans="1:15" ht="18">
      <c r="A209" s="4" t="s">
        <v>1286</v>
      </c>
      <c r="B209" s="195"/>
      <c r="C209" s="195"/>
      <c r="I209" s="44"/>
      <c r="L209" s="44"/>
      <c r="M209" s="44"/>
      <c r="N209" s="44"/>
    </row>
    <row r="210" spans="1:15" ht="18">
      <c r="A210" s="4" t="s">
        <v>1142</v>
      </c>
      <c r="B210" s="195"/>
      <c r="C210" s="195"/>
      <c r="N210" s="242"/>
    </row>
    <row r="211" spans="1:15">
      <c r="B211" s="114"/>
      <c r="C211" s="114"/>
      <c r="D211" s="114"/>
      <c r="E211" s="114"/>
      <c r="N211" s="114"/>
      <c r="O211" s="114"/>
    </row>
    <row r="212" spans="1:15">
      <c r="B212" s="114"/>
      <c r="C212" s="114"/>
      <c r="D212" s="114"/>
      <c r="E212" s="114"/>
      <c r="N212" s="114"/>
      <c r="O212" s="114"/>
    </row>
    <row r="213" spans="1:15">
      <c r="B213" s="114"/>
      <c r="C213" s="114"/>
      <c r="D213" s="114"/>
      <c r="E213" s="114"/>
      <c r="N213" s="114"/>
      <c r="O213" s="114"/>
    </row>
    <row r="214" spans="1:15">
      <c r="B214" s="114"/>
      <c r="C214" s="114"/>
      <c r="D214" s="114"/>
      <c r="E214" s="114"/>
      <c r="N214" s="114"/>
      <c r="O214" s="114"/>
    </row>
    <row r="215" spans="1:15">
      <c r="B215" s="114"/>
      <c r="C215" s="114"/>
      <c r="D215" s="114"/>
      <c r="E215" s="114"/>
      <c r="N215" s="114"/>
      <c r="O215" s="114"/>
    </row>
    <row r="216" spans="1:15">
      <c r="B216" s="114"/>
      <c r="C216" s="114"/>
      <c r="D216" s="114"/>
      <c r="E216" s="114"/>
      <c r="N216" s="114"/>
      <c r="O216" s="114"/>
    </row>
    <row r="217" spans="1:15">
      <c r="B217" s="114"/>
      <c r="C217" s="114"/>
      <c r="D217" s="114"/>
      <c r="E217" s="114"/>
      <c r="N217" s="114"/>
      <c r="O217" s="114"/>
    </row>
    <row r="218" spans="1:15">
      <c r="B218" s="114"/>
      <c r="C218" s="114"/>
      <c r="D218" s="114"/>
      <c r="E218" s="114"/>
      <c r="N218" s="114"/>
      <c r="O218" s="114"/>
    </row>
    <row r="219" spans="1:15">
      <c r="B219" s="114"/>
      <c r="C219" s="114"/>
      <c r="D219" s="114"/>
      <c r="E219" s="114"/>
      <c r="N219" s="114"/>
      <c r="O219" s="114"/>
    </row>
    <row r="220" spans="1:15">
      <c r="B220" s="114"/>
      <c r="C220" s="114"/>
      <c r="D220" s="114"/>
      <c r="E220" s="114"/>
      <c r="N220" s="114"/>
      <c r="O220" s="114"/>
    </row>
    <row r="221" spans="1:15">
      <c r="B221" s="114"/>
      <c r="C221" s="114"/>
      <c r="D221" s="114"/>
      <c r="E221" s="114"/>
      <c r="N221" s="114"/>
      <c r="O221" s="114"/>
    </row>
    <row r="222" spans="1:15">
      <c r="B222" s="114"/>
      <c r="C222" s="114"/>
      <c r="D222" s="114"/>
      <c r="E222" s="114"/>
      <c r="N222" s="114"/>
      <c r="O222" s="114"/>
    </row>
    <row r="223" spans="1:15">
      <c r="B223" s="114"/>
      <c r="C223" s="114"/>
      <c r="D223" s="114"/>
      <c r="E223" s="114"/>
      <c r="N223" s="114"/>
      <c r="O223" s="114"/>
    </row>
    <row r="224" spans="1:15">
      <c r="B224" s="114"/>
      <c r="C224" s="114"/>
      <c r="D224" s="114"/>
      <c r="E224" s="114"/>
      <c r="N224" s="114"/>
      <c r="O224" s="114"/>
    </row>
    <row r="225" spans="2:15">
      <c r="B225" s="114"/>
      <c r="C225" s="114"/>
      <c r="D225" s="114"/>
      <c r="E225" s="114"/>
      <c r="N225" s="114"/>
      <c r="O225" s="114"/>
    </row>
    <row r="226" spans="2:15">
      <c r="B226" s="114"/>
      <c r="C226" s="114"/>
      <c r="D226" s="114"/>
      <c r="E226" s="114"/>
      <c r="N226" s="114"/>
      <c r="O226" s="114"/>
    </row>
    <row r="227" spans="2:15">
      <c r="B227" s="114"/>
      <c r="C227" s="114"/>
      <c r="D227" s="114"/>
      <c r="E227" s="114"/>
      <c r="N227" s="114"/>
      <c r="O227" s="114"/>
    </row>
    <row r="228" spans="2:15">
      <c r="B228" s="114"/>
      <c r="C228" s="114"/>
      <c r="D228" s="114"/>
      <c r="E228" s="114"/>
      <c r="N228" s="114"/>
      <c r="O228" s="114"/>
    </row>
    <row r="229" spans="2:15">
      <c r="B229" s="114"/>
      <c r="C229" s="114"/>
      <c r="D229" s="114"/>
      <c r="E229" s="114"/>
      <c r="N229" s="114"/>
      <c r="O229" s="114"/>
    </row>
    <row r="230" spans="2:15">
      <c r="B230" s="114"/>
      <c r="C230" s="114"/>
      <c r="D230" s="114"/>
      <c r="E230" s="114"/>
      <c r="N230" s="114"/>
      <c r="O230" s="114"/>
    </row>
    <row r="231" spans="2:15">
      <c r="B231" s="114"/>
      <c r="C231" s="114"/>
      <c r="D231" s="114"/>
      <c r="E231" s="114"/>
      <c r="N231" s="114"/>
      <c r="O231" s="114"/>
    </row>
    <row r="232" spans="2:15">
      <c r="B232" s="114"/>
      <c r="C232" s="114"/>
      <c r="D232" s="114"/>
      <c r="E232" s="114"/>
      <c r="N232" s="114"/>
      <c r="O232" s="114"/>
    </row>
    <row r="233" spans="2:15">
      <c r="B233" s="114"/>
      <c r="C233" s="114"/>
      <c r="D233" s="114"/>
      <c r="E233" s="114"/>
      <c r="N233" s="114"/>
      <c r="O233" s="114"/>
    </row>
    <row r="234" spans="2:15">
      <c r="B234" s="114"/>
      <c r="C234" s="114"/>
      <c r="D234" s="114"/>
      <c r="E234" s="114"/>
      <c r="N234" s="114"/>
      <c r="O234" s="114"/>
    </row>
    <row r="235" spans="2:15">
      <c r="B235" s="114"/>
      <c r="C235" s="114"/>
      <c r="D235" s="114"/>
      <c r="E235" s="114"/>
      <c r="N235" s="114"/>
      <c r="O235" s="114"/>
    </row>
    <row r="236" spans="2:15">
      <c r="B236" s="114"/>
      <c r="C236" s="114"/>
      <c r="D236" s="114"/>
      <c r="E236" s="114"/>
      <c r="N236" s="114"/>
      <c r="O236" s="114"/>
    </row>
    <row r="237" spans="2:15">
      <c r="B237" s="114"/>
      <c r="C237" s="114"/>
      <c r="D237" s="114"/>
      <c r="E237" s="114"/>
      <c r="N237" s="114"/>
      <c r="O237" s="114"/>
    </row>
    <row r="238" spans="2:15">
      <c r="B238" s="114"/>
      <c r="C238" s="114"/>
      <c r="D238" s="114"/>
      <c r="E238" s="114"/>
      <c r="N238" s="114"/>
      <c r="O238" s="114"/>
    </row>
    <row r="239" spans="2:15">
      <c r="B239" s="114"/>
      <c r="C239" s="114"/>
      <c r="D239" s="114"/>
      <c r="E239" s="114"/>
      <c r="N239" s="114"/>
      <c r="O239" s="114"/>
    </row>
    <row r="240" spans="2:15">
      <c r="B240" s="114"/>
      <c r="C240" s="114"/>
      <c r="D240" s="114"/>
      <c r="E240" s="114"/>
      <c r="N240" s="114"/>
      <c r="O240" s="114"/>
    </row>
    <row r="241" spans="2:15">
      <c r="B241" s="114"/>
      <c r="C241" s="114"/>
      <c r="D241" s="114"/>
      <c r="E241" s="114"/>
      <c r="N241" s="114"/>
      <c r="O241" s="114"/>
    </row>
    <row r="242" spans="2:15">
      <c r="B242" s="114"/>
      <c r="C242" s="114"/>
      <c r="D242" s="114"/>
      <c r="E242" s="114"/>
      <c r="N242" s="114"/>
      <c r="O242" s="114"/>
    </row>
    <row r="243" spans="2:15">
      <c r="B243" s="114"/>
      <c r="C243" s="114"/>
      <c r="D243" s="114"/>
      <c r="E243" s="114"/>
      <c r="N243" s="114"/>
      <c r="O243" s="114"/>
    </row>
    <row r="244" spans="2:15">
      <c r="B244" s="114"/>
      <c r="C244" s="114"/>
      <c r="D244" s="114"/>
      <c r="E244" s="114"/>
      <c r="N244" s="114"/>
      <c r="O244" s="114"/>
    </row>
    <row r="245" spans="2:15">
      <c r="B245" s="114"/>
      <c r="C245" s="114"/>
      <c r="D245" s="114"/>
      <c r="E245" s="114"/>
      <c r="N245" s="114"/>
      <c r="O245" s="114"/>
    </row>
    <row r="246" spans="2:15">
      <c r="B246" s="114"/>
      <c r="C246" s="114"/>
      <c r="D246" s="114"/>
    </row>
    <row r="247" spans="2:15">
      <c r="B247" s="114"/>
      <c r="C247" s="114"/>
      <c r="D247" s="114"/>
    </row>
    <row r="248" spans="2:15">
      <c r="B248" s="114"/>
      <c r="C248" s="114"/>
      <c r="D248" s="114"/>
    </row>
    <row r="249" spans="2:15">
      <c r="B249" s="114"/>
      <c r="C249" s="114"/>
      <c r="D249" s="114"/>
    </row>
    <row r="250" spans="2:15">
      <c r="B250" s="114"/>
      <c r="C250" s="114"/>
      <c r="D250" s="114"/>
    </row>
    <row r="251" spans="2:15">
      <c r="B251" s="114"/>
      <c r="C251" s="114"/>
      <c r="D251" s="114"/>
    </row>
    <row r="252" spans="2:15">
      <c r="B252" s="114"/>
      <c r="C252" s="114"/>
      <c r="D252" s="114"/>
    </row>
    <row r="253" spans="2:15">
      <c r="B253" s="114"/>
      <c r="C253" s="114"/>
      <c r="D253" s="114"/>
    </row>
    <row r="254" spans="2:15">
      <c r="B254" s="114"/>
      <c r="C254" s="114"/>
      <c r="D254" s="114"/>
    </row>
    <row r="255" spans="2:15">
      <c r="B255" s="114"/>
      <c r="C255" s="114"/>
      <c r="D255" s="114"/>
    </row>
    <row r="256" spans="2:15">
      <c r="B256" s="114"/>
      <c r="C256" s="114"/>
      <c r="D256" s="114"/>
    </row>
    <row r="257" spans="2:4">
      <c r="B257" s="114"/>
      <c r="C257" s="114"/>
      <c r="D257" s="114"/>
    </row>
    <row r="258" spans="2:4">
      <c r="B258" s="114"/>
      <c r="C258" s="114"/>
      <c r="D258" s="114"/>
    </row>
    <row r="259" spans="2:4">
      <c r="B259" s="114"/>
      <c r="C259" s="114"/>
      <c r="D259" s="114"/>
    </row>
    <row r="260" spans="2:4">
      <c r="B260" s="114"/>
      <c r="C260" s="114"/>
      <c r="D260" s="114"/>
    </row>
    <row r="261" spans="2:4">
      <c r="B261" s="114"/>
      <c r="C261" s="114"/>
      <c r="D261" s="114"/>
    </row>
    <row r="262" spans="2:4">
      <c r="B262" s="114"/>
      <c r="C262" s="114"/>
      <c r="D262" s="114"/>
    </row>
    <row r="263" spans="2:4">
      <c r="B263" s="114"/>
      <c r="C263" s="114"/>
      <c r="D263" s="114"/>
    </row>
    <row r="264" spans="2:4">
      <c r="B264" s="114"/>
      <c r="C264" s="114"/>
      <c r="D264" s="114"/>
    </row>
    <row r="265" spans="2:4">
      <c r="B265" s="114"/>
      <c r="C265" s="114"/>
      <c r="D265" s="114"/>
    </row>
    <row r="266" spans="2:4">
      <c r="B266" s="114"/>
      <c r="C266" s="114"/>
      <c r="D266" s="114"/>
    </row>
    <row r="267" spans="2:4">
      <c r="B267" s="114"/>
      <c r="C267" s="114"/>
      <c r="D267" s="114"/>
    </row>
    <row r="268" spans="2:4">
      <c r="B268" s="114"/>
      <c r="C268" s="114"/>
      <c r="D268" s="114"/>
    </row>
    <row r="269" spans="2:4">
      <c r="B269" s="114"/>
      <c r="C269" s="114"/>
      <c r="D269" s="114"/>
    </row>
    <row r="270" spans="2:4">
      <c r="B270" s="114"/>
      <c r="C270" s="114"/>
      <c r="D270" s="114"/>
    </row>
    <row r="271" spans="2:4">
      <c r="B271" s="114"/>
      <c r="C271" s="114"/>
      <c r="D271" s="114"/>
    </row>
    <row r="272" spans="2:4">
      <c r="B272" s="114"/>
      <c r="C272" s="114"/>
      <c r="D272" s="114"/>
    </row>
    <row r="273" spans="2:4">
      <c r="B273" s="114"/>
      <c r="C273" s="114"/>
      <c r="D273" s="114"/>
    </row>
    <row r="274" spans="2:4">
      <c r="B274" s="114"/>
      <c r="C274" s="114"/>
      <c r="D274" s="114"/>
    </row>
    <row r="275" spans="2:4">
      <c r="B275" s="114"/>
      <c r="C275" s="114"/>
      <c r="D275" s="114"/>
    </row>
    <row r="276" spans="2:4">
      <c r="B276" s="114"/>
      <c r="C276" s="114"/>
      <c r="D276" s="114"/>
    </row>
    <row r="277" spans="2:4">
      <c r="B277" s="114"/>
      <c r="C277" s="114"/>
      <c r="D277" s="114"/>
    </row>
    <row r="278" spans="2:4">
      <c r="B278" s="114"/>
      <c r="C278" s="114"/>
      <c r="D278" s="114"/>
    </row>
    <row r="279" spans="2:4">
      <c r="B279" s="114"/>
      <c r="C279" s="114"/>
      <c r="D279" s="114"/>
    </row>
    <row r="280" spans="2:4">
      <c r="B280" s="114"/>
      <c r="C280" s="114"/>
      <c r="D280" s="114"/>
    </row>
    <row r="281" spans="2:4">
      <c r="B281" s="114"/>
      <c r="C281" s="114"/>
      <c r="D281" s="114"/>
    </row>
    <row r="282" spans="2:4">
      <c r="B282" s="114"/>
      <c r="C282" s="114"/>
      <c r="D282" s="114"/>
    </row>
    <row r="283" spans="2:4">
      <c r="B283" s="114"/>
      <c r="C283" s="114"/>
      <c r="D283" s="114"/>
    </row>
    <row r="284" spans="2:4">
      <c r="B284" s="114"/>
      <c r="C284" s="114"/>
      <c r="D284" s="114"/>
    </row>
    <row r="285" spans="2:4">
      <c r="B285" s="114"/>
      <c r="C285" s="114"/>
      <c r="D285" s="114"/>
    </row>
    <row r="286" spans="2:4">
      <c r="B286" s="114"/>
      <c r="C286" s="114"/>
      <c r="D286" s="114"/>
    </row>
    <row r="287" spans="2:4">
      <c r="B287" s="114"/>
      <c r="C287" s="114"/>
      <c r="D287" s="114"/>
    </row>
    <row r="288" spans="2:4">
      <c r="B288" s="114"/>
      <c r="C288" s="114"/>
    </row>
    <row r="289" spans="2:3">
      <c r="B289" s="114"/>
      <c r="C289" s="114"/>
    </row>
    <row r="290" spans="2:3">
      <c r="B290" s="114"/>
      <c r="C290" s="114"/>
    </row>
    <row r="291" spans="2:3">
      <c r="B291" s="114"/>
      <c r="C291" s="114"/>
    </row>
    <row r="292" spans="2:3">
      <c r="B292" s="114"/>
      <c r="C292" s="114"/>
    </row>
    <row r="293" spans="2:3">
      <c r="B293" s="114"/>
      <c r="C293" s="114"/>
    </row>
    <row r="294" spans="2:3">
      <c r="B294" s="114"/>
      <c r="C294" s="114"/>
    </row>
    <row r="295" spans="2:3">
      <c r="B295" s="114"/>
      <c r="C295" s="114"/>
    </row>
    <row r="296" spans="2:3">
      <c r="B296" s="114"/>
      <c r="C296" s="114"/>
    </row>
    <row r="297" spans="2:3">
      <c r="B297" s="114"/>
      <c r="C297" s="114"/>
    </row>
    <row r="298" spans="2:3">
      <c r="B298" s="114"/>
      <c r="C298" s="114"/>
    </row>
    <row r="299" spans="2:3">
      <c r="B299" s="114"/>
      <c r="C299" s="114"/>
    </row>
    <row r="300" spans="2:3">
      <c r="B300" s="114"/>
      <c r="C300" s="114"/>
    </row>
    <row r="301" spans="2:3">
      <c r="B301" s="114"/>
      <c r="C301" s="114"/>
    </row>
    <row r="302" spans="2:3">
      <c r="B302" s="114"/>
      <c r="C302" s="114"/>
    </row>
    <row r="303" spans="2:3">
      <c r="B303" s="114"/>
      <c r="C303" s="114"/>
    </row>
    <row r="304" spans="2:3">
      <c r="B304" s="114"/>
      <c r="C304" s="114"/>
    </row>
    <row r="305" spans="2:3">
      <c r="B305" s="114"/>
      <c r="C305" s="114"/>
    </row>
    <row r="306" spans="2:3">
      <c r="B306" s="114"/>
      <c r="C306" s="114"/>
    </row>
    <row r="307" spans="2:3">
      <c r="B307" s="114"/>
      <c r="C307" s="114"/>
    </row>
    <row r="308" spans="2:3">
      <c r="B308" s="114"/>
      <c r="C308" s="114"/>
    </row>
    <row r="309" spans="2:3">
      <c r="B309" s="114"/>
      <c r="C309" s="114"/>
    </row>
    <row r="310" spans="2:3">
      <c r="B310" s="114"/>
      <c r="C310" s="114"/>
    </row>
    <row r="311" spans="2:3">
      <c r="B311" s="114"/>
      <c r="C311" s="114"/>
    </row>
    <row r="312" spans="2:3">
      <c r="B312" s="114"/>
      <c r="C312" s="114"/>
    </row>
    <row r="313" spans="2:3">
      <c r="B313" s="114"/>
      <c r="C313" s="114"/>
    </row>
    <row r="314" spans="2:3">
      <c r="B314" s="114"/>
      <c r="C314" s="114"/>
    </row>
    <row r="315" spans="2:3">
      <c r="B315" s="114"/>
      <c r="C315" s="114"/>
    </row>
    <row r="316" spans="2:3">
      <c r="B316" s="114"/>
      <c r="C316" s="114"/>
    </row>
    <row r="317" spans="2:3">
      <c r="B317" s="114"/>
      <c r="C317" s="114"/>
    </row>
    <row r="318" spans="2:3">
      <c r="B318" s="114"/>
      <c r="C318" s="114"/>
    </row>
    <row r="319" spans="2:3">
      <c r="B319" s="114"/>
      <c r="C319" s="114"/>
    </row>
    <row r="320" spans="2:3">
      <c r="B320" s="114"/>
      <c r="C320" s="114"/>
    </row>
    <row r="321" spans="2:3">
      <c r="B321" s="114"/>
      <c r="C321" s="114"/>
    </row>
    <row r="322" spans="2:3">
      <c r="B322" s="114"/>
      <c r="C322" s="114"/>
    </row>
    <row r="323" spans="2:3">
      <c r="B323" s="114"/>
      <c r="C323" s="114"/>
    </row>
    <row r="324" spans="2:3">
      <c r="B324" s="114"/>
      <c r="C324" s="114"/>
    </row>
    <row r="325" spans="2:3">
      <c r="B325" s="114"/>
      <c r="C325" s="114"/>
    </row>
    <row r="326" spans="2:3">
      <c r="B326" s="114"/>
      <c r="C326" s="114"/>
    </row>
    <row r="327" spans="2:3">
      <c r="B327" s="114"/>
      <c r="C327" s="114"/>
    </row>
    <row r="328" spans="2:3">
      <c r="B328" s="114"/>
      <c r="C328" s="114"/>
    </row>
    <row r="329" spans="2:3">
      <c r="B329" s="114"/>
      <c r="C329" s="114"/>
    </row>
    <row r="330" spans="2:3">
      <c r="B330" s="114"/>
      <c r="C330" s="114"/>
    </row>
    <row r="331" spans="2:3">
      <c r="B331" s="114"/>
      <c r="C331" s="114"/>
    </row>
    <row r="332" spans="2:3">
      <c r="B332" s="114"/>
      <c r="C332" s="114"/>
    </row>
    <row r="333" spans="2:3">
      <c r="B333" s="114"/>
      <c r="C333" s="114"/>
    </row>
    <row r="334" spans="2:3">
      <c r="B334" s="114"/>
      <c r="C334" s="114"/>
    </row>
    <row r="335" spans="2:3">
      <c r="B335" s="114"/>
      <c r="C335" s="114"/>
    </row>
    <row r="336" spans="2:3">
      <c r="B336" s="114"/>
      <c r="C336" s="114"/>
    </row>
    <row r="337" spans="2:3">
      <c r="B337" s="114"/>
      <c r="C337" s="114"/>
    </row>
    <row r="338" spans="2:3">
      <c r="B338" s="114"/>
      <c r="C338" s="114"/>
    </row>
    <row r="339" spans="2:3">
      <c r="B339" s="114"/>
      <c r="C339" s="114"/>
    </row>
    <row r="340" spans="2:3">
      <c r="B340" s="114"/>
      <c r="C340" s="114"/>
    </row>
    <row r="341" spans="2:3">
      <c r="B341" s="114"/>
      <c r="C341" s="114"/>
    </row>
    <row r="342" spans="2:3">
      <c r="B342" s="114"/>
      <c r="C342" s="114"/>
    </row>
    <row r="343" spans="2:3">
      <c r="B343" s="114"/>
      <c r="C343" s="114"/>
    </row>
    <row r="344" spans="2:3">
      <c r="B344" s="114"/>
      <c r="C344" s="114"/>
    </row>
    <row r="345" spans="2:3">
      <c r="B345" s="114"/>
      <c r="C345" s="114"/>
    </row>
    <row r="346" spans="2:3">
      <c r="B346" s="114"/>
      <c r="C346" s="114"/>
    </row>
    <row r="347" spans="2:3">
      <c r="B347" s="114"/>
      <c r="C347" s="114"/>
    </row>
    <row r="348" spans="2:3">
      <c r="B348" s="114"/>
      <c r="C348" s="114"/>
    </row>
    <row r="349" spans="2:3">
      <c r="B349" s="114"/>
      <c r="C349" s="114"/>
    </row>
    <row r="350" spans="2:3">
      <c r="B350" s="114"/>
      <c r="C350" s="114"/>
    </row>
    <row r="351" spans="2:3">
      <c r="B351" s="114"/>
      <c r="C351" s="114"/>
    </row>
    <row r="352" spans="2:3">
      <c r="B352" s="114"/>
      <c r="C352" s="114"/>
    </row>
    <row r="353" spans="2:3">
      <c r="B353" s="114"/>
      <c r="C353" s="114"/>
    </row>
    <row r="354" spans="2:3">
      <c r="B354" s="114"/>
      <c r="C354" s="114"/>
    </row>
    <row r="355" spans="2:3">
      <c r="B355" s="114"/>
      <c r="C355" s="114"/>
    </row>
    <row r="356" spans="2:3">
      <c r="B356" s="114"/>
      <c r="C356" s="114"/>
    </row>
    <row r="357" spans="2:3">
      <c r="B357" s="114"/>
      <c r="C357" s="114"/>
    </row>
    <row r="358" spans="2:3">
      <c r="B358" s="114"/>
      <c r="C358" s="114"/>
    </row>
    <row r="359" spans="2:3">
      <c r="B359" s="114"/>
      <c r="C359" s="114"/>
    </row>
    <row r="360" spans="2:3">
      <c r="B360" s="114"/>
      <c r="C360" s="114"/>
    </row>
    <row r="361" spans="2:3">
      <c r="B361" s="114"/>
      <c r="C361" s="114"/>
    </row>
    <row r="362" spans="2:3">
      <c r="B362" s="114"/>
      <c r="C362" s="114"/>
    </row>
    <row r="363" spans="2:3">
      <c r="B363" s="114"/>
      <c r="C363" s="114"/>
    </row>
    <row r="364" spans="2:3">
      <c r="B364" s="114"/>
      <c r="C364" s="114"/>
    </row>
    <row r="365" spans="2:3">
      <c r="B365" s="114"/>
      <c r="C365" s="114"/>
    </row>
    <row r="366" spans="2:3">
      <c r="B366" s="114"/>
      <c r="C366" s="114"/>
    </row>
    <row r="367" spans="2:3">
      <c r="B367" s="114"/>
      <c r="C367" s="114"/>
    </row>
    <row r="368" spans="2:3">
      <c r="B368" s="114"/>
      <c r="C368" s="114"/>
    </row>
    <row r="369" spans="2:3">
      <c r="B369" s="114"/>
      <c r="C369" s="114"/>
    </row>
    <row r="370" spans="2:3">
      <c r="B370" s="114"/>
      <c r="C370" s="114"/>
    </row>
    <row r="371" spans="2:3">
      <c r="B371" s="114"/>
      <c r="C371" s="114"/>
    </row>
    <row r="372" spans="2:3">
      <c r="B372" s="114"/>
      <c r="C372" s="114"/>
    </row>
    <row r="373" spans="2:3">
      <c r="B373" s="114"/>
      <c r="C373" s="114"/>
    </row>
    <row r="374" spans="2:3">
      <c r="B374" s="114"/>
      <c r="C374" s="114"/>
    </row>
    <row r="375" spans="2:3">
      <c r="B375" s="114"/>
      <c r="C375" s="114"/>
    </row>
    <row r="376" spans="2:3">
      <c r="B376" s="114"/>
      <c r="C376" s="114"/>
    </row>
    <row r="377" spans="2:3">
      <c r="B377" s="114"/>
      <c r="C377" s="114"/>
    </row>
    <row r="378" spans="2:3">
      <c r="B378" s="114"/>
      <c r="C378" s="114"/>
    </row>
    <row r="379" spans="2:3">
      <c r="B379" s="114"/>
      <c r="C379" s="114"/>
    </row>
    <row r="380" spans="2:3">
      <c r="B380" s="114"/>
      <c r="C380" s="114"/>
    </row>
    <row r="381" spans="2:3">
      <c r="B381" s="114"/>
      <c r="C381" s="114"/>
    </row>
    <row r="382" spans="2:3">
      <c r="B382" s="114"/>
      <c r="C382" s="114"/>
    </row>
    <row r="383" spans="2:3">
      <c r="B383" s="114"/>
      <c r="C383" s="114"/>
    </row>
    <row r="384" spans="2:3">
      <c r="B384" s="114"/>
      <c r="C384" s="114"/>
    </row>
    <row r="385" spans="2:3">
      <c r="B385" s="114"/>
      <c r="C385" s="114"/>
    </row>
    <row r="386" spans="2:3">
      <c r="B386" s="114"/>
      <c r="C386" s="114"/>
    </row>
    <row r="387" spans="2:3">
      <c r="B387" s="114"/>
      <c r="C387" s="114"/>
    </row>
    <row r="388" spans="2:3">
      <c r="B388" s="114"/>
      <c r="C388" s="114"/>
    </row>
    <row r="389" spans="2:3">
      <c r="B389" s="114"/>
      <c r="C389" s="114"/>
    </row>
    <row r="390" spans="2:3">
      <c r="B390" s="114"/>
      <c r="C390" s="114"/>
    </row>
    <row r="391" spans="2:3">
      <c r="B391" s="114"/>
      <c r="C391" s="114"/>
    </row>
    <row r="392" spans="2:3">
      <c r="B392" s="114"/>
      <c r="C392" s="114"/>
    </row>
    <row r="393" spans="2:3">
      <c r="B393" s="114"/>
      <c r="C393" s="114"/>
    </row>
    <row r="394" spans="2:3">
      <c r="B394" s="114"/>
      <c r="C394" s="114"/>
    </row>
    <row r="395" spans="2:3">
      <c r="B395" s="114"/>
      <c r="C395" s="114"/>
    </row>
    <row r="396" spans="2:3">
      <c r="B396" s="114"/>
      <c r="C396" s="114"/>
    </row>
    <row r="397" spans="2:3">
      <c r="B397" s="114"/>
      <c r="C397" s="114"/>
    </row>
    <row r="398" spans="2:3">
      <c r="B398" s="114"/>
      <c r="C398" s="114"/>
    </row>
    <row r="399" spans="2:3">
      <c r="B399" s="114"/>
      <c r="C399" s="114"/>
    </row>
    <row r="400" spans="2:3">
      <c r="B400" s="114"/>
      <c r="C400" s="114"/>
    </row>
    <row r="401" spans="2:3">
      <c r="B401" s="114"/>
      <c r="C401" s="114"/>
    </row>
    <row r="402" spans="2:3">
      <c r="B402" s="114"/>
      <c r="C402" s="114"/>
    </row>
    <row r="403" spans="2:3">
      <c r="B403" s="114"/>
      <c r="C403" s="114"/>
    </row>
    <row r="404" spans="2:3">
      <c r="B404" s="114"/>
      <c r="C404" s="114"/>
    </row>
    <row r="405" spans="2:3">
      <c r="B405" s="114"/>
      <c r="C405" s="114"/>
    </row>
    <row r="406" spans="2:3">
      <c r="B406" s="114"/>
      <c r="C406" s="114"/>
    </row>
    <row r="407" spans="2:3">
      <c r="B407" s="114"/>
      <c r="C407" s="114"/>
    </row>
    <row r="408" spans="2:3">
      <c r="B408" s="114"/>
      <c r="C408" s="114"/>
    </row>
    <row r="409" spans="2:3">
      <c r="B409" s="114"/>
      <c r="C409" s="114"/>
    </row>
    <row r="410" spans="2:3">
      <c r="B410" s="114"/>
      <c r="C410" s="114"/>
    </row>
    <row r="411" spans="2:3">
      <c r="B411" s="114"/>
      <c r="C411" s="114"/>
    </row>
    <row r="412" spans="2:3">
      <c r="B412" s="114"/>
      <c r="C412" s="114"/>
    </row>
    <row r="413" spans="2:3">
      <c r="B413" s="114"/>
      <c r="C413" s="114"/>
    </row>
    <row r="414" spans="2:3">
      <c r="B414" s="114"/>
      <c r="C414" s="114"/>
    </row>
    <row r="415" spans="2:3">
      <c r="B415" s="114"/>
      <c r="C415" s="114"/>
    </row>
    <row r="416" spans="2:3">
      <c r="B416" s="114"/>
      <c r="C416" s="114"/>
    </row>
    <row r="417" spans="2:3">
      <c r="B417" s="114"/>
      <c r="C417" s="114"/>
    </row>
    <row r="418" spans="2:3">
      <c r="B418" s="114"/>
      <c r="C418" s="114"/>
    </row>
    <row r="419" spans="2:3">
      <c r="B419" s="114"/>
      <c r="C419" s="114"/>
    </row>
    <row r="420" spans="2:3">
      <c r="B420" s="114"/>
      <c r="C420" s="114"/>
    </row>
    <row r="421" spans="2:3">
      <c r="B421" s="114"/>
      <c r="C421" s="114"/>
    </row>
    <row r="422" spans="2:3">
      <c r="B422" s="114"/>
      <c r="C422" s="114"/>
    </row>
    <row r="423" spans="2:3">
      <c r="B423" s="114"/>
      <c r="C423" s="114"/>
    </row>
    <row r="424" spans="2:3">
      <c r="B424" s="114"/>
      <c r="C424" s="114"/>
    </row>
    <row r="425" spans="2:3">
      <c r="B425" s="114"/>
      <c r="C425" s="114"/>
    </row>
    <row r="426" spans="2:3">
      <c r="B426" s="114"/>
      <c r="C426" s="114"/>
    </row>
    <row r="427" spans="2:3">
      <c r="B427" s="114"/>
      <c r="C427" s="114"/>
    </row>
    <row r="428" spans="2:3">
      <c r="B428" s="114"/>
      <c r="C428" s="114"/>
    </row>
    <row r="429" spans="2:3">
      <c r="B429" s="114"/>
      <c r="C429" s="114"/>
    </row>
    <row r="430" spans="2:3">
      <c r="B430" s="114"/>
      <c r="C430" s="114"/>
    </row>
    <row r="431" spans="2:3">
      <c r="B431" s="114"/>
      <c r="C431" s="114"/>
    </row>
    <row r="432" spans="2:3">
      <c r="B432" s="114"/>
      <c r="C432" s="114"/>
    </row>
    <row r="433" spans="2:3">
      <c r="B433" s="114"/>
      <c r="C433" s="114"/>
    </row>
    <row r="434" spans="2:3">
      <c r="B434" s="114"/>
      <c r="C434" s="114"/>
    </row>
    <row r="435" spans="2:3">
      <c r="B435" s="114"/>
      <c r="C435" s="114"/>
    </row>
    <row r="436" spans="2:3">
      <c r="B436" s="114"/>
      <c r="C436" s="114"/>
    </row>
    <row r="437" spans="2:3">
      <c r="B437" s="114"/>
      <c r="C437" s="114"/>
    </row>
    <row r="438" spans="2:3">
      <c r="B438" s="114"/>
      <c r="C438" s="114"/>
    </row>
    <row r="439" spans="2:3">
      <c r="B439" s="114"/>
      <c r="C439" s="114"/>
    </row>
    <row r="440" spans="2:3">
      <c r="B440" s="114"/>
      <c r="C440" s="114"/>
    </row>
    <row r="441" spans="2:3">
      <c r="B441" s="114"/>
      <c r="C441" s="114"/>
    </row>
    <row r="442" spans="2:3">
      <c r="B442" s="114"/>
      <c r="C442" s="114"/>
    </row>
    <row r="443" spans="2:3">
      <c r="B443" s="114"/>
      <c r="C443" s="114"/>
    </row>
    <row r="444" spans="2:3">
      <c r="B444" s="114"/>
      <c r="C444" s="114"/>
    </row>
    <row r="445" spans="2:3">
      <c r="B445" s="114"/>
      <c r="C445" s="114"/>
    </row>
    <row r="446" spans="2:3">
      <c r="B446" s="114"/>
      <c r="C446" s="114"/>
    </row>
    <row r="447" spans="2:3">
      <c r="B447" s="114"/>
      <c r="C447" s="114"/>
    </row>
    <row r="448" spans="2:3">
      <c r="B448" s="114"/>
      <c r="C448" s="114"/>
    </row>
    <row r="449" spans="2:3">
      <c r="B449" s="114"/>
      <c r="C449" s="114"/>
    </row>
    <row r="450" spans="2:3">
      <c r="B450" s="114"/>
      <c r="C450" s="114"/>
    </row>
    <row r="451" spans="2:3">
      <c r="B451" s="114"/>
      <c r="C451" s="114"/>
    </row>
    <row r="452" spans="2:3">
      <c r="B452" s="114"/>
      <c r="C452" s="114"/>
    </row>
    <row r="453" spans="2:3">
      <c r="B453" s="114"/>
      <c r="C453" s="114"/>
    </row>
    <row r="454" spans="2:3">
      <c r="B454" s="114"/>
      <c r="C454" s="114"/>
    </row>
    <row r="455" spans="2:3">
      <c r="B455" s="114"/>
      <c r="C455" s="114"/>
    </row>
    <row r="456" spans="2:3">
      <c r="B456" s="114"/>
      <c r="C456" s="114"/>
    </row>
    <row r="457" spans="2:3">
      <c r="B457" s="114"/>
      <c r="C457" s="114"/>
    </row>
    <row r="458" spans="2:3">
      <c r="B458" s="114"/>
      <c r="C458" s="114"/>
    </row>
    <row r="459" spans="2:3">
      <c r="B459" s="114"/>
      <c r="C459" s="114"/>
    </row>
    <row r="460" spans="2:3">
      <c r="B460" s="114"/>
      <c r="C460" s="114"/>
    </row>
    <row r="461" spans="2:3">
      <c r="B461" s="114"/>
      <c r="C461" s="114"/>
    </row>
    <row r="462" spans="2:3">
      <c r="B462" s="114"/>
      <c r="C462" s="114"/>
    </row>
    <row r="463" spans="2:3">
      <c r="B463" s="114"/>
      <c r="C463" s="114"/>
    </row>
    <row r="464" spans="2:3">
      <c r="B464" s="114"/>
      <c r="C464" s="114"/>
    </row>
    <row r="465" spans="2:3">
      <c r="B465" s="114"/>
      <c r="C465" s="114"/>
    </row>
    <row r="466" spans="2:3">
      <c r="B466" s="114"/>
      <c r="C466" s="114"/>
    </row>
    <row r="467" spans="2:3">
      <c r="B467" s="114"/>
      <c r="C467" s="114"/>
    </row>
    <row r="468" spans="2:3">
      <c r="B468" s="114"/>
      <c r="C468" s="114"/>
    </row>
    <row r="469" spans="2:3">
      <c r="B469" s="114"/>
      <c r="C469" s="114"/>
    </row>
    <row r="470" spans="2:3">
      <c r="B470" s="114"/>
      <c r="C470" s="114"/>
    </row>
    <row r="471" spans="2:3">
      <c r="B471" s="114"/>
      <c r="C471" s="114"/>
    </row>
    <row r="472" spans="2:3">
      <c r="B472" s="114"/>
      <c r="C472" s="114"/>
    </row>
    <row r="473" spans="2:3">
      <c r="B473" s="114"/>
      <c r="C473" s="114"/>
    </row>
    <row r="474" spans="2:3">
      <c r="B474" s="114"/>
      <c r="C474" s="114"/>
    </row>
    <row r="475" spans="2:3">
      <c r="B475" s="114"/>
      <c r="C475" s="114"/>
    </row>
    <row r="476" spans="2:3">
      <c r="B476" s="114"/>
      <c r="C476" s="114"/>
    </row>
    <row r="477" spans="2:3">
      <c r="B477" s="114"/>
      <c r="C477" s="114"/>
    </row>
    <row r="478" spans="2:3">
      <c r="B478" s="114"/>
      <c r="C478" s="114"/>
    </row>
    <row r="479" spans="2:3">
      <c r="B479" s="114"/>
      <c r="C479" s="114"/>
    </row>
    <row r="480" spans="2:3">
      <c r="B480" s="114"/>
      <c r="C480" s="114"/>
    </row>
    <row r="481" spans="2:3">
      <c r="B481" s="114"/>
      <c r="C481" s="114"/>
    </row>
    <row r="482" spans="2:3">
      <c r="B482" s="114"/>
      <c r="C482" s="114"/>
    </row>
    <row r="483" spans="2:3">
      <c r="B483" s="114"/>
      <c r="C483" s="114"/>
    </row>
    <row r="484" spans="2:3">
      <c r="B484" s="114"/>
      <c r="C484" s="114"/>
    </row>
    <row r="485" spans="2:3">
      <c r="B485" s="114"/>
      <c r="C485" s="114"/>
    </row>
    <row r="486" spans="2:3">
      <c r="B486" s="114"/>
      <c r="C486" s="114"/>
    </row>
    <row r="487" spans="2:3">
      <c r="B487" s="114"/>
      <c r="C487" s="114"/>
    </row>
    <row r="488" spans="2:3">
      <c r="B488" s="114"/>
      <c r="C488" s="114"/>
    </row>
    <row r="489" spans="2:3">
      <c r="B489" s="114"/>
      <c r="C489" s="114"/>
    </row>
    <row r="490" spans="2:3">
      <c r="B490" s="114"/>
      <c r="C490" s="114"/>
    </row>
  </sheetData>
  <autoFilter ref="B3:O3" xr:uid="{AA893961-8E28-E444-84C3-F69A493CD97F}"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47D2-EDD5-8D49-99CD-8F4CE3948A59}">
  <sheetPr codeName="Sheet10"/>
  <dimension ref="A1:J18"/>
  <sheetViews>
    <sheetView topLeftCell="C1" workbookViewId="0">
      <selection activeCell="C9" sqref="C9"/>
    </sheetView>
  </sheetViews>
  <sheetFormatPr defaultColWidth="10.83203125" defaultRowHeight="15.7"/>
  <cols>
    <col min="1" max="1" width="4.83203125" style="28" customWidth="1"/>
    <col min="2" max="2" width="35.83203125" style="114" customWidth="1"/>
    <col min="3" max="4" width="20.83203125" style="114" customWidth="1"/>
    <col min="5" max="5" width="52.83203125" style="28" customWidth="1"/>
    <col min="6" max="6" width="10.83203125" style="114"/>
    <col min="7" max="7" width="27.83203125" style="28" customWidth="1"/>
    <col min="8" max="8" width="20.83203125" style="28" customWidth="1"/>
    <col min="9" max="10" width="20.83203125" style="42" customWidth="1"/>
    <col min="11" max="16384" width="10.83203125" style="28"/>
  </cols>
  <sheetData>
    <row r="1" spans="1:10" s="42" customFormat="1" ht="20.7">
      <c r="A1" s="51" t="s">
        <v>97</v>
      </c>
      <c r="B1" s="133" t="s">
        <v>96</v>
      </c>
      <c r="C1" s="114"/>
      <c r="D1" s="114"/>
      <c r="F1" s="114"/>
      <c r="G1" s="18"/>
    </row>
    <row r="2" spans="1:10" s="26" customFormat="1" ht="36">
      <c r="B2" s="19" t="s">
        <v>331</v>
      </c>
      <c r="C2" s="19" t="s">
        <v>866</v>
      </c>
      <c r="D2" s="19" t="s">
        <v>577</v>
      </c>
      <c r="E2" s="19" t="s">
        <v>47</v>
      </c>
      <c r="F2" s="114"/>
      <c r="G2" s="19" t="s">
        <v>67</v>
      </c>
      <c r="H2" s="19" t="s">
        <v>200</v>
      </c>
      <c r="I2" s="19" t="s">
        <v>201</v>
      </c>
      <c r="J2" s="19" t="s">
        <v>202</v>
      </c>
    </row>
    <row r="3" spans="1:10" s="26" customFormat="1" ht="18">
      <c r="B3" s="203"/>
      <c r="C3" s="16" t="s">
        <v>32</v>
      </c>
      <c r="D3" s="16" t="s">
        <v>32</v>
      </c>
      <c r="E3" s="16"/>
      <c r="F3" s="114"/>
      <c r="G3" s="16" t="s">
        <v>68</v>
      </c>
      <c r="H3" s="16" t="s">
        <v>77</v>
      </c>
      <c r="I3" s="16" t="s">
        <v>77</v>
      </c>
      <c r="J3" s="93" t="s">
        <v>77</v>
      </c>
    </row>
    <row r="4" spans="1:10" s="26" customFormat="1" ht="18">
      <c r="B4" s="203" t="s">
        <v>880</v>
      </c>
      <c r="C4" s="94" t="s">
        <v>879</v>
      </c>
      <c r="D4" s="212">
        <v>0.25</v>
      </c>
      <c r="E4" s="203" t="s">
        <v>891</v>
      </c>
      <c r="F4" s="114"/>
      <c r="G4" s="94">
        <v>0.13</v>
      </c>
      <c r="H4" s="218">
        <v>0.03</v>
      </c>
      <c r="I4" s="95">
        <v>5.2999999999999999E-2</v>
      </c>
      <c r="J4" s="61">
        <f>SUM(H4:I4)</f>
        <v>8.299999999999999E-2</v>
      </c>
    </row>
    <row r="5" spans="1:10" s="114" customFormat="1" ht="18">
      <c r="B5" s="203" t="s">
        <v>881</v>
      </c>
      <c r="C5" s="94" t="s">
        <v>879</v>
      </c>
      <c r="D5" s="212">
        <v>0.01</v>
      </c>
      <c r="E5" s="203"/>
    </row>
    <row r="6" spans="1:10" s="114" customFormat="1" ht="18">
      <c r="B6" s="203" t="s">
        <v>867</v>
      </c>
      <c r="C6" s="94" t="s">
        <v>879</v>
      </c>
      <c r="D6" s="61" t="s">
        <v>879</v>
      </c>
      <c r="E6" s="203"/>
    </row>
    <row r="7" spans="1:10" s="114" customFormat="1" ht="18">
      <c r="B7" s="205" t="s">
        <v>870</v>
      </c>
      <c r="C7" s="94">
        <v>0.75</v>
      </c>
      <c r="D7" s="88" t="s">
        <v>879</v>
      </c>
      <c r="E7" s="37"/>
    </row>
    <row r="8" spans="1:10" s="114" customFormat="1" ht="18">
      <c r="B8" s="205" t="s">
        <v>883</v>
      </c>
      <c r="C8" s="94" t="s">
        <v>879</v>
      </c>
      <c r="D8" s="61" t="s">
        <v>879</v>
      </c>
      <c r="E8" s="37"/>
    </row>
    <row r="9" spans="1:10" s="114" customFormat="1" ht="18">
      <c r="B9" s="205" t="s">
        <v>615</v>
      </c>
      <c r="C9" s="94">
        <v>0.98099999999999998</v>
      </c>
      <c r="D9" s="61" t="s">
        <v>879</v>
      </c>
      <c r="E9" s="37"/>
    </row>
    <row r="10" spans="1:10" s="114" customFormat="1" ht="18">
      <c r="B10" s="205" t="s">
        <v>868</v>
      </c>
      <c r="C10" s="94">
        <v>0.22</v>
      </c>
      <c r="D10" s="145" t="s">
        <v>879</v>
      </c>
      <c r="E10" s="145"/>
    </row>
    <row r="11" spans="1:10" s="114" customFormat="1" ht="18">
      <c r="B11" s="203" t="s">
        <v>869</v>
      </c>
      <c r="C11" s="204">
        <v>0.98</v>
      </c>
      <c r="D11" s="212">
        <v>0.66700000000000004</v>
      </c>
      <c r="E11" s="203" t="s">
        <v>882</v>
      </c>
    </row>
    <row r="12" spans="1:10" s="114" customFormat="1">
      <c r="E12" s="42"/>
    </row>
    <row r="13" spans="1:10">
      <c r="A13" s="42"/>
    </row>
    <row r="14" spans="1:10" ht="18">
      <c r="A14" s="56" t="s">
        <v>589</v>
      </c>
    </row>
    <row r="15" spans="1:10">
      <c r="A15" s="42"/>
    </row>
    <row r="16" spans="1:10" ht="18">
      <c r="A16" s="4" t="s">
        <v>884</v>
      </c>
    </row>
    <row r="17" spans="1:1" ht="18">
      <c r="A17" s="4" t="s">
        <v>203</v>
      </c>
    </row>
    <row r="18" spans="1:1" ht="18">
      <c r="A18" s="4" t="s">
        <v>965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76FD-FC75-F446-BFB3-77B81EE6560E}">
  <sheetPr codeName="Sheet11"/>
  <dimension ref="A1:Z39"/>
  <sheetViews>
    <sheetView workbookViewId="0">
      <selection activeCell="E31" sqref="E31"/>
    </sheetView>
  </sheetViews>
  <sheetFormatPr defaultColWidth="10.83203125" defaultRowHeight="15.7"/>
  <cols>
    <col min="1" max="1" width="4.83203125" style="42" customWidth="1"/>
    <col min="2" max="2" width="49.83203125" style="42" customWidth="1"/>
    <col min="3" max="14" width="10.83203125" style="42"/>
    <col min="15" max="15" width="10.83203125" style="114"/>
    <col min="16" max="16384" width="10.83203125" style="42"/>
  </cols>
  <sheetData>
    <row r="1" spans="1:26" s="26" customFormat="1" ht="36">
      <c r="A1" s="51" t="s">
        <v>97</v>
      </c>
      <c r="B1" s="128" t="s">
        <v>376</v>
      </c>
      <c r="C1" s="16" t="s">
        <v>175</v>
      </c>
      <c r="D1" s="16">
        <v>2008</v>
      </c>
      <c r="E1" s="16">
        <f>D1+1</f>
        <v>2009</v>
      </c>
      <c r="F1" s="16">
        <f t="shared" ref="F1:N1" si="0">E1+1</f>
        <v>2010</v>
      </c>
      <c r="G1" s="16">
        <f t="shared" si="0"/>
        <v>2011</v>
      </c>
      <c r="H1" s="16">
        <f t="shared" si="0"/>
        <v>2012</v>
      </c>
      <c r="I1" s="16">
        <f t="shared" si="0"/>
        <v>2013</v>
      </c>
      <c r="J1" s="16">
        <f t="shared" si="0"/>
        <v>2014</v>
      </c>
      <c r="K1" s="16">
        <f t="shared" si="0"/>
        <v>2015</v>
      </c>
      <c r="L1" s="16">
        <f t="shared" si="0"/>
        <v>2016</v>
      </c>
      <c r="M1" s="16">
        <f t="shared" si="0"/>
        <v>2017</v>
      </c>
      <c r="N1" s="16">
        <f t="shared" si="0"/>
        <v>2018</v>
      </c>
      <c r="O1" s="16" t="s">
        <v>968</v>
      </c>
      <c r="Q1" s="42"/>
    </row>
    <row r="2" spans="1:26" s="26" customFormat="1" ht="20.7">
      <c r="A2" s="51"/>
      <c r="B2" s="16" t="s">
        <v>192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37"/>
    </row>
    <row r="3" spans="1:26" ht="18">
      <c r="B3" s="37" t="s">
        <v>176</v>
      </c>
      <c r="C3" s="37" t="s">
        <v>80</v>
      </c>
      <c r="D3" s="85">
        <v>709.55700000000002</v>
      </c>
      <c r="E3" s="85">
        <v>756.05200000000002</v>
      </c>
      <c r="F3" s="85">
        <v>689.77</v>
      </c>
      <c r="G3" s="85">
        <v>671.80399999999997</v>
      </c>
      <c r="H3" s="85">
        <v>746.654</v>
      </c>
      <c r="I3" s="85">
        <v>810.45299999999997</v>
      </c>
      <c r="J3" s="85">
        <v>811.50199999999995</v>
      </c>
      <c r="K3" s="85">
        <v>859.74599999999998</v>
      </c>
      <c r="L3" s="85">
        <v>848.62699999999995</v>
      </c>
      <c r="M3" s="85">
        <v>839.09299999999996</v>
      </c>
      <c r="N3" s="85">
        <v>828.34299999999996</v>
      </c>
      <c r="O3" s="55"/>
    </row>
    <row r="4" spans="1:26" ht="18">
      <c r="B4" s="37" t="s">
        <v>177</v>
      </c>
      <c r="C4" s="37" t="s">
        <v>80</v>
      </c>
      <c r="D4" s="85">
        <v>649.48299999999995</v>
      </c>
      <c r="E4" s="85">
        <v>640.62099999999998</v>
      </c>
      <c r="F4" s="85">
        <v>611.31299999999999</v>
      </c>
      <c r="G4" s="85">
        <v>668.01499999999999</v>
      </c>
      <c r="H4" s="85">
        <v>705.27599999999995</v>
      </c>
      <c r="I4" s="85">
        <v>702.91399999999999</v>
      </c>
      <c r="J4" s="85">
        <v>770.83399999999995</v>
      </c>
      <c r="K4" s="85">
        <v>775.62099999999998</v>
      </c>
      <c r="L4" s="85">
        <v>737.00699999999995</v>
      </c>
      <c r="M4" s="85">
        <v>774.80100000000004</v>
      </c>
      <c r="N4" s="85">
        <v>747.96299999999997</v>
      </c>
      <c r="O4" s="134"/>
    </row>
    <row r="5" spans="1:26" ht="18">
      <c r="B5" s="37" t="s">
        <v>178</v>
      </c>
      <c r="C5" s="37" t="s">
        <v>80</v>
      </c>
      <c r="D5" s="85">
        <v>682.08799999999997</v>
      </c>
      <c r="E5" s="85">
        <v>651.62400000000002</v>
      </c>
      <c r="F5" s="85">
        <v>622.77099999999996</v>
      </c>
      <c r="G5" s="85">
        <v>676.06299999999999</v>
      </c>
      <c r="H5" s="85">
        <v>718.63800000000003</v>
      </c>
      <c r="I5" s="85">
        <v>670.44500000000005</v>
      </c>
      <c r="J5" s="85">
        <v>821.34400000000005</v>
      </c>
      <c r="K5" s="85">
        <v>833.09900000000005</v>
      </c>
      <c r="L5" s="85">
        <v>778.625</v>
      </c>
      <c r="M5" s="85">
        <v>793.62</v>
      </c>
      <c r="N5" s="85">
        <v>734.65800000000002</v>
      </c>
      <c r="O5" s="55"/>
    </row>
    <row r="6" spans="1:26" ht="18">
      <c r="B6" s="37" t="s">
        <v>179</v>
      </c>
      <c r="C6" s="37" t="s">
        <v>80</v>
      </c>
      <c r="D6" s="85">
        <v>544.53399999999999</v>
      </c>
      <c r="E6" s="85">
        <v>486.35199999999998</v>
      </c>
      <c r="F6" s="85">
        <v>518.11</v>
      </c>
      <c r="G6" s="85">
        <v>564.34199999999998</v>
      </c>
      <c r="H6" s="85">
        <v>540.54499999999996</v>
      </c>
      <c r="I6" s="85">
        <v>585.78</v>
      </c>
      <c r="J6" s="85">
        <v>636.08500000000004</v>
      </c>
      <c r="K6" s="85">
        <v>677.82100000000003</v>
      </c>
      <c r="L6" s="85">
        <v>625.54700000000003</v>
      </c>
      <c r="M6" s="85">
        <v>663.16099999999994</v>
      </c>
      <c r="N6" s="85">
        <v>638.529</v>
      </c>
      <c r="O6" s="55"/>
    </row>
    <row r="7" spans="1:26" ht="18">
      <c r="B7" s="37" t="s">
        <v>180</v>
      </c>
      <c r="C7" s="37" t="s">
        <v>80</v>
      </c>
      <c r="D7" s="85">
        <v>476.77199999999999</v>
      </c>
      <c r="E7" s="85">
        <v>409.67599999999999</v>
      </c>
      <c r="F7" s="85">
        <v>486.89600000000002</v>
      </c>
      <c r="G7" s="85">
        <v>465.36599999999999</v>
      </c>
      <c r="H7" s="85">
        <v>463.36399999999998</v>
      </c>
      <c r="I7" s="85">
        <v>473.60599999999999</v>
      </c>
      <c r="J7" s="85">
        <v>536.98599999999999</v>
      </c>
      <c r="K7" s="85">
        <v>517.88199999999995</v>
      </c>
      <c r="L7" s="85">
        <v>502.45</v>
      </c>
      <c r="M7" s="85">
        <v>570.73800000000006</v>
      </c>
      <c r="N7" s="85">
        <v>528.64200000000005</v>
      </c>
      <c r="O7" s="55"/>
    </row>
    <row r="8" spans="1:26" ht="18">
      <c r="B8" s="37" t="s">
        <v>181</v>
      </c>
      <c r="C8" s="37" t="s">
        <v>80</v>
      </c>
      <c r="D8" s="85">
        <v>404.41800000000001</v>
      </c>
      <c r="E8" s="85">
        <v>377.59899999999999</v>
      </c>
      <c r="F8" s="85">
        <v>391.86599999999999</v>
      </c>
      <c r="G8" s="85">
        <v>395.29700000000003</v>
      </c>
      <c r="H8" s="85">
        <v>417.48399999999998</v>
      </c>
      <c r="I8" s="85">
        <v>411.83699999999999</v>
      </c>
      <c r="J8" s="85">
        <v>403.916</v>
      </c>
      <c r="K8" s="85">
        <v>428.19099999999997</v>
      </c>
      <c r="L8" s="85">
        <v>441.428</v>
      </c>
      <c r="M8" s="85">
        <v>417.14800000000002</v>
      </c>
      <c r="N8" s="85">
        <v>474.399</v>
      </c>
      <c r="O8" s="55"/>
    </row>
    <row r="9" spans="1:26" ht="18">
      <c r="B9" s="37" t="s">
        <v>182</v>
      </c>
      <c r="C9" s="37" t="s">
        <v>80</v>
      </c>
      <c r="D9" s="85">
        <v>381.35700000000003</v>
      </c>
      <c r="E9" s="85">
        <v>364.92</v>
      </c>
      <c r="F9" s="85">
        <v>356.39299999999997</v>
      </c>
      <c r="G9" s="85">
        <v>346.04700000000003</v>
      </c>
      <c r="H9" s="85">
        <v>383.67500000000001</v>
      </c>
      <c r="I9" s="85">
        <v>363.74700000000001</v>
      </c>
      <c r="J9" s="85">
        <v>379.69499999999999</v>
      </c>
      <c r="K9" s="85">
        <v>412.09300000000002</v>
      </c>
      <c r="L9" s="85">
        <v>395.66800000000001</v>
      </c>
      <c r="M9" s="85">
        <v>396.34100000000001</v>
      </c>
      <c r="N9" s="85">
        <v>383.88400000000001</v>
      </c>
      <c r="O9" s="55"/>
    </row>
    <row r="10" spans="1:26" ht="18">
      <c r="B10" s="37" t="s">
        <v>183</v>
      </c>
      <c r="C10" s="37" t="s">
        <v>80</v>
      </c>
      <c r="D10" s="85">
        <v>385.27100000000002</v>
      </c>
      <c r="E10" s="85">
        <v>361.03300000000002</v>
      </c>
      <c r="F10" s="85">
        <v>360.62799999999999</v>
      </c>
      <c r="G10" s="85">
        <v>370.572</v>
      </c>
      <c r="H10" s="85">
        <v>392.26100000000002</v>
      </c>
      <c r="I10" s="85">
        <v>369.05200000000002</v>
      </c>
      <c r="J10" s="85">
        <v>373.97800000000001</v>
      </c>
      <c r="K10" s="85">
        <v>386.16300000000001</v>
      </c>
      <c r="L10" s="85">
        <v>393.70600000000002</v>
      </c>
      <c r="M10" s="85">
        <v>397.14400000000001</v>
      </c>
      <c r="N10" s="85">
        <v>390.67099999999999</v>
      </c>
      <c r="O10" s="55"/>
    </row>
    <row r="11" spans="1:26" ht="18">
      <c r="B11" s="37" t="s">
        <v>184</v>
      </c>
      <c r="C11" s="37" t="s">
        <v>80</v>
      </c>
      <c r="D11" s="85">
        <v>385.64800000000002</v>
      </c>
      <c r="E11" s="85">
        <v>369.22</v>
      </c>
      <c r="F11" s="85">
        <v>367.02699999999999</v>
      </c>
      <c r="G11" s="85">
        <v>380.113</v>
      </c>
      <c r="H11" s="85">
        <v>365.14100000000002</v>
      </c>
      <c r="I11" s="85">
        <v>371.34300000000002</v>
      </c>
      <c r="J11" s="85">
        <v>375.815</v>
      </c>
      <c r="K11" s="85">
        <v>407.01900000000001</v>
      </c>
      <c r="L11" s="85">
        <v>411.57499999999999</v>
      </c>
      <c r="M11" s="85">
        <v>392.91800000000001</v>
      </c>
      <c r="N11" s="85">
        <v>431.94</v>
      </c>
      <c r="O11" s="55"/>
    </row>
    <row r="12" spans="1:26" ht="18">
      <c r="B12" s="37" t="s">
        <v>185</v>
      </c>
      <c r="C12" s="37" t="s">
        <v>80</v>
      </c>
      <c r="D12" s="85">
        <v>483.46199999999999</v>
      </c>
      <c r="E12" s="85">
        <v>497.48899999999998</v>
      </c>
      <c r="F12" s="85">
        <v>448.44299999999998</v>
      </c>
      <c r="G12" s="85">
        <v>474.733</v>
      </c>
      <c r="H12" s="85">
        <v>455.61</v>
      </c>
      <c r="I12" s="85">
        <v>478.50799999999998</v>
      </c>
      <c r="J12" s="85">
        <v>485.488</v>
      </c>
      <c r="K12" s="85">
        <v>525.15700000000004</v>
      </c>
      <c r="L12" s="85">
        <v>515.95000000000005</v>
      </c>
      <c r="M12" s="85">
        <v>508.423</v>
      </c>
      <c r="N12" s="85">
        <v>548.83600000000001</v>
      </c>
      <c r="O12" s="55"/>
    </row>
    <row r="13" spans="1:26" ht="18">
      <c r="B13" s="37" t="s">
        <v>186</v>
      </c>
      <c r="C13" s="37" t="s">
        <v>80</v>
      </c>
      <c r="D13" s="85">
        <v>532.03200000000004</v>
      </c>
      <c r="E13" s="85">
        <v>536.31399999999996</v>
      </c>
      <c r="F13" s="85">
        <v>546.81100000000004</v>
      </c>
      <c r="G13" s="85">
        <v>572.95100000000002</v>
      </c>
      <c r="H13" s="85">
        <v>538.33199999999999</v>
      </c>
      <c r="I13" s="85">
        <v>592.28300000000002</v>
      </c>
      <c r="J13" s="85">
        <v>615.69399999999996</v>
      </c>
      <c r="K13" s="85">
        <v>660.15800000000002</v>
      </c>
      <c r="L13" s="85">
        <v>578.01199999999994</v>
      </c>
      <c r="M13" s="85">
        <v>638.18499999999995</v>
      </c>
      <c r="N13" s="85">
        <v>661.697</v>
      </c>
      <c r="O13" s="55"/>
    </row>
    <row r="14" spans="1:26" ht="18.350000000000001" thickBot="1">
      <c r="B14" s="60" t="s">
        <v>187</v>
      </c>
      <c r="C14" s="60" t="s">
        <v>80</v>
      </c>
      <c r="D14" s="140">
        <v>659.02099999999996</v>
      </c>
      <c r="E14" s="140">
        <v>661.19399999999996</v>
      </c>
      <c r="F14" s="140">
        <v>606.428</v>
      </c>
      <c r="G14" s="140">
        <v>701.30799999999999</v>
      </c>
      <c r="H14" s="140">
        <v>713.71900000000005</v>
      </c>
      <c r="I14" s="140">
        <v>827.077</v>
      </c>
      <c r="J14" s="140">
        <v>726.18399999999997</v>
      </c>
      <c r="K14" s="140">
        <v>802.23299999999995</v>
      </c>
      <c r="L14" s="140">
        <v>810.64200000000005</v>
      </c>
      <c r="M14" s="140">
        <v>785.16800000000001</v>
      </c>
      <c r="N14" s="140">
        <v>812.18100000000004</v>
      </c>
      <c r="O14" s="55"/>
    </row>
    <row r="15" spans="1:26" ht="18">
      <c r="B15" s="92" t="s">
        <v>381</v>
      </c>
      <c r="C15" s="92" t="s">
        <v>188</v>
      </c>
      <c r="D15" s="92">
        <f>SUM(D3:D14)</f>
        <v>6293.643</v>
      </c>
      <c r="E15" s="92">
        <f t="shared" ref="E15:N15" si="1">SUM(E3:E14)</f>
        <v>6112.0939999999991</v>
      </c>
      <c r="F15" s="92">
        <f t="shared" si="1"/>
        <v>6006.4560000000001</v>
      </c>
      <c r="G15" s="92">
        <f t="shared" si="1"/>
        <v>6286.6110000000008</v>
      </c>
      <c r="H15" s="92">
        <f t="shared" si="1"/>
        <v>6440.6989999999996</v>
      </c>
      <c r="I15" s="92">
        <f t="shared" si="1"/>
        <v>6657.0449999999992</v>
      </c>
      <c r="J15" s="92">
        <f t="shared" si="1"/>
        <v>6937.5209999999997</v>
      </c>
      <c r="K15" s="92">
        <f t="shared" si="1"/>
        <v>7285.1830000000009</v>
      </c>
      <c r="L15" s="92">
        <f t="shared" si="1"/>
        <v>7039.2369999999992</v>
      </c>
      <c r="M15" s="92">
        <f t="shared" si="1"/>
        <v>7176.74</v>
      </c>
      <c r="N15" s="92">
        <f t="shared" si="1"/>
        <v>7181.7430000000004</v>
      </c>
      <c r="O15" s="55"/>
      <c r="Z15" s="89"/>
    </row>
    <row r="16" spans="1:26" ht="18">
      <c r="C16" s="91" t="s">
        <v>175</v>
      </c>
      <c r="D16" s="91">
        <v>2008</v>
      </c>
      <c r="E16" s="91">
        <f>D16+1</f>
        <v>2009</v>
      </c>
      <c r="F16" s="91">
        <f t="shared" ref="F16:N16" si="2">E16+1</f>
        <v>2010</v>
      </c>
      <c r="G16" s="91">
        <f t="shared" si="2"/>
        <v>2011</v>
      </c>
      <c r="H16" s="91">
        <f t="shared" si="2"/>
        <v>2012</v>
      </c>
      <c r="I16" s="91">
        <f t="shared" si="2"/>
        <v>2013</v>
      </c>
      <c r="J16" s="91">
        <f t="shared" si="2"/>
        <v>2014</v>
      </c>
      <c r="K16" s="91">
        <f t="shared" si="2"/>
        <v>2015</v>
      </c>
      <c r="L16" s="91">
        <f t="shared" si="2"/>
        <v>2016</v>
      </c>
      <c r="M16" s="91">
        <f t="shared" si="2"/>
        <v>2017</v>
      </c>
      <c r="N16" s="91">
        <f t="shared" si="2"/>
        <v>2018</v>
      </c>
      <c r="O16" s="55"/>
      <c r="P16" s="89"/>
      <c r="Z16" s="89"/>
    </row>
    <row r="17" spans="2:26" ht="18">
      <c r="B17" s="16" t="s">
        <v>193</v>
      </c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55"/>
      <c r="P17" s="89"/>
      <c r="Z17" s="89"/>
    </row>
    <row r="18" spans="2:26" ht="18">
      <c r="B18" s="37" t="s">
        <v>176</v>
      </c>
      <c r="C18" s="37" t="s">
        <v>80</v>
      </c>
      <c r="D18" s="85">
        <v>135.22999999999999</v>
      </c>
      <c r="E18" s="85">
        <v>98.7</v>
      </c>
      <c r="F18" s="85">
        <v>130.68</v>
      </c>
      <c r="G18" s="85">
        <v>118.08</v>
      </c>
      <c r="H18" s="85">
        <v>114.72</v>
      </c>
      <c r="I18" s="85">
        <v>102.71</v>
      </c>
      <c r="J18" s="85">
        <v>265.52</v>
      </c>
      <c r="K18" s="85">
        <v>259.74</v>
      </c>
      <c r="L18" s="85">
        <v>259.11</v>
      </c>
      <c r="M18" s="85">
        <v>263.45</v>
      </c>
      <c r="N18" s="85">
        <v>269.10000000000002</v>
      </c>
      <c r="O18" s="55"/>
      <c r="P18" s="89"/>
      <c r="Z18" s="89"/>
    </row>
    <row r="19" spans="2:26" ht="18">
      <c r="B19" s="37" t="s">
        <v>177</v>
      </c>
      <c r="C19" s="37" t="s">
        <v>80</v>
      </c>
      <c r="D19" s="85">
        <v>122.55</v>
      </c>
      <c r="E19" s="85">
        <v>77.3</v>
      </c>
      <c r="F19" s="85">
        <v>97.74</v>
      </c>
      <c r="G19" s="85">
        <v>109.47</v>
      </c>
      <c r="H19" s="85">
        <v>102.65</v>
      </c>
      <c r="I19" s="85">
        <v>94.45</v>
      </c>
      <c r="J19" s="85">
        <v>255.89</v>
      </c>
      <c r="K19" s="85">
        <v>247.26</v>
      </c>
      <c r="L19" s="85">
        <v>241.76</v>
      </c>
      <c r="M19" s="85">
        <v>244.93</v>
      </c>
      <c r="N19" s="85">
        <v>252.66</v>
      </c>
      <c r="O19" s="55"/>
      <c r="P19" s="89"/>
      <c r="Z19" s="89"/>
    </row>
    <row r="20" spans="2:26" ht="18">
      <c r="B20" s="37" t="s">
        <v>178</v>
      </c>
      <c r="C20" s="37" t="s">
        <v>80</v>
      </c>
      <c r="D20" s="85">
        <v>128.49</v>
      </c>
      <c r="E20" s="85">
        <v>78.599999999999994</v>
      </c>
      <c r="F20" s="85">
        <v>98.07</v>
      </c>
      <c r="G20" s="85">
        <v>92.82</v>
      </c>
      <c r="H20" s="85">
        <v>97.46</v>
      </c>
      <c r="I20" s="85">
        <v>103.63</v>
      </c>
      <c r="J20" s="85">
        <v>254.85</v>
      </c>
      <c r="K20" s="85">
        <v>244.66</v>
      </c>
      <c r="L20" s="85">
        <v>243.9</v>
      </c>
      <c r="M20" s="85">
        <v>263.74</v>
      </c>
      <c r="N20" s="85">
        <v>229.56</v>
      </c>
      <c r="O20" s="55"/>
      <c r="P20" s="89"/>
      <c r="Z20" s="89"/>
    </row>
    <row r="21" spans="2:26" ht="18">
      <c r="B21" s="37" t="s">
        <v>179</v>
      </c>
      <c r="C21" s="37" t="s">
        <v>80</v>
      </c>
      <c r="D21" s="85">
        <v>86.88</v>
      </c>
      <c r="E21" s="85">
        <v>50.8</v>
      </c>
      <c r="F21" s="85">
        <v>75.349999999999994</v>
      </c>
      <c r="G21" s="85">
        <v>68.44</v>
      </c>
      <c r="H21" s="85">
        <v>74.14</v>
      </c>
      <c r="I21" s="85">
        <v>82.08</v>
      </c>
      <c r="J21" s="85">
        <v>233.01</v>
      </c>
      <c r="K21" s="85">
        <v>220.48</v>
      </c>
      <c r="L21" s="85">
        <v>221.81</v>
      </c>
      <c r="M21" s="85">
        <v>222.35</v>
      </c>
      <c r="N21" s="85">
        <v>110.79</v>
      </c>
      <c r="O21" s="55"/>
      <c r="P21" s="89"/>
      <c r="Z21" s="89"/>
    </row>
    <row r="22" spans="2:26" ht="18">
      <c r="B22" s="37" t="s">
        <v>180</v>
      </c>
      <c r="C22" s="37" t="s">
        <v>80</v>
      </c>
      <c r="D22" s="85">
        <v>66.08</v>
      </c>
      <c r="E22" s="85">
        <v>40.5</v>
      </c>
      <c r="F22" s="85">
        <v>71.819999999999993</v>
      </c>
      <c r="G22" s="85">
        <v>52.08</v>
      </c>
      <c r="H22" s="85">
        <v>59.89</v>
      </c>
      <c r="I22" s="85">
        <v>67.13</v>
      </c>
      <c r="J22" s="85">
        <v>187.65</v>
      </c>
      <c r="K22" s="85">
        <v>202.11</v>
      </c>
      <c r="L22" s="85">
        <v>198.85</v>
      </c>
      <c r="M22" s="85">
        <v>195.28</v>
      </c>
      <c r="N22" s="85">
        <v>90.74</v>
      </c>
      <c r="O22" s="55"/>
      <c r="P22" s="89"/>
      <c r="Z22" s="89"/>
    </row>
    <row r="23" spans="2:26" ht="18">
      <c r="B23" s="37" t="s">
        <v>181</v>
      </c>
      <c r="C23" s="37" t="s">
        <v>80</v>
      </c>
      <c r="D23" s="85">
        <v>45.08</v>
      </c>
      <c r="E23" s="85">
        <v>30.3</v>
      </c>
      <c r="F23" s="85">
        <v>47.7</v>
      </c>
      <c r="G23" s="85">
        <v>38.08</v>
      </c>
      <c r="H23" s="85">
        <v>32.32</v>
      </c>
      <c r="I23" s="85">
        <v>38.799999999999997</v>
      </c>
      <c r="J23" s="85">
        <v>143.43</v>
      </c>
      <c r="K23" s="85">
        <v>160.84</v>
      </c>
      <c r="L23" s="85">
        <v>158.24</v>
      </c>
      <c r="M23" s="85">
        <v>153.76</v>
      </c>
      <c r="N23" s="85">
        <v>155</v>
      </c>
      <c r="O23" s="55"/>
      <c r="P23" s="89"/>
      <c r="Z23" s="89"/>
    </row>
    <row r="24" spans="2:26" ht="18">
      <c r="B24" s="37" t="s">
        <v>182</v>
      </c>
      <c r="C24" s="37" t="s">
        <v>80</v>
      </c>
      <c r="D24" s="85">
        <v>37.14</v>
      </c>
      <c r="E24" s="85">
        <v>19</v>
      </c>
      <c r="F24" s="85">
        <v>44.57</v>
      </c>
      <c r="G24" s="85">
        <v>30.38</v>
      </c>
      <c r="H24" s="85">
        <v>31.14</v>
      </c>
      <c r="I24" s="85">
        <v>27.29</v>
      </c>
      <c r="J24" s="85">
        <v>158.25</v>
      </c>
      <c r="K24" s="85">
        <v>175.65</v>
      </c>
      <c r="L24" s="85">
        <v>167.7</v>
      </c>
      <c r="M24" s="85">
        <v>177.05</v>
      </c>
      <c r="N24" s="85">
        <v>172.64</v>
      </c>
      <c r="O24" s="55"/>
      <c r="P24" s="89"/>
      <c r="Z24" s="89"/>
    </row>
    <row r="25" spans="2:26" ht="18">
      <c r="B25" s="37" t="s">
        <v>183</v>
      </c>
      <c r="C25" s="37" t="s">
        <v>80</v>
      </c>
      <c r="D25" s="85">
        <v>41.36</v>
      </c>
      <c r="E25" s="85">
        <v>25.6</v>
      </c>
      <c r="F25" s="85">
        <v>40.18</v>
      </c>
      <c r="G25" s="85">
        <v>26.88</v>
      </c>
      <c r="H25" s="85">
        <v>25.79</v>
      </c>
      <c r="I25" s="85">
        <v>32.19</v>
      </c>
      <c r="J25" s="85">
        <v>155.33000000000001</v>
      </c>
      <c r="K25" s="85">
        <v>172.32</v>
      </c>
      <c r="L25" s="85">
        <v>169.03</v>
      </c>
      <c r="M25" s="85">
        <v>182.98</v>
      </c>
      <c r="N25" s="85">
        <v>170.69</v>
      </c>
      <c r="O25" s="55"/>
      <c r="P25" s="89"/>
      <c r="Z25" s="89"/>
    </row>
    <row r="26" spans="2:26" ht="18">
      <c r="B26" s="37" t="s">
        <v>184</v>
      </c>
      <c r="C26" s="37" t="s">
        <v>80</v>
      </c>
      <c r="D26" s="85">
        <v>45.83</v>
      </c>
      <c r="E26" s="85">
        <v>42.9</v>
      </c>
      <c r="F26" s="85">
        <v>43.12</v>
      </c>
      <c r="G26" s="85">
        <v>29.87</v>
      </c>
      <c r="H26" s="85">
        <v>34.46</v>
      </c>
      <c r="I26" s="85">
        <v>41.36</v>
      </c>
      <c r="J26" s="85">
        <v>173.47</v>
      </c>
      <c r="K26" s="85">
        <v>171.49</v>
      </c>
      <c r="L26" s="85">
        <v>168.09</v>
      </c>
      <c r="M26" s="85">
        <v>183.58</v>
      </c>
      <c r="N26" s="85">
        <v>179.53</v>
      </c>
      <c r="O26" s="55"/>
      <c r="P26" s="89"/>
      <c r="Z26" s="89"/>
    </row>
    <row r="27" spans="2:26" ht="18">
      <c r="B27" s="37" t="s">
        <v>185</v>
      </c>
      <c r="C27" s="37" t="s">
        <v>80</v>
      </c>
      <c r="D27" s="85">
        <v>78.41</v>
      </c>
      <c r="E27" s="85">
        <v>75.7</v>
      </c>
      <c r="F27" s="85">
        <v>73.91</v>
      </c>
      <c r="G27" s="85">
        <v>46.02</v>
      </c>
      <c r="H27" s="85">
        <v>58.31</v>
      </c>
      <c r="I27" s="85">
        <v>59.05</v>
      </c>
      <c r="J27" s="85">
        <v>195.24</v>
      </c>
      <c r="K27" s="85">
        <v>195.49</v>
      </c>
      <c r="L27" s="85">
        <v>204.15</v>
      </c>
      <c r="M27" s="85">
        <v>192.68</v>
      </c>
      <c r="N27" s="85">
        <v>208.3</v>
      </c>
      <c r="O27" s="55"/>
      <c r="P27" s="89"/>
      <c r="Z27" s="89"/>
    </row>
    <row r="28" spans="2:26" ht="18">
      <c r="B28" s="37" t="s">
        <v>186</v>
      </c>
      <c r="C28" s="37" t="s">
        <v>80</v>
      </c>
      <c r="D28" s="85">
        <v>97.81</v>
      </c>
      <c r="E28" s="85">
        <v>95.3</v>
      </c>
      <c r="F28" s="85">
        <v>90.31</v>
      </c>
      <c r="G28" s="85">
        <v>67.22</v>
      </c>
      <c r="H28" s="85">
        <v>85.02</v>
      </c>
      <c r="I28" s="85">
        <v>85.36</v>
      </c>
      <c r="J28" s="85">
        <v>218.22</v>
      </c>
      <c r="K28" s="85">
        <v>262.35000000000002</v>
      </c>
      <c r="L28" s="85">
        <v>226.59</v>
      </c>
      <c r="M28" s="85">
        <v>233.16</v>
      </c>
      <c r="N28" s="85">
        <v>218.84</v>
      </c>
      <c r="O28" s="55"/>
      <c r="P28" s="89"/>
      <c r="Z28" s="89"/>
    </row>
    <row r="29" spans="2:26" ht="18.350000000000001" thickBot="1">
      <c r="B29" s="60" t="s">
        <v>187</v>
      </c>
      <c r="C29" s="60" t="s">
        <v>80</v>
      </c>
      <c r="D29" s="140">
        <v>102.37</v>
      </c>
      <c r="E29" s="140">
        <v>115.8</v>
      </c>
      <c r="F29" s="140">
        <v>96.11</v>
      </c>
      <c r="G29" s="140">
        <v>100.18</v>
      </c>
      <c r="H29" s="140">
        <v>101.81</v>
      </c>
      <c r="I29" s="140">
        <v>123.11</v>
      </c>
      <c r="J29" s="140">
        <v>240</v>
      </c>
      <c r="K29" s="140">
        <v>244.03</v>
      </c>
      <c r="L29" s="140">
        <v>270.58</v>
      </c>
      <c r="M29" s="140">
        <v>261.02</v>
      </c>
      <c r="N29" s="140">
        <v>263.27</v>
      </c>
      <c r="O29" s="55"/>
      <c r="P29" s="89"/>
      <c r="Y29" s="89"/>
      <c r="Z29" s="89"/>
    </row>
    <row r="30" spans="2:26" ht="18">
      <c r="B30" s="92" t="s">
        <v>380</v>
      </c>
      <c r="C30" s="92" t="s">
        <v>188</v>
      </c>
      <c r="D30" s="92">
        <f>SUM(D18:D29)</f>
        <v>987.23000000000013</v>
      </c>
      <c r="E30" s="92">
        <f t="shared" ref="E30" si="3">SUM(E18:E29)</f>
        <v>750.49999999999989</v>
      </c>
      <c r="F30" s="92">
        <f t="shared" ref="F30" si="4">SUM(F18:F29)</f>
        <v>909.56000000000006</v>
      </c>
      <c r="G30" s="92">
        <f t="shared" ref="G30" si="5">SUM(G18:G29)</f>
        <v>779.52</v>
      </c>
      <c r="H30" s="92">
        <f t="shared" ref="H30" si="6">SUM(H18:H29)</f>
        <v>817.70999999999981</v>
      </c>
      <c r="I30" s="92">
        <f t="shared" ref="I30" si="7">SUM(I18:I29)</f>
        <v>857.16</v>
      </c>
      <c r="J30" s="92">
        <f t="shared" ref="J30" si="8">SUM(J18:J29)</f>
        <v>2480.86</v>
      </c>
      <c r="K30" s="92">
        <f t="shared" ref="K30" si="9">SUM(K18:K29)</f>
        <v>2556.42</v>
      </c>
      <c r="L30" s="92">
        <f t="shared" ref="L30" si="10">SUM(L18:L29)</f>
        <v>2529.81</v>
      </c>
      <c r="M30" s="92">
        <f t="shared" ref="M30" si="11">SUM(M18:M29)</f>
        <v>2573.9799999999996</v>
      </c>
      <c r="N30" s="92">
        <f t="shared" ref="N30" si="12">SUM(N18:N29)</f>
        <v>2321.12</v>
      </c>
      <c r="O30" s="55"/>
    </row>
    <row r="31" spans="2:26" ht="18">
      <c r="B31" s="87" t="s">
        <v>379</v>
      </c>
      <c r="C31" s="59" t="s">
        <v>188</v>
      </c>
      <c r="D31" s="68">
        <f t="shared" ref="D31:N31" si="13">D15+D30</f>
        <v>7280.8730000000005</v>
      </c>
      <c r="E31" s="68">
        <f t="shared" si="13"/>
        <v>6862.5939999999991</v>
      </c>
      <c r="F31" s="68">
        <f t="shared" si="13"/>
        <v>6916.0160000000005</v>
      </c>
      <c r="G31" s="68">
        <f t="shared" si="13"/>
        <v>7066.1310000000012</v>
      </c>
      <c r="H31" s="68">
        <f t="shared" si="13"/>
        <v>7258.4089999999997</v>
      </c>
      <c r="I31" s="68">
        <f t="shared" si="13"/>
        <v>7514.204999999999</v>
      </c>
      <c r="J31" s="68">
        <f t="shared" si="13"/>
        <v>9418.3809999999994</v>
      </c>
      <c r="K31" s="68">
        <f t="shared" si="13"/>
        <v>9841.603000000001</v>
      </c>
      <c r="L31" s="68">
        <f t="shared" si="13"/>
        <v>9569.0469999999987</v>
      </c>
      <c r="M31" s="68">
        <f t="shared" si="13"/>
        <v>9750.7199999999993</v>
      </c>
      <c r="N31" s="68">
        <f t="shared" si="13"/>
        <v>9502.8630000000012</v>
      </c>
      <c r="O31" s="55"/>
    </row>
    <row r="32" spans="2:26" ht="18">
      <c r="B32" s="87" t="s">
        <v>377</v>
      </c>
      <c r="C32" s="59" t="s">
        <v>188</v>
      </c>
      <c r="D32" s="55"/>
      <c r="E32" s="55">
        <f t="shared" ref="E32:N32" si="14">E31-D31</f>
        <v>-418.27900000000136</v>
      </c>
      <c r="F32" s="55">
        <f t="shared" si="14"/>
        <v>53.42200000000139</v>
      </c>
      <c r="G32" s="55">
        <f t="shared" si="14"/>
        <v>150.11500000000069</v>
      </c>
      <c r="H32" s="55">
        <f t="shared" si="14"/>
        <v>192.27799999999843</v>
      </c>
      <c r="I32" s="55">
        <f t="shared" si="14"/>
        <v>255.79599999999937</v>
      </c>
      <c r="J32" s="55">
        <f t="shared" si="14"/>
        <v>1904.1760000000004</v>
      </c>
      <c r="K32" s="55">
        <f t="shared" si="14"/>
        <v>423.22200000000157</v>
      </c>
      <c r="L32" s="55">
        <f t="shared" si="14"/>
        <v>-272.55600000000231</v>
      </c>
      <c r="M32" s="55">
        <f t="shared" si="14"/>
        <v>181.67300000000068</v>
      </c>
      <c r="N32" s="55">
        <f t="shared" si="14"/>
        <v>-247.85699999999815</v>
      </c>
      <c r="O32" s="55" t="s">
        <v>967</v>
      </c>
    </row>
    <row r="33" spans="1:24" ht="18">
      <c r="B33" s="87" t="s">
        <v>378</v>
      </c>
      <c r="C33" s="59" t="s">
        <v>65</v>
      </c>
      <c r="D33" s="61"/>
      <c r="E33" s="61"/>
      <c r="F33" s="61">
        <f t="shared" ref="F33:L33" si="15">F32/E31</f>
        <v>7.7845199643169034E-3</v>
      </c>
      <c r="G33" s="61">
        <f t="shared" si="15"/>
        <v>2.1705415372087148E-2</v>
      </c>
      <c r="H33" s="61">
        <f t="shared" si="15"/>
        <v>2.721121360472915E-2</v>
      </c>
      <c r="I33" s="61">
        <f t="shared" si="15"/>
        <v>3.5241331812522467E-2</v>
      </c>
      <c r="J33" s="61">
        <f t="shared" si="15"/>
        <v>0.25341017446290071</v>
      </c>
      <c r="K33" s="61">
        <f t="shared" si="15"/>
        <v>4.493574851134198E-2</v>
      </c>
      <c r="L33" s="61">
        <f t="shared" si="15"/>
        <v>-2.7694268911274137E-2</v>
      </c>
      <c r="M33" s="61">
        <f>M32/L31</f>
        <v>1.8985485179454205E-2</v>
      </c>
      <c r="N33" s="61">
        <f>N32/M31</f>
        <v>-2.5419353647730441E-2</v>
      </c>
      <c r="O33" s="134">
        <f>(N31/D31)^(1/(10))-1</f>
        <v>2.6992096193176884E-2</v>
      </c>
    </row>
    <row r="34" spans="1:24">
      <c r="C34" s="39"/>
      <c r="E34" s="46"/>
      <c r="F34" s="46"/>
      <c r="G34" s="46"/>
      <c r="H34" s="46"/>
      <c r="I34" s="46"/>
      <c r="J34" s="46"/>
      <c r="K34" s="46"/>
      <c r="L34" s="46"/>
      <c r="M34" s="46"/>
      <c r="N34" s="46"/>
    </row>
    <row r="36" spans="1:24" ht="18">
      <c r="A36" s="56" t="s">
        <v>56</v>
      </c>
      <c r="B36" s="39"/>
    </row>
    <row r="37" spans="1:24" s="10" customFormat="1" ht="18">
      <c r="A37" s="62" t="s">
        <v>190</v>
      </c>
      <c r="B37" s="142"/>
      <c r="O37" s="114"/>
    </row>
    <row r="38" spans="1:24" s="10" customFormat="1" ht="18">
      <c r="A38" s="4" t="s">
        <v>191</v>
      </c>
      <c r="O38" s="114"/>
      <c r="X38" s="42"/>
    </row>
    <row r="39" spans="1:24">
      <c r="B39" s="39"/>
    </row>
  </sheetData>
  <pageMargins left="0.7" right="0.7" top="0.75" bottom="0.75" header="0.3" footer="0.3"/>
  <ignoredErrors>
    <ignoredError sqref="D30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1F12-1751-854F-BB83-28075BFB2930}">
  <sheetPr codeName="Sheet12"/>
  <dimension ref="A1:Z125"/>
  <sheetViews>
    <sheetView topLeftCell="A20" workbookViewId="0">
      <selection activeCell="O33" sqref="O33"/>
    </sheetView>
  </sheetViews>
  <sheetFormatPr defaultColWidth="10.83203125" defaultRowHeight="15.7"/>
  <cols>
    <col min="1" max="1" width="4.83203125" style="42" customWidth="1"/>
    <col min="2" max="2" width="49.83203125" style="42" customWidth="1"/>
    <col min="3" max="14" width="10.83203125" style="42"/>
    <col min="15" max="15" width="10.83203125" style="114"/>
    <col min="16" max="16" width="10.83203125" style="42"/>
    <col min="17" max="17" width="10.6640625" customWidth="1"/>
    <col min="18" max="16384" width="10.83203125" style="42"/>
  </cols>
  <sheetData>
    <row r="1" spans="1:16" s="26" customFormat="1" ht="36">
      <c r="A1" s="51" t="s">
        <v>97</v>
      </c>
      <c r="B1" s="128" t="s">
        <v>950</v>
      </c>
      <c r="C1" s="16" t="s">
        <v>175</v>
      </c>
      <c r="D1" s="16">
        <v>2008</v>
      </c>
      <c r="E1" s="16">
        <f t="shared" ref="E1:N1" si="0">D1+1</f>
        <v>2009</v>
      </c>
      <c r="F1" s="16">
        <f t="shared" si="0"/>
        <v>2010</v>
      </c>
      <c r="G1" s="16">
        <f t="shared" si="0"/>
        <v>2011</v>
      </c>
      <c r="H1" s="16">
        <f t="shared" si="0"/>
        <v>2012</v>
      </c>
      <c r="I1" s="16">
        <f t="shared" si="0"/>
        <v>2013</v>
      </c>
      <c r="J1" s="16">
        <f t="shared" si="0"/>
        <v>2014</v>
      </c>
      <c r="K1" s="16">
        <f t="shared" si="0"/>
        <v>2015</v>
      </c>
      <c r="L1" s="16">
        <f t="shared" si="0"/>
        <v>2016</v>
      </c>
      <c r="M1" s="16">
        <f t="shared" si="0"/>
        <v>2017</v>
      </c>
      <c r="N1" s="16">
        <f t="shared" si="0"/>
        <v>2018</v>
      </c>
      <c r="O1" s="16" t="s">
        <v>968</v>
      </c>
    </row>
    <row r="2" spans="1:16" s="26" customFormat="1" ht="20.7">
      <c r="A2" s="51"/>
      <c r="B2" s="16" t="s">
        <v>192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37"/>
    </row>
    <row r="3" spans="1:16" ht="18">
      <c r="B3" s="37" t="s">
        <v>176</v>
      </c>
      <c r="C3" s="37" t="s">
        <v>66</v>
      </c>
      <c r="D3" s="85">
        <v>1289</v>
      </c>
      <c r="E3" s="85">
        <v>1390</v>
      </c>
      <c r="F3" s="85">
        <v>1253</v>
      </c>
      <c r="G3" s="85">
        <v>1278.0999999999999</v>
      </c>
      <c r="H3" s="85">
        <v>1385.2</v>
      </c>
      <c r="I3" s="85">
        <v>1377.5</v>
      </c>
      <c r="J3" s="85">
        <v>1534.8</v>
      </c>
      <c r="K3" s="85">
        <v>1493.31</v>
      </c>
      <c r="L3" s="85">
        <v>1491.64</v>
      </c>
      <c r="M3" s="85">
        <v>1534.63</v>
      </c>
      <c r="N3" s="85">
        <v>1502.54</v>
      </c>
      <c r="O3" s="55"/>
    </row>
    <row r="4" spans="1:16" ht="18">
      <c r="B4" s="37" t="s">
        <v>177</v>
      </c>
      <c r="C4" s="37" t="s">
        <v>66</v>
      </c>
      <c r="D4" s="85">
        <v>1212</v>
      </c>
      <c r="E4" s="85">
        <v>1375</v>
      </c>
      <c r="F4" s="85">
        <v>1305</v>
      </c>
      <c r="G4" s="85">
        <v>1292</v>
      </c>
      <c r="H4" s="85">
        <v>1350.4</v>
      </c>
      <c r="I4" s="85">
        <v>1374.2</v>
      </c>
      <c r="J4" s="85">
        <v>1513.01</v>
      </c>
      <c r="K4" s="85">
        <v>1503.26</v>
      </c>
      <c r="L4" s="85">
        <v>1446.77</v>
      </c>
      <c r="M4" s="85">
        <v>1539.92</v>
      </c>
      <c r="N4" s="85">
        <v>1473.42</v>
      </c>
      <c r="O4" s="134"/>
    </row>
    <row r="5" spans="1:16" ht="18">
      <c r="B5" s="37" t="s">
        <v>178</v>
      </c>
      <c r="C5" s="37" t="s">
        <v>66</v>
      </c>
      <c r="D5" s="85">
        <v>1207</v>
      </c>
      <c r="E5" s="85">
        <v>1294</v>
      </c>
      <c r="F5" s="85">
        <v>1142.3</v>
      </c>
      <c r="G5" s="85">
        <v>1200.3</v>
      </c>
      <c r="H5" s="85">
        <v>1341.4</v>
      </c>
      <c r="I5" s="85">
        <v>1271.9000000000001</v>
      </c>
      <c r="J5" s="85">
        <v>1485.95</v>
      </c>
      <c r="K5" s="85">
        <v>1544.33</v>
      </c>
      <c r="L5" s="85">
        <v>1432.62</v>
      </c>
      <c r="M5" s="85">
        <v>1487.21</v>
      </c>
      <c r="N5" s="85">
        <v>1309.6199999999999</v>
      </c>
      <c r="O5" s="55"/>
    </row>
    <row r="6" spans="1:16" ht="18">
      <c r="B6" s="37" t="s">
        <v>179</v>
      </c>
      <c r="C6" s="37" t="s">
        <v>66</v>
      </c>
      <c r="D6" s="85">
        <v>1184</v>
      </c>
      <c r="E6" s="85">
        <v>997</v>
      </c>
      <c r="F6" s="85">
        <v>1019.1</v>
      </c>
      <c r="G6" s="85">
        <v>1130.2</v>
      </c>
      <c r="H6" s="85">
        <v>1135.5</v>
      </c>
      <c r="I6" s="85">
        <v>1106.9000000000001</v>
      </c>
      <c r="J6" s="85">
        <v>1236.8</v>
      </c>
      <c r="K6" s="85">
        <v>1271.44</v>
      </c>
      <c r="L6" s="85">
        <v>1277.1099999999999</v>
      </c>
      <c r="M6" s="85">
        <v>1253.01</v>
      </c>
      <c r="N6" s="85">
        <v>1206.7</v>
      </c>
      <c r="O6" s="55"/>
    </row>
    <row r="7" spans="1:16" ht="18">
      <c r="B7" s="37" t="s">
        <v>180</v>
      </c>
      <c r="C7" s="37" t="s">
        <v>66</v>
      </c>
      <c r="D7" s="85">
        <v>965.3</v>
      </c>
      <c r="E7" s="85">
        <v>870</v>
      </c>
      <c r="F7" s="85">
        <v>885.1</v>
      </c>
      <c r="G7" s="85">
        <v>959.6</v>
      </c>
      <c r="H7" s="85">
        <v>1028.7</v>
      </c>
      <c r="I7" s="85">
        <v>942.7</v>
      </c>
      <c r="J7" s="85">
        <v>1031.8399999999999</v>
      </c>
      <c r="K7" s="85">
        <v>1045.67</v>
      </c>
      <c r="L7" s="85">
        <v>999.75</v>
      </c>
      <c r="M7" s="85">
        <v>1111.07</v>
      </c>
      <c r="N7" s="85">
        <v>1004.24</v>
      </c>
      <c r="O7" s="55"/>
    </row>
    <row r="8" spans="1:16" ht="18">
      <c r="B8" s="37" t="s">
        <v>181</v>
      </c>
      <c r="C8" s="37" t="s">
        <v>66</v>
      </c>
      <c r="D8" s="85">
        <v>759</v>
      </c>
      <c r="E8" s="85">
        <v>781</v>
      </c>
      <c r="F8" s="85">
        <v>853.2</v>
      </c>
      <c r="G8" s="85">
        <v>821.5</v>
      </c>
      <c r="H8" s="85">
        <v>865.5</v>
      </c>
      <c r="I8" s="85">
        <v>842.9</v>
      </c>
      <c r="J8" s="85">
        <v>831.85</v>
      </c>
      <c r="K8" s="85">
        <v>892.29</v>
      </c>
      <c r="L8" s="85">
        <v>927.6</v>
      </c>
      <c r="M8" s="85">
        <v>917.01</v>
      </c>
      <c r="N8" s="85">
        <v>1044.57</v>
      </c>
      <c r="O8" s="55"/>
    </row>
    <row r="9" spans="1:16" ht="18">
      <c r="B9" s="37" t="s">
        <v>182</v>
      </c>
      <c r="C9" s="37" t="s">
        <v>66</v>
      </c>
      <c r="D9" s="85">
        <v>678</v>
      </c>
      <c r="E9" s="85">
        <v>686</v>
      </c>
      <c r="F9" s="85">
        <v>685.2</v>
      </c>
      <c r="G9" s="85">
        <v>680.3</v>
      </c>
      <c r="H9" s="85">
        <v>666.7</v>
      </c>
      <c r="I9" s="85">
        <v>646.79999999999995</v>
      </c>
      <c r="J9" s="85">
        <v>661.88</v>
      </c>
      <c r="K9" s="85">
        <v>768.55</v>
      </c>
      <c r="L9" s="85">
        <v>763.7</v>
      </c>
      <c r="M9" s="85">
        <v>702.73</v>
      </c>
      <c r="N9" s="85">
        <v>697.21</v>
      </c>
      <c r="O9" s="55"/>
    </row>
    <row r="10" spans="1:16" ht="18">
      <c r="B10" s="37" t="s">
        <v>183</v>
      </c>
      <c r="C10" s="37" t="s">
        <v>66</v>
      </c>
      <c r="D10" s="85">
        <v>879</v>
      </c>
      <c r="E10" s="85">
        <v>659</v>
      </c>
      <c r="F10" s="85">
        <v>635.9</v>
      </c>
      <c r="G10" s="85">
        <v>681.9</v>
      </c>
      <c r="H10" s="85">
        <v>689.3</v>
      </c>
      <c r="I10" s="85">
        <v>679.5</v>
      </c>
      <c r="J10" s="85">
        <v>682</v>
      </c>
      <c r="K10" s="85" t="s">
        <v>142</v>
      </c>
      <c r="L10" s="85">
        <v>693.81</v>
      </c>
      <c r="M10" s="85">
        <v>702.27</v>
      </c>
      <c r="N10" s="85">
        <v>678.7</v>
      </c>
      <c r="O10" s="55"/>
    </row>
    <row r="11" spans="1:16" ht="18">
      <c r="B11" s="37" t="s">
        <v>184</v>
      </c>
      <c r="C11" s="37" t="s">
        <v>66</v>
      </c>
      <c r="D11" s="85">
        <v>782</v>
      </c>
      <c r="E11" s="85">
        <v>736</v>
      </c>
      <c r="F11" s="85">
        <v>732.4</v>
      </c>
      <c r="G11" s="85">
        <v>751.4</v>
      </c>
      <c r="H11" s="85">
        <v>667.1</v>
      </c>
      <c r="I11" s="85">
        <v>717.9</v>
      </c>
      <c r="J11" s="85">
        <v>848.91</v>
      </c>
      <c r="K11" s="85">
        <v>836.04</v>
      </c>
      <c r="L11" s="85">
        <v>859.01</v>
      </c>
      <c r="M11" s="85">
        <v>762.2</v>
      </c>
      <c r="N11" s="85">
        <v>895.39</v>
      </c>
      <c r="O11" s="55"/>
    </row>
    <row r="12" spans="1:16" ht="18">
      <c r="B12" s="37" t="s">
        <v>185</v>
      </c>
      <c r="C12" s="37" t="s">
        <v>66</v>
      </c>
      <c r="D12" s="85">
        <v>965</v>
      </c>
      <c r="E12" s="85">
        <v>1021</v>
      </c>
      <c r="F12" s="85">
        <v>881.5</v>
      </c>
      <c r="G12" s="85">
        <v>969.2</v>
      </c>
      <c r="H12" s="85">
        <v>952.7</v>
      </c>
      <c r="I12" s="85">
        <v>1004.7</v>
      </c>
      <c r="J12" s="85">
        <v>939.9</v>
      </c>
      <c r="K12" s="85">
        <v>1083.3499999999999</v>
      </c>
      <c r="L12" s="85">
        <v>1046.68</v>
      </c>
      <c r="M12" s="85">
        <v>1051.47</v>
      </c>
      <c r="N12" s="85">
        <v>1022.82</v>
      </c>
      <c r="O12" s="55"/>
    </row>
    <row r="13" spans="1:16" ht="18">
      <c r="B13" s="37" t="s">
        <v>186</v>
      </c>
      <c r="C13" s="37" t="s">
        <v>66</v>
      </c>
      <c r="D13" s="85">
        <v>1089</v>
      </c>
      <c r="E13" s="85">
        <v>1055</v>
      </c>
      <c r="F13" s="85">
        <v>1180.7</v>
      </c>
      <c r="G13" s="85">
        <v>1175.5</v>
      </c>
      <c r="H13" s="85">
        <v>1206.9000000000001</v>
      </c>
      <c r="I13" s="85">
        <v>1194</v>
      </c>
      <c r="J13" s="85">
        <v>1257.96</v>
      </c>
      <c r="K13" s="85">
        <v>1390.79</v>
      </c>
      <c r="L13" s="85">
        <v>1191.76</v>
      </c>
      <c r="M13" s="85">
        <v>1254.8900000000001</v>
      </c>
      <c r="N13" s="85">
        <v>1306.5899999999999</v>
      </c>
      <c r="O13" s="55"/>
    </row>
    <row r="14" spans="1:16" ht="18.350000000000001" thickBot="1">
      <c r="B14" s="60" t="s">
        <v>187</v>
      </c>
      <c r="C14" s="60" t="s">
        <v>66</v>
      </c>
      <c r="D14" s="85">
        <v>1323</v>
      </c>
      <c r="E14" s="85">
        <v>1267.9000000000001</v>
      </c>
      <c r="F14" s="85">
        <v>1206.7</v>
      </c>
      <c r="G14" s="85">
        <v>1398.8</v>
      </c>
      <c r="H14" s="85">
        <v>1307.4000000000001</v>
      </c>
      <c r="I14" s="85">
        <v>1500.8</v>
      </c>
      <c r="J14" s="85">
        <v>1500.38</v>
      </c>
      <c r="K14" s="85">
        <v>1549.78</v>
      </c>
      <c r="L14" s="85">
        <v>1520.99</v>
      </c>
      <c r="M14" s="85">
        <v>1484.75</v>
      </c>
      <c r="N14" s="85">
        <v>1470.37</v>
      </c>
      <c r="O14" s="55"/>
    </row>
    <row r="15" spans="1:16" ht="18">
      <c r="B15" s="92" t="s">
        <v>386</v>
      </c>
      <c r="C15" s="59" t="s">
        <v>93</v>
      </c>
      <c r="D15" s="92">
        <f>MAX(D3:D14)</f>
        <v>1323</v>
      </c>
      <c r="E15" s="92">
        <f t="shared" ref="E15" si="1">MAX(E3:E14)</f>
        <v>1390</v>
      </c>
      <c r="F15" s="92">
        <f t="shared" ref="F15" si="2">MAX(F3:F14)</f>
        <v>1305</v>
      </c>
      <c r="G15" s="92">
        <f t="shared" ref="G15" si="3">MAX(G3:G14)</f>
        <v>1398.8</v>
      </c>
      <c r="H15" s="92">
        <f t="shared" ref="H15" si="4">MAX(H3:H14)</f>
        <v>1385.2</v>
      </c>
      <c r="I15" s="92">
        <f t="shared" ref="I15" si="5">MAX(I3:I14)</f>
        <v>1500.8</v>
      </c>
      <c r="J15" s="92">
        <f t="shared" ref="J15" si="6">MAX(J3:J14)</f>
        <v>1534.8</v>
      </c>
      <c r="K15" s="92">
        <f t="shared" ref="K15" si="7">MAX(K3:K14)</f>
        <v>1549.78</v>
      </c>
      <c r="L15" s="92">
        <f t="shared" ref="L15" si="8">MAX(L3:L14)</f>
        <v>1520.99</v>
      </c>
      <c r="M15" s="92">
        <f t="shared" ref="M15" si="9">MAX(M3:M14)</f>
        <v>1539.92</v>
      </c>
      <c r="N15" s="92">
        <f t="shared" ref="N15" si="10">MAX(N3:N14)</f>
        <v>1502.54</v>
      </c>
      <c r="O15" s="55"/>
    </row>
    <row r="16" spans="1:16" ht="18">
      <c r="B16" s="91"/>
      <c r="C16" s="91" t="s">
        <v>175</v>
      </c>
      <c r="D16" s="91">
        <v>2008</v>
      </c>
      <c r="E16" s="91">
        <f t="shared" ref="E16:N16" si="11">D16+1</f>
        <v>2009</v>
      </c>
      <c r="F16" s="91">
        <f t="shared" si="11"/>
        <v>2010</v>
      </c>
      <c r="G16" s="91">
        <f t="shared" si="11"/>
        <v>2011</v>
      </c>
      <c r="H16" s="91">
        <f t="shared" si="11"/>
        <v>2012</v>
      </c>
      <c r="I16" s="91">
        <f t="shared" si="11"/>
        <v>2013</v>
      </c>
      <c r="J16" s="91">
        <f t="shared" si="11"/>
        <v>2014</v>
      </c>
      <c r="K16" s="91">
        <f t="shared" si="11"/>
        <v>2015</v>
      </c>
      <c r="L16" s="91">
        <f t="shared" si="11"/>
        <v>2016</v>
      </c>
      <c r="M16" s="91">
        <f t="shared" si="11"/>
        <v>2017</v>
      </c>
      <c r="N16" s="91">
        <f t="shared" si="11"/>
        <v>2018</v>
      </c>
      <c r="O16" s="55"/>
      <c r="P16" s="89"/>
    </row>
    <row r="17" spans="2:17" ht="18">
      <c r="B17" s="91" t="s">
        <v>193</v>
      </c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55"/>
      <c r="P17" s="89"/>
      <c r="Q17" s="42"/>
    </row>
    <row r="18" spans="2:17" ht="18">
      <c r="B18" s="37" t="s">
        <v>176</v>
      </c>
      <c r="C18" s="37" t="s">
        <v>66</v>
      </c>
      <c r="D18" s="85">
        <v>441.33</v>
      </c>
      <c r="E18" s="85">
        <v>402.25</v>
      </c>
      <c r="F18" s="85">
        <v>433.5</v>
      </c>
      <c r="G18" s="85">
        <v>416.32</v>
      </c>
      <c r="H18" s="85">
        <v>416.72</v>
      </c>
      <c r="I18" s="85">
        <v>408.84</v>
      </c>
      <c r="J18" s="85">
        <v>413.14</v>
      </c>
      <c r="K18" s="85">
        <v>409.54</v>
      </c>
      <c r="L18" s="85">
        <v>402.18</v>
      </c>
      <c r="M18" s="85">
        <v>413.4</v>
      </c>
      <c r="N18" s="85">
        <v>420.21</v>
      </c>
      <c r="O18" s="55"/>
      <c r="P18" s="89"/>
      <c r="Q18" s="42"/>
    </row>
    <row r="19" spans="2:17" ht="18">
      <c r="B19" s="37" t="s">
        <v>177</v>
      </c>
      <c r="C19" s="37" t="s">
        <v>66</v>
      </c>
      <c r="D19" s="85">
        <v>411.37</v>
      </c>
      <c r="E19" s="85">
        <v>371.6</v>
      </c>
      <c r="F19" s="85">
        <v>434.4</v>
      </c>
      <c r="G19" s="85">
        <v>433.39</v>
      </c>
      <c r="H19" s="85">
        <v>408.89</v>
      </c>
      <c r="I19" s="85">
        <v>412.61</v>
      </c>
      <c r="J19" s="85">
        <v>416.6</v>
      </c>
      <c r="K19" s="85">
        <v>410.64</v>
      </c>
      <c r="L19" s="85">
        <v>412.38</v>
      </c>
      <c r="M19" s="85">
        <v>413.37</v>
      </c>
      <c r="N19" s="85">
        <v>412.74</v>
      </c>
      <c r="O19" s="55"/>
      <c r="P19" s="89"/>
      <c r="Q19" s="42"/>
    </row>
    <row r="20" spans="2:17" ht="18">
      <c r="B20" s="37" t="s">
        <v>178</v>
      </c>
      <c r="C20" s="37" t="s">
        <v>66</v>
      </c>
      <c r="D20" s="85">
        <v>421.19</v>
      </c>
      <c r="E20" s="85">
        <v>361.17</v>
      </c>
      <c r="F20" s="85">
        <v>378.57</v>
      </c>
      <c r="G20" s="85">
        <v>381.18</v>
      </c>
      <c r="H20" s="85">
        <v>402.85</v>
      </c>
      <c r="I20" s="85">
        <v>427.07</v>
      </c>
      <c r="J20" s="85">
        <v>417.81</v>
      </c>
      <c r="K20" s="85">
        <v>394.59</v>
      </c>
      <c r="L20" s="85">
        <v>390.07</v>
      </c>
      <c r="M20" s="85">
        <v>400.37</v>
      </c>
      <c r="N20" s="85">
        <v>386.47</v>
      </c>
      <c r="O20" s="55"/>
      <c r="P20" s="89"/>
      <c r="Q20" s="42"/>
    </row>
    <row r="21" spans="2:17" ht="18">
      <c r="B21" s="37" t="s">
        <v>179</v>
      </c>
      <c r="C21" s="37" t="s">
        <v>66</v>
      </c>
      <c r="D21" s="85">
        <v>383.14</v>
      </c>
      <c r="E21" s="85">
        <v>306.05</v>
      </c>
      <c r="F21" s="85">
        <v>339.66</v>
      </c>
      <c r="G21" s="85">
        <v>283.25</v>
      </c>
      <c r="H21" s="85">
        <v>350.74</v>
      </c>
      <c r="I21" s="85">
        <v>375.49</v>
      </c>
      <c r="J21" s="85">
        <v>359.65</v>
      </c>
      <c r="K21" s="85">
        <v>372.58</v>
      </c>
      <c r="L21" s="85">
        <v>363.72</v>
      </c>
      <c r="M21" s="85">
        <v>372.25</v>
      </c>
      <c r="N21" s="85">
        <v>216.86</v>
      </c>
      <c r="O21" s="55"/>
      <c r="P21" s="89"/>
      <c r="Q21" s="42"/>
    </row>
    <row r="22" spans="2:17" ht="18">
      <c r="B22" s="37" t="s">
        <v>180</v>
      </c>
      <c r="C22" s="37" t="s">
        <v>66</v>
      </c>
      <c r="D22" s="85">
        <v>320.7</v>
      </c>
      <c r="E22" s="85">
        <v>267.60000000000002</v>
      </c>
      <c r="F22" s="85">
        <v>342.91</v>
      </c>
      <c r="G22" s="85">
        <v>311.98</v>
      </c>
      <c r="H22" s="85">
        <v>326.82</v>
      </c>
      <c r="I22" s="85">
        <v>315.64</v>
      </c>
      <c r="J22" s="85">
        <v>309.01</v>
      </c>
      <c r="K22" s="85">
        <v>321.2</v>
      </c>
      <c r="L22" s="85">
        <v>319.95999999999998</v>
      </c>
      <c r="M22" s="85">
        <v>319.42</v>
      </c>
      <c r="N22" s="85">
        <v>150.88999999999999</v>
      </c>
      <c r="O22" s="55"/>
      <c r="P22" s="89"/>
      <c r="Q22" s="42"/>
    </row>
    <row r="23" spans="2:17" ht="18">
      <c r="B23" s="37" t="s">
        <v>181</v>
      </c>
      <c r="C23" s="37" t="s">
        <v>66</v>
      </c>
      <c r="D23" s="85">
        <v>282.10000000000002</v>
      </c>
      <c r="E23" s="85">
        <v>274.77</v>
      </c>
      <c r="F23" s="85">
        <v>314.39999999999998</v>
      </c>
      <c r="G23" s="85">
        <v>276.26</v>
      </c>
      <c r="H23" s="85">
        <v>278.11</v>
      </c>
      <c r="I23" s="85">
        <v>312.95999999999998</v>
      </c>
      <c r="J23" s="85">
        <v>252.96</v>
      </c>
      <c r="K23" s="85">
        <v>295.13</v>
      </c>
      <c r="L23" s="85">
        <v>273.08</v>
      </c>
      <c r="M23" s="85">
        <v>269.75</v>
      </c>
      <c r="N23" s="85">
        <v>281.27</v>
      </c>
      <c r="O23" s="55"/>
      <c r="P23" s="89"/>
      <c r="Q23" s="42"/>
    </row>
    <row r="24" spans="2:17" ht="18">
      <c r="B24" s="37" t="s">
        <v>182</v>
      </c>
      <c r="C24" s="37" t="s">
        <v>66</v>
      </c>
      <c r="D24" s="85">
        <v>276.22000000000003</v>
      </c>
      <c r="E24" s="85">
        <v>59.46</v>
      </c>
      <c r="F24" s="85">
        <v>296.42</v>
      </c>
      <c r="G24" s="85">
        <v>269.52999999999997</v>
      </c>
      <c r="H24" s="85">
        <v>270.75</v>
      </c>
      <c r="I24" s="85">
        <v>265.52</v>
      </c>
      <c r="J24" s="85">
        <v>240.92</v>
      </c>
      <c r="K24" s="85">
        <v>267.76</v>
      </c>
      <c r="L24" s="85">
        <v>263.14999999999998</v>
      </c>
      <c r="M24" s="85">
        <v>274.33</v>
      </c>
      <c r="N24" s="85">
        <v>281.14</v>
      </c>
      <c r="O24" s="55"/>
      <c r="P24" s="89"/>
      <c r="Q24" s="42"/>
    </row>
    <row r="25" spans="2:17" ht="18">
      <c r="B25" s="37" t="s">
        <v>183</v>
      </c>
      <c r="C25" s="37" t="s">
        <v>66</v>
      </c>
      <c r="D25" s="85">
        <v>285.86</v>
      </c>
      <c r="E25" s="85">
        <v>277.07</v>
      </c>
      <c r="F25" s="85">
        <v>267.95</v>
      </c>
      <c r="G25" s="85">
        <v>261.12</v>
      </c>
      <c r="H25" s="85">
        <v>247.19</v>
      </c>
      <c r="I25" s="85">
        <v>267.32</v>
      </c>
      <c r="J25" s="85">
        <v>236.85</v>
      </c>
      <c r="K25" s="85">
        <v>271.79000000000002</v>
      </c>
      <c r="L25" s="85">
        <v>254.9</v>
      </c>
      <c r="M25" s="85">
        <v>274.89999999999998</v>
      </c>
      <c r="N25" s="85">
        <v>271.24</v>
      </c>
      <c r="O25" s="55"/>
      <c r="P25" s="89"/>
      <c r="Q25" s="42"/>
    </row>
    <row r="26" spans="2:17" ht="18">
      <c r="B26" s="37" t="s">
        <v>184</v>
      </c>
      <c r="C26" s="37" t="s">
        <v>66</v>
      </c>
      <c r="D26" s="85">
        <v>315.76</v>
      </c>
      <c r="E26" s="85">
        <v>297.5</v>
      </c>
      <c r="F26" s="85">
        <v>259.14999999999998</v>
      </c>
      <c r="G26" s="85">
        <v>262.16000000000003</v>
      </c>
      <c r="H26" s="85">
        <v>285.36</v>
      </c>
      <c r="I26" s="85">
        <v>267.26</v>
      </c>
      <c r="J26" s="85">
        <v>279.06</v>
      </c>
      <c r="K26" s="85">
        <v>280.08</v>
      </c>
      <c r="L26" s="85">
        <v>283.13</v>
      </c>
      <c r="M26" s="85">
        <v>287.88</v>
      </c>
      <c r="N26" s="85">
        <v>287.38</v>
      </c>
      <c r="O26" s="55"/>
      <c r="P26" s="89"/>
      <c r="Q26" s="42"/>
    </row>
    <row r="27" spans="2:17" ht="18">
      <c r="B27" s="37" t="s">
        <v>185</v>
      </c>
      <c r="C27" s="37" t="s">
        <v>66</v>
      </c>
      <c r="D27" s="85">
        <v>352.47</v>
      </c>
      <c r="E27" s="85">
        <v>313.39</v>
      </c>
      <c r="F27" s="85">
        <v>331.74</v>
      </c>
      <c r="G27" s="85">
        <v>293.39</v>
      </c>
      <c r="H27" s="85">
        <v>294.74</v>
      </c>
      <c r="I27" s="85">
        <v>345.01</v>
      </c>
      <c r="J27" s="85">
        <v>301.56</v>
      </c>
      <c r="K27" s="85">
        <v>322.26</v>
      </c>
      <c r="L27" s="85">
        <v>327.67</v>
      </c>
      <c r="M27" s="85">
        <v>311.60000000000002</v>
      </c>
      <c r="N27" s="85">
        <v>328.81</v>
      </c>
      <c r="O27" s="55"/>
      <c r="P27" s="89"/>
      <c r="Q27" s="42"/>
    </row>
    <row r="28" spans="2:17" ht="18">
      <c r="B28" s="37" t="s">
        <v>186</v>
      </c>
      <c r="C28" s="37" t="s">
        <v>66</v>
      </c>
      <c r="D28" s="85" t="s">
        <v>382</v>
      </c>
      <c r="E28" s="85">
        <v>370.64</v>
      </c>
      <c r="F28" s="85">
        <v>377.97</v>
      </c>
      <c r="G28" s="85">
        <v>323.75</v>
      </c>
      <c r="H28" s="85">
        <v>379.75</v>
      </c>
      <c r="I28" s="85">
        <v>375.16</v>
      </c>
      <c r="J28" s="85">
        <v>378.71</v>
      </c>
      <c r="K28" s="85">
        <v>360.39</v>
      </c>
      <c r="L28" s="85">
        <v>373.65</v>
      </c>
      <c r="M28" s="85">
        <v>360.27</v>
      </c>
      <c r="N28" s="85">
        <v>370.96</v>
      </c>
      <c r="O28" s="55"/>
      <c r="P28" s="89"/>
      <c r="Q28" s="42"/>
    </row>
    <row r="29" spans="2:17" ht="18.350000000000001" thickBot="1">
      <c r="B29" s="60" t="s">
        <v>187</v>
      </c>
      <c r="C29" s="60" t="s">
        <v>66</v>
      </c>
      <c r="D29" s="85">
        <v>405.75</v>
      </c>
      <c r="E29" s="85">
        <v>411.23</v>
      </c>
      <c r="F29" s="85">
        <v>396.9</v>
      </c>
      <c r="G29" s="85">
        <v>410.04</v>
      </c>
      <c r="H29" s="85">
        <v>390.57</v>
      </c>
      <c r="I29" s="85">
        <v>427.92</v>
      </c>
      <c r="J29" s="85">
        <v>375.66</v>
      </c>
      <c r="K29" s="85">
        <v>388.62</v>
      </c>
      <c r="L29" s="85">
        <v>417.33</v>
      </c>
      <c r="M29" s="85">
        <v>408.32</v>
      </c>
      <c r="N29" s="85">
        <v>415.31299999999999</v>
      </c>
      <c r="O29" s="55"/>
      <c r="P29" s="89"/>
      <c r="Q29" s="42"/>
    </row>
    <row r="30" spans="2:17" ht="18">
      <c r="B30" s="92" t="s">
        <v>387</v>
      </c>
      <c r="C30" s="59" t="s">
        <v>93</v>
      </c>
      <c r="D30" s="92">
        <f>MAX(D18:D29)</f>
        <v>441.33</v>
      </c>
      <c r="E30" s="92">
        <f t="shared" ref="E30:N30" si="12">MAX(E18:E29)</f>
        <v>411.23</v>
      </c>
      <c r="F30" s="92">
        <f t="shared" si="12"/>
        <v>434.4</v>
      </c>
      <c r="G30" s="92">
        <f t="shared" si="12"/>
        <v>433.39</v>
      </c>
      <c r="H30" s="92">
        <f t="shared" si="12"/>
        <v>416.72</v>
      </c>
      <c r="I30" s="92">
        <f t="shared" si="12"/>
        <v>427.92</v>
      </c>
      <c r="J30" s="92">
        <f t="shared" si="12"/>
        <v>417.81</v>
      </c>
      <c r="K30" s="92">
        <f t="shared" si="12"/>
        <v>410.64</v>
      </c>
      <c r="L30" s="92">
        <f t="shared" si="12"/>
        <v>417.33</v>
      </c>
      <c r="M30" s="92">
        <f t="shared" si="12"/>
        <v>413.4</v>
      </c>
      <c r="N30" s="92">
        <f t="shared" si="12"/>
        <v>420.21</v>
      </c>
      <c r="O30" s="55"/>
      <c r="Q30" s="42"/>
    </row>
    <row r="31" spans="2:17" ht="18">
      <c r="B31" s="87" t="s">
        <v>383</v>
      </c>
      <c r="C31" s="59" t="s">
        <v>196</v>
      </c>
      <c r="D31" s="141">
        <f>D15+D30</f>
        <v>1764.33</v>
      </c>
      <c r="E31" s="141">
        <f t="shared" ref="E31:N31" si="13">E15+E30</f>
        <v>1801.23</v>
      </c>
      <c r="F31" s="141">
        <f t="shared" si="13"/>
        <v>1739.4</v>
      </c>
      <c r="G31" s="141">
        <f t="shared" si="13"/>
        <v>1832.19</v>
      </c>
      <c r="H31" s="141">
        <f t="shared" si="13"/>
        <v>1801.92</v>
      </c>
      <c r="I31" s="141">
        <f t="shared" si="13"/>
        <v>1928.72</v>
      </c>
      <c r="J31" s="141">
        <f t="shared" si="13"/>
        <v>1952.61</v>
      </c>
      <c r="K31" s="141">
        <f t="shared" si="13"/>
        <v>1960.42</v>
      </c>
      <c r="L31" s="141">
        <f t="shared" si="13"/>
        <v>1938.32</v>
      </c>
      <c r="M31" s="141">
        <f t="shared" si="13"/>
        <v>1953.3200000000002</v>
      </c>
      <c r="N31" s="141">
        <f t="shared" si="13"/>
        <v>1922.75</v>
      </c>
      <c r="O31" s="55"/>
      <c r="Q31" s="42"/>
    </row>
    <row r="32" spans="2:17" ht="18">
      <c r="B32" s="87" t="s">
        <v>384</v>
      </c>
      <c r="C32" s="59" t="s">
        <v>188</v>
      </c>
      <c r="D32" s="55"/>
      <c r="E32" s="55">
        <f t="shared" ref="E32:N32" si="14">E31-D31</f>
        <v>36.900000000000091</v>
      </c>
      <c r="F32" s="55">
        <f t="shared" si="14"/>
        <v>-61.829999999999927</v>
      </c>
      <c r="G32" s="55">
        <f t="shared" si="14"/>
        <v>92.789999999999964</v>
      </c>
      <c r="H32" s="55">
        <f t="shared" si="14"/>
        <v>-30.269999999999982</v>
      </c>
      <c r="I32" s="55">
        <f t="shared" si="14"/>
        <v>126.79999999999995</v>
      </c>
      <c r="J32" s="55">
        <f t="shared" si="14"/>
        <v>23.889999999999873</v>
      </c>
      <c r="K32" s="55">
        <f t="shared" si="14"/>
        <v>7.8100000000001728</v>
      </c>
      <c r="L32" s="55">
        <f t="shared" si="14"/>
        <v>-22.100000000000136</v>
      </c>
      <c r="M32" s="55">
        <f t="shared" si="14"/>
        <v>15.000000000000227</v>
      </c>
      <c r="N32" s="55">
        <f t="shared" si="14"/>
        <v>-30.570000000000164</v>
      </c>
      <c r="O32" s="55" t="s">
        <v>967</v>
      </c>
      <c r="Q32" s="42"/>
    </row>
    <row r="33" spans="1:26" ht="18">
      <c r="B33" s="87" t="s">
        <v>385</v>
      </c>
      <c r="C33" s="59" t="s">
        <v>65</v>
      </c>
      <c r="D33" s="61"/>
      <c r="E33" s="61"/>
      <c r="F33" s="61">
        <f t="shared" ref="F33:L33" si="15">F32/E31</f>
        <v>-3.4326543528588757E-2</v>
      </c>
      <c r="G33" s="61">
        <f t="shared" si="15"/>
        <v>5.334598137288718E-2</v>
      </c>
      <c r="H33" s="61">
        <f t="shared" si="15"/>
        <v>-1.6521212319682992E-2</v>
      </c>
      <c r="I33" s="61">
        <f t="shared" si="15"/>
        <v>7.0369383768424762E-2</v>
      </c>
      <c r="J33" s="61">
        <f t="shared" si="15"/>
        <v>1.2386453191754051E-2</v>
      </c>
      <c r="K33" s="61">
        <f t="shared" si="15"/>
        <v>3.9997746605825914E-3</v>
      </c>
      <c r="L33" s="61">
        <f t="shared" si="15"/>
        <v>-1.127309454096578E-2</v>
      </c>
      <c r="M33" s="61">
        <f>M32/L31</f>
        <v>7.7386602831319021E-3</v>
      </c>
      <c r="N33" s="61">
        <f>N32/M31</f>
        <v>-1.565027747629685E-2</v>
      </c>
      <c r="O33" s="134">
        <f>(N31/D31)^(1/(10))-1</f>
        <v>8.635617465102996E-3</v>
      </c>
      <c r="Q33" s="42"/>
    </row>
    <row r="34" spans="1:26">
      <c r="C34" s="39"/>
      <c r="E34" s="46"/>
      <c r="F34" s="46"/>
      <c r="G34" s="46"/>
      <c r="H34" s="46"/>
      <c r="I34" s="46"/>
      <c r="J34" s="46"/>
      <c r="K34" s="46"/>
      <c r="L34" s="46"/>
      <c r="M34" s="46"/>
      <c r="N34" s="46"/>
      <c r="Q34" s="42"/>
    </row>
    <row r="35" spans="1:26">
      <c r="Q35" s="42"/>
    </row>
    <row r="36" spans="1:26" ht="18">
      <c r="A36" s="56" t="s">
        <v>56</v>
      </c>
      <c r="B36" s="39"/>
      <c r="Q36" s="42"/>
    </row>
    <row r="37" spans="1:26" s="10" customFormat="1" ht="18">
      <c r="A37" s="62" t="s">
        <v>190</v>
      </c>
      <c r="B37" s="142"/>
      <c r="O37" s="114"/>
    </row>
    <row r="38" spans="1:26" s="10" customFormat="1" ht="18">
      <c r="A38" s="62" t="s">
        <v>191</v>
      </c>
      <c r="B38" s="142"/>
      <c r="O38" s="114"/>
      <c r="Z38" s="42"/>
    </row>
    <row r="39" spans="1:26" s="10" customFormat="1" ht="18">
      <c r="A39" s="143" t="s">
        <v>198</v>
      </c>
      <c r="B39" s="142"/>
      <c r="O39" s="114"/>
    </row>
    <row r="40" spans="1:26" s="10" customFormat="1" ht="18">
      <c r="A40" s="4" t="s">
        <v>199</v>
      </c>
      <c r="B40" s="4"/>
      <c r="O40" s="114"/>
      <c r="Z40" s="42"/>
    </row>
    <row r="41" spans="1:26">
      <c r="B41" s="39"/>
      <c r="Q41" s="42"/>
    </row>
    <row r="42" spans="1:26">
      <c r="Q42" s="42"/>
    </row>
    <row r="43" spans="1:26">
      <c r="Q43" s="42"/>
    </row>
    <row r="44" spans="1:26">
      <c r="Q44" s="42"/>
    </row>
    <row r="45" spans="1:26">
      <c r="Q45" s="42"/>
    </row>
    <row r="46" spans="1:26">
      <c r="Q46" s="42"/>
    </row>
    <row r="47" spans="1:26">
      <c r="Q47" s="42"/>
    </row>
    <row r="48" spans="1:26">
      <c r="Q48" s="42"/>
    </row>
    <row r="49" spans="17:17">
      <c r="Q49" s="42"/>
    </row>
    <row r="50" spans="17:17">
      <c r="Q50" s="42"/>
    </row>
    <row r="51" spans="17:17">
      <c r="Q51" s="42"/>
    </row>
    <row r="52" spans="17:17">
      <c r="Q52" s="42"/>
    </row>
    <row r="53" spans="17:17">
      <c r="Q53" s="42"/>
    </row>
    <row r="54" spans="17:17">
      <c r="Q54" s="42"/>
    </row>
    <row r="55" spans="17:17">
      <c r="Q55" s="42"/>
    </row>
    <row r="56" spans="17:17">
      <c r="Q56" s="42"/>
    </row>
    <row r="57" spans="17:17">
      <c r="Q57" s="42"/>
    </row>
    <row r="58" spans="17:17">
      <c r="Q58" s="42"/>
    </row>
    <row r="59" spans="17:17">
      <c r="Q59" s="42"/>
    </row>
    <row r="60" spans="17:17">
      <c r="Q60" s="42"/>
    </row>
    <row r="61" spans="17:17">
      <c r="Q61" s="42"/>
    </row>
    <row r="62" spans="17:17">
      <c r="Q62" s="42"/>
    </row>
    <row r="63" spans="17:17">
      <c r="Q63" s="42"/>
    </row>
    <row r="64" spans="17:17">
      <c r="Q64" s="42"/>
    </row>
    <row r="65" spans="17:17">
      <c r="Q65" s="42"/>
    </row>
    <row r="66" spans="17:17">
      <c r="Q66" s="42"/>
    </row>
    <row r="67" spans="17:17">
      <c r="Q67" s="42"/>
    </row>
    <row r="68" spans="17:17">
      <c r="Q68" s="42"/>
    </row>
    <row r="69" spans="17:17">
      <c r="Q69" s="42"/>
    </row>
    <row r="70" spans="17:17">
      <c r="Q70" s="42"/>
    </row>
    <row r="71" spans="17:17">
      <c r="Q71" s="42"/>
    </row>
    <row r="72" spans="17:17">
      <c r="Q72" s="42"/>
    </row>
    <row r="73" spans="17:17">
      <c r="Q73" s="42"/>
    </row>
    <row r="74" spans="17:17">
      <c r="Q74" s="42"/>
    </row>
    <row r="75" spans="17:17">
      <c r="Q75" s="42"/>
    </row>
    <row r="76" spans="17:17">
      <c r="Q76" s="42"/>
    </row>
    <row r="77" spans="17:17">
      <c r="Q77" s="42"/>
    </row>
    <row r="78" spans="17:17">
      <c r="Q78" s="42"/>
    </row>
    <row r="79" spans="17:17">
      <c r="Q79" s="42"/>
    </row>
    <row r="80" spans="17:17">
      <c r="Q80" s="42"/>
    </row>
    <row r="81" spans="17:17">
      <c r="Q81" s="42"/>
    </row>
    <row r="82" spans="17:17">
      <c r="Q82" s="42"/>
    </row>
    <row r="83" spans="17:17">
      <c r="Q83" s="42"/>
    </row>
    <row r="84" spans="17:17">
      <c r="Q84" s="42"/>
    </row>
    <row r="85" spans="17:17">
      <c r="Q85" s="42"/>
    </row>
    <row r="86" spans="17:17">
      <c r="Q86" s="42"/>
    </row>
    <row r="87" spans="17:17">
      <c r="Q87" s="42"/>
    </row>
    <row r="88" spans="17:17">
      <c r="Q88" s="42"/>
    </row>
    <row r="89" spans="17:17">
      <c r="Q89" s="42"/>
    </row>
    <row r="90" spans="17:17">
      <c r="Q90" s="42"/>
    </row>
    <row r="91" spans="17:17">
      <c r="Q91" s="42"/>
    </row>
    <row r="92" spans="17:17">
      <c r="Q92" s="42"/>
    </row>
    <row r="93" spans="17:17">
      <c r="Q93" s="42"/>
    </row>
    <row r="94" spans="17:17">
      <c r="Q94" s="42"/>
    </row>
    <row r="95" spans="17:17">
      <c r="Q95" s="42"/>
    </row>
    <row r="96" spans="17:17">
      <c r="Q96" s="42"/>
    </row>
    <row r="97" spans="17:17">
      <c r="Q97" s="42"/>
    </row>
    <row r="98" spans="17:17">
      <c r="Q98" s="42"/>
    </row>
    <row r="99" spans="17:17">
      <c r="Q99" s="42"/>
    </row>
    <row r="100" spans="17:17">
      <c r="Q100" s="42"/>
    </row>
    <row r="101" spans="17:17">
      <c r="Q101" s="42"/>
    </row>
    <row r="102" spans="17:17">
      <c r="Q102" s="42"/>
    </row>
    <row r="103" spans="17:17">
      <c r="Q103" s="42"/>
    </row>
    <row r="104" spans="17:17">
      <c r="Q104" s="42"/>
    </row>
    <row r="105" spans="17:17">
      <c r="Q105" s="42"/>
    </row>
    <row r="106" spans="17:17">
      <c r="Q106" s="42"/>
    </row>
    <row r="107" spans="17:17">
      <c r="Q107" s="42"/>
    </row>
    <row r="108" spans="17:17">
      <c r="Q108" s="42"/>
    </row>
    <row r="109" spans="17:17">
      <c r="Q109" s="42"/>
    </row>
    <row r="110" spans="17:17">
      <c r="Q110" s="42"/>
    </row>
    <row r="111" spans="17:17">
      <c r="Q111" s="42"/>
    </row>
    <row r="112" spans="17:17">
      <c r="Q112" s="42"/>
    </row>
    <row r="113" spans="17:17">
      <c r="Q113" s="42"/>
    </row>
    <row r="114" spans="17:17">
      <c r="Q114" s="42"/>
    </row>
    <row r="115" spans="17:17">
      <c r="Q115" s="42"/>
    </row>
    <row r="116" spans="17:17">
      <c r="Q116" s="42"/>
    </row>
    <row r="117" spans="17:17">
      <c r="Q117" s="42"/>
    </row>
    <row r="118" spans="17:17">
      <c r="Q118" s="42"/>
    </row>
    <row r="119" spans="17:17">
      <c r="Q119" s="42"/>
    </row>
    <row r="120" spans="17:17">
      <c r="Q120" s="42"/>
    </row>
    <row r="121" spans="17:17">
      <c r="Q121" s="42"/>
    </row>
    <row r="122" spans="17:17">
      <c r="Q122" s="42"/>
    </row>
    <row r="123" spans="17:17">
      <c r="Q123" s="42"/>
    </row>
    <row r="124" spans="17:17">
      <c r="Q124" s="42"/>
    </row>
    <row r="125" spans="17:17">
      <c r="Q125" s="4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77BA-8388-4C4B-9C9F-FCAF32F26943}">
  <sheetPr codeName="Sheet13"/>
  <dimension ref="A1:AB55"/>
  <sheetViews>
    <sheetView topLeftCell="C23" workbookViewId="0">
      <selection activeCell="R36" sqref="R36"/>
    </sheetView>
  </sheetViews>
  <sheetFormatPr defaultColWidth="10.83203125" defaultRowHeight="15.7"/>
  <cols>
    <col min="1" max="1" width="4.83203125" style="28" customWidth="1"/>
    <col min="2" max="2" width="49.83203125" style="28" customWidth="1"/>
    <col min="3" max="15" width="10.83203125" style="28"/>
    <col min="16" max="17" width="16.83203125" style="114" customWidth="1"/>
    <col min="18" max="18" width="57.5" style="114" customWidth="1"/>
    <col min="19" max="16384" width="10.83203125" style="28"/>
  </cols>
  <sheetData>
    <row r="1" spans="1:28" s="26" customFormat="1" ht="20.7">
      <c r="A1" s="51" t="s">
        <v>97</v>
      </c>
      <c r="B1" s="128" t="s">
        <v>949</v>
      </c>
      <c r="C1" s="16" t="s">
        <v>175</v>
      </c>
      <c r="D1" s="16">
        <v>2019</v>
      </c>
      <c r="E1" s="16">
        <f t="shared" ref="E1:O1" si="0">D1+1</f>
        <v>2020</v>
      </c>
      <c r="F1" s="16">
        <f t="shared" si="0"/>
        <v>2021</v>
      </c>
      <c r="G1" s="16">
        <f t="shared" si="0"/>
        <v>2022</v>
      </c>
      <c r="H1" s="16">
        <f t="shared" si="0"/>
        <v>2023</v>
      </c>
      <c r="I1" s="16">
        <f t="shared" si="0"/>
        <v>2024</v>
      </c>
      <c r="J1" s="16">
        <f t="shared" si="0"/>
        <v>2025</v>
      </c>
      <c r="K1" s="16">
        <f t="shared" si="0"/>
        <v>2026</v>
      </c>
      <c r="L1" s="16">
        <f t="shared" si="0"/>
        <v>2027</v>
      </c>
      <c r="M1" s="16">
        <f t="shared" si="0"/>
        <v>2028</v>
      </c>
      <c r="N1" s="16">
        <f t="shared" si="0"/>
        <v>2029</v>
      </c>
      <c r="O1" s="16">
        <f t="shared" si="0"/>
        <v>2030</v>
      </c>
      <c r="P1" s="16" t="s">
        <v>576</v>
      </c>
      <c r="Q1" s="16" t="s">
        <v>575</v>
      </c>
      <c r="R1" s="16" t="s">
        <v>47</v>
      </c>
    </row>
    <row r="2" spans="1:28" s="26" customFormat="1" ht="20.7">
      <c r="A2" s="51"/>
      <c r="B2" s="16" t="s">
        <v>192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55"/>
      <c r="Q2" s="55"/>
      <c r="R2" s="17"/>
    </row>
    <row r="3" spans="1:28" s="42" customFormat="1" ht="18">
      <c r="B3" s="37" t="s">
        <v>176</v>
      </c>
      <c r="C3" s="37" t="s">
        <v>80</v>
      </c>
      <c r="D3" s="85">
        <v>858</v>
      </c>
      <c r="E3" s="85">
        <v>853.1</v>
      </c>
      <c r="F3" s="85">
        <v>865</v>
      </c>
      <c r="G3" s="85">
        <v>855.7</v>
      </c>
      <c r="H3" s="85">
        <v>853.6</v>
      </c>
      <c r="I3" s="85">
        <v>852.7</v>
      </c>
      <c r="J3" s="85">
        <v>857.3</v>
      </c>
      <c r="K3" s="85">
        <v>861.8</v>
      </c>
      <c r="L3" s="85">
        <v>867.6</v>
      </c>
      <c r="M3" s="85">
        <v>872.7</v>
      </c>
      <c r="N3" s="85">
        <v>877.3</v>
      </c>
      <c r="O3" s="85">
        <v>883</v>
      </c>
      <c r="P3" s="55"/>
      <c r="Q3" s="55"/>
      <c r="R3" s="17"/>
    </row>
    <row r="4" spans="1:28" s="42" customFormat="1" ht="18">
      <c r="B4" s="37" t="s">
        <v>177</v>
      </c>
      <c r="C4" s="37" t="s">
        <v>80</v>
      </c>
      <c r="D4" s="85">
        <v>776.1</v>
      </c>
      <c r="E4" s="85">
        <v>795.2</v>
      </c>
      <c r="F4" s="85">
        <v>779</v>
      </c>
      <c r="G4" s="85">
        <v>779.3</v>
      </c>
      <c r="H4" s="85">
        <v>777.6</v>
      </c>
      <c r="I4" s="85">
        <v>776.8</v>
      </c>
      <c r="J4" s="85">
        <v>780.7</v>
      </c>
      <c r="K4" s="85">
        <v>785.4</v>
      </c>
      <c r="L4" s="85">
        <v>790.4</v>
      </c>
      <c r="M4" s="85">
        <v>795.3</v>
      </c>
      <c r="N4" s="85">
        <v>800.4</v>
      </c>
      <c r="O4" s="85">
        <v>805.5</v>
      </c>
      <c r="P4" s="55"/>
      <c r="Q4" s="55"/>
      <c r="R4" s="17"/>
    </row>
    <row r="5" spans="1:28" s="42" customFormat="1" ht="18">
      <c r="B5" s="37" t="s">
        <v>178</v>
      </c>
      <c r="C5" s="37" t="s">
        <v>80</v>
      </c>
      <c r="D5" s="85">
        <v>778.2</v>
      </c>
      <c r="E5" s="85">
        <v>769.5</v>
      </c>
      <c r="F5" s="85">
        <v>787.8</v>
      </c>
      <c r="G5" s="85">
        <v>777</v>
      </c>
      <c r="H5" s="85">
        <v>775.3</v>
      </c>
      <c r="I5" s="85">
        <v>773.8</v>
      </c>
      <c r="J5" s="85">
        <v>778.3</v>
      </c>
      <c r="K5" s="85">
        <v>783.3</v>
      </c>
      <c r="L5" s="85">
        <v>787.2</v>
      </c>
      <c r="M5" s="85">
        <v>791.7</v>
      </c>
      <c r="N5" s="85">
        <v>797.5</v>
      </c>
      <c r="O5" s="85">
        <v>802.6</v>
      </c>
      <c r="P5" s="55"/>
      <c r="Q5" s="55"/>
      <c r="R5" s="17"/>
    </row>
    <row r="6" spans="1:28" s="42" customFormat="1" ht="18">
      <c r="B6" s="37" t="s">
        <v>179</v>
      </c>
      <c r="C6" s="37" t="s">
        <v>80</v>
      </c>
      <c r="D6" s="85">
        <v>649.5</v>
      </c>
      <c r="E6" s="85">
        <v>643</v>
      </c>
      <c r="F6" s="85">
        <v>632.79999999999995</v>
      </c>
      <c r="G6" s="85">
        <v>648.5</v>
      </c>
      <c r="H6" s="85">
        <v>645.9</v>
      </c>
      <c r="I6" s="85">
        <v>641.6</v>
      </c>
      <c r="J6" s="85">
        <v>648.79999999999995</v>
      </c>
      <c r="K6" s="85">
        <v>652.1</v>
      </c>
      <c r="L6" s="85">
        <v>654.20000000000005</v>
      </c>
      <c r="M6" s="85">
        <v>660.2</v>
      </c>
      <c r="N6" s="85">
        <v>661.3</v>
      </c>
      <c r="O6" s="85">
        <v>665.6</v>
      </c>
      <c r="P6" s="55"/>
      <c r="Q6" s="55"/>
      <c r="R6" s="17"/>
    </row>
    <row r="7" spans="1:28" s="42" customFormat="1" ht="18">
      <c r="B7" s="37" t="s">
        <v>180</v>
      </c>
      <c r="C7" s="37" t="s">
        <v>80</v>
      </c>
      <c r="D7" s="85">
        <v>538.6</v>
      </c>
      <c r="E7" s="85">
        <v>534.29999999999995</v>
      </c>
      <c r="F7" s="85">
        <v>533.6</v>
      </c>
      <c r="G7" s="85">
        <v>547.5</v>
      </c>
      <c r="H7" s="85">
        <v>545</v>
      </c>
      <c r="I7" s="85">
        <v>539.1</v>
      </c>
      <c r="J7" s="85">
        <v>545.5</v>
      </c>
      <c r="K7" s="85">
        <v>545.6</v>
      </c>
      <c r="L7" s="85">
        <v>551.4</v>
      </c>
      <c r="M7" s="85">
        <v>552.70000000000005</v>
      </c>
      <c r="N7" s="85">
        <v>550.20000000000005</v>
      </c>
      <c r="O7" s="85">
        <v>553.79999999999995</v>
      </c>
      <c r="P7" s="55"/>
      <c r="Q7" s="55"/>
      <c r="R7" s="17"/>
    </row>
    <row r="8" spans="1:28" s="42" customFormat="1" ht="18">
      <c r="B8" s="37" t="s">
        <v>181</v>
      </c>
      <c r="C8" s="37" t="s">
        <v>80</v>
      </c>
      <c r="D8" s="85">
        <v>452.9</v>
      </c>
      <c r="E8" s="85">
        <v>457.8</v>
      </c>
      <c r="F8" s="85">
        <v>451.9</v>
      </c>
      <c r="G8" s="85">
        <v>468.6</v>
      </c>
      <c r="H8" s="85">
        <v>465</v>
      </c>
      <c r="I8" s="85">
        <v>467.7</v>
      </c>
      <c r="J8" s="85">
        <v>468.1</v>
      </c>
      <c r="K8" s="85">
        <v>467.9</v>
      </c>
      <c r="L8" s="85">
        <v>476.1</v>
      </c>
      <c r="M8" s="85">
        <v>477</v>
      </c>
      <c r="N8" s="85">
        <v>459.6</v>
      </c>
      <c r="O8" s="85">
        <v>462.4</v>
      </c>
      <c r="P8" s="55"/>
      <c r="Q8" s="55"/>
      <c r="R8" s="17"/>
    </row>
    <row r="9" spans="1:28" s="42" customFormat="1" ht="18">
      <c r="B9" s="37" t="s">
        <v>182</v>
      </c>
      <c r="C9" s="37" t="s">
        <v>80</v>
      </c>
      <c r="D9" s="85">
        <v>411.7</v>
      </c>
      <c r="E9" s="85">
        <v>419.8</v>
      </c>
      <c r="F9" s="85">
        <v>422</v>
      </c>
      <c r="G9" s="85">
        <v>431.7</v>
      </c>
      <c r="H9" s="85">
        <v>429</v>
      </c>
      <c r="I9" s="85">
        <v>431</v>
      </c>
      <c r="J9" s="85">
        <v>433.4</v>
      </c>
      <c r="K9" s="85">
        <v>435.3</v>
      </c>
      <c r="L9" s="85">
        <v>436.3</v>
      </c>
      <c r="M9" s="85">
        <v>438.3</v>
      </c>
      <c r="N9" s="85">
        <v>416.6</v>
      </c>
      <c r="O9" s="85">
        <v>419.2</v>
      </c>
      <c r="P9" s="55"/>
      <c r="Q9" s="55"/>
      <c r="R9" s="17"/>
    </row>
    <row r="10" spans="1:28" s="42" customFormat="1" ht="18">
      <c r="B10" s="37" t="s">
        <v>183</v>
      </c>
      <c r="C10" s="37" t="s">
        <v>80</v>
      </c>
      <c r="D10" s="85">
        <v>396</v>
      </c>
      <c r="E10" s="85">
        <v>410.5</v>
      </c>
      <c r="F10" s="85">
        <v>404.1</v>
      </c>
      <c r="G10" s="85">
        <v>424.9</v>
      </c>
      <c r="H10" s="85">
        <v>422.7</v>
      </c>
      <c r="I10" s="85">
        <v>422.3</v>
      </c>
      <c r="J10" s="85">
        <v>426.1</v>
      </c>
      <c r="K10" s="85">
        <v>426.8</v>
      </c>
      <c r="L10" s="85">
        <v>427.7</v>
      </c>
      <c r="M10" s="85">
        <v>431.9</v>
      </c>
      <c r="N10" s="85">
        <v>407.2</v>
      </c>
      <c r="O10" s="85">
        <v>409.7</v>
      </c>
      <c r="P10" s="55"/>
      <c r="Q10" s="55"/>
      <c r="R10" s="17"/>
    </row>
    <row r="11" spans="1:28" s="42" customFormat="1" ht="18">
      <c r="B11" s="37" t="s">
        <v>184</v>
      </c>
      <c r="C11" s="37" t="s">
        <v>80</v>
      </c>
      <c r="D11" s="85">
        <v>412.9</v>
      </c>
      <c r="E11" s="85">
        <v>422.1</v>
      </c>
      <c r="F11" s="85">
        <v>411.8</v>
      </c>
      <c r="G11" s="85">
        <v>429.8</v>
      </c>
      <c r="H11" s="85">
        <v>427.3</v>
      </c>
      <c r="I11" s="85">
        <v>424.9</v>
      </c>
      <c r="J11" s="85">
        <v>429.9</v>
      </c>
      <c r="K11" s="85">
        <v>430.9</v>
      </c>
      <c r="L11" s="85">
        <v>430.5</v>
      </c>
      <c r="M11" s="85">
        <v>435</v>
      </c>
      <c r="N11" s="85">
        <v>422.3</v>
      </c>
      <c r="O11" s="85">
        <v>424.9</v>
      </c>
      <c r="P11" s="55"/>
      <c r="Q11" s="55"/>
      <c r="R11" s="17"/>
    </row>
    <row r="12" spans="1:28" s="42" customFormat="1" ht="18">
      <c r="B12" s="37" t="s">
        <v>185</v>
      </c>
      <c r="C12" s="37" t="s">
        <v>80</v>
      </c>
      <c r="D12" s="85">
        <v>523.9</v>
      </c>
      <c r="E12" s="85">
        <v>526.5</v>
      </c>
      <c r="F12" s="85">
        <v>522.70000000000005</v>
      </c>
      <c r="G12" s="85">
        <v>534.20000000000005</v>
      </c>
      <c r="H12" s="85">
        <v>542.79999999999995</v>
      </c>
      <c r="I12" s="85">
        <v>547.70000000000005</v>
      </c>
      <c r="J12" s="85">
        <v>541</v>
      </c>
      <c r="K12" s="85">
        <v>543.29999999999995</v>
      </c>
      <c r="L12" s="85">
        <v>552.6</v>
      </c>
      <c r="M12" s="85">
        <v>549.5</v>
      </c>
      <c r="N12" s="85">
        <v>536.1</v>
      </c>
      <c r="O12" s="85">
        <v>539.5</v>
      </c>
      <c r="P12" s="55"/>
      <c r="Q12" s="55"/>
      <c r="R12" s="17"/>
    </row>
    <row r="13" spans="1:28" s="42" customFormat="1" ht="18">
      <c r="B13" s="37" t="s">
        <v>186</v>
      </c>
      <c r="C13" s="37" t="s">
        <v>80</v>
      </c>
      <c r="D13" s="85">
        <v>615</v>
      </c>
      <c r="E13" s="85">
        <v>618.6</v>
      </c>
      <c r="F13" s="85">
        <v>632.4</v>
      </c>
      <c r="G13" s="85">
        <v>625.20000000000005</v>
      </c>
      <c r="H13" s="85">
        <v>623.5</v>
      </c>
      <c r="I13" s="85">
        <v>622.79999999999995</v>
      </c>
      <c r="J13" s="85">
        <v>625.5</v>
      </c>
      <c r="K13" s="85">
        <v>628.79999999999995</v>
      </c>
      <c r="L13" s="85">
        <v>632.20000000000005</v>
      </c>
      <c r="M13" s="85">
        <v>635.4</v>
      </c>
      <c r="N13" s="85">
        <v>629.9</v>
      </c>
      <c r="O13" s="85">
        <v>633.9</v>
      </c>
      <c r="P13" s="55"/>
      <c r="Q13" s="55"/>
      <c r="R13" s="17"/>
    </row>
    <row r="14" spans="1:28" s="42" customFormat="1" ht="18.350000000000001" thickBot="1">
      <c r="B14" s="60" t="s">
        <v>187</v>
      </c>
      <c r="C14" s="90" t="s">
        <v>80</v>
      </c>
      <c r="D14" s="140">
        <v>800</v>
      </c>
      <c r="E14" s="140">
        <v>788.6</v>
      </c>
      <c r="F14" s="140">
        <v>792.2</v>
      </c>
      <c r="G14" s="140">
        <v>802.1</v>
      </c>
      <c r="H14" s="140">
        <v>800.3</v>
      </c>
      <c r="I14" s="140">
        <v>799.2</v>
      </c>
      <c r="J14" s="140">
        <v>803.3</v>
      </c>
      <c r="K14" s="140">
        <v>808.1</v>
      </c>
      <c r="L14" s="140">
        <v>813.3</v>
      </c>
      <c r="M14" s="140">
        <v>817.9</v>
      </c>
      <c r="N14" s="140">
        <v>824.4</v>
      </c>
      <c r="O14" s="140">
        <v>829.6</v>
      </c>
      <c r="P14" s="55"/>
      <c r="Q14" s="55"/>
      <c r="R14" s="17"/>
    </row>
    <row r="15" spans="1:28" s="42" customFormat="1" ht="18">
      <c r="B15" s="92" t="s">
        <v>194</v>
      </c>
      <c r="C15" s="92" t="s">
        <v>188</v>
      </c>
      <c r="D15" s="92">
        <f t="shared" ref="D15:O15" si="1">SUM(D3:D14)</f>
        <v>7212.7999999999993</v>
      </c>
      <c r="E15" s="92">
        <f t="shared" si="1"/>
        <v>7239.0000000000018</v>
      </c>
      <c r="F15" s="92">
        <f t="shared" si="1"/>
        <v>7235.3</v>
      </c>
      <c r="G15" s="92">
        <f t="shared" si="1"/>
        <v>7324.5</v>
      </c>
      <c r="H15" s="92">
        <f t="shared" si="1"/>
        <v>7308</v>
      </c>
      <c r="I15" s="92">
        <f t="shared" si="1"/>
        <v>7299.5999999999995</v>
      </c>
      <c r="J15" s="92">
        <f t="shared" si="1"/>
        <v>7337.9000000000005</v>
      </c>
      <c r="K15" s="92">
        <f t="shared" si="1"/>
        <v>7369.3</v>
      </c>
      <c r="L15" s="92">
        <f t="shared" si="1"/>
        <v>7419.5</v>
      </c>
      <c r="M15" s="92">
        <f t="shared" si="1"/>
        <v>7457.5999999999985</v>
      </c>
      <c r="N15" s="92">
        <f t="shared" si="1"/>
        <v>7382.8</v>
      </c>
      <c r="O15" s="92">
        <f t="shared" si="1"/>
        <v>7429.6999999999989</v>
      </c>
      <c r="P15" s="55"/>
      <c r="Q15" s="55"/>
      <c r="R15" s="17"/>
    </row>
    <row r="16" spans="1:28" s="42" customFormat="1" ht="18">
      <c r="B16" s="91"/>
      <c r="C16" s="91" t="s">
        <v>175</v>
      </c>
      <c r="D16" s="91">
        <v>2019</v>
      </c>
      <c r="E16" s="91">
        <f t="shared" ref="E16" si="2">D16+1</f>
        <v>2020</v>
      </c>
      <c r="F16" s="91">
        <f t="shared" ref="F16" si="3">E16+1</f>
        <v>2021</v>
      </c>
      <c r="G16" s="91">
        <f t="shared" ref="G16" si="4">F16+1</f>
        <v>2022</v>
      </c>
      <c r="H16" s="91">
        <f t="shared" ref="H16" si="5">G16+1</f>
        <v>2023</v>
      </c>
      <c r="I16" s="91">
        <f t="shared" ref="I16" si="6">H16+1</f>
        <v>2024</v>
      </c>
      <c r="J16" s="91">
        <f t="shared" ref="J16" si="7">I16+1</f>
        <v>2025</v>
      </c>
      <c r="K16" s="91">
        <f t="shared" ref="K16" si="8">J16+1</f>
        <v>2026</v>
      </c>
      <c r="L16" s="91">
        <f t="shared" ref="L16" si="9">K16+1</f>
        <v>2027</v>
      </c>
      <c r="M16" s="91">
        <f t="shared" ref="M16" si="10">L16+1</f>
        <v>2028</v>
      </c>
      <c r="N16" s="91">
        <f t="shared" ref="N16" si="11">M16+1</f>
        <v>2029</v>
      </c>
      <c r="O16" s="91">
        <f t="shared" ref="O16" si="12">N16+1</f>
        <v>2030</v>
      </c>
      <c r="P16" s="55"/>
      <c r="Q16" s="55"/>
      <c r="R16" s="17"/>
      <c r="S16" s="89"/>
      <c r="T16" s="89"/>
      <c r="U16" s="89"/>
      <c r="V16" s="89"/>
      <c r="W16" s="89"/>
      <c r="X16" s="89"/>
      <c r="Y16" s="89"/>
      <c r="Z16" s="89"/>
      <c r="AA16" s="89"/>
      <c r="AB16" s="89"/>
    </row>
    <row r="17" spans="2:28" s="42" customFormat="1" ht="18">
      <c r="B17" s="91" t="s">
        <v>193</v>
      </c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55"/>
      <c r="Q17" s="55"/>
      <c r="R17" s="17"/>
      <c r="S17" s="89"/>
      <c r="T17" s="89"/>
      <c r="U17" s="89"/>
      <c r="V17" s="89"/>
      <c r="W17" s="89"/>
      <c r="X17" s="89"/>
      <c r="Y17" s="89"/>
      <c r="Z17" s="89"/>
      <c r="AA17" s="89"/>
      <c r="AB17" s="89"/>
    </row>
    <row r="18" spans="2:28" s="42" customFormat="1" ht="18">
      <c r="B18" s="37" t="s">
        <v>176</v>
      </c>
      <c r="C18" s="37" t="s">
        <v>80</v>
      </c>
      <c r="D18" s="85">
        <v>275.8</v>
      </c>
      <c r="E18" s="85">
        <v>274.10000000000002</v>
      </c>
      <c r="F18" s="85">
        <v>275.8</v>
      </c>
      <c r="G18" s="85">
        <v>273.3</v>
      </c>
      <c r="H18" s="85">
        <v>273.60000000000002</v>
      </c>
      <c r="I18" s="85">
        <v>269.89999999999998</v>
      </c>
      <c r="J18" s="85">
        <v>274.5</v>
      </c>
      <c r="K18" s="85">
        <v>274.8</v>
      </c>
      <c r="L18" s="85">
        <v>275.3</v>
      </c>
      <c r="M18" s="85">
        <v>275.8</v>
      </c>
      <c r="N18" s="85">
        <v>276.10000000000002</v>
      </c>
      <c r="O18" s="85">
        <v>272.39999999999998</v>
      </c>
      <c r="P18" s="55"/>
      <c r="Q18" s="55"/>
      <c r="R18" s="17"/>
      <c r="S18" s="89"/>
      <c r="T18" s="89"/>
      <c r="U18" s="89"/>
      <c r="V18" s="89"/>
      <c r="W18" s="89"/>
      <c r="X18" s="89"/>
      <c r="Y18" s="89"/>
      <c r="Z18" s="89"/>
      <c r="AA18" s="89"/>
      <c r="AB18" s="89"/>
    </row>
    <row r="19" spans="2:28" s="42" customFormat="1" ht="18">
      <c r="B19" s="37" t="s">
        <v>177</v>
      </c>
      <c r="C19" s="37" t="s">
        <v>80</v>
      </c>
      <c r="D19" s="85">
        <v>255.4</v>
      </c>
      <c r="E19" s="85">
        <v>253.8</v>
      </c>
      <c r="F19" s="85">
        <v>255.4</v>
      </c>
      <c r="G19" s="85">
        <v>253.3</v>
      </c>
      <c r="H19" s="85">
        <v>253.4</v>
      </c>
      <c r="I19" s="85">
        <v>251.6</v>
      </c>
      <c r="J19" s="85">
        <v>254.1</v>
      </c>
      <c r="K19" s="85">
        <v>254.6</v>
      </c>
      <c r="L19" s="85">
        <v>254.9</v>
      </c>
      <c r="M19" s="85">
        <v>255.3</v>
      </c>
      <c r="N19" s="85">
        <v>255.7</v>
      </c>
      <c r="O19" s="85">
        <v>253.8</v>
      </c>
      <c r="P19" s="55"/>
      <c r="Q19" s="55"/>
      <c r="R19" s="17"/>
      <c r="S19" s="89"/>
      <c r="T19" s="89"/>
      <c r="U19" s="89"/>
      <c r="V19" s="89"/>
      <c r="W19" s="89"/>
      <c r="X19" s="89"/>
      <c r="Y19" s="89"/>
      <c r="Z19" s="89"/>
      <c r="AA19" s="89"/>
      <c r="AB19" s="89"/>
    </row>
    <row r="20" spans="2:28" s="42" customFormat="1" ht="18">
      <c r="B20" s="37" t="s">
        <v>178</v>
      </c>
      <c r="C20" s="37" t="s">
        <v>80</v>
      </c>
      <c r="D20" s="85">
        <v>258.60000000000002</v>
      </c>
      <c r="E20" s="85">
        <v>257.39999999999998</v>
      </c>
      <c r="F20" s="85">
        <v>258.60000000000002</v>
      </c>
      <c r="G20" s="85">
        <v>256.60000000000002</v>
      </c>
      <c r="H20" s="85">
        <v>256.7</v>
      </c>
      <c r="I20" s="85">
        <v>252.5</v>
      </c>
      <c r="J20" s="85">
        <v>257.5</v>
      </c>
      <c r="K20" s="85">
        <v>257.8</v>
      </c>
      <c r="L20" s="85">
        <v>258.2</v>
      </c>
      <c r="M20" s="85">
        <v>258.60000000000002</v>
      </c>
      <c r="N20" s="85">
        <v>258.89999999999998</v>
      </c>
      <c r="O20" s="85">
        <v>254.5</v>
      </c>
      <c r="P20" s="55"/>
      <c r="Q20" s="55"/>
      <c r="R20" s="17"/>
      <c r="S20" s="89"/>
      <c r="T20" s="89"/>
      <c r="U20" s="89"/>
      <c r="V20" s="89"/>
      <c r="W20" s="89"/>
      <c r="X20" s="89"/>
      <c r="Y20" s="89"/>
      <c r="Z20" s="89"/>
      <c r="AA20" s="89"/>
      <c r="AB20" s="89"/>
    </row>
    <row r="21" spans="2:28" s="42" customFormat="1" ht="18">
      <c r="B21" s="37" t="s">
        <v>179</v>
      </c>
      <c r="C21" s="37" t="s">
        <v>80</v>
      </c>
      <c r="D21" s="85">
        <v>232.2</v>
      </c>
      <c r="E21" s="85">
        <v>230.9</v>
      </c>
      <c r="F21" s="85">
        <v>232.2</v>
      </c>
      <c r="G21" s="85">
        <v>230.3</v>
      </c>
      <c r="H21" s="85">
        <v>230.5</v>
      </c>
      <c r="I21" s="85">
        <v>230.2</v>
      </c>
      <c r="J21" s="85">
        <v>231.2</v>
      </c>
      <c r="K21" s="85">
        <v>231.4</v>
      </c>
      <c r="L21" s="85">
        <v>231.6</v>
      </c>
      <c r="M21" s="85">
        <v>232.1</v>
      </c>
      <c r="N21" s="85">
        <v>232.3</v>
      </c>
      <c r="O21" s="85">
        <v>231.8</v>
      </c>
      <c r="P21" s="55"/>
      <c r="Q21" s="55"/>
      <c r="R21" s="17"/>
      <c r="S21" s="89"/>
      <c r="T21" s="89"/>
      <c r="U21" s="89"/>
      <c r="V21" s="89"/>
      <c r="W21" s="89"/>
      <c r="X21" s="89"/>
      <c r="Y21" s="89"/>
      <c r="Z21" s="89"/>
      <c r="AA21" s="89"/>
      <c r="AB21" s="89"/>
    </row>
    <row r="22" spans="2:28" s="42" customFormat="1" ht="18">
      <c r="B22" s="37" t="s">
        <v>180</v>
      </c>
      <c r="C22" s="37" t="s">
        <v>80</v>
      </c>
      <c r="D22" s="85">
        <v>207</v>
      </c>
      <c r="E22" s="85">
        <v>206.1</v>
      </c>
      <c r="F22" s="85">
        <v>209.2</v>
      </c>
      <c r="G22" s="85">
        <v>205.7</v>
      </c>
      <c r="H22" s="85">
        <v>205.7</v>
      </c>
      <c r="I22" s="85">
        <v>205.9</v>
      </c>
      <c r="J22" s="85">
        <v>206.3</v>
      </c>
      <c r="K22" s="85">
        <v>206.5</v>
      </c>
      <c r="L22" s="85">
        <v>206.6</v>
      </c>
      <c r="M22" s="85">
        <v>206.9</v>
      </c>
      <c r="N22" s="85">
        <v>207</v>
      </c>
      <c r="O22" s="85">
        <v>207.2</v>
      </c>
      <c r="P22" s="55"/>
      <c r="Q22" s="55"/>
      <c r="R22" s="17"/>
      <c r="S22" s="89"/>
      <c r="T22" s="89"/>
      <c r="U22" s="89"/>
      <c r="V22" s="89"/>
      <c r="W22" s="89"/>
      <c r="X22" s="89"/>
      <c r="Y22" s="89"/>
      <c r="Z22" s="89"/>
      <c r="AA22" s="89"/>
      <c r="AB22" s="89"/>
    </row>
    <row r="23" spans="2:28" s="42" customFormat="1" ht="18">
      <c r="B23" s="37" t="s">
        <v>181</v>
      </c>
      <c r="C23" s="37" t="s">
        <v>80</v>
      </c>
      <c r="D23" s="85">
        <v>163.6</v>
      </c>
      <c r="E23" s="85">
        <v>163</v>
      </c>
      <c r="F23" s="85">
        <v>167.8</v>
      </c>
      <c r="G23" s="85">
        <v>162.69999999999999</v>
      </c>
      <c r="H23" s="85">
        <v>162.80000000000001</v>
      </c>
      <c r="I23" s="85">
        <v>162.9</v>
      </c>
      <c r="J23" s="85">
        <v>163</v>
      </c>
      <c r="K23" s="85">
        <v>163.19999999999999</v>
      </c>
      <c r="L23" s="85">
        <v>163.30000000000001</v>
      </c>
      <c r="M23" s="85">
        <v>163.5</v>
      </c>
      <c r="N23" s="85">
        <v>163.6</v>
      </c>
      <c r="O23" s="85">
        <v>163.80000000000001</v>
      </c>
      <c r="P23" s="55"/>
      <c r="Q23" s="55"/>
      <c r="R23" s="17"/>
      <c r="S23" s="89"/>
      <c r="T23" s="89"/>
      <c r="U23" s="89"/>
      <c r="V23" s="89"/>
      <c r="W23" s="89"/>
      <c r="X23" s="89"/>
      <c r="Y23" s="89"/>
      <c r="Z23" s="89"/>
      <c r="AA23" s="89"/>
      <c r="AB23" s="89"/>
    </row>
    <row r="24" spans="2:28" s="42" customFormat="1" ht="18">
      <c r="B24" s="37" t="s">
        <v>182</v>
      </c>
      <c r="C24" s="37" t="s">
        <v>80</v>
      </c>
      <c r="D24" s="85">
        <v>181.5</v>
      </c>
      <c r="E24" s="85">
        <v>180.9</v>
      </c>
      <c r="F24" s="85">
        <v>187.9</v>
      </c>
      <c r="G24" s="85">
        <v>180.6</v>
      </c>
      <c r="H24" s="85">
        <v>180.8</v>
      </c>
      <c r="I24" s="85">
        <v>180.8</v>
      </c>
      <c r="J24" s="85">
        <v>180.9</v>
      </c>
      <c r="K24" s="85">
        <v>181.1</v>
      </c>
      <c r="L24" s="85">
        <v>181.2</v>
      </c>
      <c r="M24" s="85">
        <v>181.4</v>
      </c>
      <c r="N24" s="85">
        <v>181.5</v>
      </c>
      <c r="O24" s="85">
        <v>181.5</v>
      </c>
      <c r="P24" s="55"/>
      <c r="Q24" s="55"/>
      <c r="R24" s="17"/>
      <c r="S24" s="89"/>
      <c r="T24" s="89"/>
      <c r="U24" s="89"/>
      <c r="V24" s="89"/>
      <c r="W24" s="89"/>
      <c r="X24" s="89"/>
      <c r="Y24" s="89"/>
      <c r="Z24" s="89"/>
      <c r="AA24" s="89"/>
      <c r="AB24" s="89"/>
    </row>
    <row r="25" spans="2:28" s="42" customFormat="1" ht="18">
      <c r="B25" s="37" t="s">
        <v>183</v>
      </c>
      <c r="C25" s="37" t="s">
        <v>80</v>
      </c>
      <c r="D25" s="85">
        <v>183.3</v>
      </c>
      <c r="E25" s="85">
        <v>182.7</v>
      </c>
      <c r="F25" s="85">
        <v>189.7</v>
      </c>
      <c r="G25" s="85">
        <v>182.4</v>
      </c>
      <c r="H25" s="85">
        <v>182.6</v>
      </c>
      <c r="I25" s="85">
        <v>182.6</v>
      </c>
      <c r="J25" s="85">
        <v>182.7</v>
      </c>
      <c r="K25" s="85">
        <v>182.9</v>
      </c>
      <c r="L25" s="85">
        <v>183</v>
      </c>
      <c r="M25" s="85">
        <v>183.2</v>
      </c>
      <c r="N25" s="85">
        <v>183.3</v>
      </c>
      <c r="O25" s="85">
        <v>183.3</v>
      </c>
      <c r="P25" s="55"/>
      <c r="Q25" s="55"/>
      <c r="R25" s="17"/>
      <c r="S25" s="89"/>
      <c r="T25" s="89"/>
      <c r="U25" s="89"/>
      <c r="V25" s="89"/>
      <c r="W25" s="89"/>
      <c r="X25" s="89"/>
      <c r="Y25" s="89"/>
      <c r="Z25" s="89"/>
      <c r="AA25" s="89"/>
      <c r="AB25" s="89"/>
    </row>
    <row r="26" spans="2:28" s="42" customFormat="1" ht="18">
      <c r="B26" s="37" t="s">
        <v>184</v>
      </c>
      <c r="C26" s="37" t="s">
        <v>80</v>
      </c>
      <c r="D26" s="85">
        <v>182.7</v>
      </c>
      <c r="E26" s="85">
        <v>181.8</v>
      </c>
      <c r="F26" s="85">
        <v>189</v>
      </c>
      <c r="G26" s="85">
        <v>181.6</v>
      </c>
      <c r="H26" s="85">
        <v>181.7</v>
      </c>
      <c r="I26" s="85">
        <v>182</v>
      </c>
      <c r="J26" s="85">
        <v>182.1</v>
      </c>
      <c r="K26" s="85">
        <v>182.3</v>
      </c>
      <c r="L26" s="85">
        <v>182.4</v>
      </c>
      <c r="M26" s="85">
        <v>182.6</v>
      </c>
      <c r="N26" s="85">
        <v>182.8</v>
      </c>
      <c r="O26" s="85">
        <v>183</v>
      </c>
      <c r="P26" s="55"/>
      <c r="Q26" s="55"/>
      <c r="R26" s="17"/>
      <c r="S26" s="89"/>
      <c r="T26" s="89"/>
      <c r="U26" s="89"/>
      <c r="V26" s="89"/>
      <c r="W26" s="89"/>
      <c r="X26" s="89"/>
      <c r="Y26" s="89"/>
      <c r="Z26" s="89"/>
      <c r="AA26" s="89"/>
      <c r="AB26" s="89"/>
    </row>
    <row r="27" spans="2:28" s="42" customFormat="1" ht="18">
      <c r="B27" s="37" t="s">
        <v>185</v>
      </c>
      <c r="C27" s="37" t="s">
        <v>80</v>
      </c>
      <c r="D27" s="85">
        <v>206.4</v>
      </c>
      <c r="E27" s="85">
        <v>205.4</v>
      </c>
      <c r="F27" s="85">
        <v>212.7</v>
      </c>
      <c r="G27" s="85">
        <v>204.9</v>
      </c>
      <c r="H27" s="85">
        <v>205.1</v>
      </c>
      <c r="I27" s="85">
        <v>205.3</v>
      </c>
      <c r="J27" s="85">
        <v>205.7</v>
      </c>
      <c r="K27" s="85">
        <v>206</v>
      </c>
      <c r="L27" s="85">
        <v>206.1</v>
      </c>
      <c r="M27" s="85">
        <v>206.3</v>
      </c>
      <c r="N27" s="85">
        <v>206.6</v>
      </c>
      <c r="O27" s="85">
        <v>206.8</v>
      </c>
      <c r="P27" s="55"/>
      <c r="Q27" s="55"/>
      <c r="R27" s="17"/>
      <c r="S27" s="89"/>
      <c r="T27" s="89"/>
      <c r="U27" s="89"/>
      <c r="V27" s="89"/>
      <c r="W27" s="89"/>
      <c r="X27" s="89"/>
      <c r="Y27" s="89"/>
      <c r="Z27" s="89"/>
      <c r="AA27" s="89"/>
      <c r="AB27" s="89"/>
    </row>
    <row r="28" spans="2:28" s="42" customFormat="1" ht="18">
      <c r="B28" s="37" t="s">
        <v>186</v>
      </c>
      <c r="C28" s="37" t="s">
        <v>80</v>
      </c>
      <c r="D28" s="85">
        <v>233.5</v>
      </c>
      <c r="E28" s="85">
        <v>232.3</v>
      </c>
      <c r="F28" s="85">
        <v>239.9</v>
      </c>
      <c r="G28" s="85">
        <v>231.7</v>
      </c>
      <c r="H28" s="85">
        <v>232</v>
      </c>
      <c r="I28" s="85">
        <v>232.3</v>
      </c>
      <c r="J28" s="85">
        <v>232.6</v>
      </c>
      <c r="K28" s="85">
        <v>232.9</v>
      </c>
      <c r="L28" s="85">
        <v>233.2</v>
      </c>
      <c r="M28" s="85">
        <v>233.5</v>
      </c>
      <c r="N28" s="85">
        <v>233.8</v>
      </c>
      <c r="O28" s="85">
        <v>234.1</v>
      </c>
      <c r="P28" s="55"/>
      <c r="Q28" s="55"/>
      <c r="R28" s="17"/>
      <c r="S28" s="89"/>
      <c r="T28" s="89"/>
      <c r="U28" s="89"/>
      <c r="V28" s="89"/>
      <c r="W28" s="89"/>
      <c r="X28" s="89"/>
      <c r="Y28" s="89"/>
      <c r="Z28" s="89"/>
      <c r="AA28" s="89"/>
      <c r="AB28" s="89"/>
    </row>
    <row r="29" spans="2:28" s="42" customFormat="1" ht="18.350000000000001" thickBot="1">
      <c r="B29" s="60" t="s">
        <v>187</v>
      </c>
      <c r="C29" s="60" t="s">
        <v>80</v>
      </c>
      <c r="D29" s="140">
        <v>274.5</v>
      </c>
      <c r="E29" s="140">
        <v>272.89999999999998</v>
      </c>
      <c r="F29" s="140">
        <v>280.8</v>
      </c>
      <c r="G29" s="140">
        <v>272.2</v>
      </c>
      <c r="H29" s="140">
        <v>272.39999999999998</v>
      </c>
      <c r="I29" s="140">
        <v>272.8</v>
      </c>
      <c r="J29" s="140">
        <v>273.3</v>
      </c>
      <c r="K29" s="140">
        <v>273.60000000000002</v>
      </c>
      <c r="L29" s="140">
        <v>274</v>
      </c>
      <c r="M29" s="140">
        <v>274.5</v>
      </c>
      <c r="N29" s="140">
        <v>274.89999999999998</v>
      </c>
      <c r="O29" s="140">
        <v>275.2</v>
      </c>
      <c r="P29" s="55"/>
      <c r="Q29" s="55"/>
      <c r="R29" s="17"/>
      <c r="S29" s="89"/>
      <c r="T29" s="89"/>
      <c r="U29" s="89"/>
      <c r="V29" s="89"/>
      <c r="W29" s="89"/>
      <c r="X29" s="89"/>
      <c r="Y29" s="89"/>
      <c r="Z29" s="89"/>
      <c r="AA29" s="89"/>
      <c r="AB29" s="89"/>
    </row>
    <row r="30" spans="2:28" s="42" customFormat="1" ht="18">
      <c r="B30" s="92" t="s">
        <v>195</v>
      </c>
      <c r="C30" s="92" t="s">
        <v>188</v>
      </c>
      <c r="D30" s="92">
        <f t="shared" ref="D30:O30" si="13">SUM(D18:D29)</f>
        <v>2654.5</v>
      </c>
      <c r="E30" s="92">
        <f t="shared" si="13"/>
        <v>2641.3</v>
      </c>
      <c r="F30" s="92">
        <f t="shared" si="13"/>
        <v>2699.0000000000005</v>
      </c>
      <c r="G30" s="92">
        <f t="shared" si="13"/>
        <v>2635.2999999999997</v>
      </c>
      <c r="H30" s="92">
        <f t="shared" si="13"/>
        <v>2637.3</v>
      </c>
      <c r="I30" s="92">
        <f t="shared" si="13"/>
        <v>2628.8000000000006</v>
      </c>
      <c r="J30" s="92">
        <f t="shared" si="13"/>
        <v>2643.9</v>
      </c>
      <c r="K30" s="92">
        <f t="shared" si="13"/>
        <v>2647.1</v>
      </c>
      <c r="L30" s="92">
        <f t="shared" si="13"/>
        <v>2649.8</v>
      </c>
      <c r="M30" s="92">
        <f t="shared" si="13"/>
        <v>2653.7000000000003</v>
      </c>
      <c r="N30" s="92">
        <f t="shared" si="13"/>
        <v>2656.5</v>
      </c>
      <c r="O30" s="92">
        <f t="shared" si="13"/>
        <v>2647.3999999999996</v>
      </c>
      <c r="P30" s="55"/>
      <c r="Q30" s="55"/>
      <c r="R30" s="17"/>
    </row>
    <row r="31" spans="2:28" s="114" customFormat="1" ht="18"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55"/>
      <c r="Q31" s="55"/>
      <c r="R31" s="17"/>
    </row>
    <row r="32" spans="2:28" s="42" customFormat="1" ht="18">
      <c r="B32" s="87" t="s">
        <v>197</v>
      </c>
      <c r="C32" s="59" t="s">
        <v>188</v>
      </c>
      <c r="D32" s="68">
        <f>D15+D30</f>
        <v>9867.2999999999993</v>
      </c>
      <c r="E32" s="68">
        <f t="shared" ref="E32:O32" si="14">E15+E30</f>
        <v>9880.3000000000029</v>
      </c>
      <c r="F32" s="68">
        <f t="shared" si="14"/>
        <v>9934.3000000000011</v>
      </c>
      <c r="G32" s="68">
        <f t="shared" si="14"/>
        <v>9959.7999999999993</v>
      </c>
      <c r="H32" s="68">
        <f t="shared" si="14"/>
        <v>9945.2999999999993</v>
      </c>
      <c r="I32" s="68">
        <f t="shared" si="14"/>
        <v>9928.4</v>
      </c>
      <c r="J32" s="68">
        <f t="shared" si="14"/>
        <v>9981.8000000000011</v>
      </c>
      <c r="K32" s="68">
        <f t="shared" si="14"/>
        <v>10016.4</v>
      </c>
      <c r="L32" s="68">
        <f t="shared" si="14"/>
        <v>10069.299999999999</v>
      </c>
      <c r="M32" s="68">
        <f t="shared" si="14"/>
        <v>10111.299999999999</v>
      </c>
      <c r="N32" s="68">
        <f t="shared" si="14"/>
        <v>10039.299999999999</v>
      </c>
      <c r="O32" s="68">
        <f t="shared" si="14"/>
        <v>10077.099999999999</v>
      </c>
      <c r="P32" s="55"/>
      <c r="Q32" s="55"/>
      <c r="R32" s="17"/>
    </row>
    <row r="33" spans="1:18" s="42" customFormat="1" ht="18">
      <c r="B33" s="88" t="s">
        <v>62</v>
      </c>
      <c r="C33" s="37" t="s">
        <v>188</v>
      </c>
      <c r="D33" s="55">
        <v>0</v>
      </c>
      <c r="E33" s="55">
        <v>0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  <c r="N33" s="55">
        <v>0</v>
      </c>
      <c r="O33" s="55">
        <v>0</v>
      </c>
      <c r="P33" s="37"/>
      <c r="Q33" s="37"/>
      <c r="R33" s="17" t="s">
        <v>1358</v>
      </c>
    </row>
    <row r="34" spans="1:18" s="42" customFormat="1" ht="18">
      <c r="B34" s="88" t="s">
        <v>63</v>
      </c>
      <c r="C34" s="37" t="s">
        <v>188</v>
      </c>
      <c r="D34" s="55">
        <f>D33</f>
        <v>0</v>
      </c>
      <c r="E34" s="55">
        <f>E33-D33</f>
        <v>0</v>
      </c>
      <c r="F34" s="55">
        <f t="shared" ref="F34:O34" si="15">F33-E33</f>
        <v>0</v>
      </c>
      <c r="G34" s="55">
        <f t="shared" si="15"/>
        <v>0</v>
      </c>
      <c r="H34" s="55">
        <f t="shared" si="15"/>
        <v>0</v>
      </c>
      <c r="I34" s="55">
        <f t="shared" si="15"/>
        <v>0</v>
      </c>
      <c r="J34" s="55">
        <f t="shared" si="15"/>
        <v>0</v>
      </c>
      <c r="K34" s="55">
        <f t="shared" si="15"/>
        <v>0</v>
      </c>
      <c r="L34" s="55">
        <f t="shared" si="15"/>
        <v>0</v>
      </c>
      <c r="M34" s="55">
        <f t="shared" si="15"/>
        <v>0</v>
      </c>
      <c r="N34" s="55">
        <f t="shared" si="15"/>
        <v>0</v>
      </c>
      <c r="O34" s="55">
        <f t="shared" si="15"/>
        <v>0</v>
      </c>
      <c r="P34" s="2"/>
      <c r="Q34" s="2"/>
      <c r="R34" s="17"/>
    </row>
    <row r="35" spans="1:18" s="42" customFormat="1" ht="18">
      <c r="B35" s="88" t="s">
        <v>189</v>
      </c>
      <c r="C35" s="37" t="s">
        <v>188</v>
      </c>
      <c r="D35" s="55">
        <f>D32+D33</f>
        <v>9867.2999999999993</v>
      </c>
      <c r="E35" s="55">
        <f t="shared" ref="E35:O35" si="16">E32+E33</f>
        <v>9880.3000000000029</v>
      </c>
      <c r="F35" s="55">
        <f t="shared" si="16"/>
        <v>9934.3000000000011</v>
      </c>
      <c r="G35" s="55">
        <f t="shared" si="16"/>
        <v>9959.7999999999993</v>
      </c>
      <c r="H35" s="55">
        <f t="shared" si="16"/>
        <v>9945.2999999999993</v>
      </c>
      <c r="I35" s="55">
        <f t="shared" si="16"/>
        <v>9928.4</v>
      </c>
      <c r="J35" s="55">
        <f t="shared" si="16"/>
        <v>9981.8000000000011</v>
      </c>
      <c r="K35" s="55">
        <f t="shared" si="16"/>
        <v>10016.4</v>
      </c>
      <c r="L35" s="55">
        <f t="shared" si="16"/>
        <v>10069.299999999999</v>
      </c>
      <c r="M35" s="55">
        <f t="shared" si="16"/>
        <v>10111.299999999999</v>
      </c>
      <c r="N35" s="55">
        <f t="shared" si="16"/>
        <v>10039.299999999999</v>
      </c>
      <c r="O35" s="55">
        <f t="shared" si="16"/>
        <v>10077.099999999999</v>
      </c>
      <c r="P35" s="37"/>
      <c r="Q35" s="37"/>
      <c r="R35" s="17"/>
    </row>
    <row r="36" spans="1:18" s="195" customFormat="1" ht="18">
      <c r="B36" s="87" t="s">
        <v>377</v>
      </c>
      <c r="C36" s="59" t="s">
        <v>188</v>
      </c>
      <c r="D36" s="55"/>
      <c r="E36" s="231">
        <f t="shared" ref="E36" si="17">E35-D35</f>
        <v>13.000000000003638</v>
      </c>
      <c r="F36" s="231">
        <f t="shared" ref="F36" si="18">F35-E35</f>
        <v>53.999999999998181</v>
      </c>
      <c r="G36" s="231">
        <f t="shared" ref="G36" si="19">G35-F35</f>
        <v>25.499999999998181</v>
      </c>
      <c r="H36" s="231">
        <f t="shared" ref="H36" si="20">H35-G35</f>
        <v>-14.5</v>
      </c>
      <c r="I36" s="231">
        <f t="shared" ref="I36" si="21">I35-H35</f>
        <v>-16.899999999999636</v>
      </c>
      <c r="J36" s="231">
        <f t="shared" ref="J36" si="22">J35-I35</f>
        <v>53.400000000001455</v>
      </c>
      <c r="K36" s="231">
        <f t="shared" ref="K36" si="23">K35-J35</f>
        <v>34.599999999998545</v>
      </c>
      <c r="L36" s="231">
        <f t="shared" ref="L36" si="24">L35-K35</f>
        <v>52.899999999999636</v>
      </c>
      <c r="M36" s="231">
        <f t="shared" ref="M36" si="25">M35-L35</f>
        <v>42</v>
      </c>
      <c r="N36" s="231">
        <f t="shared" ref="N36" si="26">N35-M35</f>
        <v>-72</v>
      </c>
      <c r="O36" s="231">
        <f t="shared" ref="O36" si="27">O35-N35</f>
        <v>37.799999999999272</v>
      </c>
      <c r="P36" s="37" t="s">
        <v>574</v>
      </c>
      <c r="Q36" s="37" t="s">
        <v>1359</v>
      </c>
      <c r="R36" s="17" t="s">
        <v>1360</v>
      </c>
    </row>
    <row r="37" spans="1:18" s="195" customFormat="1" ht="18">
      <c r="B37" s="87" t="s">
        <v>378</v>
      </c>
      <c r="C37" s="59" t="s">
        <v>65</v>
      </c>
      <c r="D37" s="55"/>
      <c r="E37" s="61">
        <f t="shared" ref="E37" si="28">E36/D35</f>
        <v>1.3174829994024341E-3</v>
      </c>
      <c r="F37" s="61">
        <f t="shared" ref="F37" si="29">F36/E35</f>
        <v>5.4654210904525333E-3</v>
      </c>
      <c r="G37" s="61">
        <f t="shared" ref="G37" si="30">G36/F35</f>
        <v>2.5668642984405725E-3</v>
      </c>
      <c r="H37" s="61">
        <f t="shared" ref="H37" si="31">H36/G35</f>
        <v>-1.4558525271591799E-3</v>
      </c>
      <c r="I37" s="61">
        <f t="shared" ref="I37" si="32">I36/H35</f>
        <v>-1.6992951444400508E-3</v>
      </c>
      <c r="J37" s="61">
        <f t="shared" ref="J37" si="33">J36/I35</f>
        <v>5.3785101325491977E-3</v>
      </c>
      <c r="K37" s="61">
        <f t="shared" ref="K37" si="34">K36/J35</f>
        <v>3.4663086818007313E-3</v>
      </c>
      <c r="L37" s="61">
        <f t="shared" ref="L37" si="35">L36/K35</f>
        <v>5.2813386046882752E-3</v>
      </c>
      <c r="M37" s="61">
        <f t="shared" ref="M37" si="36">M36/L35</f>
        <v>4.1710943163874355E-3</v>
      </c>
      <c r="N37" s="61">
        <f t="shared" ref="N37" si="37">N36/M35</f>
        <v>-7.1207460959520543E-3</v>
      </c>
      <c r="O37" s="61">
        <f t="shared" ref="O37" si="38">O36/N35</f>
        <v>3.7652027531799304E-3</v>
      </c>
      <c r="P37" s="281">
        <f>(O35/D35)^(1/(10))-1</f>
        <v>2.1061411105720573E-3</v>
      </c>
      <c r="Q37" s="281">
        <f>(O35/D35)^(1/(10))-1</f>
        <v>2.1061411105720573E-3</v>
      </c>
      <c r="R37" s="280" t="s">
        <v>966</v>
      </c>
    </row>
    <row r="38" spans="1:18" s="42" customFormat="1" ht="18">
      <c r="C38" s="23"/>
      <c r="E38" s="46"/>
      <c r="F38" s="46"/>
      <c r="G38" s="46"/>
      <c r="H38" s="46"/>
      <c r="I38" s="46"/>
      <c r="J38" s="46"/>
      <c r="K38" s="46"/>
      <c r="L38" s="46"/>
      <c r="M38" s="46"/>
      <c r="N38" s="46"/>
      <c r="P38" s="4"/>
      <c r="Q38" s="4"/>
      <c r="R38" s="4"/>
    </row>
    <row r="39" spans="1:18" s="42" customFormat="1" ht="18">
      <c r="P39" s="4"/>
      <c r="Q39" s="4"/>
      <c r="R39" s="4"/>
    </row>
    <row r="40" spans="1:18" s="42" customFormat="1" ht="18">
      <c r="A40" s="56" t="s">
        <v>56</v>
      </c>
      <c r="B40" s="23"/>
      <c r="P40" s="4"/>
      <c r="Q40" s="4"/>
      <c r="R40" s="4"/>
    </row>
    <row r="41" spans="1:18" s="10" customFormat="1" ht="18">
      <c r="A41" s="62" t="s">
        <v>190</v>
      </c>
      <c r="B41" s="142"/>
      <c r="P41" s="114"/>
      <c r="Q41" s="114"/>
      <c r="R41" s="114"/>
    </row>
    <row r="42" spans="1:18" s="10" customFormat="1" ht="18">
      <c r="A42" s="4" t="s">
        <v>191</v>
      </c>
      <c r="P42" s="114"/>
      <c r="Q42" s="114"/>
      <c r="R42" s="114"/>
    </row>
    <row r="43" spans="1:18" s="42" customFormat="1">
      <c r="B43" s="23"/>
      <c r="P43" s="114"/>
      <c r="Q43" s="24"/>
      <c r="R43" s="39"/>
    </row>
    <row r="44" spans="1:18" s="114" customFormat="1"/>
    <row r="45" spans="1:18" s="42" customFormat="1">
      <c r="P45" s="114"/>
      <c r="Q45" s="114"/>
      <c r="R45" s="114"/>
    </row>
    <row r="46" spans="1:18" s="42" customFormat="1">
      <c r="P46" s="114"/>
      <c r="Q46" s="114"/>
      <c r="R46" s="114"/>
    </row>
    <row r="47" spans="1:18" s="42" customFormat="1">
      <c r="P47" s="114"/>
      <c r="Q47" s="114"/>
      <c r="R47" s="114"/>
    </row>
    <row r="48" spans="1:18" s="42" customFormat="1">
      <c r="P48" s="114"/>
      <c r="Q48" s="114"/>
      <c r="R48" s="114"/>
    </row>
    <row r="49" spans="16:18" s="42" customFormat="1">
      <c r="P49" s="114"/>
      <c r="Q49" s="114"/>
      <c r="R49" s="114"/>
    </row>
    <row r="50" spans="16:18" s="42" customFormat="1">
      <c r="P50" s="114"/>
      <c r="Q50" s="114"/>
      <c r="R50" s="114"/>
    </row>
    <row r="51" spans="16:18" s="42" customFormat="1">
      <c r="P51" s="114"/>
      <c r="Q51" s="114"/>
      <c r="R51" s="114"/>
    </row>
    <row r="52" spans="16:18" s="42" customFormat="1">
      <c r="P52" s="114"/>
      <c r="Q52" s="114"/>
      <c r="R52" s="114"/>
    </row>
    <row r="53" spans="16:18" s="42" customFormat="1">
      <c r="P53" s="114"/>
      <c r="Q53" s="114"/>
      <c r="R53" s="114"/>
    </row>
    <row r="54" spans="16:18" s="42" customFormat="1">
      <c r="P54" s="114"/>
      <c r="Q54" s="114"/>
      <c r="R54" s="114"/>
    </row>
    <row r="55" spans="16:18" s="42" customFormat="1">
      <c r="P55" s="114"/>
      <c r="Q55" s="114"/>
      <c r="R55" s="114"/>
    </row>
  </sheetData>
  <phoneticPr fontId="35" type="noConversion"/>
  <pageMargins left="0.7" right="0.7" top="0.75" bottom="0.75" header="0.3" footer="0.3"/>
  <ignoredErrors>
    <ignoredError sqref="D30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6897-4E03-9A4F-8B6D-683BE7D77B32}">
  <sheetPr codeName="Sheet14"/>
  <dimension ref="A1:AD54"/>
  <sheetViews>
    <sheetView workbookViewId="0">
      <selection activeCell="P36" sqref="P36:R36"/>
    </sheetView>
  </sheetViews>
  <sheetFormatPr defaultColWidth="10.83203125" defaultRowHeight="15.7"/>
  <cols>
    <col min="1" max="1" width="4.83203125" style="42" customWidth="1"/>
    <col min="2" max="2" width="49.83203125" style="42" customWidth="1"/>
    <col min="3" max="15" width="10.83203125" style="42"/>
    <col min="16" max="17" width="19.1640625" style="114" customWidth="1"/>
    <col min="18" max="18" width="57.5" style="114" customWidth="1"/>
    <col min="19" max="16384" width="10.83203125" style="42"/>
  </cols>
  <sheetData>
    <row r="1" spans="1:18" s="26" customFormat="1" ht="20.7">
      <c r="A1" s="51" t="s">
        <v>97</v>
      </c>
      <c r="B1" s="128" t="s">
        <v>948</v>
      </c>
      <c r="C1" s="16" t="s">
        <v>175</v>
      </c>
      <c r="D1" s="16">
        <v>2019</v>
      </c>
      <c r="E1" s="16">
        <f t="shared" ref="E1:O1" si="0">D1+1</f>
        <v>2020</v>
      </c>
      <c r="F1" s="16">
        <f t="shared" si="0"/>
        <v>2021</v>
      </c>
      <c r="G1" s="16">
        <f t="shared" si="0"/>
        <v>2022</v>
      </c>
      <c r="H1" s="16">
        <f t="shared" si="0"/>
        <v>2023</v>
      </c>
      <c r="I1" s="16">
        <f t="shared" si="0"/>
        <v>2024</v>
      </c>
      <c r="J1" s="16">
        <f t="shared" si="0"/>
        <v>2025</v>
      </c>
      <c r="K1" s="16">
        <f t="shared" si="0"/>
        <v>2026</v>
      </c>
      <c r="L1" s="16">
        <f t="shared" si="0"/>
        <v>2027</v>
      </c>
      <c r="M1" s="16">
        <f t="shared" si="0"/>
        <v>2028</v>
      </c>
      <c r="N1" s="16">
        <f t="shared" si="0"/>
        <v>2029</v>
      </c>
      <c r="O1" s="16">
        <f t="shared" si="0"/>
        <v>2030</v>
      </c>
      <c r="P1" s="16" t="s">
        <v>576</v>
      </c>
      <c r="Q1" s="16" t="s">
        <v>575</v>
      </c>
      <c r="R1" s="16" t="s">
        <v>47</v>
      </c>
    </row>
    <row r="2" spans="1:18" s="26" customFormat="1" ht="20.7">
      <c r="A2" s="51"/>
      <c r="B2" s="16" t="s">
        <v>192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55"/>
      <c r="Q2" s="55"/>
      <c r="R2" s="17"/>
    </row>
    <row r="3" spans="1:18" ht="18">
      <c r="B3" s="37" t="s">
        <v>176</v>
      </c>
      <c r="C3" s="37" t="s">
        <v>66</v>
      </c>
      <c r="D3" s="85">
        <v>1560.9</v>
      </c>
      <c r="E3" s="85">
        <v>1550.4</v>
      </c>
      <c r="F3" s="85">
        <v>1563.3</v>
      </c>
      <c r="G3" s="85">
        <v>1564.5</v>
      </c>
      <c r="H3" s="85">
        <v>1568.7</v>
      </c>
      <c r="I3" s="85">
        <v>1570.9</v>
      </c>
      <c r="J3" s="85">
        <v>1576.7</v>
      </c>
      <c r="K3" s="85">
        <v>1582.2</v>
      </c>
      <c r="L3" s="85">
        <v>1592.5</v>
      </c>
      <c r="M3" s="85">
        <v>1602.8</v>
      </c>
      <c r="N3" s="85">
        <v>1612.9</v>
      </c>
      <c r="O3" s="85">
        <v>1623.4</v>
      </c>
      <c r="P3" s="55"/>
      <c r="Q3" s="55"/>
      <c r="R3" s="17"/>
    </row>
    <row r="4" spans="1:18" ht="18">
      <c r="B4" s="37" t="s">
        <v>177</v>
      </c>
      <c r="C4" s="37" t="s">
        <v>66</v>
      </c>
      <c r="D4" s="85">
        <v>1501.7</v>
      </c>
      <c r="E4" s="85">
        <v>1491.6</v>
      </c>
      <c r="F4" s="85">
        <v>1520</v>
      </c>
      <c r="G4" s="85">
        <v>1505.1</v>
      </c>
      <c r="H4" s="85">
        <v>1509.2</v>
      </c>
      <c r="I4" s="85">
        <v>1511.3</v>
      </c>
      <c r="J4" s="85">
        <v>1516.9</v>
      </c>
      <c r="K4" s="85">
        <v>1522.2</v>
      </c>
      <c r="L4" s="85">
        <v>1532.1</v>
      </c>
      <c r="M4" s="85">
        <v>1542</v>
      </c>
      <c r="N4" s="85">
        <v>1551.7</v>
      </c>
      <c r="O4" s="85">
        <v>1561.8</v>
      </c>
      <c r="P4" s="55"/>
      <c r="Q4" s="55"/>
      <c r="R4" s="17"/>
    </row>
    <row r="5" spans="1:18" ht="18">
      <c r="B5" s="37" t="s">
        <v>178</v>
      </c>
      <c r="C5" s="37" t="s">
        <v>66</v>
      </c>
      <c r="D5" s="85">
        <v>1446.4</v>
      </c>
      <c r="E5" s="85">
        <v>1436.6</v>
      </c>
      <c r="F5" s="85">
        <v>1431.6</v>
      </c>
      <c r="G5" s="85">
        <v>1449.5</v>
      </c>
      <c r="H5" s="85">
        <v>1453.4</v>
      </c>
      <c r="I5" s="85">
        <v>1455.5</v>
      </c>
      <c r="J5" s="85">
        <v>1460.9</v>
      </c>
      <c r="K5" s="85">
        <v>1466</v>
      </c>
      <c r="L5" s="85">
        <v>1475.6</v>
      </c>
      <c r="M5" s="85">
        <v>1485.1</v>
      </c>
      <c r="N5" s="85">
        <v>1494.4</v>
      </c>
      <c r="O5" s="85">
        <v>1504.2</v>
      </c>
      <c r="P5" s="55"/>
      <c r="Q5" s="55"/>
      <c r="R5" s="17"/>
    </row>
    <row r="6" spans="1:18" ht="18">
      <c r="B6" s="37" t="s">
        <v>179</v>
      </c>
      <c r="C6" s="37" t="s">
        <v>66</v>
      </c>
      <c r="D6" s="85">
        <v>1255.5</v>
      </c>
      <c r="E6" s="85">
        <v>1246.5999999999999</v>
      </c>
      <c r="F6" s="85">
        <v>1234.7</v>
      </c>
      <c r="G6" s="85">
        <v>1257.5</v>
      </c>
      <c r="H6" s="85">
        <v>1260.9000000000001</v>
      </c>
      <c r="I6" s="85">
        <v>1262.5999999999999</v>
      </c>
      <c r="J6" s="85">
        <v>1267.3</v>
      </c>
      <c r="K6" s="85">
        <v>1271.5999999999999</v>
      </c>
      <c r="L6" s="85">
        <v>1279.8</v>
      </c>
      <c r="M6" s="85">
        <v>1288.0999999999999</v>
      </c>
      <c r="N6" s="85">
        <v>1296.2</v>
      </c>
      <c r="O6" s="85">
        <v>1304.5999999999999</v>
      </c>
      <c r="P6" s="55"/>
      <c r="Q6" s="55"/>
      <c r="R6" s="17"/>
    </row>
    <row r="7" spans="1:18" ht="18">
      <c r="B7" s="37" t="s">
        <v>180</v>
      </c>
      <c r="C7" s="37" t="s">
        <v>66</v>
      </c>
      <c r="D7" s="85">
        <v>1074.2</v>
      </c>
      <c r="E7" s="85">
        <v>1066.4000000000001</v>
      </c>
      <c r="F7" s="85">
        <v>1069.3</v>
      </c>
      <c r="G7" s="85">
        <v>1075</v>
      </c>
      <c r="H7" s="85">
        <v>1077.8</v>
      </c>
      <c r="I7" s="85">
        <v>1079.2</v>
      </c>
      <c r="J7" s="85">
        <v>1083.2</v>
      </c>
      <c r="K7" s="85">
        <v>1086.7</v>
      </c>
      <c r="L7" s="85">
        <v>1093.8</v>
      </c>
      <c r="M7" s="85">
        <v>1100.7</v>
      </c>
      <c r="N7" s="85">
        <v>1107.4000000000001</v>
      </c>
      <c r="O7" s="85">
        <v>1114.5999999999999</v>
      </c>
      <c r="P7" s="55"/>
      <c r="Q7" s="55"/>
      <c r="R7" s="17"/>
    </row>
    <row r="8" spans="1:18" ht="18">
      <c r="B8" s="37" t="s">
        <v>181</v>
      </c>
      <c r="C8" s="37" t="s">
        <v>66</v>
      </c>
      <c r="D8" s="85">
        <v>903.2</v>
      </c>
      <c r="E8" s="85">
        <v>896.2</v>
      </c>
      <c r="F8" s="85">
        <v>913.9</v>
      </c>
      <c r="G8" s="85">
        <v>902.6</v>
      </c>
      <c r="H8" s="85">
        <v>904.7</v>
      </c>
      <c r="I8" s="85">
        <v>905.9</v>
      </c>
      <c r="J8" s="85">
        <v>909.1</v>
      </c>
      <c r="K8" s="85">
        <v>911.9</v>
      </c>
      <c r="L8" s="85">
        <v>917.6</v>
      </c>
      <c r="M8" s="85">
        <v>923.1</v>
      </c>
      <c r="N8" s="85">
        <v>928.6</v>
      </c>
      <c r="O8" s="85">
        <v>934.4</v>
      </c>
      <c r="P8" s="55"/>
      <c r="Q8" s="55"/>
      <c r="R8" s="17"/>
    </row>
    <row r="9" spans="1:18" ht="18">
      <c r="B9" s="37" t="s">
        <v>182</v>
      </c>
      <c r="C9" s="37" t="s">
        <v>66</v>
      </c>
      <c r="D9" s="85">
        <v>768.5</v>
      </c>
      <c r="E9" s="85">
        <v>762.4</v>
      </c>
      <c r="F9" s="85">
        <v>786.9</v>
      </c>
      <c r="G9" s="85">
        <v>767.1</v>
      </c>
      <c r="H9" s="85">
        <v>768.7</v>
      </c>
      <c r="I9" s="85">
        <v>769.6</v>
      </c>
      <c r="J9" s="85">
        <v>772.2</v>
      </c>
      <c r="K9" s="85">
        <v>774.5</v>
      </c>
      <c r="L9" s="85">
        <v>779.2</v>
      </c>
      <c r="M9" s="85">
        <v>783.7</v>
      </c>
      <c r="N9" s="85">
        <v>788.3</v>
      </c>
      <c r="O9" s="85">
        <v>793.1</v>
      </c>
      <c r="P9" s="55"/>
      <c r="Q9" s="55"/>
      <c r="R9" s="17"/>
    </row>
    <row r="10" spans="1:18" ht="18">
      <c r="B10" s="37" t="s">
        <v>183</v>
      </c>
      <c r="C10" s="37" t="s">
        <v>66</v>
      </c>
      <c r="D10" s="85">
        <v>737.1</v>
      </c>
      <c r="E10" s="85">
        <v>731</v>
      </c>
      <c r="F10" s="85">
        <v>744.2</v>
      </c>
      <c r="G10" s="85">
        <v>735.5</v>
      </c>
      <c r="H10" s="85">
        <v>737</v>
      </c>
      <c r="I10" s="85">
        <v>737.8</v>
      </c>
      <c r="J10" s="85">
        <v>740.4</v>
      </c>
      <c r="K10" s="85">
        <v>742.5</v>
      </c>
      <c r="L10" s="85">
        <v>747</v>
      </c>
      <c r="M10" s="85">
        <v>751.3</v>
      </c>
      <c r="N10" s="85">
        <v>755.6</v>
      </c>
      <c r="O10" s="85">
        <v>760.2</v>
      </c>
      <c r="P10" s="55"/>
      <c r="Q10" s="55"/>
      <c r="R10" s="17"/>
    </row>
    <row r="11" spans="1:18" ht="18">
      <c r="B11" s="37" t="s">
        <v>184</v>
      </c>
      <c r="C11" s="37" t="s">
        <v>66</v>
      </c>
      <c r="D11" s="85">
        <v>861.7</v>
      </c>
      <c r="E11" s="85">
        <v>855.2</v>
      </c>
      <c r="F11" s="85">
        <v>826</v>
      </c>
      <c r="G11" s="85">
        <v>861</v>
      </c>
      <c r="H11" s="85">
        <v>863.1</v>
      </c>
      <c r="I11" s="85">
        <v>864.2</v>
      </c>
      <c r="J11" s="85">
        <v>867.2</v>
      </c>
      <c r="K11" s="85">
        <v>869.8</v>
      </c>
      <c r="L11" s="85">
        <v>875.1</v>
      </c>
      <c r="M11" s="85">
        <v>880.2</v>
      </c>
      <c r="N11" s="85">
        <v>885.5</v>
      </c>
      <c r="O11" s="85">
        <v>890.9</v>
      </c>
      <c r="P11" s="55"/>
      <c r="Q11" s="55"/>
      <c r="R11" s="17"/>
    </row>
    <row r="12" spans="1:18" ht="18">
      <c r="B12" s="37" t="s">
        <v>185</v>
      </c>
      <c r="C12" s="37" t="s">
        <v>66</v>
      </c>
      <c r="D12" s="85">
        <v>1053.5999999999999</v>
      </c>
      <c r="E12" s="85">
        <v>1045.9000000000001</v>
      </c>
      <c r="F12" s="85">
        <v>1048.8</v>
      </c>
      <c r="G12" s="85">
        <v>1054.2</v>
      </c>
      <c r="H12" s="85">
        <v>1056.8</v>
      </c>
      <c r="I12" s="85">
        <v>1058.2</v>
      </c>
      <c r="J12" s="85">
        <v>1062</v>
      </c>
      <c r="K12" s="85">
        <v>1065.3</v>
      </c>
      <c r="L12" s="85">
        <v>1072</v>
      </c>
      <c r="M12" s="85">
        <v>1078.5999999999999</v>
      </c>
      <c r="N12" s="85">
        <v>1085.2</v>
      </c>
      <c r="O12" s="85">
        <v>1091.9000000000001</v>
      </c>
      <c r="P12" s="55"/>
      <c r="Q12" s="55"/>
      <c r="R12" s="17"/>
    </row>
    <row r="13" spans="1:18" ht="18">
      <c r="B13" s="37" t="s">
        <v>186</v>
      </c>
      <c r="C13" s="37" t="s">
        <v>66</v>
      </c>
      <c r="D13" s="85">
        <v>1268.9000000000001</v>
      </c>
      <c r="E13" s="85">
        <v>1259.9000000000001</v>
      </c>
      <c r="F13" s="85">
        <v>1250.0999999999999</v>
      </c>
      <c r="G13" s="85">
        <v>1270.8</v>
      </c>
      <c r="H13" s="85">
        <v>1274.2</v>
      </c>
      <c r="I13" s="85">
        <v>1276</v>
      </c>
      <c r="J13" s="85">
        <v>1280.7</v>
      </c>
      <c r="K13" s="85">
        <v>1285.0999999999999</v>
      </c>
      <c r="L13" s="85">
        <v>1293.4000000000001</v>
      </c>
      <c r="M13" s="85">
        <v>1301.7</v>
      </c>
      <c r="N13" s="85">
        <v>1309.9000000000001</v>
      </c>
      <c r="O13" s="85">
        <v>1318.4</v>
      </c>
      <c r="P13" s="55"/>
      <c r="Q13" s="55"/>
      <c r="R13" s="17"/>
    </row>
    <row r="14" spans="1:18" ht="18.350000000000001" thickBot="1">
      <c r="B14" s="60" t="s">
        <v>187</v>
      </c>
      <c r="C14" s="60" t="s">
        <v>66</v>
      </c>
      <c r="D14" s="140">
        <v>1510.2</v>
      </c>
      <c r="E14" s="140">
        <v>1502</v>
      </c>
      <c r="F14" s="140">
        <v>1500.6</v>
      </c>
      <c r="G14" s="140">
        <v>1515.4</v>
      </c>
      <c r="H14" s="140">
        <v>1519.4</v>
      </c>
      <c r="I14" s="140">
        <v>1521.5</v>
      </c>
      <c r="J14" s="140">
        <v>1527.4</v>
      </c>
      <c r="K14" s="140">
        <v>1532.9</v>
      </c>
      <c r="L14" s="140">
        <v>1542.3</v>
      </c>
      <c r="M14" s="140">
        <v>1552.6</v>
      </c>
      <c r="N14" s="140">
        <v>1562.5</v>
      </c>
      <c r="O14" s="140">
        <v>1582</v>
      </c>
      <c r="P14" s="55"/>
      <c r="Q14" s="55"/>
      <c r="R14" s="17"/>
    </row>
    <row r="15" spans="1:18" ht="18">
      <c r="B15" s="92" t="s">
        <v>194</v>
      </c>
      <c r="C15" s="59" t="s">
        <v>93</v>
      </c>
      <c r="D15" s="92">
        <f>MAX(D3:D14)</f>
        <v>1560.9</v>
      </c>
      <c r="E15" s="92">
        <f t="shared" ref="E15:O15" si="1">MAX(E3:E14)</f>
        <v>1550.4</v>
      </c>
      <c r="F15" s="92">
        <f t="shared" si="1"/>
        <v>1563.3</v>
      </c>
      <c r="G15" s="92">
        <f t="shared" si="1"/>
        <v>1564.5</v>
      </c>
      <c r="H15" s="92">
        <f t="shared" si="1"/>
        <v>1568.7</v>
      </c>
      <c r="I15" s="92">
        <f t="shared" si="1"/>
        <v>1570.9</v>
      </c>
      <c r="J15" s="92">
        <f t="shared" si="1"/>
        <v>1576.7</v>
      </c>
      <c r="K15" s="92">
        <f t="shared" si="1"/>
        <v>1582.2</v>
      </c>
      <c r="L15" s="92">
        <f t="shared" si="1"/>
        <v>1592.5</v>
      </c>
      <c r="M15" s="92">
        <f t="shared" si="1"/>
        <v>1602.8</v>
      </c>
      <c r="N15" s="92">
        <f t="shared" si="1"/>
        <v>1612.9</v>
      </c>
      <c r="O15" s="92">
        <f t="shared" si="1"/>
        <v>1623.4</v>
      </c>
      <c r="P15" s="55"/>
      <c r="Q15" s="55"/>
      <c r="R15" s="17"/>
    </row>
    <row r="16" spans="1:18" ht="18">
      <c r="B16" s="91"/>
      <c r="C16" s="91" t="s">
        <v>175</v>
      </c>
      <c r="D16" s="91">
        <v>2019</v>
      </c>
      <c r="E16" s="91">
        <f t="shared" ref="E16:O16" si="2">D16+1</f>
        <v>2020</v>
      </c>
      <c r="F16" s="91">
        <f t="shared" si="2"/>
        <v>2021</v>
      </c>
      <c r="G16" s="91">
        <f t="shared" si="2"/>
        <v>2022</v>
      </c>
      <c r="H16" s="91">
        <f t="shared" si="2"/>
        <v>2023</v>
      </c>
      <c r="I16" s="91">
        <f t="shared" si="2"/>
        <v>2024</v>
      </c>
      <c r="J16" s="91">
        <f t="shared" si="2"/>
        <v>2025</v>
      </c>
      <c r="K16" s="91">
        <f t="shared" si="2"/>
        <v>2026</v>
      </c>
      <c r="L16" s="91">
        <f t="shared" si="2"/>
        <v>2027</v>
      </c>
      <c r="M16" s="91">
        <f t="shared" si="2"/>
        <v>2028</v>
      </c>
      <c r="N16" s="91">
        <f t="shared" si="2"/>
        <v>2029</v>
      </c>
      <c r="O16" s="91">
        <f t="shared" si="2"/>
        <v>2030</v>
      </c>
      <c r="P16" s="55"/>
      <c r="Q16" s="55"/>
      <c r="R16" s="17"/>
    </row>
    <row r="17" spans="2:18" ht="18">
      <c r="B17" s="91" t="s">
        <v>193</v>
      </c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55"/>
      <c r="Q17" s="55"/>
      <c r="R17" s="17"/>
    </row>
    <row r="18" spans="2:18" ht="18">
      <c r="B18" s="37" t="s">
        <v>176</v>
      </c>
      <c r="C18" s="37" t="s">
        <v>66</v>
      </c>
      <c r="D18" s="85">
        <v>33</v>
      </c>
      <c r="E18" s="85">
        <v>32.6</v>
      </c>
      <c r="F18" s="85">
        <v>30.2</v>
      </c>
      <c r="G18" s="85" t="s">
        <v>142</v>
      </c>
      <c r="H18" s="85" t="s">
        <v>142</v>
      </c>
      <c r="I18" s="85" t="s">
        <v>142</v>
      </c>
      <c r="J18" s="85" t="s">
        <v>142</v>
      </c>
      <c r="K18" s="85" t="s">
        <v>142</v>
      </c>
      <c r="L18" s="85" t="s">
        <v>142</v>
      </c>
      <c r="M18" s="85" t="s">
        <v>142</v>
      </c>
      <c r="N18" s="85" t="s">
        <v>142</v>
      </c>
      <c r="O18" s="85" t="s">
        <v>142</v>
      </c>
      <c r="P18" s="55"/>
      <c r="Q18" s="55"/>
      <c r="R18" s="17"/>
    </row>
    <row r="19" spans="2:18" ht="18">
      <c r="B19" s="37" t="s">
        <v>177</v>
      </c>
      <c r="C19" s="37" t="s">
        <v>66</v>
      </c>
      <c r="D19" s="85" t="s">
        <v>142</v>
      </c>
      <c r="E19" s="85" t="s">
        <v>142</v>
      </c>
      <c r="F19" s="85" t="s">
        <v>142</v>
      </c>
      <c r="G19" s="85" t="s">
        <v>142</v>
      </c>
      <c r="H19" s="85" t="s">
        <v>142</v>
      </c>
      <c r="I19" s="85" t="s">
        <v>142</v>
      </c>
      <c r="J19" s="85" t="s">
        <v>142</v>
      </c>
      <c r="K19" s="85" t="s">
        <v>142</v>
      </c>
      <c r="L19" s="85" t="s">
        <v>142</v>
      </c>
      <c r="M19" s="85" t="s">
        <v>142</v>
      </c>
      <c r="N19" s="85" t="s">
        <v>142</v>
      </c>
      <c r="O19" s="85" t="s">
        <v>142</v>
      </c>
      <c r="P19" s="55"/>
      <c r="Q19" s="55"/>
      <c r="R19" s="17"/>
    </row>
    <row r="20" spans="2:18" ht="18">
      <c r="B20" s="37" t="s">
        <v>178</v>
      </c>
      <c r="C20" s="37" t="s">
        <v>66</v>
      </c>
      <c r="D20" s="85" t="s">
        <v>142</v>
      </c>
      <c r="E20" s="85" t="s">
        <v>142</v>
      </c>
      <c r="F20" s="85" t="s">
        <v>142</v>
      </c>
      <c r="G20" s="85" t="s">
        <v>142</v>
      </c>
      <c r="H20" s="85" t="s">
        <v>142</v>
      </c>
      <c r="I20" s="85" t="s">
        <v>142</v>
      </c>
      <c r="J20" s="85" t="s">
        <v>142</v>
      </c>
      <c r="K20" s="85" t="s">
        <v>142</v>
      </c>
      <c r="L20" s="85" t="s">
        <v>142</v>
      </c>
      <c r="M20" s="85" t="s">
        <v>142</v>
      </c>
      <c r="N20" s="85" t="s">
        <v>142</v>
      </c>
      <c r="O20" s="85" t="s">
        <v>142</v>
      </c>
      <c r="P20" s="55"/>
      <c r="Q20" s="55"/>
      <c r="R20" s="17"/>
    </row>
    <row r="21" spans="2:18" ht="18">
      <c r="B21" s="37" t="s">
        <v>179</v>
      </c>
      <c r="C21" s="37" t="s">
        <v>66</v>
      </c>
      <c r="D21" s="85" t="s">
        <v>142</v>
      </c>
      <c r="E21" s="85" t="s">
        <v>142</v>
      </c>
      <c r="F21" s="85" t="s">
        <v>142</v>
      </c>
      <c r="G21" s="85" t="s">
        <v>142</v>
      </c>
      <c r="H21" s="85" t="s">
        <v>142</v>
      </c>
      <c r="I21" s="85" t="s">
        <v>142</v>
      </c>
      <c r="J21" s="85" t="s">
        <v>142</v>
      </c>
      <c r="K21" s="85" t="s">
        <v>142</v>
      </c>
      <c r="L21" s="85" t="s">
        <v>142</v>
      </c>
      <c r="M21" s="85" t="s">
        <v>142</v>
      </c>
      <c r="N21" s="85" t="s">
        <v>142</v>
      </c>
      <c r="O21" s="85" t="s">
        <v>142</v>
      </c>
      <c r="P21" s="55"/>
      <c r="Q21" s="55"/>
      <c r="R21" s="17"/>
    </row>
    <row r="22" spans="2:18" ht="18">
      <c r="B22" s="37" t="s">
        <v>180</v>
      </c>
      <c r="C22" s="37" t="s">
        <v>66</v>
      </c>
      <c r="D22" s="85" t="s">
        <v>142</v>
      </c>
      <c r="E22" s="85" t="s">
        <v>142</v>
      </c>
      <c r="F22" s="85" t="s">
        <v>142</v>
      </c>
      <c r="G22" s="85" t="s">
        <v>142</v>
      </c>
      <c r="H22" s="85" t="s">
        <v>142</v>
      </c>
      <c r="I22" s="85" t="s">
        <v>142</v>
      </c>
      <c r="J22" s="85" t="s">
        <v>142</v>
      </c>
      <c r="K22" s="85" t="s">
        <v>142</v>
      </c>
      <c r="L22" s="85" t="s">
        <v>142</v>
      </c>
      <c r="M22" s="85" t="s">
        <v>142</v>
      </c>
      <c r="N22" s="85" t="s">
        <v>142</v>
      </c>
      <c r="O22" s="85" t="s">
        <v>142</v>
      </c>
      <c r="P22" s="55"/>
      <c r="Q22" s="55"/>
      <c r="R22" s="17"/>
    </row>
    <row r="23" spans="2:18" ht="18">
      <c r="B23" s="37" t="s">
        <v>181</v>
      </c>
      <c r="C23" s="37" t="s">
        <v>66</v>
      </c>
      <c r="D23" s="85" t="s">
        <v>142</v>
      </c>
      <c r="E23" s="85" t="s">
        <v>142</v>
      </c>
      <c r="F23" s="85" t="s">
        <v>142</v>
      </c>
      <c r="G23" s="85" t="s">
        <v>142</v>
      </c>
      <c r="H23" s="85" t="s">
        <v>142</v>
      </c>
      <c r="I23" s="85" t="s">
        <v>142</v>
      </c>
      <c r="J23" s="85" t="s">
        <v>142</v>
      </c>
      <c r="K23" s="85" t="s">
        <v>142</v>
      </c>
      <c r="L23" s="85" t="s">
        <v>142</v>
      </c>
      <c r="M23" s="85" t="s">
        <v>142</v>
      </c>
      <c r="N23" s="85" t="s">
        <v>142</v>
      </c>
      <c r="O23" s="85" t="s">
        <v>142</v>
      </c>
      <c r="P23" s="55"/>
      <c r="Q23" s="55"/>
      <c r="R23" s="17"/>
    </row>
    <row r="24" spans="2:18" ht="18">
      <c r="B24" s="37" t="s">
        <v>182</v>
      </c>
      <c r="C24" s="37" t="s">
        <v>66</v>
      </c>
      <c r="D24" s="85" t="s">
        <v>142</v>
      </c>
      <c r="E24" s="85" t="s">
        <v>142</v>
      </c>
      <c r="F24" s="85" t="s">
        <v>142</v>
      </c>
      <c r="G24" s="85" t="s">
        <v>142</v>
      </c>
      <c r="H24" s="85" t="s">
        <v>142</v>
      </c>
      <c r="I24" s="85" t="s">
        <v>142</v>
      </c>
      <c r="J24" s="85" t="s">
        <v>142</v>
      </c>
      <c r="K24" s="85" t="s">
        <v>142</v>
      </c>
      <c r="L24" s="85" t="s">
        <v>142</v>
      </c>
      <c r="M24" s="85" t="s">
        <v>142</v>
      </c>
      <c r="N24" s="85" t="s">
        <v>142</v>
      </c>
      <c r="O24" s="85" t="s">
        <v>142</v>
      </c>
      <c r="P24" s="55"/>
      <c r="Q24" s="55"/>
      <c r="R24" s="17"/>
    </row>
    <row r="25" spans="2:18" ht="18">
      <c r="B25" s="37" t="s">
        <v>183</v>
      </c>
      <c r="C25" s="37" t="s">
        <v>66</v>
      </c>
      <c r="D25" s="85" t="s">
        <v>142</v>
      </c>
      <c r="E25" s="85" t="s">
        <v>142</v>
      </c>
      <c r="F25" s="85" t="s">
        <v>142</v>
      </c>
      <c r="G25" s="85" t="s">
        <v>142</v>
      </c>
      <c r="H25" s="85" t="s">
        <v>142</v>
      </c>
      <c r="I25" s="85" t="s">
        <v>142</v>
      </c>
      <c r="J25" s="85" t="s">
        <v>142</v>
      </c>
      <c r="K25" s="85" t="s">
        <v>142</v>
      </c>
      <c r="L25" s="85" t="s">
        <v>142</v>
      </c>
      <c r="M25" s="85" t="s">
        <v>142</v>
      </c>
      <c r="N25" s="85" t="s">
        <v>142</v>
      </c>
      <c r="O25" s="85" t="s">
        <v>142</v>
      </c>
      <c r="P25" s="55"/>
      <c r="Q25" s="55"/>
      <c r="R25" s="17"/>
    </row>
    <row r="26" spans="2:18" ht="18">
      <c r="B26" s="37" t="s">
        <v>184</v>
      </c>
      <c r="C26" s="37" t="s">
        <v>66</v>
      </c>
      <c r="D26" s="85" t="s">
        <v>142</v>
      </c>
      <c r="E26" s="85" t="s">
        <v>142</v>
      </c>
      <c r="F26" s="85" t="s">
        <v>142</v>
      </c>
      <c r="G26" s="85" t="s">
        <v>142</v>
      </c>
      <c r="H26" s="85" t="s">
        <v>142</v>
      </c>
      <c r="I26" s="85" t="s">
        <v>142</v>
      </c>
      <c r="J26" s="85" t="s">
        <v>142</v>
      </c>
      <c r="K26" s="85" t="s">
        <v>142</v>
      </c>
      <c r="L26" s="85" t="s">
        <v>142</v>
      </c>
      <c r="M26" s="85" t="s">
        <v>142</v>
      </c>
      <c r="N26" s="85" t="s">
        <v>142</v>
      </c>
      <c r="O26" s="85" t="s">
        <v>142</v>
      </c>
      <c r="P26" s="55"/>
      <c r="Q26" s="55"/>
      <c r="R26" s="17"/>
    </row>
    <row r="27" spans="2:18" ht="18">
      <c r="B27" s="37" t="s">
        <v>185</v>
      </c>
      <c r="C27" s="37" t="s">
        <v>66</v>
      </c>
      <c r="D27" s="85" t="s">
        <v>142</v>
      </c>
      <c r="E27" s="85" t="s">
        <v>142</v>
      </c>
      <c r="F27" s="85" t="s">
        <v>142</v>
      </c>
      <c r="G27" s="85" t="s">
        <v>142</v>
      </c>
      <c r="H27" s="85" t="s">
        <v>142</v>
      </c>
      <c r="I27" s="85" t="s">
        <v>142</v>
      </c>
      <c r="J27" s="85" t="s">
        <v>142</v>
      </c>
      <c r="K27" s="85" t="s">
        <v>142</v>
      </c>
      <c r="L27" s="85" t="s">
        <v>142</v>
      </c>
      <c r="M27" s="85" t="s">
        <v>142</v>
      </c>
      <c r="N27" s="85" t="s">
        <v>142</v>
      </c>
      <c r="O27" s="85" t="s">
        <v>142</v>
      </c>
      <c r="P27" s="55"/>
      <c r="Q27" s="55"/>
      <c r="R27" s="17"/>
    </row>
    <row r="28" spans="2:18" ht="18">
      <c r="B28" s="37" t="s">
        <v>186</v>
      </c>
      <c r="C28" s="37" t="s">
        <v>66</v>
      </c>
      <c r="D28" s="85" t="s">
        <v>142</v>
      </c>
      <c r="E28" s="85" t="s">
        <v>142</v>
      </c>
      <c r="F28" s="85" t="s">
        <v>142</v>
      </c>
      <c r="G28" s="85" t="s">
        <v>142</v>
      </c>
      <c r="H28" s="85" t="s">
        <v>142</v>
      </c>
      <c r="I28" s="85" t="s">
        <v>142</v>
      </c>
      <c r="J28" s="85" t="s">
        <v>142</v>
      </c>
      <c r="K28" s="85" t="s">
        <v>142</v>
      </c>
      <c r="L28" s="85" t="s">
        <v>142</v>
      </c>
      <c r="M28" s="85" t="s">
        <v>142</v>
      </c>
      <c r="N28" s="85" t="s">
        <v>142</v>
      </c>
      <c r="O28" s="85" t="s">
        <v>142</v>
      </c>
      <c r="P28" s="55"/>
      <c r="Q28" s="55"/>
      <c r="R28" s="17"/>
    </row>
    <row r="29" spans="2:18" ht="18.350000000000001" thickBot="1">
      <c r="B29" s="60" t="s">
        <v>187</v>
      </c>
      <c r="C29" s="60" t="s">
        <v>66</v>
      </c>
      <c r="D29" s="140" t="s">
        <v>142</v>
      </c>
      <c r="E29" s="140" t="s">
        <v>142</v>
      </c>
      <c r="F29" s="140" t="s">
        <v>142</v>
      </c>
      <c r="G29" s="140" t="s">
        <v>142</v>
      </c>
      <c r="H29" s="140" t="s">
        <v>142</v>
      </c>
      <c r="I29" s="140" t="s">
        <v>142</v>
      </c>
      <c r="J29" s="140" t="s">
        <v>142</v>
      </c>
      <c r="K29" s="140" t="s">
        <v>142</v>
      </c>
      <c r="L29" s="140" t="s">
        <v>142</v>
      </c>
      <c r="M29" s="140" t="s">
        <v>142</v>
      </c>
      <c r="N29" s="140" t="s">
        <v>142</v>
      </c>
      <c r="O29" s="140" t="s">
        <v>142</v>
      </c>
      <c r="P29" s="55"/>
      <c r="Q29" s="55"/>
      <c r="R29" s="17"/>
    </row>
    <row r="30" spans="2:18" ht="18">
      <c r="B30" s="92" t="s">
        <v>195</v>
      </c>
      <c r="C30" s="59" t="s">
        <v>93</v>
      </c>
      <c r="D30" s="92">
        <f t="shared" ref="D30:O30" si="3">SUM(D18:D29)</f>
        <v>33</v>
      </c>
      <c r="E30" s="92">
        <f t="shared" si="3"/>
        <v>32.6</v>
      </c>
      <c r="F30" s="92">
        <f t="shared" si="3"/>
        <v>30.2</v>
      </c>
      <c r="G30" s="92">
        <f t="shared" si="3"/>
        <v>0</v>
      </c>
      <c r="H30" s="92">
        <f t="shared" si="3"/>
        <v>0</v>
      </c>
      <c r="I30" s="92">
        <f t="shared" si="3"/>
        <v>0</v>
      </c>
      <c r="J30" s="92">
        <f t="shared" si="3"/>
        <v>0</v>
      </c>
      <c r="K30" s="92">
        <f t="shared" si="3"/>
        <v>0</v>
      </c>
      <c r="L30" s="92">
        <f t="shared" si="3"/>
        <v>0</v>
      </c>
      <c r="M30" s="92">
        <f t="shared" si="3"/>
        <v>0</v>
      </c>
      <c r="N30" s="92">
        <f t="shared" si="3"/>
        <v>0</v>
      </c>
      <c r="O30" s="92">
        <f t="shared" si="3"/>
        <v>0</v>
      </c>
      <c r="P30" s="55"/>
      <c r="Q30" s="55"/>
      <c r="R30" s="17"/>
    </row>
    <row r="31" spans="2:18" s="114" customFormat="1" ht="18">
      <c r="B31" s="92"/>
      <c r="C31" s="59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55"/>
      <c r="Q31" s="55"/>
      <c r="R31" s="17"/>
    </row>
    <row r="32" spans="2:18" ht="18">
      <c r="B32" s="87" t="s">
        <v>197</v>
      </c>
      <c r="C32" s="59" t="s">
        <v>196</v>
      </c>
      <c r="D32" s="141">
        <f>D15</f>
        <v>1560.9</v>
      </c>
      <c r="E32" s="141">
        <f t="shared" ref="E32:O32" si="4">E15</f>
        <v>1550.4</v>
      </c>
      <c r="F32" s="141">
        <f t="shared" si="4"/>
        <v>1563.3</v>
      </c>
      <c r="G32" s="141">
        <f t="shared" si="4"/>
        <v>1564.5</v>
      </c>
      <c r="H32" s="141">
        <f t="shared" si="4"/>
        <v>1568.7</v>
      </c>
      <c r="I32" s="141">
        <f t="shared" si="4"/>
        <v>1570.9</v>
      </c>
      <c r="J32" s="141">
        <f t="shared" si="4"/>
        <v>1576.7</v>
      </c>
      <c r="K32" s="141">
        <f t="shared" si="4"/>
        <v>1582.2</v>
      </c>
      <c r="L32" s="141">
        <f t="shared" si="4"/>
        <v>1592.5</v>
      </c>
      <c r="M32" s="141">
        <f t="shared" si="4"/>
        <v>1602.8</v>
      </c>
      <c r="N32" s="141">
        <f t="shared" si="4"/>
        <v>1612.9</v>
      </c>
      <c r="O32" s="141">
        <f t="shared" si="4"/>
        <v>1623.4</v>
      </c>
      <c r="P32" s="55"/>
      <c r="Q32" s="55"/>
      <c r="R32" s="17"/>
    </row>
    <row r="33" spans="1:30" ht="18">
      <c r="B33" s="88" t="s">
        <v>62</v>
      </c>
      <c r="C33" s="37" t="s">
        <v>66</v>
      </c>
      <c r="D33" s="55">
        <v>0</v>
      </c>
      <c r="E33" s="55">
        <v>0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  <c r="N33" s="55">
        <v>0</v>
      </c>
      <c r="O33" s="55">
        <v>0</v>
      </c>
      <c r="P33" s="37"/>
      <c r="Q33" s="37"/>
      <c r="R33" s="17" t="s">
        <v>1358</v>
      </c>
    </row>
    <row r="34" spans="1:30" ht="18">
      <c r="B34" s="88" t="s">
        <v>63</v>
      </c>
      <c r="C34" s="37" t="s">
        <v>66</v>
      </c>
      <c r="D34" s="55">
        <f>D33</f>
        <v>0</v>
      </c>
      <c r="E34" s="55">
        <f>E33-D33</f>
        <v>0</v>
      </c>
      <c r="F34" s="55">
        <f t="shared" ref="F34:O34" si="5">F33-E33</f>
        <v>0</v>
      </c>
      <c r="G34" s="55">
        <f t="shared" si="5"/>
        <v>0</v>
      </c>
      <c r="H34" s="55">
        <f t="shared" si="5"/>
        <v>0</v>
      </c>
      <c r="I34" s="55">
        <f t="shared" si="5"/>
        <v>0</v>
      </c>
      <c r="J34" s="55">
        <f t="shared" si="5"/>
        <v>0</v>
      </c>
      <c r="K34" s="55">
        <f t="shared" si="5"/>
        <v>0</v>
      </c>
      <c r="L34" s="55">
        <f t="shared" si="5"/>
        <v>0</v>
      </c>
      <c r="M34" s="55">
        <f t="shared" si="5"/>
        <v>0</v>
      </c>
      <c r="N34" s="55">
        <f t="shared" si="5"/>
        <v>0</v>
      </c>
      <c r="O34" s="55">
        <f t="shared" si="5"/>
        <v>0</v>
      </c>
      <c r="P34" s="2"/>
      <c r="Q34" s="2"/>
      <c r="R34" s="17"/>
    </row>
    <row r="35" spans="1:30" ht="18">
      <c r="B35" s="88" t="s">
        <v>189</v>
      </c>
      <c r="C35" s="37" t="s">
        <v>66</v>
      </c>
      <c r="D35" s="55">
        <f>D32+D33</f>
        <v>1560.9</v>
      </c>
      <c r="E35" s="55">
        <f t="shared" ref="E35:O35" si="6">E32+E33</f>
        <v>1550.4</v>
      </c>
      <c r="F35" s="55">
        <f t="shared" si="6"/>
        <v>1563.3</v>
      </c>
      <c r="G35" s="55">
        <f t="shared" si="6"/>
        <v>1564.5</v>
      </c>
      <c r="H35" s="55">
        <f t="shared" si="6"/>
        <v>1568.7</v>
      </c>
      <c r="I35" s="55">
        <f t="shared" si="6"/>
        <v>1570.9</v>
      </c>
      <c r="J35" s="55">
        <f t="shared" si="6"/>
        <v>1576.7</v>
      </c>
      <c r="K35" s="55">
        <f t="shared" si="6"/>
        <v>1582.2</v>
      </c>
      <c r="L35" s="55">
        <f t="shared" si="6"/>
        <v>1592.5</v>
      </c>
      <c r="M35" s="55">
        <f t="shared" si="6"/>
        <v>1602.8</v>
      </c>
      <c r="N35" s="55">
        <f t="shared" si="6"/>
        <v>1612.9</v>
      </c>
      <c r="O35" s="55">
        <f t="shared" si="6"/>
        <v>1623.4</v>
      </c>
      <c r="P35" s="37" t="s">
        <v>574</v>
      </c>
      <c r="Q35" s="37" t="s">
        <v>574</v>
      </c>
      <c r="R35" s="17" t="s">
        <v>1360</v>
      </c>
    </row>
    <row r="36" spans="1:30" ht="18">
      <c r="B36" s="88" t="s">
        <v>64</v>
      </c>
      <c r="C36" s="37" t="s">
        <v>65</v>
      </c>
      <c r="D36" s="61">
        <f t="shared" ref="D36:O36" si="7">(D34/D15)</f>
        <v>0</v>
      </c>
      <c r="E36" s="61">
        <f t="shared" si="7"/>
        <v>0</v>
      </c>
      <c r="F36" s="61">
        <f t="shared" si="7"/>
        <v>0</v>
      </c>
      <c r="G36" s="61">
        <f t="shared" si="7"/>
        <v>0</v>
      </c>
      <c r="H36" s="61">
        <f t="shared" si="7"/>
        <v>0</v>
      </c>
      <c r="I36" s="61">
        <f t="shared" si="7"/>
        <v>0</v>
      </c>
      <c r="J36" s="61">
        <f t="shared" si="7"/>
        <v>0</v>
      </c>
      <c r="K36" s="61">
        <f t="shared" si="7"/>
        <v>0</v>
      </c>
      <c r="L36" s="61">
        <f t="shared" si="7"/>
        <v>0</v>
      </c>
      <c r="M36" s="61">
        <f t="shared" si="7"/>
        <v>0</v>
      </c>
      <c r="N36" s="61">
        <f t="shared" si="7"/>
        <v>0</v>
      </c>
      <c r="O36" s="61">
        <f t="shared" si="7"/>
        <v>0</v>
      </c>
      <c r="P36" s="282">
        <f>(O35/D35)^(1/(12-1))-1</f>
        <v>3.5754802304071021E-3</v>
      </c>
      <c r="Q36" s="282">
        <f>P36</f>
        <v>3.5754802304071021E-3</v>
      </c>
      <c r="R36" s="280" t="s">
        <v>966</v>
      </c>
    </row>
    <row r="37" spans="1:30">
      <c r="C37" s="39"/>
      <c r="E37" s="46"/>
      <c r="F37" s="46"/>
      <c r="G37" s="46"/>
      <c r="H37" s="46"/>
      <c r="I37" s="46"/>
      <c r="J37" s="46"/>
      <c r="K37" s="46"/>
      <c r="L37" s="46"/>
      <c r="M37" s="46"/>
      <c r="N37" s="46"/>
    </row>
    <row r="38" spans="1:30">
      <c r="A38" s="114"/>
      <c r="B38" s="114"/>
      <c r="C38" s="39"/>
      <c r="D38" s="114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114"/>
    </row>
    <row r="39" spans="1:30">
      <c r="A39" s="114"/>
      <c r="B39" s="114"/>
      <c r="C39" s="39"/>
      <c r="D39" s="114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114"/>
    </row>
    <row r="40" spans="1:30" s="10" customFormat="1">
      <c r="A40" s="114"/>
      <c r="B40" s="114"/>
      <c r="C40" s="39"/>
      <c r="D40" s="114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114"/>
      <c r="P40" s="149"/>
      <c r="Q40" s="149"/>
      <c r="R40" s="149"/>
    </row>
    <row r="41" spans="1:30" s="10" customFormat="1">
      <c r="A41" s="114"/>
      <c r="B41" s="114"/>
      <c r="C41" s="39"/>
      <c r="D41" s="114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114"/>
      <c r="P41" s="114"/>
      <c r="Q41" s="114"/>
      <c r="R41" s="114"/>
    </row>
    <row r="42" spans="1:30" s="10" customFormat="1">
      <c r="A42" s="114"/>
      <c r="B42" s="114"/>
      <c r="C42" s="39"/>
      <c r="D42" s="114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114"/>
      <c r="P42" s="114"/>
      <c r="Q42" s="114"/>
      <c r="R42" s="114"/>
    </row>
    <row r="43" spans="1:30" s="10" customFormat="1" ht="18">
      <c r="A43" s="114"/>
      <c r="B43" s="114"/>
      <c r="C43" s="39"/>
      <c r="D43" s="114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114"/>
      <c r="P43" s="4"/>
      <c r="Q43" s="4"/>
      <c r="R43" s="4"/>
    </row>
    <row r="44" spans="1:30" ht="18">
      <c r="A44" s="114"/>
      <c r="B44" s="114"/>
      <c r="C44" s="39"/>
      <c r="D44" s="114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114"/>
      <c r="P44" s="4"/>
      <c r="Q44" s="4"/>
      <c r="R44" s="4"/>
    </row>
    <row r="45" spans="1:30" s="4" customFormat="1" ht="18">
      <c r="A45" s="114"/>
      <c r="B45" s="114"/>
      <c r="C45" s="39"/>
      <c r="D45" s="114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114"/>
      <c r="P45" s="12"/>
      <c r="Q45" s="12"/>
      <c r="R45" s="12"/>
      <c r="S45" s="114"/>
      <c r="T45" s="114"/>
      <c r="X45" s="31"/>
      <c r="AB45" s="109"/>
    </row>
    <row r="46" spans="1:30" s="4" customFormat="1" ht="18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114"/>
      <c r="Q46" s="114"/>
      <c r="R46" s="114"/>
      <c r="S46" s="114"/>
      <c r="T46" s="114"/>
      <c r="X46" s="31"/>
      <c r="AB46" s="109"/>
    </row>
    <row r="47" spans="1:30" s="4" customFormat="1" ht="18">
      <c r="A47" s="56" t="s">
        <v>56</v>
      </c>
      <c r="B47" s="39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114"/>
      <c r="Q47" s="114"/>
      <c r="R47" s="114"/>
      <c r="S47" s="114"/>
      <c r="T47" s="114"/>
      <c r="X47" s="31"/>
      <c r="AB47" s="109"/>
      <c r="AD47" s="6"/>
    </row>
    <row r="48" spans="1:30" s="40" customFormat="1" ht="18">
      <c r="A48" s="62" t="s">
        <v>190</v>
      </c>
      <c r="B48" s="14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4"/>
      <c r="Q48" s="114"/>
      <c r="R48" s="114"/>
      <c r="AB48" s="106"/>
    </row>
    <row r="49" spans="1:30" s="4" customFormat="1" ht="18">
      <c r="A49" s="62" t="s">
        <v>191</v>
      </c>
      <c r="B49" s="14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4"/>
      <c r="Q49" s="114"/>
      <c r="R49" s="114"/>
      <c r="S49" s="114"/>
      <c r="T49" s="114"/>
      <c r="X49" s="31"/>
      <c r="AB49" s="109"/>
    </row>
    <row r="50" spans="1:30" s="4" customFormat="1" ht="18">
      <c r="A50" s="143" t="s">
        <v>198</v>
      </c>
      <c r="B50" s="14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4"/>
      <c r="Q50" s="114"/>
      <c r="R50" s="114"/>
      <c r="S50" s="114"/>
      <c r="T50" s="114"/>
      <c r="X50" s="31"/>
      <c r="AB50" s="109"/>
    </row>
    <row r="51" spans="1:30" s="4" customFormat="1" ht="18">
      <c r="A51" s="4" t="s">
        <v>199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4"/>
      <c r="Q51" s="114"/>
      <c r="R51" s="114"/>
      <c r="S51" s="114"/>
      <c r="T51" s="114"/>
      <c r="X51" s="31"/>
      <c r="AB51" s="109"/>
    </row>
    <row r="52" spans="1:30" s="4" customFormat="1" ht="18">
      <c r="A52" s="42"/>
      <c r="B52" s="39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114"/>
      <c r="Q52" s="114"/>
      <c r="R52" s="114"/>
      <c r="S52" s="114"/>
      <c r="T52" s="114"/>
      <c r="X52" s="31"/>
      <c r="AB52" s="109"/>
      <c r="AD52" s="6"/>
    </row>
    <row r="53" spans="1:30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</row>
    <row r="54" spans="1:30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3A5C-54AD-E74C-BFF7-34BE3ED2718A}">
  <sheetPr codeName="Sheet15"/>
  <dimension ref="A1:B4"/>
  <sheetViews>
    <sheetView workbookViewId="0">
      <selection activeCell="B5" sqref="B5"/>
    </sheetView>
  </sheetViews>
  <sheetFormatPr defaultColWidth="10.83203125" defaultRowHeight="15.7"/>
  <cols>
    <col min="1" max="1" width="4.83203125" style="114" customWidth="1"/>
    <col min="2" max="16384" width="10.83203125" style="114"/>
  </cols>
  <sheetData>
    <row r="1" spans="1:2" ht="20.7">
      <c r="A1" s="133" t="s">
        <v>97</v>
      </c>
      <c r="B1" s="147" t="s">
        <v>551</v>
      </c>
    </row>
    <row r="3" spans="1:2" ht="18">
      <c r="B3" s="4" t="s">
        <v>554</v>
      </c>
    </row>
    <row r="4" spans="1:2" ht="18">
      <c r="B4" s="4" t="s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D71C-9EFF-AA49-B2EF-57DAD0C34331}">
  <dimension ref="A1:AH107"/>
  <sheetViews>
    <sheetView topLeftCell="A2" workbookViewId="0"/>
  </sheetViews>
  <sheetFormatPr defaultColWidth="10.83203125" defaultRowHeight="18"/>
  <cols>
    <col min="1" max="1" width="4.83203125" style="114" customWidth="1"/>
    <col min="2" max="4" width="12.83203125" style="114" customWidth="1"/>
    <col min="5" max="5" width="4.83203125" style="114" customWidth="1"/>
    <col min="6" max="7" width="10.83203125" style="114"/>
    <col min="8" max="11" width="12.83203125" style="114" customWidth="1"/>
    <col min="12" max="12" width="4.83203125" style="114" customWidth="1"/>
    <col min="13" max="20" width="12.83203125" style="114" customWidth="1"/>
    <col min="21" max="21" width="33.83203125" style="114" customWidth="1"/>
    <col min="22" max="22" width="4.83203125" style="114" customWidth="1"/>
    <col min="23" max="23" width="18.83203125" style="114" customWidth="1"/>
    <col min="24" max="24" width="18.33203125" style="114" customWidth="1"/>
    <col min="25" max="25" width="10.83203125" style="114"/>
    <col min="26" max="26" width="4.83203125" style="114" customWidth="1"/>
    <col min="27" max="27" width="10.83203125" style="49"/>
    <col min="28" max="30" width="10.83203125" style="47"/>
    <col min="31" max="16384" width="10.83203125" style="114"/>
  </cols>
  <sheetData>
    <row r="1" spans="1:34" ht="20.7">
      <c r="A1" s="18" t="s">
        <v>97</v>
      </c>
      <c r="B1" s="18" t="s">
        <v>969</v>
      </c>
    </row>
    <row r="2" spans="1:34" ht="20.7">
      <c r="A2" s="18"/>
    </row>
    <row r="3" spans="1:34" ht="20.7">
      <c r="B3" s="18" t="s">
        <v>923</v>
      </c>
      <c r="E3" s="18"/>
      <c r="F3" s="18" t="s">
        <v>924</v>
      </c>
      <c r="M3" s="18" t="s">
        <v>951</v>
      </c>
      <c r="N3" s="148"/>
      <c r="O3" s="148"/>
      <c r="P3" s="148"/>
      <c r="Q3" s="148"/>
      <c r="W3" s="18" t="s">
        <v>952</v>
      </c>
      <c r="X3" s="18"/>
      <c r="AA3" s="18" t="s">
        <v>925</v>
      </c>
    </row>
    <row r="4" spans="1:34" ht="54">
      <c r="B4" s="16" t="s">
        <v>42</v>
      </c>
      <c r="C4" s="16" t="s">
        <v>42</v>
      </c>
      <c r="D4" s="16" t="s">
        <v>899</v>
      </c>
      <c r="F4" s="16" t="s">
        <v>42</v>
      </c>
      <c r="G4" s="16" t="s">
        <v>42</v>
      </c>
      <c r="H4" s="16" t="s">
        <v>926</v>
      </c>
      <c r="I4" s="16" t="s">
        <v>927</v>
      </c>
      <c r="J4" s="16" t="s">
        <v>928</v>
      </c>
      <c r="K4" s="16" t="s">
        <v>929</v>
      </c>
      <c r="M4" s="19" t="s">
        <v>42</v>
      </c>
      <c r="N4" s="19" t="s">
        <v>900</v>
      </c>
      <c r="O4" s="19" t="s">
        <v>953</v>
      </c>
      <c r="P4" s="19" t="s">
        <v>872</v>
      </c>
      <c r="Q4" s="19" t="s">
        <v>873</v>
      </c>
      <c r="R4" s="19" t="s">
        <v>954</v>
      </c>
      <c r="S4" s="19" t="s">
        <v>897</v>
      </c>
      <c r="T4" s="19" t="s">
        <v>874</v>
      </c>
      <c r="U4" s="19" t="s">
        <v>47</v>
      </c>
      <c r="W4" s="19" t="s">
        <v>955</v>
      </c>
      <c r="X4" s="19" t="s">
        <v>956</v>
      </c>
      <c r="Y4" s="19" t="s">
        <v>898</v>
      </c>
      <c r="AA4" s="19" t="s">
        <v>744</v>
      </c>
      <c r="AB4" s="19" t="s">
        <v>957</v>
      </c>
      <c r="AC4" s="19" t="s">
        <v>744</v>
      </c>
      <c r="AD4" s="19" t="s">
        <v>957</v>
      </c>
      <c r="AE4" s="19" t="s">
        <v>744</v>
      </c>
      <c r="AF4" s="19" t="s">
        <v>957</v>
      </c>
      <c r="AG4" s="19" t="s">
        <v>744</v>
      </c>
      <c r="AH4" s="19" t="s">
        <v>957</v>
      </c>
    </row>
    <row r="5" spans="1:34">
      <c r="B5" s="16" t="s">
        <v>930</v>
      </c>
      <c r="C5" s="16" t="s">
        <v>71</v>
      </c>
      <c r="D5" s="16" t="s">
        <v>931</v>
      </c>
      <c r="F5" s="16" t="s">
        <v>930</v>
      </c>
      <c r="G5" s="16" t="s">
        <v>71</v>
      </c>
      <c r="H5" s="16" t="s">
        <v>932</v>
      </c>
      <c r="I5" s="16" t="s">
        <v>932</v>
      </c>
      <c r="J5" s="16" t="s">
        <v>19</v>
      </c>
      <c r="K5" s="16" t="s">
        <v>19</v>
      </c>
      <c r="M5" s="16" t="s">
        <v>71</v>
      </c>
      <c r="N5" s="16" t="s">
        <v>72</v>
      </c>
      <c r="O5" s="16" t="s">
        <v>72</v>
      </c>
      <c r="P5" s="16" t="s">
        <v>94</v>
      </c>
      <c r="Q5" s="16" t="s">
        <v>94</v>
      </c>
      <c r="R5" s="16" t="s">
        <v>94</v>
      </c>
      <c r="S5" s="16" t="s">
        <v>19</v>
      </c>
      <c r="T5" s="16" t="s">
        <v>19</v>
      </c>
      <c r="U5" s="16"/>
      <c r="W5" s="16"/>
      <c r="X5" s="16"/>
      <c r="Y5" s="16"/>
    </row>
    <row r="6" spans="1:34">
      <c r="B6" s="231">
        <v>63000</v>
      </c>
      <c r="C6" s="231">
        <f t="shared" ref="C6:C23" si="0">B6/1000</f>
        <v>63</v>
      </c>
      <c r="D6" s="232">
        <v>0.38</v>
      </c>
      <c r="F6" s="231">
        <v>63000</v>
      </c>
      <c r="G6" s="231">
        <f t="shared" ref="G6:G23" si="1">F6/1000</f>
        <v>63</v>
      </c>
      <c r="H6" s="233">
        <v>400</v>
      </c>
      <c r="I6" s="233">
        <v>366</v>
      </c>
      <c r="J6" s="233">
        <f>$F6*$F6/H6/10^6</f>
        <v>9.9224999999999994</v>
      </c>
      <c r="K6" s="233">
        <f>$F6*$F6/I6/10^6</f>
        <v>10.844262295081968</v>
      </c>
      <c r="M6" s="240">
        <v>69</v>
      </c>
      <c r="N6" s="231">
        <v>500</v>
      </c>
      <c r="O6" s="231">
        <f>N6*$W$6</f>
        <v>650</v>
      </c>
      <c r="P6" s="231">
        <f t="shared" ref="P6:P17" si="2">(SQRT(3)*N6*M6)/1000</f>
        <v>59.755752861126261</v>
      </c>
      <c r="Q6" s="231">
        <f t="shared" ref="Q6:Q17" si="3">(SQRT(3)*O6*$M6)/1000</f>
        <v>77.682478719464143</v>
      </c>
      <c r="R6" s="241"/>
      <c r="S6" s="231">
        <f>P6*$Y$6</f>
        <v>53.780177575013639</v>
      </c>
      <c r="T6" s="231">
        <f>Q6*$Y$6</f>
        <v>69.914230847517729</v>
      </c>
      <c r="U6" s="17" t="s">
        <v>958</v>
      </c>
      <c r="W6" s="118">
        <v>1.3</v>
      </c>
      <c r="X6" s="118">
        <v>1.2</v>
      </c>
      <c r="Y6" s="118">
        <v>0.9</v>
      </c>
      <c r="AA6" s="16">
        <v>1980</v>
      </c>
      <c r="AB6" s="197">
        <v>44.033333333333331</v>
      </c>
      <c r="AC6" s="16">
        <v>1990</v>
      </c>
      <c r="AD6" s="197">
        <v>78.358333333333334</v>
      </c>
      <c r="AE6" s="16">
        <v>2000</v>
      </c>
      <c r="AF6" s="197">
        <v>95.375</v>
      </c>
      <c r="AG6" s="16">
        <v>2010</v>
      </c>
      <c r="AH6" s="197">
        <v>116.46666666666668</v>
      </c>
    </row>
    <row r="7" spans="1:34">
      <c r="B7" s="231">
        <v>66000</v>
      </c>
      <c r="C7" s="231">
        <f t="shared" si="0"/>
        <v>66</v>
      </c>
      <c r="D7" s="232">
        <f>(D$14-D$6)*(C7-C$6)/(C$14-C$6)+D$6</f>
        <v>0.38214285714285717</v>
      </c>
      <c r="F7" s="231">
        <v>66000</v>
      </c>
      <c r="G7" s="231">
        <f t="shared" si="1"/>
        <v>66</v>
      </c>
      <c r="H7" s="233">
        <v>400</v>
      </c>
      <c r="I7" s="233">
        <v>366</v>
      </c>
      <c r="J7" s="233">
        <f>$F7*$F7/H7/10^6</f>
        <v>10.89</v>
      </c>
      <c r="K7" s="233">
        <f>$F7*$F7/I7/10^6</f>
        <v>11.901639344262295</v>
      </c>
      <c r="M7" s="231">
        <v>115</v>
      </c>
      <c r="N7" s="231">
        <v>600</v>
      </c>
      <c r="O7" s="231">
        <f t="shared" ref="O7:O17" si="4">N7*$W$6</f>
        <v>780</v>
      </c>
      <c r="P7" s="231">
        <f t="shared" si="2"/>
        <v>119.51150572225254</v>
      </c>
      <c r="Q7" s="231">
        <f t="shared" si="3"/>
        <v>155.36495743892829</v>
      </c>
      <c r="R7" s="241">
        <v>125</v>
      </c>
      <c r="S7" s="231">
        <f t="shared" ref="S7:T17" si="5">P7*$Y$6</f>
        <v>107.56035515002729</v>
      </c>
      <c r="T7" s="231">
        <f t="shared" si="5"/>
        <v>139.82846169503546</v>
      </c>
      <c r="U7" s="17"/>
      <c r="AA7" s="16">
        <v>1981</v>
      </c>
      <c r="AB7" s="197">
        <v>49.524999999999999</v>
      </c>
      <c r="AC7" s="16">
        <v>1991</v>
      </c>
      <c r="AD7" s="197">
        <v>82.766666666666666</v>
      </c>
      <c r="AE7" s="16">
        <v>2001</v>
      </c>
      <c r="AF7" s="197">
        <v>97.783333333333346</v>
      </c>
      <c r="AG7" s="16">
        <v>2011</v>
      </c>
      <c r="AH7" s="197">
        <v>119.85833333333333</v>
      </c>
    </row>
    <row r="8" spans="1:34">
      <c r="B8" s="231">
        <v>69000</v>
      </c>
      <c r="C8" s="231">
        <f t="shared" si="0"/>
        <v>69</v>
      </c>
      <c r="D8" s="232">
        <f t="shared" ref="D8:D13" si="6">(D$14-D$6)*(C8-C$6)/(C$14-C$6)+D$6</f>
        <v>0.38428571428571429</v>
      </c>
      <c r="F8" s="234">
        <v>69000</v>
      </c>
      <c r="G8" s="234">
        <f t="shared" si="1"/>
        <v>69</v>
      </c>
      <c r="H8" s="234">
        <v>400</v>
      </c>
      <c r="I8" s="234">
        <v>366</v>
      </c>
      <c r="J8" s="234">
        <v>12</v>
      </c>
      <c r="K8" s="234">
        <v>13</v>
      </c>
      <c r="M8" s="231">
        <v>120</v>
      </c>
      <c r="N8" s="231">
        <v>610</v>
      </c>
      <c r="O8" s="231">
        <f t="shared" si="4"/>
        <v>793</v>
      </c>
      <c r="P8" s="231">
        <f t="shared" si="2"/>
        <v>126.78611911404181</v>
      </c>
      <c r="Q8" s="231">
        <f t="shared" si="3"/>
        <v>164.82195484825436</v>
      </c>
      <c r="R8" s="241"/>
      <c r="S8" s="231">
        <f t="shared" si="5"/>
        <v>114.10750720263763</v>
      </c>
      <c r="T8" s="231">
        <f t="shared" si="5"/>
        <v>148.33975936342893</v>
      </c>
      <c r="U8" s="17"/>
      <c r="AA8" s="16">
        <v>1982</v>
      </c>
      <c r="AB8" s="197">
        <v>54.858333333333341</v>
      </c>
      <c r="AC8" s="16">
        <v>1992</v>
      </c>
      <c r="AD8" s="197">
        <v>84.000000000000014</v>
      </c>
      <c r="AE8" s="16">
        <v>2002</v>
      </c>
      <c r="AF8" s="197">
        <v>99.991666666666674</v>
      </c>
      <c r="AG8" s="16">
        <v>2012</v>
      </c>
      <c r="AH8" s="197">
        <v>121.67500000000001</v>
      </c>
    </row>
    <row r="9" spans="1:34">
      <c r="B9" s="231">
        <v>72000</v>
      </c>
      <c r="C9" s="231">
        <f t="shared" si="0"/>
        <v>72</v>
      </c>
      <c r="D9" s="232">
        <f t="shared" si="6"/>
        <v>0.38642857142857145</v>
      </c>
      <c r="F9" s="231">
        <v>72000</v>
      </c>
      <c r="G9" s="231">
        <f t="shared" si="1"/>
        <v>72</v>
      </c>
      <c r="H9" s="233">
        <v>400</v>
      </c>
      <c r="I9" s="233">
        <v>366</v>
      </c>
      <c r="J9" s="233">
        <f t="shared" ref="J9:K11" si="7">$F9*$F9/H9/10^6</f>
        <v>12.96</v>
      </c>
      <c r="K9" s="233">
        <f t="shared" si="7"/>
        <v>14.163934426229508</v>
      </c>
      <c r="M9" s="231">
        <v>138</v>
      </c>
      <c r="N9" s="231">
        <v>650</v>
      </c>
      <c r="O9" s="231">
        <f t="shared" si="4"/>
        <v>845</v>
      </c>
      <c r="P9" s="231">
        <f t="shared" si="2"/>
        <v>155.36495743892829</v>
      </c>
      <c r="Q9" s="231">
        <f t="shared" si="3"/>
        <v>201.97444467060674</v>
      </c>
      <c r="R9" s="241">
        <v>150</v>
      </c>
      <c r="S9" s="231">
        <f t="shared" si="5"/>
        <v>139.82846169503546</v>
      </c>
      <c r="T9" s="231">
        <f t="shared" si="5"/>
        <v>181.77700020354607</v>
      </c>
      <c r="U9" s="17"/>
      <c r="AA9" s="16">
        <v>1983</v>
      </c>
      <c r="AB9" s="197">
        <v>58.07500000000001</v>
      </c>
      <c r="AC9" s="16">
        <v>1993</v>
      </c>
      <c r="AD9" s="197">
        <v>85.566666666666663</v>
      </c>
      <c r="AE9" s="16">
        <v>2003</v>
      </c>
      <c r="AF9" s="197">
        <v>102.75</v>
      </c>
      <c r="AG9" s="16">
        <v>2013</v>
      </c>
      <c r="AH9" s="197">
        <v>122.81666666666666</v>
      </c>
    </row>
    <row r="10" spans="1:34">
      <c r="B10" s="231">
        <v>115000</v>
      </c>
      <c r="C10" s="231">
        <f t="shared" si="0"/>
        <v>115</v>
      </c>
      <c r="D10" s="232">
        <f t="shared" si="6"/>
        <v>0.41714285714285715</v>
      </c>
      <c r="F10" s="231">
        <v>115000</v>
      </c>
      <c r="G10" s="231">
        <f t="shared" si="1"/>
        <v>115</v>
      </c>
      <c r="H10" s="233">
        <v>403</v>
      </c>
      <c r="I10" s="233">
        <v>366</v>
      </c>
      <c r="J10" s="233">
        <f t="shared" si="7"/>
        <v>32.816377171215883</v>
      </c>
      <c r="K10" s="233">
        <f t="shared" si="7"/>
        <v>36.133879781420767</v>
      </c>
      <c r="M10" s="231">
        <v>161</v>
      </c>
      <c r="N10" s="231">
        <v>700</v>
      </c>
      <c r="O10" s="231">
        <f t="shared" si="4"/>
        <v>910</v>
      </c>
      <c r="P10" s="231">
        <f t="shared" si="2"/>
        <v>195.20212601301245</v>
      </c>
      <c r="Q10" s="231">
        <f t="shared" si="3"/>
        <v>253.76276381691622</v>
      </c>
      <c r="R10" s="241"/>
      <c r="S10" s="231">
        <f t="shared" si="5"/>
        <v>175.68191341171121</v>
      </c>
      <c r="T10" s="231">
        <f t="shared" si="5"/>
        <v>228.38648743522461</v>
      </c>
      <c r="U10" s="17"/>
      <c r="AA10" s="16">
        <v>1984</v>
      </c>
      <c r="AB10" s="197">
        <v>60.574999999999996</v>
      </c>
      <c r="AC10" s="16">
        <v>1994</v>
      </c>
      <c r="AD10" s="197">
        <v>85.708333333333329</v>
      </c>
      <c r="AE10" s="16">
        <v>2004</v>
      </c>
      <c r="AF10" s="197">
        <v>104.65833333333335</v>
      </c>
      <c r="AG10" s="16">
        <v>2014</v>
      </c>
      <c r="AH10" s="197">
        <v>125.15833333333336</v>
      </c>
    </row>
    <row r="11" spans="1:34">
      <c r="B11" s="231">
        <v>120000</v>
      </c>
      <c r="C11" s="231">
        <f t="shared" si="0"/>
        <v>120</v>
      </c>
      <c r="D11" s="232">
        <f t="shared" si="6"/>
        <v>0.42071428571428571</v>
      </c>
      <c r="F11" s="231">
        <v>120000</v>
      </c>
      <c r="G11" s="231">
        <f t="shared" si="1"/>
        <v>120</v>
      </c>
      <c r="H11" s="233">
        <v>403</v>
      </c>
      <c r="I11" s="233">
        <v>366</v>
      </c>
      <c r="J11" s="233">
        <f t="shared" si="7"/>
        <v>35.732009925558316</v>
      </c>
      <c r="K11" s="233">
        <f t="shared" si="7"/>
        <v>39.344262295081968</v>
      </c>
      <c r="M11" s="231">
        <v>230</v>
      </c>
      <c r="N11" s="231">
        <v>1000</v>
      </c>
      <c r="O11" s="231">
        <f t="shared" si="4"/>
        <v>1300</v>
      </c>
      <c r="P11" s="231">
        <f t="shared" si="2"/>
        <v>398.37168574084171</v>
      </c>
      <c r="Q11" s="231">
        <f t="shared" si="3"/>
        <v>517.88319146309425</v>
      </c>
      <c r="R11" s="241">
        <v>400</v>
      </c>
      <c r="S11" s="231">
        <f t="shared" si="5"/>
        <v>358.53451716675755</v>
      </c>
      <c r="T11" s="231">
        <f t="shared" si="5"/>
        <v>466.09487231678486</v>
      </c>
      <c r="U11" s="17"/>
      <c r="AA11" s="16">
        <v>1985</v>
      </c>
      <c r="AB11" s="197">
        <v>62.975000000000001</v>
      </c>
      <c r="AC11" s="16">
        <v>1995</v>
      </c>
      <c r="AD11" s="197">
        <v>87.550000000000011</v>
      </c>
      <c r="AE11" s="16">
        <v>2005</v>
      </c>
      <c r="AF11" s="197">
        <v>106.97500000000001</v>
      </c>
      <c r="AG11" s="16">
        <v>2015</v>
      </c>
      <c r="AH11" s="197">
        <v>126.6</v>
      </c>
    </row>
    <row r="12" spans="1:34">
      <c r="B12" s="231">
        <v>138000</v>
      </c>
      <c r="C12" s="231">
        <f t="shared" si="0"/>
        <v>138</v>
      </c>
      <c r="D12" s="232">
        <f t="shared" si="6"/>
        <v>0.43357142857142861</v>
      </c>
      <c r="F12" s="234">
        <v>138000</v>
      </c>
      <c r="G12" s="234">
        <f t="shared" si="1"/>
        <v>138</v>
      </c>
      <c r="H12" s="234">
        <v>405</v>
      </c>
      <c r="I12" s="234">
        <v>366</v>
      </c>
      <c r="J12" s="234">
        <v>47</v>
      </c>
      <c r="K12" s="234">
        <v>52</v>
      </c>
      <c r="M12" s="231">
        <v>240</v>
      </c>
      <c r="N12" s="231">
        <v>1025</v>
      </c>
      <c r="O12" s="231">
        <f t="shared" si="4"/>
        <v>1332.5</v>
      </c>
      <c r="P12" s="231">
        <f t="shared" si="2"/>
        <v>426.08449866194377</v>
      </c>
      <c r="Q12" s="231">
        <f t="shared" si="3"/>
        <v>553.90984826052693</v>
      </c>
      <c r="R12" s="241"/>
      <c r="S12" s="231">
        <f t="shared" si="5"/>
        <v>383.47604879574942</v>
      </c>
      <c r="T12" s="231">
        <f t="shared" si="5"/>
        <v>498.51886343447427</v>
      </c>
      <c r="U12" s="17"/>
      <c r="AA12" s="16">
        <v>1986</v>
      </c>
      <c r="AB12" s="197">
        <v>65.61666666666666</v>
      </c>
      <c r="AC12" s="16">
        <v>1996</v>
      </c>
      <c r="AD12" s="197">
        <v>88.924999999999997</v>
      </c>
      <c r="AE12" s="16">
        <v>2006</v>
      </c>
      <c r="AF12" s="197">
        <v>109.11666666666667</v>
      </c>
      <c r="AG12" s="16">
        <v>2016</v>
      </c>
      <c r="AH12" s="197">
        <v>128.37499999999997</v>
      </c>
    </row>
    <row r="13" spans="1:34">
      <c r="B13" s="231">
        <v>144000</v>
      </c>
      <c r="C13" s="231">
        <f t="shared" si="0"/>
        <v>144</v>
      </c>
      <c r="D13" s="232">
        <f t="shared" si="6"/>
        <v>0.43785714285714289</v>
      </c>
      <c r="F13" s="231">
        <v>144000</v>
      </c>
      <c r="G13" s="231">
        <f t="shared" si="1"/>
        <v>144</v>
      </c>
      <c r="H13" s="233">
        <v>405</v>
      </c>
      <c r="I13" s="233">
        <v>366</v>
      </c>
      <c r="J13" s="233">
        <f>$F13*$F13/H13/10^6</f>
        <v>51.2</v>
      </c>
      <c r="K13" s="233">
        <f>$F13*$F13/I13/10^6</f>
        <v>56.655737704918032</v>
      </c>
      <c r="M13" s="231">
        <v>315</v>
      </c>
      <c r="N13" s="231">
        <v>1150</v>
      </c>
      <c r="O13" s="231">
        <f t="shared" si="4"/>
        <v>1495</v>
      </c>
      <c r="P13" s="231">
        <f t="shared" si="2"/>
        <v>627.43540504182567</v>
      </c>
      <c r="Q13" s="231">
        <f t="shared" si="3"/>
        <v>815.6660265543735</v>
      </c>
      <c r="R13" s="241"/>
      <c r="S13" s="231">
        <f t="shared" si="5"/>
        <v>564.69186453764314</v>
      </c>
      <c r="T13" s="231">
        <f t="shared" si="5"/>
        <v>734.09942389893615</v>
      </c>
      <c r="U13" s="17"/>
      <c r="AA13" s="16">
        <v>1987</v>
      </c>
      <c r="AB13" s="197">
        <v>68.475000000000009</v>
      </c>
      <c r="AC13" s="16">
        <v>1997</v>
      </c>
      <c r="AD13" s="197">
        <v>90.366666666666674</v>
      </c>
      <c r="AE13" s="16">
        <v>2007</v>
      </c>
      <c r="AF13" s="197">
        <v>111.45</v>
      </c>
      <c r="AG13" s="16">
        <v>2017</v>
      </c>
      <c r="AH13" s="197">
        <v>130.42499999999998</v>
      </c>
    </row>
    <row r="14" spans="1:34">
      <c r="B14" s="231">
        <v>161000</v>
      </c>
      <c r="C14" s="231">
        <f t="shared" si="0"/>
        <v>161</v>
      </c>
      <c r="D14" s="232">
        <v>0.45</v>
      </c>
      <c r="F14" s="231">
        <v>161000</v>
      </c>
      <c r="G14" s="231">
        <f t="shared" si="1"/>
        <v>161</v>
      </c>
      <c r="H14" s="233">
        <v>403</v>
      </c>
      <c r="I14" s="233">
        <v>366</v>
      </c>
      <c r="J14" s="233">
        <f>$F14*$F14/H14/10^6</f>
        <v>64.320099255583131</v>
      </c>
      <c r="K14" s="233">
        <f>$F14*$F14/I14/10^6</f>
        <v>70.822404371584696</v>
      </c>
      <c r="M14" s="231">
        <v>345</v>
      </c>
      <c r="N14" s="231">
        <v>1300</v>
      </c>
      <c r="O14" s="231">
        <f t="shared" si="4"/>
        <v>1690</v>
      </c>
      <c r="P14" s="231">
        <f t="shared" si="2"/>
        <v>776.82478719464143</v>
      </c>
      <c r="Q14" s="231">
        <f t="shared" si="3"/>
        <v>1009.8722233530337</v>
      </c>
      <c r="R14" s="241">
        <v>800</v>
      </c>
      <c r="S14" s="231">
        <f t="shared" si="5"/>
        <v>699.14230847517729</v>
      </c>
      <c r="T14" s="231">
        <f t="shared" si="5"/>
        <v>908.88500101773036</v>
      </c>
      <c r="U14" s="17"/>
      <c r="AA14" s="16">
        <v>1988</v>
      </c>
      <c r="AB14" s="197">
        <v>71.233333333333334</v>
      </c>
      <c r="AC14" s="16">
        <v>1998</v>
      </c>
      <c r="AD14" s="197">
        <v>91.266666666666666</v>
      </c>
      <c r="AE14" s="16">
        <v>2008</v>
      </c>
      <c r="AF14" s="197">
        <v>114.09166666666665</v>
      </c>
      <c r="AG14" s="16">
        <v>2018</v>
      </c>
      <c r="AH14" s="197">
        <v>133.38333333333335</v>
      </c>
    </row>
    <row r="15" spans="1:34">
      <c r="B15" s="231">
        <v>230000</v>
      </c>
      <c r="C15" s="231">
        <f t="shared" si="0"/>
        <v>230</v>
      </c>
      <c r="D15" s="232">
        <v>0.48</v>
      </c>
      <c r="F15" s="234">
        <v>230000</v>
      </c>
      <c r="G15" s="234">
        <f t="shared" si="1"/>
        <v>230</v>
      </c>
      <c r="H15" s="234">
        <v>395</v>
      </c>
      <c r="I15" s="234">
        <v>365</v>
      </c>
      <c r="J15" s="234">
        <v>134</v>
      </c>
      <c r="K15" s="234">
        <v>145</v>
      </c>
      <c r="M15" s="231">
        <v>500</v>
      </c>
      <c r="N15" s="231">
        <v>1800</v>
      </c>
      <c r="O15" s="231">
        <f t="shared" si="4"/>
        <v>2340</v>
      </c>
      <c r="P15" s="231">
        <f t="shared" si="2"/>
        <v>1558.8457268119894</v>
      </c>
      <c r="Q15" s="231">
        <f t="shared" si="3"/>
        <v>2026.4994448555863</v>
      </c>
      <c r="R15" s="241">
        <v>1600</v>
      </c>
      <c r="S15" s="231">
        <f t="shared" si="5"/>
        <v>1402.9611541307904</v>
      </c>
      <c r="T15" s="231">
        <f t="shared" si="5"/>
        <v>1823.8495003700277</v>
      </c>
      <c r="U15" s="17"/>
      <c r="AA15" s="16">
        <v>1989</v>
      </c>
      <c r="AB15" s="197">
        <v>74.783333333333331</v>
      </c>
      <c r="AC15" s="16">
        <v>1999</v>
      </c>
      <c r="AD15" s="197">
        <v>92.850000000000009</v>
      </c>
      <c r="AE15" s="16">
        <v>2009</v>
      </c>
      <c r="AF15" s="197">
        <v>114.43333333333334</v>
      </c>
      <c r="AG15" s="16">
        <v>2019</v>
      </c>
      <c r="AH15" s="197">
        <v>136</v>
      </c>
    </row>
    <row r="16" spans="1:34">
      <c r="B16" s="231">
        <v>240000</v>
      </c>
      <c r="C16" s="231">
        <f t="shared" si="0"/>
        <v>240</v>
      </c>
      <c r="D16" s="232">
        <f>(D$21-D$15)*(C16-C$15)/(C$21-C$15)+D$15</f>
        <v>0.47685185185185186</v>
      </c>
      <c r="F16" s="231">
        <v>240000</v>
      </c>
      <c r="G16" s="231">
        <f t="shared" si="1"/>
        <v>240</v>
      </c>
      <c r="H16" s="233">
        <v>394</v>
      </c>
      <c r="I16" s="233">
        <v>363</v>
      </c>
      <c r="J16" s="233">
        <f t="shared" ref="J16:K18" si="8">$F16*$F16/H16/10^6</f>
        <v>146.19289340101523</v>
      </c>
      <c r="K16" s="233">
        <f t="shared" si="8"/>
        <v>158.67768595041323</v>
      </c>
      <c r="M16" s="231">
        <v>735</v>
      </c>
      <c r="N16" s="231">
        <v>2500</v>
      </c>
      <c r="O16" s="231">
        <f t="shared" si="4"/>
        <v>3250</v>
      </c>
      <c r="P16" s="231">
        <f t="shared" si="2"/>
        <v>3182.6433589078119</v>
      </c>
      <c r="Q16" s="231">
        <f t="shared" si="3"/>
        <v>4137.4363665801557</v>
      </c>
      <c r="R16" s="241">
        <v>3200</v>
      </c>
      <c r="S16" s="231">
        <f t="shared" si="5"/>
        <v>2864.3790230170307</v>
      </c>
      <c r="T16" s="231">
        <f t="shared" si="5"/>
        <v>3723.6927299221402</v>
      </c>
      <c r="U16" s="17"/>
    </row>
    <row r="17" spans="1:30">
      <c r="B17" s="231">
        <v>287000</v>
      </c>
      <c r="C17" s="231">
        <f t="shared" si="0"/>
        <v>287</v>
      </c>
      <c r="D17" s="232">
        <f t="shared" ref="D17:D20" si="9">(D$21-D$15)*(C17-C$15)/(C$21-C$15)+D$15</f>
        <v>0.46205555555555555</v>
      </c>
      <c r="F17" s="231">
        <v>287000</v>
      </c>
      <c r="G17" s="231">
        <f t="shared" si="1"/>
        <v>287</v>
      </c>
      <c r="H17" s="233">
        <v>385</v>
      </c>
      <c r="I17" s="233">
        <v>340</v>
      </c>
      <c r="J17" s="233">
        <f t="shared" si="8"/>
        <v>213.94545454545454</v>
      </c>
      <c r="K17" s="233">
        <f t="shared" si="8"/>
        <v>242.26176470588234</v>
      </c>
      <c r="M17" s="231">
        <v>765</v>
      </c>
      <c r="N17" s="231">
        <v>2600</v>
      </c>
      <c r="O17" s="231">
        <f t="shared" si="4"/>
        <v>3380</v>
      </c>
      <c r="P17" s="231">
        <f t="shared" si="2"/>
        <v>3445.0490562544969</v>
      </c>
      <c r="Q17" s="231">
        <f t="shared" si="3"/>
        <v>4478.5637731308452</v>
      </c>
      <c r="R17" s="241"/>
      <c r="S17" s="231">
        <f t="shared" si="5"/>
        <v>3100.5441506290472</v>
      </c>
      <c r="T17" s="231">
        <f t="shared" si="5"/>
        <v>4030.7073958177607</v>
      </c>
      <c r="U17" s="17"/>
      <c r="AA17" s="148" t="s">
        <v>56</v>
      </c>
    </row>
    <row r="18" spans="1:30">
      <c r="B18" s="231">
        <v>315000</v>
      </c>
      <c r="C18" s="231">
        <f t="shared" si="0"/>
        <v>315</v>
      </c>
      <c r="D18" s="232">
        <f t="shared" si="9"/>
        <v>0.45324074074074072</v>
      </c>
      <c r="F18" s="231">
        <v>315000</v>
      </c>
      <c r="G18" s="231">
        <f t="shared" si="1"/>
        <v>315</v>
      </c>
      <c r="H18" s="233">
        <v>375</v>
      </c>
      <c r="I18" s="233">
        <v>310</v>
      </c>
      <c r="J18" s="233">
        <f t="shared" si="8"/>
        <v>264.60000000000002</v>
      </c>
      <c r="K18" s="233">
        <f t="shared" si="8"/>
        <v>320.08064516129036</v>
      </c>
      <c r="M18" s="10"/>
      <c r="N18" s="10"/>
      <c r="O18" s="10"/>
      <c r="P18" s="10"/>
      <c r="Q18" s="10"/>
      <c r="R18" s="10"/>
      <c r="S18" s="10"/>
      <c r="T18" s="10"/>
      <c r="U18" s="10"/>
      <c r="X18" s="10"/>
      <c r="AA18" s="4" t="s">
        <v>959</v>
      </c>
    </row>
    <row r="19" spans="1:30">
      <c r="B19" s="231">
        <v>345000</v>
      </c>
      <c r="C19" s="231">
        <f t="shared" si="0"/>
        <v>345</v>
      </c>
      <c r="D19" s="232">
        <f t="shared" si="9"/>
        <v>0.4437962962962963</v>
      </c>
      <c r="F19" s="234">
        <v>345000</v>
      </c>
      <c r="G19" s="234">
        <f t="shared" si="1"/>
        <v>345</v>
      </c>
      <c r="H19" s="234">
        <v>366</v>
      </c>
      <c r="I19" s="234">
        <v>280</v>
      </c>
      <c r="J19" s="234">
        <v>325</v>
      </c>
      <c r="K19" s="234">
        <v>425</v>
      </c>
      <c r="M19" s="148" t="s">
        <v>589</v>
      </c>
      <c r="N19" s="10"/>
      <c r="O19" s="10"/>
      <c r="P19" s="10"/>
      <c r="Q19" s="10"/>
      <c r="R19" s="10"/>
      <c r="S19" s="10"/>
      <c r="T19" s="10"/>
      <c r="U19" s="10"/>
      <c r="X19" s="10"/>
    </row>
    <row r="20" spans="1:30">
      <c r="B20" s="231">
        <v>360000</v>
      </c>
      <c r="C20" s="231">
        <f t="shared" si="0"/>
        <v>360</v>
      </c>
      <c r="D20" s="232">
        <f t="shared" si="9"/>
        <v>0.43907407407407406</v>
      </c>
      <c r="F20" s="231">
        <v>360000</v>
      </c>
      <c r="G20" s="231">
        <f t="shared" si="1"/>
        <v>360</v>
      </c>
      <c r="H20" s="233">
        <v>360</v>
      </c>
      <c r="I20" s="233">
        <v>275</v>
      </c>
      <c r="J20" s="233">
        <f>$F20*$F20/H20/10^6</f>
        <v>360</v>
      </c>
      <c r="K20" s="233">
        <f>$F20*$F20/I20/10^6</f>
        <v>471.27272727272725</v>
      </c>
      <c r="M20" s="4" t="s">
        <v>960</v>
      </c>
    </row>
    <row r="21" spans="1:30">
      <c r="B21" s="231">
        <v>500000</v>
      </c>
      <c r="C21" s="231">
        <f t="shared" si="0"/>
        <v>500</v>
      </c>
      <c r="D21" s="232">
        <v>0.39500000000000002</v>
      </c>
      <c r="F21" s="234">
        <v>500000</v>
      </c>
      <c r="G21" s="234">
        <f t="shared" si="1"/>
        <v>500</v>
      </c>
      <c r="H21" s="234">
        <v>294</v>
      </c>
      <c r="I21" s="234">
        <v>233</v>
      </c>
      <c r="J21" s="234">
        <v>850</v>
      </c>
      <c r="K21" s="234">
        <v>1075</v>
      </c>
      <c r="M21" s="4" t="s">
        <v>961</v>
      </c>
    </row>
    <row r="22" spans="1:30">
      <c r="B22" s="231">
        <v>735000</v>
      </c>
      <c r="C22" s="231">
        <f t="shared" si="0"/>
        <v>735</v>
      </c>
      <c r="D22" s="232">
        <v>0.38</v>
      </c>
      <c r="F22" s="231">
        <v>735000</v>
      </c>
      <c r="G22" s="231">
        <f t="shared" si="1"/>
        <v>735</v>
      </c>
      <c r="H22" s="233">
        <v>270</v>
      </c>
      <c r="I22" s="233">
        <v>250</v>
      </c>
      <c r="J22" s="233">
        <f>$F22*$F22/H22/10^6</f>
        <v>2000.8333333333333</v>
      </c>
      <c r="K22" s="233">
        <f>$F22*$F22/I22/10^6</f>
        <v>2160.9</v>
      </c>
    </row>
    <row r="23" spans="1:30">
      <c r="B23" s="231">
        <v>765000</v>
      </c>
      <c r="C23" s="231">
        <f t="shared" si="0"/>
        <v>765</v>
      </c>
      <c r="D23" s="232">
        <f>((C$23-C$21)/(C$22-C$21))*(D$22-D$21)+D$21</f>
        <v>0.37808510638297871</v>
      </c>
      <c r="F23" s="234">
        <v>765000</v>
      </c>
      <c r="G23" s="234">
        <f t="shared" si="1"/>
        <v>765</v>
      </c>
      <c r="H23" s="234">
        <v>266</v>
      </c>
      <c r="I23" s="234">
        <v>254</v>
      </c>
      <c r="J23" s="234">
        <v>2200</v>
      </c>
      <c r="K23" s="234">
        <v>2300</v>
      </c>
    </row>
    <row r="25" spans="1:30">
      <c r="A25" s="148" t="s">
        <v>56</v>
      </c>
      <c r="AA25" s="47"/>
      <c r="AB25" s="114"/>
      <c r="AC25" s="114"/>
      <c r="AD25" s="114"/>
    </row>
    <row r="26" spans="1:30">
      <c r="A26" s="4" t="s">
        <v>933</v>
      </c>
      <c r="AA26" s="47"/>
      <c r="AB26" s="114"/>
      <c r="AC26" s="114"/>
      <c r="AD26" s="114"/>
    </row>
    <row r="27" spans="1:30">
      <c r="A27" s="4" t="s">
        <v>934</v>
      </c>
    </row>
    <row r="28" spans="1:30">
      <c r="A28" s="4" t="s">
        <v>935</v>
      </c>
    </row>
    <row r="29" spans="1:30">
      <c r="A29" s="4" t="s">
        <v>936</v>
      </c>
    </row>
    <row r="30" spans="1:30">
      <c r="A30" s="4" t="s">
        <v>937</v>
      </c>
    </row>
    <row r="32" spans="1:30">
      <c r="B32" s="4"/>
      <c r="C32" s="4"/>
      <c r="F32" s="4"/>
    </row>
    <row r="46" spans="27:30">
      <c r="AA46" s="4"/>
      <c r="AB46" s="4"/>
      <c r="AC46" s="4"/>
      <c r="AD46" s="4"/>
    </row>
    <row r="102" spans="1:31">
      <c r="A102" s="48"/>
      <c r="AE102" s="48"/>
    </row>
    <row r="103" spans="1:31">
      <c r="A103" s="48"/>
      <c r="AE103" s="48"/>
    </row>
    <row r="104" spans="1:31">
      <c r="Z104" s="4"/>
    </row>
    <row r="105" spans="1:31">
      <c r="Z105" s="4"/>
    </row>
    <row r="106" spans="1:31" s="4" customFormat="1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W106" s="114"/>
      <c r="X106" s="114"/>
      <c r="Y106" s="114"/>
      <c r="Z106" s="114"/>
      <c r="AA106" s="49"/>
      <c r="AB106" s="47"/>
      <c r="AC106" s="47"/>
      <c r="AD106" s="47"/>
    </row>
    <row r="107" spans="1:31" s="4" customFormat="1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W107" s="114"/>
      <c r="X107" s="114"/>
      <c r="Y107" s="114"/>
      <c r="Z107" s="114"/>
      <c r="AA107" s="49"/>
      <c r="AB107" s="47"/>
      <c r="AC107" s="47"/>
      <c r="AD107" s="47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README</vt:lpstr>
      <vt:lpstr>NL-Sources</vt:lpstr>
      <vt:lpstr>Generation</vt:lpstr>
      <vt:lpstr>Storage</vt:lpstr>
      <vt:lpstr>HydroExisting</vt:lpstr>
      <vt:lpstr>HydroRenewals</vt:lpstr>
      <vt:lpstr>HydroGreenfield</vt:lpstr>
      <vt:lpstr>HydroPS</vt:lpstr>
      <vt:lpstr>Transmission</vt:lpstr>
      <vt:lpstr>Nodes</vt:lpstr>
      <vt:lpstr>Distribution</vt:lpstr>
      <vt:lpstr>System</vt:lpstr>
      <vt:lpstr>HGWh</vt:lpstr>
      <vt:lpstr>HMW</vt:lpstr>
      <vt:lpstr>FGWh</vt:lpstr>
      <vt:lpstr>FMW</vt:lpstr>
      <vt:lpstr>Hourly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Collins</dc:creator>
  <cp:lastModifiedBy>Reza</cp:lastModifiedBy>
  <cp:lastPrinted>2019-06-27T15:09:12Z</cp:lastPrinted>
  <dcterms:created xsi:type="dcterms:W3CDTF">2018-03-01T23:28:31Z</dcterms:created>
  <dcterms:modified xsi:type="dcterms:W3CDTF">2021-05-17T22:17:17Z</dcterms:modified>
</cp:coreProperties>
</file>